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120" windowWidth="9720" windowHeight="7320" tabRatio="987"/>
  </bookViews>
  <sheets>
    <sheet name="2018" sheetId="88" r:id="rId1"/>
    <sheet name="01мес 18" sheetId="90" r:id="rId2"/>
    <sheet name="янв18" sheetId="89" r:id="rId3"/>
    <sheet name="2017" sheetId="61" r:id="rId4"/>
    <sheet name="12 мес 17 " sheetId="87" r:id="rId5"/>
    <sheet name="дек17" sheetId="86" r:id="rId6"/>
    <sheet name="11 мес 17" sheetId="85" r:id="rId7"/>
    <sheet name="ноябр17" sheetId="84" r:id="rId8"/>
    <sheet name="окт17" sheetId="82" r:id="rId9"/>
    <sheet name="10 мес 17" sheetId="83" r:id="rId10"/>
    <sheet name="9мес 17" sheetId="81" r:id="rId11"/>
    <sheet name="сент17 " sheetId="80" r:id="rId12"/>
    <sheet name="8мес 17" sheetId="79" r:id="rId13"/>
    <sheet name="7мес17" sheetId="77" r:id="rId14"/>
    <sheet name="авг17" sheetId="78" r:id="rId15"/>
    <sheet name="июл17" sheetId="76" r:id="rId16"/>
    <sheet name="июн17" sheetId="74" r:id="rId17"/>
    <sheet name="май17" sheetId="71" r:id="rId18"/>
    <sheet name="апр17" sheetId="68" r:id="rId19"/>
    <sheet name="март17" sheetId="67" r:id="rId20"/>
    <sheet name="фев17" sheetId="63" r:id="rId21"/>
    <sheet name="2016" sheetId="42" r:id="rId22"/>
    <sheet name="6мес17" sheetId="75" r:id="rId23"/>
    <sheet name="5мес17" sheetId="72" r:id="rId24"/>
    <sheet name="4мес17" sheetId="69" r:id="rId25"/>
    <sheet name="3мес17" sheetId="65" r:id="rId26"/>
    <sheet name="2мес 17" sheetId="66" r:id="rId27"/>
    <sheet name="1мес17" sheetId="64" r:id="rId28"/>
    <sheet name="4кв2016г" sheetId="54" r:id="rId29"/>
    <sheet name="3кв2016г" sheetId="55" r:id="rId30"/>
    <sheet name="2015" sheetId="35" r:id="rId31"/>
    <sheet name="2014" sheetId="20" r:id="rId32"/>
    <sheet name="нтм 2013 (2)" sheetId="27" r:id="rId33"/>
    <sheet name="нтм (2012)" sheetId="22" r:id="rId34"/>
    <sheet name="янв17" sheetId="62" r:id="rId35"/>
    <sheet name="декабрь" sheetId="58" r:id="rId36"/>
    <sheet name="ноябрь" sheetId="57" r:id="rId37"/>
    <sheet name="октябрь" sheetId="56" r:id="rId38"/>
    <sheet name="сентябрь" sheetId="53" r:id="rId39"/>
    <sheet name="август" sheetId="52" r:id="rId40"/>
    <sheet name="июль" sheetId="51" r:id="rId41"/>
    <sheet name="июнь" sheetId="50" r:id="rId42"/>
    <sheet name="май" sheetId="49" r:id="rId43"/>
    <sheet name="апрель" sheetId="48" r:id="rId44"/>
    <sheet name="март" sheetId="47" r:id="rId45"/>
    <sheet name="февраль" sheetId="45" r:id="rId46"/>
    <sheet name="январь" sheetId="46" r:id="rId47"/>
    <sheet name="Лист2" sheetId="59" r:id="rId48"/>
    <sheet name="Лист3" sheetId="60" r:id="rId49"/>
  </sheets>
  <definedNames>
    <definedName name="_xlnm.Print_Area" localSheetId="21">'2016'!$A$1:$N$1228</definedName>
    <definedName name="_xlnm.Print_Area" localSheetId="3">'2017'!$A$1:$P$1292</definedName>
  </definedNames>
  <calcPr calcId="144525"/>
  <fileRecoveryPr autoRecover="0"/>
</workbook>
</file>

<file path=xl/calcChain.xml><?xml version="1.0" encoding="utf-8"?>
<calcChain xmlns="http://schemas.openxmlformats.org/spreadsheetml/2006/main">
  <c r="I150" i="88" l="1"/>
  <c r="L150" i="88" s="1"/>
  <c r="L149" i="88"/>
  <c r="L143" i="88"/>
  <c r="L147" i="88"/>
  <c r="I147" i="88"/>
  <c r="I149" i="88"/>
  <c r="I155" i="88"/>
  <c r="L155" i="88" s="1"/>
  <c r="I133" i="88" l="1"/>
  <c r="L4" i="90" l="1"/>
  <c r="L2" i="90"/>
  <c r="F81" i="89"/>
  <c r="F79" i="89"/>
  <c r="F75" i="89"/>
  <c r="F73" i="89"/>
  <c r="F71" i="89"/>
  <c r="F67" i="89"/>
  <c r="F65" i="89"/>
  <c r="F63" i="89"/>
  <c r="F59" i="89"/>
  <c r="F57" i="89"/>
  <c r="F55" i="89"/>
  <c r="F51" i="89"/>
  <c r="F49" i="89"/>
  <c r="F47" i="89"/>
  <c r="F45" i="89"/>
  <c r="F43" i="89"/>
  <c r="F41" i="89"/>
  <c r="F39" i="89"/>
  <c r="F37" i="89"/>
  <c r="F35" i="89"/>
  <c r="F33" i="89"/>
  <c r="F31" i="89"/>
  <c r="F27" i="89"/>
  <c r="F25" i="89"/>
  <c r="F21" i="89"/>
  <c r="F19" i="89"/>
  <c r="F15" i="89"/>
  <c r="F13" i="89"/>
  <c r="F9" i="89"/>
  <c r="F7" i="89"/>
  <c r="F5" i="89"/>
  <c r="F3" i="89"/>
  <c r="I3" i="89" s="1"/>
  <c r="M1155" i="89"/>
  <c r="I75" i="88" l="1"/>
  <c r="L75" i="88" s="1"/>
  <c r="I3" i="88" l="1"/>
  <c r="I5" i="88"/>
  <c r="L5" i="88" s="1"/>
  <c r="I7" i="88"/>
  <c r="L7" i="88" s="1"/>
  <c r="I9" i="88"/>
  <c r="L9" i="88" s="1"/>
  <c r="L11" i="88"/>
  <c r="I13" i="88"/>
  <c r="L13" i="88" s="1"/>
  <c r="I15" i="88"/>
  <c r="L15" i="88" s="1"/>
  <c r="L17" i="88"/>
  <c r="I19" i="88"/>
  <c r="L19" i="88" s="1"/>
  <c r="I21" i="88"/>
  <c r="L21" i="88" s="1"/>
  <c r="L23" i="88"/>
  <c r="I25" i="88"/>
  <c r="L25" i="88" s="1"/>
  <c r="I27" i="88"/>
  <c r="L27" i="88" s="1"/>
  <c r="L29" i="88"/>
  <c r="I31" i="88"/>
  <c r="L31" i="88" s="1"/>
  <c r="I33" i="88"/>
  <c r="L33" i="88"/>
  <c r="I35" i="88"/>
  <c r="L35" i="88" s="1"/>
  <c r="I37" i="88"/>
  <c r="L37" i="88" s="1"/>
  <c r="I39" i="88"/>
  <c r="L39" i="88" s="1"/>
  <c r="I41" i="88"/>
  <c r="L41" i="88" s="1"/>
  <c r="I43" i="88"/>
  <c r="L43" i="88" s="1"/>
  <c r="I45" i="88"/>
  <c r="L45" i="88" s="1"/>
  <c r="I47" i="88"/>
  <c r="L47" i="88" s="1"/>
  <c r="I49" i="88"/>
  <c r="L49" i="88" s="1"/>
  <c r="I51" i="88"/>
  <c r="L51" i="88" s="1"/>
  <c r="L53" i="88"/>
  <c r="I55" i="88"/>
  <c r="L55" i="88" s="1"/>
  <c r="I57" i="88"/>
  <c r="L57" i="88"/>
  <c r="I59" i="88"/>
  <c r="L59" i="88" s="1"/>
  <c r="L61" i="88"/>
  <c r="I63" i="88"/>
  <c r="L63" i="88" s="1"/>
  <c r="I65" i="88"/>
  <c r="L65" i="88"/>
  <c r="I67" i="88"/>
  <c r="L67" i="88" s="1"/>
  <c r="L69" i="88"/>
  <c r="I71" i="88"/>
  <c r="L71" i="88" s="1"/>
  <c r="I73" i="88"/>
  <c r="L73" i="88" s="1"/>
  <c r="L77" i="88"/>
  <c r="I79" i="88"/>
  <c r="L79" i="88" s="1"/>
  <c r="I81" i="88"/>
  <c r="L81" i="88" s="1"/>
  <c r="L83" i="88"/>
  <c r="L85" i="88"/>
  <c r="I89" i="88"/>
  <c r="L89" i="88" s="1"/>
  <c r="I91" i="88"/>
  <c r="L91" i="88" s="1"/>
  <c r="L93" i="88"/>
  <c r="I95" i="88"/>
  <c r="L95" i="88"/>
  <c r="I97" i="88"/>
  <c r="L97" i="88"/>
  <c r="I99" i="88"/>
  <c r="L99" i="88" s="1"/>
  <c r="I101" i="88"/>
  <c r="L101" i="88" s="1"/>
  <c r="I103" i="88"/>
  <c r="L103" i="88" s="1"/>
  <c r="I105" i="88"/>
  <c r="L105" i="88"/>
  <c r="I107" i="88"/>
  <c r="L107" i="88" s="1"/>
  <c r="I109" i="88"/>
  <c r="L109" i="88" s="1"/>
  <c r="I111" i="88"/>
  <c r="L111" i="88" s="1"/>
  <c r="I113" i="88"/>
  <c r="L113" i="88" s="1"/>
  <c r="I115" i="88"/>
  <c r="L115" i="88" s="1"/>
  <c r="I117" i="88"/>
  <c r="L117" i="88"/>
  <c r="L119" i="88"/>
  <c r="I121" i="88"/>
  <c r="L121" i="88" s="1"/>
  <c r="I123" i="88"/>
  <c r="L123" i="88" s="1"/>
  <c r="I125" i="88"/>
  <c r="L125" i="88" s="1"/>
  <c r="I127" i="88"/>
  <c r="L127" i="88" s="1"/>
  <c r="I129" i="88"/>
  <c r="L129" i="88"/>
  <c r="I131" i="88"/>
  <c r="L131" i="88" s="1"/>
  <c r="L133" i="88"/>
  <c r="I135" i="88"/>
  <c r="L135" i="88" s="1"/>
  <c r="I137" i="88"/>
  <c r="L137" i="88" s="1"/>
  <c r="I139" i="88"/>
  <c r="L139" i="88" s="1"/>
  <c r="I141" i="88"/>
  <c r="L141" i="88" s="1"/>
  <c r="I143" i="88"/>
  <c r="I145" i="88"/>
  <c r="L145" i="88" s="1"/>
  <c r="I151" i="88"/>
  <c r="L151" i="88" s="1"/>
  <c r="I153" i="88"/>
  <c r="L153" i="88" s="1"/>
  <c r="I157" i="88"/>
  <c r="L157" i="88" s="1"/>
  <c r="I159" i="88"/>
  <c r="L159" i="88" s="1"/>
  <c r="I161" i="88"/>
  <c r="L161" i="88" s="1"/>
  <c r="I163" i="88"/>
  <c r="L163" i="88" s="1"/>
  <c r="I165" i="88"/>
  <c r="L165" i="88" s="1"/>
  <c r="I167" i="88"/>
  <c r="L167" i="88" s="1"/>
  <c r="I169" i="88"/>
  <c r="L169" i="88" s="1"/>
  <c r="I171" i="88"/>
  <c r="L171" i="88" s="1"/>
  <c r="I173" i="88"/>
  <c r="L173" i="88" s="1"/>
  <c r="I175" i="88"/>
  <c r="L175" i="88"/>
  <c r="I177" i="88"/>
  <c r="L177" i="88" s="1"/>
  <c r="I179" i="88"/>
  <c r="L179" i="88" s="1"/>
  <c r="I181" i="88"/>
  <c r="L181" i="88" s="1"/>
  <c r="I183" i="88"/>
  <c r="L183" i="88" s="1"/>
  <c r="I185" i="88"/>
  <c r="L185" i="88" s="1"/>
  <c r="I187" i="88"/>
  <c r="L187" i="88" s="1"/>
  <c r="I189" i="88"/>
  <c r="L189" i="88" s="1"/>
  <c r="I191" i="88"/>
  <c r="L191" i="88" s="1"/>
  <c r="I193" i="88"/>
  <c r="L193" i="88" s="1"/>
  <c r="I195" i="88"/>
  <c r="L195" i="88" s="1"/>
  <c r="I197" i="88"/>
  <c r="L197" i="88" s="1"/>
  <c r="I199" i="88"/>
  <c r="L199" i="88" s="1"/>
  <c r="I201" i="88"/>
  <c r="L201" i="88" s="1"/>
  <c r="I203" i="88"/>
  <c r="L203" i="88"/>
  <c r="I205" i="88"/>
  <c r="L205" i="88" s="1"/>
  <c r="I207" i="88"/>
  <c r="L207" i="88" s="1"/>
  <c r="I209" i="88"/>
  <c r="L209" i="88" s="1"/>
  <c r="I211" i="88"/>
  <c r="L211" i="88" s="1"/>
  <c r="I213" i="88"/>
  <c r="L213" i="88" s="1"/>
  <c r="I215" i="88"/>
  <c r="L215" i="88" s="1"/>
  <c r="I217" i="88"/>
  <c r="L217" i="88" s="1"/>
  <c r="I219" i="88"/>
  <c r="L219" i="88"/>
  <c r="I221" i="88"/>
  <c r="L221" i="88" s="1"/>
  <c r="I223" i="88"/>
  <c r="L223" i="88"/>
  <c r="I225" i="88"/>
  <c r="L225" i="88" s="1"/>
  <c r="I227" i="88"/>
  <c r="L227" i="88" s="1"/>
  <c r="I229" i="88"/>
  <c r="L229" i="88" s="1"/>
  <c r="I231" i="88"/>
  <c r="L231" i="88" s="1"/>
  <c r="I233" i="88"/>
  <c r="L233" i="88" s="1"/>
  <c r="I235" i="88"/>
  <c r="L235" i="88"/>
  <c r="I237" i="88"/>
  <c r="L237" i="88" s="1"/>
  <c r="I239" i="88"/>
  <c r="L239" i="88"/>
  <c r="I241" i="88"/>
  <c r="L241" i="88" s="1"/>
  <c r="I243" i="88"/>
  <c r="L243" i="88" s="1"/>
  <c r="I245" i="88"/>
  <c r="L245" i="88" s="1"/>
  <c r="I247" i="88"/>
  <c r="L247" i="88" s="1"/>
  <c r="I249" i="88"/>
  <c r="L249" i="88" s="1"/>
  <c r="I251" i="88"/>
  <c r="L251" i="88"/>
  <c r="I253" i="88"/>
  <c r="L253" i="88" s="1"/>
  <c r="I255" i="88"/>
  <c r="L255" i="88"/>
  <c r="I257" i="88"/>
  <c r="L257" i="88" s="1"/>
  <c r="I259" i="88"/>
  <c r="L259" i="88" s="1"/>
  <c r="I261" i="88"/>
  <c r="L261" i="88" s="1"/>
  <c r="I263" i="88"/>
  <c r="L263" i="88" s="1"/>
  <c r="I265" i="88"/>
  <c r="L265" i="88" s="1"/>
  <c r="I267" i="88"/>
  <c r="L267" i="88" s="1"/>
  <c r="I269" i="88"/>
  <c r="L269" i="88" s="1"/>
  <c r="I271" i="88"/>
  <c r="L271" i="88" s="1"/>
  <c r="I273" i="88"/>
  <c r="L273" i="88" s="1"/>
  <c r="L3" i="88" l="1"/>
  <c r="N3" i="88"/>
  <c r="L4" i="87"/>
  <c r="L2" i="87"/>
  <c r="F99" i="86" l="1"/>
  <c r="M1155" i="86"/>
  <c r="I1161" i="61"/>
  <c r="F97" i="86"/>
  <c r="F95" i="86"/>
  <c r="F93" i="86"/>
  <c r="F91" i="86"/>
  <c r="F87" i="86"/>
  <c r="F85" i="86"/>
  <c r="F83" i="86"/>
  <c r="F81" i="86"/>
  <c r="F79" i="86"/>
  <c r="F77" i="86"/>
  <c r="F73" i="86"/>
  <c r="F71" i="86"/>
  <c r="F69" i="86"/>
  <c r="F67" i="86"/>
  <c r="F65" i="86"/>
  <c r="F63" i="86"/>
  <c r="F61" i="86"/>
  <c r="F59" i="86"/>
  <c r="F55" i="86"/>
  <c r="F51" i="86"/>
  <c r="F49" i="86"/>
  <c r="F47" i="86"/>
  <c r="F45" i="86"/>
  <c r="F43" i="86"/>
  <c r="F41" i="86"/>
  <c r="F39" i="86"/>
  <c r="F37" i="86"/>
  <c r="F35" i="86"/>
  <c r="F33" i="86"/>
  <c r="F29" i="86"/>
  <c r="F27" i="86"/>
  <c r="F25" i="86"/>
  <c r="F23" i="86"/>
  <c r="F21" i="86"/>
  <c r="F19" i="86"/>
  <c r="F15" i="86"/>
  <c r="F13" i="86"/>
  <c r="F11" i="86"/>
  <c r="F9" i="86"/>
  <c r="F7" i="86"/>
  <c r="F5" i="86"/>
  <c r="F3" i="86"/>
  <c r="I3" i="86" l="1"/>
  <c r="I1239" i="61"/>
  <c r="L1239" i="61" s="1"/>
  <c r="L1245" i="61"/>
  <c r="I1247" i="61"/>
  <c r="L1247" i="61"/>
  <c r="I1249" i="61"/>
  <c r="L1249" i="61" s="1"/>
  <c r="I1251" i="61"/>
  <c r="L1251" i="61" s="1"/>
  <c r="I1253" i="61"/>
  <c r="L1253" i="61" s="1"/>
  <c r="L1255" i="61"/>
  <c r="L1257" i="61"/>
  <c r="I1259" i="61"/>
  <c r="L1259" i="61" s="1"/>
  <c r="I1261" i="61"/>
  <c r="L1261" i="61" s="1"/>
  <c r="I1263" i="61"/>
  <c r="L1263" i="61"/>
  <c r="I1265" i="61"/>
  <c r="L1265" i="61" s="1"/>
  <c r="I1267" i="61"/>
  <c r="L1267" i="61"/>
  <c r="I1269" i="61"/>
  <c r="L1269" i="61" s="1"/>
  <c r="I1271" i="61"/>
  <c r="L1271" i="61"/>
  <c r="I1273" i="61"/>
  <c r="L1273" i="61" s="1"/>
  <c r="I1275" i="61"/>
  <c r="L1275" i="61"/>
  <c r="I1277" i="61"/>
  <c r="L1277" i="61" s="1"/>
  <c r="I1279" i="61"/>
  <c r="L1279" i="61"/>
  <c r="I1281" i="61"/>
  <c r="L1281" i="61" s="1"/>
  <c r="I1283" i="61"/>
  <c r="L1283" i="61"/>
  <c r="I1285" i="61"/>
  <c r="L1285" i="61" s="1"/>
  <c r="I1287" i="61"/>
  <c r="L1287" i="61"/>
  <c r="I1289" i="61"/>
  <c r="L1289" i="61" s="1"/>
  <c r="I1291" i="61"/>
  <c r="L1291" i="61"/>
  <c r="I1293" i="61"/>
  <c r="L1293" i="61"/>
  <c r="I1295" i="61"/>
  <c r="L1295" i="61"/>
  <c r="I1297" i="61"/>
  <c r="L1297" i="61"/>
  <c r="I1299" i="61"/>
  <c r="L1299" i="61"/>
  <c r="I1301" i="61"/>
  <c r="L1301" i="61"/>
  <c r="I1303" i="61"/>
  <c r="L1303" i="61"/>
  <c r="I1305" i="61"/>
  <c r="L1305" i="61"/>
  <c r="I1307" i="61"/>
  <c r="L1307" i="61"/>
  <c r="I1309" i="61"/>
  <c r="L1309" i="61"/>
  <c r="I1311" i="61"/>
  <c r="L1311" i="61"/>
  <c r="I1313" i="61"/>
  <c r="L1313" i="61" s="1"/>
  <c r="I1315" i="61"/>
  <c r="L1315" i="61"/>
  <c r="I1317" i="61"/>
  <c r="L1317" i="61" s="1"/>
  <c r="I1319" i="61"/>
  <c r="L1319" i="61"/>
  <c r="I1321" i="61"/>
  <c r="L1321" i="61" s="1"/>
  <c r="I1323" i="61"/>
  <c r="L1323" i="61"/>
  <c r="I1325" i="61"/>
  <c r="L1325" i="61" s="1"/>
  <c r="I1327" i="61"/>
  <c r="L1327" i="61"/>
  <c r="I1329" i="61"/>
  <c r="L1329" i="61" s="1"/>
  <c r="I1331" i="61"/>
  <c r="L1331" i="61"/>
  <c r="I1333" i="61"/>
  <c r="L1333" i="61" s="1"/>
  <c r="I1335" i="61"/>
  <c r="L1335" i="61"/>
  <c r="I1337" i="61"/>
  <c r="L1337" i="61" s="1"/>
  <c r="I1339" i="61"/>
  <c r="L1339" i="61"/>
  <c r="I1341" i="61"/>
  <c r="L1341" i="61" s="1"/>
  <c r="I1343" i="61"/>
  <c r="L1343" i="61"/>
  <c r="I1345" i="61"/>
  <c r="L1345" i="61" s="1"/>
  <c r="I1347" i="61"/>
  <c r="L1347" i="61"/>
  <c r="I1349" i="61"/>
  <c r="L1349" i="61" s="1"/>
  <c r="I1351" i="61"/>
  <c r="L1351" i="61"/>
  <c r="I1353" i="61"/>
  <c r="L1353" i="61" s="1"/>
  <c r="I1355" i="61"/>
  <c r="L1355" i="61"/>
  <c r="I1357" i="61"/>
  <c r="L1357" i="61" s="1"/>
  <c r="I1359" i="61"/>
  <c r="L1359" i="61"/>
  <c r="I1361" i="61"/>
  <c r="L1361" i="61" s="1"/>
  <c r="I1363" i="61"/>
  <c r="L1363" i="61"/>
  <c r="I1207" i="61" l="1"/>
  <c r="L1207" i="61" s="1"/>
  <c r="I1199" i="61" l="1"/>
  <c r="L1199" i="61" s="1"/>
  <c r="L4" i="85" l="1"/>
  <c r="L2" i="85"/>
  <c r="I1171" i="61" l="1"/>
  <c r="L1171" i="61" s="1"/>
  <c r="I1181" i="61" l="1"/>
  <c r="L1181" i="61" s="1"/>
  <c r="I1183" i="61"/>
  <c r="L1183" i="61" s="1"/>
  <c r="I1185" i="61"/>
  <c r="L1185" i="61" s="1"/>
  <c r="L1187" i="61"/>
  <c r="I1189" i="61"/>
  <c r="L1189" i="61" s="1"/>
  <c r="I1191" i="61"/>
  <c r="L1191" i="61" s="1"/>
  <c r="I1193" i="61"/>
  <c r="L1193" i="61" s="1"/>
  <c r="I1195" i="61"/>
  <c r="L1195" i="61" s="1"/>
  <c r="I1197" i="61"/>
  <c r="L1197" i="61" s="1"/>
  <c r="I1201" i="61"/>
  <c r="L1201" i="61" s="1"/>
  <c r="I1203" i="61"/>
  <c r="L1203" i="61" s="1"/>
  <c r="I1205" i="61"/>
  <c r="L1205" i="61" s="1"/>
  <c r="L1209" i="61"/>
  <c r="I1211" i="61"/>
  <c r="L1211" i="61" s="1"/>
  <c r="L1213" i="61"/>
  <c r="I1215" i="61"/>
  <c r="L1215" i="61" s="1"/>
  <c r="I1217" i="61"/>
  <c r="L1217" i="61" s="1"/>
  <c r="I1219" i="61"/>
  <c r="L1219" i="61" s="1"/>
  <c r="I1221" i="61"/>
  <c r="L1221" i="61" s="1"/>
  <c r="I1223" i="61"/>
  <c r="L1223" i="61" s="1"/>
  <c r="I1225" i="61"/>
  <c r="I1227" i="61"/>
  <c r="L1227" i="61"/>
  <c r="I1229" i="61"/>
  <c r="L1229" i="61" s="1"/>
  <c r="L1231" i="61"/>
  <c r="I1233" i="61"/>
  <c r="L1233" i="61" s="1"/>
  <c r="I1235" i="61"/>
  <c r="L1235" i="61" s="1"/>
  <c r="I1237" i="61"/>
  <c r="L1237" i="61" s="1"/>
  <c r="I1241" i="61"/>
  <c r="L1241" i="61" s="1"/>
  <c r="I1243" i="61"/>
  <c r="L1243" i="61" s="1"/>
  <c r="L1225" i="61" l="1"/>
  <c r="F95" i="84"/>
  <c r="F93" i="84"/>
  <c r="F91" i="84"/>
  <c r="F89" i="84"/>
  <c r="F85" i="84"/>
  <c r="F83" i="84"/>
  <c r="F81" i="84"/>
  <c r="F79" i="84"/>
  <c r="F77" i="84"/>
  <c r="F75" i="84"/>
  <c r="F71" i="84"/>
  <c r="F69" i="84"/>
  <c r="F67" i="84"/>
  <c r="F65" i="84"/>
  <c r="F63" i="84"/>
  <c r="F61" i="84"/>
  <c r="F59" i="84"/>
  <c r="F57" i="84"/>
  <c r="F53" i="84"/>
  <c r="F51" i="84"/>
  <c r="F49" i="84"/>
  <c r="F47" i="84"/>
  <c r="F43" i="84"/>
  <c r="F41" i="84"/>
  <c r="F39" i="84"/>
  <c r="F37" i="84"/>
  <c r="F35" i="84"/>
  <c r="F33" i="84"/>
  <c r="F31" i="84"/>
  <c r="F29" i="84"/>
  <c r="F27" i="84"/>
  <c r="F23" i="84"/>
  <c r="F21" i="84"/>
  <c r="F19" i="84"/>
  <c r="F15" i="84"/>
  <c r="F13" i="84"/>
  <c r="F11" i="84"/>
  <c r="F9" i="84"/>
  <c r="F7" i="84"/>
  <c r="I3" i="84"/>
  <c r="I1053" i="61" l="1"/>
  <c r="L4" i="83" l="1"/>
  <c r="I3" i="82"/>
  <c r="L2" i="83"/>
  <c r="I1065" i="61" l="1"/>
  <c r="L1065" i="61" s="1"/>
  <c r="L1053" i="61" l="1"/>
  <c r="F97" i="82"/>
  <c r="F95" i="82"/>
  <c r="F93" i="82"/>
  <c r="F89" i="82"/>
  <c r="F87" i="82"/>
  <c r="F85" i="82"/>
  <c r="F83" i="82"/>
  <c r="F81" i="82"/>
  <c r="F77" i="82"/>
  <c r="F75" i="82"/>
  <c r="F73" i="82"/>
  <c r="F71" i="82"/>
  <c r="F69" i="82"/>
  <c r="F67" i="82"/>
  <c r="F65" i="82"/>
  <c r="F63" i="82"/>
  <c r="F61" i="82"/>
  <c r="F59" i="82"/>
  <c r="F55" i="82"/>
  <c r="F53" i="82"/>
  <c r="F51" i="82"/>
  <c r="F49" i="82"/>
  <c r="F47" i="82"/>
  <c r="F45" i="82"/>
  <c r="F41" i="82"/>
  <c r="F39" i="82"/>
  <c r="F37" i="82"/>
  <c r="F35" i="82"/>
  <c r="F33" i="82"/>
  <c r="F31" i="82"/>
  <c r="F29" i="82"/>
  <c r="F27" i="82"/>
  <c r="F23" i="82"/>
  <c r="F21" i="82"/>
  <c r="F17" i="82"/>
  <c r="F15" i="82"/>
  <c r="F13" i="82"/>
  <c r="F11" i="82"/>
  <c r="F9" i="82"/>
  <c r="F7" i="82"/>
  <c r="F5" i="82"/>
  <c r="I1015" i="61" l="1"/>
  <c r="L1015" i="61" s="1"/>
  <c r="L2" i="81" l="1"/>
  <c r="I981" i="61" l="1"/>
  <c r="L981" i="61" s="1"/>
  <c r="F99" i="80" l="1"/>
  <c r="F97" i="80"/>
  <c r="F93" i="80"/>
  <c r="F91" i="80"/>
  <c r="F89" i="80"/>
  <c r="F85" i="80"/>
  <c r="F83" i="80"/>
  <c r="F81" i="80"/>
  <c r="F75" i="80"/>
  <c r="F73" i="80"/>
  <c r="F71" i="80"/>
  <c r="F65" i="80"/>
  <c r="F63" i="80"/>
  <c r="F61" i="80"/>
  <c r="F59" i="80"/>
  <c r="F57" i="80"/>
  <c r="F55" i="80"/>
  <c r="F53" i="80"/>
  <c r="F49" i="80"/>
  <c r="F45" i="80"/>
  <c r="F41" i="80"/>
  <c r="F39" i="80"/>
  <c r="F35" i="80"/>
  <c r="F33" i="80"/>
  <c r="F31" i="80"/>
  <c r="F29" i="80"/>
  <c r="F25" i="80"/>
  <c r="F23" i="80"/>
  <c r="F17" i="80"/>
  <c r="F15" i="80"/>
  <c r="F13" i="80"/>
  <c r="F11" i="80"/>
  <c r="F9" i="80"/>
  <c r="F7" i="80"/>
  <c r="L919" i="61" l="1"/>
  <c r="L929" i="61"/>
  <c r="L2" i="79" l="1"/>
  <c r="H4" i="78" l="1"/>
  <c r="H3" i="78"/>
  <c r="I845" i="61" l="1"/>
  <c r="I841" i="61"/>
  <c r="I839" i="61"/>
  <c r="I835" i="61"/>
  <c r="F103" i="78"/>
  <c r="F99" i="78"/>
  <c r="F97" i="78"/>
  <c r="F93" i="78"/>
  <c r="F91" i="78"/>
  <c r="F89" i="78"/>
  <c r="F87" i="78"/>
  <c r="F85" i="78"/>
  <c r="F83" i="78"/>
  <c r="F75" i="78"/>
  <c r="F73" i="78"/>
  <c r="F71" i="78"/>
  <c r="F69" i="78"/>
  <c r="F67" i="78"/>
  <c r="F65" i="78"/>
  <c r="F61" i="78"/>
  <c r="F57" i="78"/>
  <c r="F55" i="78"/>
  <c r="F51" i="78"/>
  <c r="F49" i="78"/>
  <c r="F47" i="78"/>
  <c r="F43" i="78"/>
  <c r="F41" i="78"/>
  <c r="F39" i="78"/>
  <c r="F35" i="78"/>
  <c r="F33" i="78"/>
  <c r="F31" i="78"/>
  <c r="F29" i="78"/>
  <c r="F27" i="78"/>
  <c r="F25" i="78"/>
  <c r="F21" i="78"/>
  <c r="F17" i="78"/>
  <c r="F15" i="78"/>
  <c r="F13" i="78"/>
  <c r="F11" i="78"/>
  <c r="H2" i="78" s="1"/>
  <c r="F9" i="78"/>
  <c r="F7" i="78"/>
  <c r="F5" i="78"/>
  <c r="I831" i="61" l="1"/>
  <c r="L831" i="61" s="1"/>
  <c r="L2" i="77" l="1"/>
  <c r="L787" i="61" l="1"/>
  <c r="I789" i="61"/>
  <c r="L789" i="61" s="1"/>
  <c r="I791" i="61"/>
  <c r="L791" i="61" s="1"/>
  <c r="I793" i="61"/>
  <c r="L793" i="61" s="1"/>
  <c r="I777" i="61"/>
  <c r="L777" i="61" s="1"/>
  <c r="I775" i="61"/>
  <c r="L775" i="61" s="1"/>
  <c r="I773" i="61"/>
  <c r="L773" i="61" s="1"/>
  <c r="I771" i="61"/>
  <c r="L771" i="61" s="1"/>
  <c r="H2" i="76" l="1"/>
  <c r="L705" i="61"/>
  <c r="F117" i="76"/>
  <c r="F115" i="76"/>
  <c r="F113" i="76"/>
  <c r="F111" i="76"/>
  <c r="F109" i="76"/>
  <c r="F105" i="76"/>
  <c r="F103" i="76"/>
  <c r="F101" i="76"/>
  <c r="F99" i="76"/>
  <c r="F97" i="76"/>
  <c r="F95" i="76"/>
  <c r="F93" i="76"/>
  <c r="F91" i="76"/>
  <c r="F87" i="76"/>
  <c r="F85" i="76"/>
  <c r="F83" i="76"/>
  <c r="F79" i="76"/>
  <c r="F77" i="76"/>
  <c r="F73" i="76"/>
  <c r="F71" i="76"/>
  <c r="F69" i="76"/>
  <c r="F67" i="76"/>
  <c r="F63" i="76"/>
  <c r="F61" i="76"/>
  <c r="F59" i="76"/>
  <c r="F55" i="76"/>
  <c r="F53" i="76"/>
  <c r="F51" i="76"/>
  <c r="F49" i="76"/>
  <c r="F47" i="76"/>
  <c r="F45" i="76"/>
  <c r="F43" i="76"/>
  <c r="F39" i="76"/>
  <c r="F37" i="76"/>
  <c r="F35" i="76"/>
  <c r="F33" i="76"/>
  <c r="F31" i="76"/>
  <c r="F29" i="76"/>
  <c r="F25" i="76"/>
  <c r="F23" i="76"/>
  <c r="F21" i="76"/>
  <c r="F19" i="76"/>
  <c r="F17" i="76"/>
  <c r="F15" i="76"/>
  <c r="F11" i="76"/>
  <c r="F9" i="76"/>
  <c r="F7" i="76"/>
  <c r="F5" i="76"/>
  <c r="F3" i="76"/>
  <c r="I727" i="61" l="1"/>
  <c r="L727" i="61" s="1"/>
  <c r="I735" i="61"/>
  <c r="L735" i="61" s="1"/>
  <c r="I737" i="61"/>
  <c r="L737" i="61" s="1"/>
  <c r="I739" i="61"/>
  <c r="L739" i="61" s="1"/>
  <c r="I741" i="61"/>
  <c r="L741" i="61" s="1"/>
  <c r="L745" i="61"/>
  <c r="I747" i="61"/>
  <c r="L747" i="61" s="1"/>
  <c r="I749" i="61"/>
  <c r="L749" i="61" s="1"/>
  <c r="I751" i="61"/>
  <c r="L751" i="61" s="1"/>
  <c r="I753" i="61"/>
  <c r="L753" i="61" s="1"/>
  <c r="I755" i="61"/>
  <c r="L755" i="61" s="1"/>
  <c r="I757" i="61"/>
  <c r="L757" i="61" s="1"/>
  <c r="I759" i="61"/>
  <c r="L759" i="61" s="1"/>
  <c r="L761" i="61"/>
  <c r="I763" i="61"/>
  <c r="L763" i="61" s="1"/>
  <c r="L765" i="61"/>
  <c r="I767" i="61"/>
  <c r="L767" i="61" s="1"/>
  <c r="I769" i="61"/>
  <c r="L769" i="61" s="1"/>
  <c r="L779" i="61"/>
  <c r="I781" i="61"/>
  <c r="L781" i="61" s="1"/>
  <c r="I783" i="61"/>
  <c r="L783" i="61" s="1"/>
  <c r="I785" i="61"/>
  <c r="L785" i="61" s="1"/>
  <c r="L795" i="61"/>
  <c r="I797" i="61"/>
  <c r="L797" i="61" s="1"/>
  <c r="I799" i="61"/>
  <c r="L799" i="61" s="1"/>
  <c r="L801" i="61"/>
  <c r="I803" i="61"/>
  <c r="L803" i="61" s="1"/>
  <c r="L805" i="61"/>
  <c r="I807" i="61"/>
  <c r="L807" i="61" s="1"/>
  <c r="I809" i="61"/>
  <c r="L809" i="61" s="1"/>
  <c r="I811" i="61"/>
  <c r="L811" i="61" s="1"/>
  <c r="I813" i="61"/>
  <c r="L813" i="61" s="1"/>
  <c r="I815" i="61"/>
  <c r="L815" i="61" s="1"/>
  <c r="I817" i="61"/>
  <c r="L817" i="61" s="1"/>
  <c r="L819" i="61"/>
  <c r="L821" i="61"/>
  <c r="L823" i="61"/>
  <c r="I825" i="61"/>
  <c r="L825" i="61" s="1"/>
  <c r="I827" i="61"/>
  <c r="L827" i="61" s="1"/>
  <c r="I829" i="61"/>
  <c r="L829" i="61" s="1"/>
  <c r="I833" i="61"/>
  <c r="L833" i="61" s="1"/>
  <c r="L835" i="61"/>
  <c r="L837" i="61"/>
  <c r="L839" i="61"/>
  <c r="L841" i="61"/>
  <c r="L843" i="61"/>
  <c r="L845" i="61"/>
  <c r="I849" i="61"/>
  <c r="I851" i="61"/>
  <c r="L851" i="61" s="1"/>
  <c r="I853" i="61"/>
  <c r="L853" i="61" s="1"/>
  <c r="I855" i="61"/>
  <c r="L855" i="61" s="1"/>
  <c r="I857" i="61"/>
  <c r="L857" i="61" s="1"/>
  <c r="I859" i="61"/>
  <c r="L859" i="61" s="1"/>
  <c r="I861" i="61"/>
  <c r="L861" i="61" s="1"/>
  <c r="I865" i="61"/>
  <c r="L865" i="61" s="1"/>
  <c r="I867" i="61"/>
  <c r="L867" i="61" s="1"/>
  <c r="I869" i="61"/>
  <c r="L869" i="61" s="1"/>
  <c r="L871" i="61"/>
  <c r="I873" i="61"/>
  <c r="L873" i="61" s="1"/>
  <c r="I875" i="61"/>
  <c r="L875" i="61" s="1"/>
  <c r="L877" i="61"/>
  <c r="I879" i="61"/>
  <c r="L879" i="61" s="1"/>
  <c r="I881" i="61"/>
  <c r="L881" i="61" s="1"/>
  <c r="I883" i="61"/>
  <c r="L883" i="61" s="1"/>
  <c r="I885" i="61"/>
  <c r="L885" i="61" s="1"/>
  <c r="L887" i="61"/>
  <c r="I889" i="61"/>
  <c r="L889" i="61" s="1"/>
  <c r="I891" i="61"/>
  <c r="L891" i="61" s="1"/>
  <c r="L893" i="61"/>
  <c r="I895" i="61"/>
  <c r="L895" i="61" s="1"/>
  <c r="L897" i="61"/>
  <c r="I899" i="61"/>
  <c r="L899" i="61" s="1"/>
  <c r="L901" i="61"/>
  <c r="I903" i="61"/>
  <c r="L903" i="61" s="1"/>
  <c r="I905" i="61"/>
  <c r="L905" i="61" s="1"/>
  <c r="I907" i="61"/>
  <c r="L907" i="61" s="1"/>
  <c r="I909" i="61"/>
  <c r="L909" i="61" s="1"/>
  <c r="I911" i="61"/>
  <c r="L911" i="61" s="1"/>
  <c r="I913" i="61"/>
  <c r="L913" i="61" s="1"/>
  <c r="I915" i="61"/>
  <c r="L915" i="61" s="1"/>
  <c r="L917" i="61"/>
  <c r="I921" i="61"/>
  <c r="L921" i="61" s="1"/>
  <c r="I923" i="61"/>
  <c r="L923" i="61" s="1"/>
  <c r="I925" i="61"/>
  <c r="L925" i="61" s="1"/>
  <c r="L927" i="61"/>
  <c r="I931" i="61"/>
  <c r="L931" i="61" s="1"/>
  <c r="I933" i="61"/>
  <c r="L933" i="61" s="1"/>
  <c r="I935" i="61"/>
  <c r="L935" i="61" s="1"/>
  <c r="I937" i="61"/>
  <c r="L937" i="61" s="1"/>
  <c r="I939" i="61"/>
  <c r="L939" i="61" s="1"/>
  <c r="I941" i="61"/>
  <c r="L941" i="61" s="1"/>
  <c r="I943" i="61"/>
  <c r="L943" i="61" s="1"/>
  <c r="L945" i="61"/>
  <c r="I947" i="61"/>
  <c r="L947" i="61" s="1"/>
  <c r="I949" i="61"/>
  <c r="L949" i="61" s="1"/>
  <c r="L953" i="61"/>
  <c r="L955" i="61"/>
  <c r="I957" i="61"/>
  <c r="L959" i="61"/>
  <c r="I961" i="61"/>
  <c r="L961" i="61" s="1"/>
  <c r="I963" i="61"/>
  <c r="L963" i="61" s="1"/>
  <c r="I965" i="61"/>
  <c r="L965" i="61" s="1"/>
  <c r="I967" i="61"/>
  <c r="L967" i="61" s="1"/>
  <c r="I969" i="61"/>
  <c r="L969" i="61" s="1"/>
  <c r="I971" i="61"/>
  <c r="L971" i="61" s="1"/>
  <c r="L973" i="61"/>
  <c r="I975" i="61"/>
  <c r="L975" i="61" s="1"/>
  <c r="I977" i="61"/>
  <c r="L977" i="61" s="1"/>
  <c r="L979" i="61"/>
  <c r="I983" i="61"/>
  <c r="L983" i="61" s="1"/>
  <c r="I985" i="61"/>
  <c r="L985" i="61" s="1"/>
  <c r="I987" i="61"/>
  <c r="L987" i="61" s="1"/>
  <c r="I989" i="61"/>
  <c r="L989" i="61" s="1"/>
  <c r="I991" i="61"/>
  <c r="I993" i="61"/>
  <c r="L993" i="61" s="1"/>
  <c r="I995" i="61"/>
  <c r="L995" i="61" s="1"/>
  <c r="L997" i="61"/>
  <c r="I999" i="61"/>
  <c r="L999" i="61" s="1"/>
  <c r="I1001" i="61"/>
  <c r="L1001" i="61" s="1"/>
  <c r="I1003" i="61"/>
  <c r="L1003" i="61" s="1"/>
  <c r="I1005" i="61"/>
  <c r="L1005" i="61" s="1"/>
  <c r="I1007" i="61"/>
  <c r="L1007" i="61" s="1"/>
  <c r="I1009" i="61"/>
  <c r="L1009" i="61" s="1"/>
  <c r="L1011" i="61"/>
  <c r="I1013" i="61"/>
  <c r="L1013" i="61" s="1"/>
  <c r="I1017" i="61"/>
  <c r="L1017" i="61" s="1"/>
  <c r="I1019" i="61"/>
  <c r="L1019" i="61" s="1"/>
  <c r="I1021" i="61"/>
  <c r="L1021" i="61" s="1"/>
  <c r="I1023" i="61"/>
  <c r="L1023" i="61" s="1"/>
  <c r="I1025" i="61"/>
  <c r="L1025" i="61" s="1"/>
  <c r="I1027" i="61"/>
  <c r="L1027" i="61" s="1"/>
  <c r="I1029" i="61"/>
  <c r="L1029" i="61" s="1"/>
  <c r="I1031" i="61"/>
  <c r="L1031" i="61" s="1"/>
  <c r="L1033" i="61"/>
  <c r="I1035" i="61"/>
  <c r="L1035" i="61" s="1"/>
  <c r="I1037" i="61"/>
  <c r="L1037" i="61" s="1"/>
  <c r="I1039" i="61"/>
  <c r="L1039" i="61" s="1"/>
  <c r="I1041" i="61"/>
  <c r="L1041" i="61" s="1"/>
  <c r="I1043" i="61"/>
  <c r="L1043" i="61" s="1"/>
  <c r="L1045" i="61"/>
  <c r="I1047" i="61"/>
  <c r="L1047" i="61" s="1"/>
  <c r="I1049" i="61"/>
  <c r="L1049" i="61" s="1"/>
  <c r="I1051" i="61"/>
  <c r="L1051" i="61" s="1"/>
  <c r="L1055" i="61"/>
  <c r="L1059" i="61"/>
  <c r="L1061" i="61"/>
  <c r="I1063" i="61"/>
  <c r="L1063" i="61" s="1"/>
  <c r="I1067" i="61"/>
  <c r="L1067" i="61" s="1"/>
  <c r="I1069" i="61"/>
  <c r="L1069" i="61" s="1"/>
  <c r="I1071" i="61"/>
  <c r="L1071" i="61" s="1"/>
  <c r="L1073" i="61"/>
  <c r="I1075" i="61"/>
  <c r="L1075" i="61" s="1"/>
  <c r="I1077" i="61"/>
  <c r="L1077" i="61" s="1"/>
  <c r="I1079" i="61"/>
  <c r="L1079" i="61" s="1"/>
  <c r="L1081" i="61"/>
  <c r="I1083" i="61"/>
  <c r="L1083" i="61" s="1"/>
  <c r="I1085" i="61"/>
  <c r="L1085" i="61" s="1"/>
  <c r="I1087" i="61"/>
  <c r="L1087" i="61" s="1"/>
  <c r="I1089" i="61"/>
  <c r="L1089" i="61" s="1"/>
  <c r="I1091" i="61"/>
  <c r="L1091" i="61" s="1"/>
  <c r="I1093" i="61"/>
  <c r="L1093" i="61" s="1"/>
  <c r="I1095" i="61"/>
  <c r="L1095" i="61" s="1"/>
  <c r="I1097" i="61"/>
  <c r="L1097" i="61" s="1"/>
  <c r="I1099" i="61"/>
  <c r="L1099" i="61" s="1"/>
  <c r="L1101" i="61"/>
  <c r="I1103" i="61"/>
  <c r="L1103" i="61" s="1"/>
  <c r="I1105" i="61"/>
  <c r="L1105" i="61" s="1"/>
  <c r="I1107" i="61"/>
  <c r="L1107" i="61" s="1"/>
  <c r="I1109" i="61"/>
  <c r="L1109" i="61" s="1"/>
  <c r="L1111" i="61"/>
  <c r="I1113" i="61"/>
  <c r="L1113" i="61" s="1"/>
  <c r="I1115" i="61"/>
  <c r="I1117" i="61"/>
  <c r="L1117" i="61" s="1"/>
  <c r="I1119" i="61"/>
  <c r="L1119" i="61" s="1"/>
  <c r="I1121" i="61"/>
  <c r="L1121" i="61" s="1"/>
  <c r="I1123" i="61"/>
  <c r="L1123" i="61" s="1"/>
  <c r="I1125" i="61"/>
  <c r="L1125" i="61" s="1"/>
  <c r="I1127" i="61"/>
  <c r="L1127" i="61" s="1"/>
  <c r="L1129" i="61"/>
  <c r="I1131" i="61"/>
  <c r="L1131" i="61" s="1"/>
  <c r="I1133" i="61"/>
  <c r="L1133" i="61" s="1"/>
  <c r="I1135" i="61"/>
  <c r="L1135" i="61" s="1"/>
  <c r="I1137" i="61"/>
  <c r="L1137" i="61" s="1"/>
  <c r="I1139" i="61"/>
  <c r="L1139" i="61" s="1"/>
  <c r="I1141" i="61"/>
  <c r="L1141" i="61" s="1"/>
  <c r="L1143" i="61"/>
  <c r="I1145" i="61"/>
  <c r="L1145" i="61" s="1"/>
  <c r="I1147" i="61"/>
  <c r="L1147" i="61" s="1"/>
  <c r="I1149" i="61"/>
  <c r="L1149" i="61" s="1"/>
  <c r="I1151" i="61"/>
  <c r="L1151" i="61" s="1"/>
  <c r="I1155" i="61"/>
  <c r="L1155" i="61" s="1"/>
  <c r="I1157" i="61"/>
  <c r="L1157" i="61" s="1"/>
  <c r="L1161" i="61"/>
  <c r="I1163" i="61"/>
  <c r="L1163" i="61" s="1"/>
  <c r="I1165" i="61"/>
  <c r="L1165" i="61" s="1"/>
  <c r="I1167" i="61"/>
  <c r="L1167" i="61" s="1"/>
  <c r="I1169" i="61"/>
  <c r="L1169" i="61" s="1"/>
  <c r="L1173" i="61"/>
  <c r="I1175" i="61"/>
  <c r="M1155" i="61" s="1"/>
  <c r="I1177" i="61"/>
  <c r="L1177" i="61" s="1"/>
  <c r="I1179" i="61"/>
  <c r="L1179" i="61" s="1"/>
  <c r="L1175" i="61" l="1"/>
  <c r="L1159" i="61"/>
  <c r="M1063" i="61"/>
  <c r="M961" i="61"/>
  <c r="M954" i="61"/>
  <c r="L849" i="61"/>
  <c r="N850" i="61"/>
  <c r="L957" i="61"/>
  <c r="L863" i="61"/>
  <c r="M746" i="61"/>
  <c r="I697" i="61"/>
  <c r="L697" i="61" s="1"/>
  <c r="L2" i="75" l="1"/>
  <c r="H3" i="74"/>
  <c r="L637" i="61" l="1"/>
  <c r="H2" i="74" l="1"/>
  <c r="F109" i="74"/>
  <c r="F103" i="74"/>
  <c r="F101" i="74"/>
  <c r="F99" i="74"/>
  <c r="F97" i="74"/>
  <c r="F95" i="74"/>
  <c r="F93" i="74"/>
  <c r="F91" i="74"/>
  <c r="F89" i="74"/>
  <c r="F83" i="74"/>
  <c r="F79" i="74"/>
  <c r="F77" i="74"/>
  <c r="F75" i="74"/>
  <c r="F73" i="74"/>
  <c r="F71" i="74"/>
  <c r="F69" i="74"/>
  <c r="F67" i="74"/>
  <c r="F63" i="74"/>
  <c r="F61" i="74"/>
  <c r="F59" i="74"/>
  <c r="F55" i="74"/>
  <c r="F53" i="74"/>
  <c r="F51" i="74"/>
  <c r="F49" i="74"/>
  <c r="F47" i="74"/>
  <c r="F45" i="74"/>
  <c r="F41" i="74"/>
  <c r="F39" i="74"/>
  <c r="F35" i="74"/>
  <c r="F31" i="74"/>
  <c r="F29" i="74"/>
  <c r="F27" i="74"/>
  <c r="F25" i="74"/>
  <c r="F23" i="74"/>
  <c r="F19" i="74"/>
  <c r="F17" i="74"/>
  <c r="F15" i="74"/>
  <c r="F13" i="74"/>
  <c r="F11" i="74"/>
  <c r="F9" i="74"/>
  <c r="F7" i="74"/>
  <c r="F5" i="74"/>
  <c r="L619" i="61"/>
  <c r="I609" i="61"/>
  <c r="L609" i="61" s="1"/>
  <c r="I587" i="61" l="1"/>
  <c r="L587" i="61" s="1"/>
  <c r="I591" i="61"/>
  <c r="L591" i="61" s="1"/>
  <c r="L547" i="61" l="1"/>
  <c r="I539" i="61" l="1"/>
  <c r="L539" i="61" s="1"/>
  <c r="L2" i="72" l="1"/>
  <c r="F123" i="71" l="1"/>
  <c r="F119" i="71"/>
  <c r="F117" i="71"/>
  <c r="F115" i="71"/>
  <c r="F113" i="71"/>
  <c r="F111" i="71"/>
  <c r="F109" i="71"/>
  <c r="F107" i="71"/>
  <c r="F105" i="71"/>
  <c r="F101" i="71"/>
  <c r="F99" i="71"/>
  <c r="F97" i="71"/>
  <c r="F95" i="71"/>
  <c r="F93" i="71"/>
  <c r="F91" i="71"/>
  <c r="F87" i="71"/>
  <c r="F85" i="71"/>
  <c r="F83" i="71"/>
  <c r="F81" i="71"/>
  <c r="F77" i="71"/>
  <c r="F73" i="71"/>
  <c r="F69" i="71"/>
  <c r="F67" i="71"/>
  <c r="F65" i="71"/>
  <c r="F63" i="71"/>
  <c r="F61" i="71"/>
  <c r="F59" i="71"/>
  <c r="F55" i="71"/>
  <c r="F53" i="71"/>
  <c r="H2" i="71" s="1"/>
  <c r="H3" i="71" s="1"/>
  <c r="F51" i="71"/>
  <c r="F49" i="71"/>
  <c r="F47" i="71"/>
  <c r="F45" i="71"/>
  <c r="F41" i="71"/>
  <c r="F37" i="71"/>
  <c r="F35" i="71"/>
  <c r="F33" i="71"/>
  <c r="F31" i="71"/>
  <c r="F27" i="71"/>
  <c r="F25" i="71"/>
  <c r="F23" i="71"/>
  <c r="F19" i="71"/>
  <c r="F17" i="71"/>
  <c r="F15" i="71"/>
  <c r="F13" i="71"/>
  <c r="F9" i="71"/>
  <c r="F7" i="71"/>
  <c r="F3" i="71"/>
  <c r="L2" i="69" l="1"/>
  <c r="I409" i="61" l="1"/>
  <c r="L409" i="61" s="1"/>
  <c r="I411" i="61"/>
  <c r="L411" i="61" s="1"/>
  <c r="L413" i="61"/>
  <c r="I415" i="61"/>
  <c r="I417" i="61"/>
  <c r="L417" i="61" s="1"/>
  <c r="I419" i="61"/>
  <c r="L419" i="61" s="1"/>
  <c r="I421" i="61"/>
  <c r="L421" i="61" s="1"/>
  <c r="L423" i="61"/>
  <c r="I425" i="61"/>
  <c r="L425" i="61" s="1"/>
  <c r="L427" i="61"/>
  <c r="I429" i="61"/>
  <c r="L429" i="61" s="1"/>
  <c r="I431" i="61"/>
  <c r="L431" i="61" s="1"/>
  <c r="I433" i="61"/>
  <c r="L433" i="61" s="1"/>
  <c r="I435" i="61"/>
  <c r="L435" i="61" s="1"/>
  <c r="I437" i="61"/>
  <c r="I439" i="61"/>
  <c r="L439" i="61" s="1"/>
  <c r="L441" i="61"/>
  <c r="I443" i="61"/>
  <c r="L443" i="61" s="1"/>
  <c r="I445" i="61"/>
  <c r="L445" i="61" s="1"/>
  <c r="I447" i="61"/>
  <c r="L447" i="61" s="1"/>
  <c r="I449" i="61"/>
  <c r="L449" i="61" s="1"/>
  <c r="I451" i="61"/>
  <c r="L451" i="61" s="1"/>
  <c r="I453" i="61"/>
  <c r="L453" i="61" s="1"/>
  <c r="L455" i="61"/>
  <c r="I457" i="61"/>
  <c r="L457" i="61" s="1"/>
  <c r="L459" i="61"/>
  <c r="I461" i="61"/>
  <c r="L461" i="61" s="1"/>
  <c r="L463" i="61"/>
  <c r="L509" i="61"/>
  <c r="I467" i="61"/>
  <c r="L467" i="61" s="1"/>
  <c r="I469" i="61"/>
  <c r="L469" i="61" s="1"/>
  <c r="I471" i="61"/>
  <c r="L471" i="61" s="1"/>
  <c r="I473" i="61"/>
  <c r="L473" i="61" s="1"/>
  <c r="L475" i="61"/>
  <c r="I477" i="61"/>
  <c r="L477" i="61" s="1"/>
  <c r="I479" i="61"/>
  <c r="L479" i="61" s="1"/>
  <c r="I481" i="61"/>
  <c r="L481" i="61" s="1"/>
  <c r="I483" i="61"/>
  <c r="L483" i="61" s="1"/>
  <c r="I485" i="61"/>
  <c r="L485" i="61" s="1"/>
  <c r="I487" i="61"/>
  <c r="L487" i="61" s="1"/>
  <c r="L489" i="61"/>
  <c r="I491" i="61"/>
  <c r="L491" i="61" s="1"/>
  <c r="I493" i="61"/>
  <c r="L493" i="61" s="1"/>
  <c r="I495" i="61"/>
  <c r="L495" i="61" s="1"/>
  <c r="I497" i="61"/>
  <c r="L497" i="61" s="1"/>
  <c r="I499" i="61"/>
  <c r="L499" i="61" s="1"/>
  <c r="I501" i="61"/>
  <c r="L501" i="61" s="1"/>
  <c r="I503" i="61"/>
  <c r="L503" i="61" s="1"/>
  <c r="I505" i="61"/>
  <c r="L505" i="61" s="1"/>
  <c r="L511" i="61"/>
  <c r="L513" i="61"/>
  <c r="I515" i="61"/>
  <c r="I517" i="61"/>
  <c r="L517" i="61" s="1"/>
  <c r="I519" i="61"/>
  <c r="L519" i="61" s="1"/>
  <c r="I521" i="61"/>
  <c r="L521" i="61" s="1"/>
  <c r="I523" i="61"/>
  <c r="L523" i="61" s="1"/>
  <c r="L525" i="61"/>
  <c r="I527" i="61"/>
  <c r="L527" i="61" s="1"/>
  <c r="I529" i="61"/>
  <c r="L529" i="61" s="1"/>
  <c r="I531" i="61"/>
  <c r="L531" i="61" s="1"/>
  <c r="I533" i="61"/>
  <c r="L533" i="61" s="1"/>
  <c r="L535" i="61"/>
  <c r="I537" i="61"/>
  <c r="L537" i="61" s="1"/>
  <c r="I541" i="61"/>
  <c r="L541" i="61" s="1"/>
  <c r="I543" i="61"/>
  <c r="L543" i="61" s="1"/>
  <c r="I545" i="61"/>
  <c r="L545" i="61" s="1"/>
  <c r="I549" i="61"/>
  <c r="L549" i="61" s="1"/>
  <c r="L551" i="61"/>
  <c r="I553" i="61"/>
  <c r="L553" i="61" s="1"/>
  <c r="I555" i="61"/>
  <c r="L555" i="61" s="1"/>
  <c r="L557" i="61"/>
  <c r="I559" i="61"/>
  <c r="L559" i="61" s="1"/>
  <c r="I561" i="61"/>
  <c r="L561" i="61" s="1"/>
  <c r="I563" i="61"/>
  <c r="L563" i="61" s="1"/>
  <c r="I565" i="61"/>
  <c r="L565" i="61" s="1"/>
  <c r="I567" i="61"/>
  <c r="L567" i="61" s="1"/>
  <c r="I569" i="61"/>
  <c r="L569" i="61" s="1"/>
  <c r="L571" i="61"/>
  <c r="I573" i="61"/>
  <c r="L573" i="61" s="1"/>
  <c r="I575" i="61"/>
  <c r="L575" i="61" s="1"/>
  <c r="I577" i="61"/>
  <c r="L577" i="61" s="1"/>
  <c r="L579" i="61"/>
  <c r="I581" i="61"/>
  <c r="L581" i="61" s="1"/>
  <c r="I583" i="61"/>
  <c r="L583" i="61" s="1"/>
  <c r="I585" i="61"/>
  <c r="L585" i="61" s="1"/>
  <c r="I589" i="61"/>
  <c r="L589" i="61" s="1"/>
  <c r="I593" i="61"/>
  <c r="L593" i="61" s="1"/>
  <c r="L595" i="61"/>
  <c r="I597" i="61"/>
  <c r="L597" i="61" s="1"/>
  <c r="L599" i="61"/>
  <c r="L601" i="61"/>
  <c r="I603" i="61"/>
  <c r="L603" i="61" s="1"/>
  <c r="I605" i="61"/>
  <c r="L605" i="61" s="1"/>
  <c r="I607" i="61"/>
  <c r="L607" i="61" s="1"/>
  <c r="I611" i="61"/>
  <c r="L611" i="61" s="1"/>
  <c r="I613" i="61"/>
  <c r="L613" i="61" s="1"/>
  <c r="I615" i="61"/>
  <c r="L615" i="61" s="1"/>
  <c r="I617" i="61"/>
  <c r="L617" i="61" s="1"/>
  <c r="L623" i="61"/>
  <c r="I625" i="61"/>
  <c r="I627" i="61"/>
  <c r="L627" i="61" s="1"/>
  <c r="I629" i="61"/>
  <c r="L629" i="61" s="1"/>
  <c r="I631" i="61"/>
  <c r="L631" i="61" s="1"/>
  <c r="I633" i="61"/>
  <c r="L633" i="61" s="1"/>
  <c r="I635" i="61"/>
  <c r="L635" i="61" s="1"/>
  <c r="I639" i="61"/>
  <c r="L639" i="61" s="1"/>
  <c r="I641" i="61"/>
  <c r="L641" i="61" s="1"/>
  <c r="I643" i="61"/>
  <c r="L643" i="61" s="1"/>
  <c r="I645" i="61"/>
  <c r="L645" i="61" s="1"/>
  <c r="I647" i="61"/>
  <c r="L647" i="61" s="1"/>
  <c r="I649" i="61"/>
  <c r="L649" i="61" s="1"/>
  <c r="L651" i="61"/>
  <c r="I653" i="61"/>
  <c r="L653" i="61" s="1"/>
  <c r="I655" i="61"/>
  <c r="L655" i="61" s="1"/>
  <c r="I657" i="61"/>
  <c r="L657" i="61" s="1"/>
  <c r="I659" i="61"/>
  <c r="L659" i="61" s="1"/>
  <c r="I661" i="61"/>
  <c r="L661" i="61" s="1"/>
  <c r="I663" i="61"/>
  <c r="L663" i="61" s="1"/>
  <c r="L665" i="61"/>
  <c r="I667" i="61"/>
  <c r="L667" i="61" s="1"/>
  <c r="I669" i="61"/>
  <c r="L669" i="61" s="1"/>
  <c r="I671" i="61"/>
  <c r="L671" i="61" s="1"/>
  <c r="I673" i="61"/>
  <c r="L673" i="61" s="1"/>
  <c r="I675" i="61"/>
  <c r="L675" i="61" s="1"/>
  <c r="I677" i="61"/>
  <c r="L677" i="61" s="1"/>
  <c r="I679" i="61"/>
  <c r="L679" i="61" s="1"/>
  <c r="L681" i="61"/>
  <c r="I683" i="61"/>
  <c r="L683" i="61" s="1"/>
  <c r="I685" i="61"/>
  <c r="L685" i="61" s="1"/>
  <c r="I687" i="61"/>
  <c r="L687" i="61" s="1"/>
  <c r="L689" i="61"/>
  <c r="I691" i="61"/>
  <c r="L691" i="61" s="1"/>
  <c r="I693" i="61"/>
  <c r="L693" i="61" s="1"/>
  <c r="I695" i="61"/>
  <c r="L695" i="61" s="1"/>
  <c r="L699" i="61"/>
  <c r="I701" i="61"/>
  <c r="L701" i="61" s="1"/>
  <c r="I703" i="61"/>
  <c r="L703" i="61" s="1"/>
  <c r="I707" i="61"/>
  <c r="L707" i="61" s="1"/>
  <c r="I709" i="61"/>
  <c r="L709" i="61" s="1"/>
  <c r="I711" i="61"/>
  <c r="L711" i="61" s="1"/>
  <c r="L713" i="61"/>
  <c r="I715" i="61"/>
  <c r="L715" i="61" s="1"/>
  <c r="I717" i="61"/>
  <c r="L717" i="61" s="1"/>
  <c r="I719" i="61"/>
  <c r="L719" i="61" s="1"/>
  <c r="I721" i="61"/>
  <c r="L721" i="61" s="1"/>
  <c r="I723" i="61"/>
  <c r="L723" i="61" s="1"/>
  <c r="I725" i="61"/>
  <c r="L725" i="61" s="1"/>
  <c r="I729" i="61"/>
  <c r="L729" i="61" s="1"/>
  <c r="L731" i="61"/>
  <c r="I733" i="61"/>
  <c r="L733" i="61" s="1"/>
  <c r="L625" i="61" l="1"/>
  <c r="M624" i="61"/>
  <c r="L515" i="61"/>
  <c r="N510" i="61"/>
  <c r="L437" i="61"/>
  <c r="H3" i="68"/>
  <c r="H2" i="68"/>
  <c r="F103" i="68"/>
  <c r="F99" i="68"/>
  <c r="F97" i="68"/>
  <c r="F95" i="68"/>
  <c r="F91" i="68"/>
  <c r="F89" i="68"/>
  <c r="F87" i="68"/>
  <c r="F83" i="68"/>
  <c r="F81" i="68"/>
  <c r="F79" i="68"/>
  <c r="F77" i="68"/>
  <c r="F75" i="68"/>
  <c r="F73" i="68"/>
  <c r="F69" i="68"/>
  <c r="F67" i="68"/>
  <c r="F65" i="68"/>
  <c r="F63" i="68"/>
  <c r="F61" i="68"/>
  <c r="F59" i="68"/>
  <c r="F55" i="68"/>
  <c r="F53" i="68"/>
  <c r="F51" i="68"/>
  <c r="F47" i="68"/>
  <c r="F43" i="68"/>
  <c r="F41" i="68"/>
  <c r="F39" i="68"/>
  <c r="F37" i="68"/>
  <c r="F35" i="68"/>
  <c r="F33" i="68"/>
  <c r="F29" i="68"/>
  <c r="F27" i="68"/>
  <c r="F19" i="68"/>
  <c r="F17" i="68"/>
  <c r="F13" i="68"/>
  <c r="F11" i="68"/>
  <c r="F9" i="68"/>
  <c r="F7" i="68"/>
  <c r="F5" i="68"/>
  <c r="F3" i="68"/>
  <c r="L2" i="65" l="1"/>
  <c r="I349" i="61" l="1"/>
  <c r="L349" i="61" s="1"/>
  <c r="L351" i="61"/>
  <c r="I353" i="61"/>
  <c r="L353" i="61" s="1"/>
  <c r="I355" i="61"/>
  <c r="L355" i="61" s="1"/>
  <c r="I357" i="61"/>
  <c r="L357" i="61" s="1"/>
  <c r="I359" i="61"/>
  <c r="L359" i="61" s="1"/>
  <c r="I361" i="61"/>
  <c r="L361" i="61" s="1"/>
  <c r="I363" i="61"/>
  <c r="L363" i="61" s="1"/>
  <c r="L365" i="61"/>
  <c r="I367" i="61"/>
  <c r="L367" i="61"/>
  <c r="I369" i="61"/>
  <c r="L369" i="61" s="1"/>
  <c r="I371" i="61"/>
  <c r="L371" i="61" s="1"/>
  <c r="L373" i="61"/>
  <c r="I375" i="61"/>
  <c r="L375" i="61" s="1"/>
  <c r="I377" i="61"/>
  <c r="L377" i="61" s="1"/>
  <c r="I379" i="61"/>
  <c r="L379" i="61" s="1"/>
  <c r="L381" i="61"/>
  <c r="I383" i="61"/>
  <c r="I385" i="61"/>
  <c r="L385" i="61" s="1"/>
  <c r="L389" i="61"/>
  <c r="I391" i="61"/>
  <c r="L391" i="61" s="1"/>
  <c r="I393" i="61"/>
  <c r="L393" i="61" s="1"/>
  <c r="L395" i="61"/>
  <c r="I397" i="61"/>
  <c r="L397" i="61" s="1"/>
  <c r="I399" i="61"/>
  <c r="L399" i="61" s="1"/>
  <c r="I401" i="61"/>
  <c r="L401" i="61" s="1"/>
  <c r="I403" i="61"/>
  <c r="L403" i="61" s="1"/>
  <c r="L405" i="61"/>
  <c r="I407" i="61"/>
  <c r="L407" i="61" s="1"/>
  <c r="I347" i="61"/>
  <c r="L347" i="61" s="1"/>
  <c r="L383" i="61" l="1"/>
  <c r="N393" i="61"/>
  <c r="L273" i="61"/>
  <c r="F111" i="67" l="1"/>
  <c r="F109" i="67"/>
  <c r="F107" i="67"/>
  <c r="F105" i="67"/>
  <c r="F101" i="67"/>
  <c r="F99" i="67"/>
  <c r="F97" i="67"/>
  <c r="F93" i="67"/>
  <c r="F91" i="67"/>
  <c r="F89" i="67"/>
  <c r="F87" i="67"/>
  <c r="F83" i="67"/>
  <c r="F81" i="67"/>
  <c r="F79" i="67"/>
  <c r="F75" i="67"/>
  <c r="F73" i="67"/>
  <c r="F71" i="67"/>
  <c r="F67" i="67"/>
  <c r="F65" i="67"/>
  <c r="F63" i="67"/>
  <c r="F59" i="67"/>
  <c r="F57" i="67"/>
  <c r="F55" i="67"/>
  <c r="F53" i="67"/>
  <c r="F51" i="67"/>
  <c r="F49" i="67"/>
  <c r="F47" i="67"/>
  <c r="F45" i="67"/>
  <c r="F43" i="67"/>
  <c r="F39" i="67"/>
  <c r="F37" i="67"/>
  <c r="F33" i="67"/>
  <c r="F31" i="67"/>
  <c r="F29" i="67"/>
  <c r="F23" i="67"/>
  <c r="F21" i="67"/>
  <c r="F19" i="67"/>
  <c r="F17" i="67"/>
  <c r="F15" i="67"/>
  <c r="F13" i="67"/>
  <c r="F11" i="67"/>
  <c r="F9" i="67"/>
  <c r="F7" i="67"/>
  <c r="F5" i="67"/>
  <c r="L277" i="61"/>
  <c r="L255" i="61" l="1"/>
  <c r="I257" i="61"/>
  <c r="L257" i="61" s="1"/>
  <c r="I271" i="61"/>
  <c r="L271" i="61" s="1"/>
  <c r="I269" i="61"/>
  <c r="L269" i="61" s="1"/>
  <c r="L237" i="61" l="1"/>
  <c r="L195" i="61" l="1"/>
  <c r="L187" i="61"/>
  <c r="I209" i="61" l="1"/>
  <c r="L209" i="61" s="1"/>
  <c r="F85" i="63" l="1"/>
  <c r="F83" i="63"/>
  <c r="F79" i="63"/>
  <c r="F77" i="63"/>
  <c r="F75" i="63"/>
  <c r="F71" i="63"/>
  <c r="F69" i="63"/>
  <c r="F67" i="63"/>
  <c r="F65" i="63"/>
  <c r="F63" i="63"/>
  <c r="F61" i="63"/>
  <c r="F59" i="63"/>
  <c r="F57" i="63"/>
  <c r="F55" i="63"/>
  <c r="F53" i="63"/>
  <c r="F51" i="63"/>
  <c r="F45" i="63"/>
  <c r="F43" i="63"/>
  <c r="F41" i="63"/>
  <c r="F39" i="63"/>
  <c r="F35" i="63"/>
  <c r="F33" i="63"/>
  <c r="F31" i="63"/>
  <c r="F29" i="63"/>
  <c r="F27" i="63"/>
  <c r="F25" i="63"/>
  <c r="F23" i="63"/>
  <c r="F19" i="63"/>
  <c r="F17" i="63"/>
  <c r="F15" i="63"/>
  <c r="F13" i="63"/>
  <c r="F11" i="63"/>
  <c r="F9" i="63"/>
  <c r="F7" i="63"/>
  <c r="F5" i="63"/>
  <c r="F3" i="63"/>
  <c r="H2" i="63" l="1"/>
  <c r="L167" i="61"/>
  <c r="L117" i="61" l="1"/>
  <c r="L2" i="64" l="1"/>
  <c r="F63" i="62" l="1"/>
  <c r="F59" i="62"/>
  <c r="F57" i="62"/>
  <c r="F55" i="62"/>
  <c r="F53" i="62"/>
  <c r="F51" i="62"/>
  <c r="F49" i="62"/>
  <c r="F45" i="62"/>
  <c r="F43" i="62"/>
  <c r="F41" i="62"/>
  <c r="F39" i="62"/>
  <c r="F37" i="62"/>
  <c r="L47" i="61" l="1"/>
  <c r="L37" i="61"/>
  <c r="F35" i="62" l="1"/>
  <c r="F33" i="62"/>
  <c r="F31" i="62"/>
  <c r="F29" i="62"/>
  <c r="F25" i="62"/>
  <c r="F23" i="62"/>
  <c r="F21" i="62"/>
  <c r="F19" i="62"/>
  <c r="F15" i="62"/>
  <c r="F11" i="62"/>
  <c r="F7" i="62"/>
  <c r="F5" i="62"/>
  <c r="M102" i="54" l="1"/>
  <c r="M4" i="54" s="1"/>
  <c r="M52" i="54"/>
  <c r="M1" i="54"/>
  <c r="L3" i="61" l="1"/>
  <c r="I5" i="61"/>
  <c r="I7" i="61"/>
  <c r="L7" i="61" s="1"/>
  <c r="L9" i="61"/>
  <c r="I11" i="61"/>
  <c r="L11" i="61" s="1"/>
  <c r="L13" i="61"/>
  <c r="I15" i="61"/>
  <c r="L15" i="61" s="1"/>
  <c r="L17" i="61"/>
  <c r="I19" i="61"/>
  <c r="L19" i="61" s="1"/>
  <c r="I21" i="61"/>
  <c r="L21" i="61" s="1"/>
  <c r="I23" i="61"/>
  <c r="L23" i="61" s="1"/>
  <c r="I25" i="61"/>
  <c r="L25" i="61" s="1"/>
  <c r="L27" i="61"/>
  <c r="I29" i="61"/>
  <c r="L29" i="61" s="1"/>
  <c r="I31" i="61"/>
  <c r="L31" i="61" s="1"/>
  <c r="I33" i="61"/>
  <c r="L33" i="61" s="1"/>
  <c r="I35" i="61"/>
  <c r="L35" i="61" s="1"/>
  <c r="I39" i="61"/>
  <c r="L39" i="61" s="1"/>
  <c r="I41" i="61"/>
  <c r="L41" i="61" s="1"/>
  <c r="I43" i="61"/>
  <c r="L43" i="61" s="1"/>
  <c r="L45" i="61"/>
  <c r="I49" i="61"/>
  <c r="L49" i="61" s="1"/>
  <c r="I51" i="61"/>
  <c r="L51" i="61" s="1"/>
  <c r="I53" i="61"/>
  <c r="L53" i="61" s="1"/>
  <c r="I55" i="61"/>
  <c r="L55" i="61" s="1"/>
  <c r="I57" i="61"/>
  <c r="L57" i="61" s="1"/>
  <c r="I59" i="61"/>
  <c r="L59" i="61" s="1"/>
  <c r="L61" i="61"/>
  <c r="I63" i="61"/>
  <c r="L63" i="61" s="1"/>
  <c r="I65" i="61"/>
  <c r="L65" i="61" s="1"/>
  <c r="I69" i="61"/>
  <c r="I71" i="61"/>
  <c r="L71" i="61" s="1"/>
  <c r="L73" i="61"/>
  <c r="I75" i="61"/>
  <c r="L75" i="61" s="1"/>
  <c r="I77" i="61"/>
  <c r="L77" i="61" s="1"/>
  <c r="I79" i="61"/>
  <c r="L79" i="61" s="1"/>
  <c r="I81" i="61"/>
  <c r="L81" i="61" s="1"/>
  <c r="I83" i="61"/>
  <c r="L83" i="61" s="1"/>
  <c r="I85" i="61"/>
  <c r="L85" i="61" s="1"/>
  <c r="I87" i="61"/>
  <c r="L87" i="61" s="1"/>
  <c r="L89" i="61"/>
  <c r="I91" i="61"/>
  <c r="L91" i="61" s="1"/>
  <c r="I93" i="61"/>
  <c r="L93" i="61" s="1"/>
  <c r="I95" i="61"/>
  <c r="L95" i="61" s="1"/>
  <c r="I97" i="61"/>
  <c r="L97" i="61" s="1"/>
  <c r="I99" i="61"/>
  <c r="L99" i="61" s="1"/>
  <c r="I101" i="61"/>
  <c r="L101" i="61" s="1"/>
  <c r="I103" i="61"/>
  <c r="L103" i="61" s="1"/>
  <c r="L105" i="61"/>
  <c r="I107" i="61"/>
  <c r="L107" i="61" s="1"/>
  <c r="I109" i="61"/>
  <c r="L109" i="61" s="1"/>
  <c r="I111" i="61"/>
  <c r="L111" i="61" s="1"/>
  <c r="I113" i="61"/>
  <c r="L113" i="61" s="1"/>
  <c r="L115" i="61"/>
  <c r="I119" i="61"/>
  <c r="L119" i="61" s="1"/>
  <c r="I121" i="61"/>
  <c r="L121" i="61" s="1"/>
  <c r="I123" i="61"/>
  <c r="L123" i="61" s="1"/>
  <c r="I125" i="61"/>
  <c r="L125" i="61" s="1"/>
  <c r="I127" i="61"/>
  <c r="L127" i="61" s="1"/>
  <c r="I129" i="61"/>
  <c r="L129" i="61" s="1"/>
  <c r="I131" i="61"/>
  <c r="L131" i="61" s="1"/>
  <c r="I133" i="61"/>
  <c r="L133" i="61" s="1"/>
  <c r="I135" i="61"/>
  <c r="L135" i="61" s="1"/>
  <c r="I137" i="61"/>
  <c r="L137" i="61" s="1"/>
  <c r="I139" i="61"/>
  <c r="L139" i="61" s="1"/>
  <c r="L141" i="61"/>
  <c r="I143" i="61"/>
  <c r="L143" i="61" s="1"/>
  <c r="I145" i="61"/>
  <c r="L145" i="61" s="1"/>
  <c r="I147" i="61"/>
  <c r="L147" i="61" s="1"/>
  <c r="L149" i="61"/>
  <c r="I151" i="61"/>
  <c r="L151" i="61" s="1"/>
  <c r="I153" i="61"/>
  <c r="L153" i="61" s="1"/>
  <c r="L155" i="61"/>
  <c r="I159" i="61"/>
  <c r="I161" i="61"/>
  <c r="L161" i="61" s="1"/>
  <c r="I163" i="61"/>
  <c r="L163" i="61" s="1"/>
  <c r="L165" i="61"/>
  <c r="I169" i="61"/>
  <c r="L169" i="61" s="1"/>
  <c r="I171" i="61"/>
  <c r="L171" i="61" s="1"/>
  <c r="I173" i="61"/>
  <c r="L173" i="61" s="1"/>
  <c r="I175" i="61"/>
  <c r="L175" i="61" s="1"/>
  <c r="I177" i="61"/>
  <c r="L177" i="61" s="1"/>
  <c r="I179" i="61"/>
  <c r="L179" i="61" s="1"/>
  <c r="I181" i="61"/>
  <c r="L181" i="61" s="1"/>
  <c r="I183" i="61"/>
  <c r="L183" i="61" s="1"/>
  <c r="L185" i="61"/>
  <c r="I189" i="61"/>
  <c r="L189" i="61" s="1"/>
  <c r="I191" i="61"/>
  <c r="L191" i="61" s="1"/>
  <c r="I193" i="61"/>
  <c r="L193" i="61" s="1"/>
  <c r="I197" i="61"/>
  <c r="L197" i="61" s="1"/>
  <c r="I199" i="61"/>
  <c r="L199" i="61" s="1"/>
  <c r="L201" i="61"/>
  <c r="I203" i="61"/>
  <c r="L203" i="61" s="1"/>
  <c r="I205" i="61"/>
  <c r="L205" i="61" s="1"/>
  <c r="I207" i="61"/>
  <c r="L207" i="61" s="1"/>
  <c r="I211" i="61"/>
  <c r="L211" i="61" s="1"/>
  <c r="I213" i="61"/>
  <c r="L213" i="61" s="1"/>
  <c r="I215" i="61"/>
  <c r="L215" i="61" s="1"/>
  <c r="I217" i="61"/>
  <c r="L217" i="61" s="1"/>
  <c r="I219" i="61"/>
  <c r="L219" i="61" s="1"/>
  <c r="L221" i="61"/>
  <c r="I223" i="61"/>
  <c r="L223" i="61" s="1"/>
  <c r="I225" i="61"/>
  <c r="L225" i="61" s="1"/>
  <c r="I227" i="61"/>
  <c r="L227" i="61" s="1"/>
  <c r="L229" i="61"/>
  <c r="I231" i="61"/>
  <c r="L231" i="61" s="1"/>
  <c r="I233" i="61"/>
  <c r="L233" i="61" s="1"/>
  <c r="I235" i="61"/>
  <c r="L235" i="61" s="1"/>
  <c r="I239" i="61"/>
  <c r="L239" i="61" s="1"/>
  <c r="I241" i="61"/>
  <c r="L241" i="61" s="1"/>
  <c r="I243" i="61"/>
  <c r="L243" i="61" s="1"/>
  <c r="L245" i="61"/>
  <c r="I247" i="61"/>
  <c r="L247" i="61" s="1"/>
  <c r="I249" i="61"/>
  <c r="L249" i="61" s="1"/>
  <c r="I251" i="61"/>
  <c r="L251" i="61" s="1"/>
  <c r="I253" i="61"/>
  <c r="L253" i="61" s="1"/>
  <c r="I259" i="61"/>
  <c r="L259" i="61" s="1"/>
  <c r="I261" i="61"/>
  <c r="L261" i="61" s="1"/>
  <c r="L263" i="61"/>
  <c r="I265" i="61"/>
  <c r="L265" i="61" s="1"/>
  <c r="I267" i="61"/>
  <c r="L267" i="61" s="1"/>
  <c r="I275" i="61"/>
  <c r="L275" i="61" s="1"/>
  <c r="I279" i="61"/>
  <c r="L281" i="61"/>
  <c r="I285" i="61"/>
  <c r="L285" i="61" s="1"/>
  <c r="I287" i="61"/>
  <c r="L287" i="61" s="1"/>
  <c r="I289" i="61"/>
  <c r="L289" i="61" s="1"/>
  <c r="L291" i="61"/>
  <c r="I293" i="61"/>
  <c r="L293" i="61" s="1"/>
  <c r="L295" i="61"/>
  <c r="I297" i="61"/>
  <c r="L297" i="61" s="1"/>
  <c r="I299" i="61"/>
  <c r="L299" i="61" s="1"/>
  <c r="L301" i="61"/>
  <c r="L303" i="61"/>
  <c r="L305" i="61"/>
  <c r="I307" i="61"/>
  <c r="L307" i="61" s="1"/>
  <c r="I309" i="61"/>
  <c r="L309" i="61" s="1"/>
  <c r="L311" i="61"/>
  <c r="I313" i="61"/>
  <c r="L313" i="61" s="1"/>
  <c r="I315" i="61"/>
  <c r="L315" i="61" s="1"/>
  <c r="I317" i="61"/>
  <c r="L317" i="61" s="1"/>
  <c r="I319" i="61"/>
  <c r="L319" i="61" s="1"/>
  <c r="I321" i="61"/>
  <c r="L321" i="61" s="1"/>
  <c r="I323" i="61"/>
  <c r="L323" i="61" s="1"/>
  <c r="L325" i="61"/>
  <c r="I327" i="61"/>
  <c r="L327" i="61" s="1"/>
  <c r="L329" i="61"/>
  <c r="I331" i="61"/>
  <c r="L331" i="61" s="1"/>
  <c r="I333" i="61"/>
  <c r="L333" i="61" s="1"/>
  <c r="I335" i="61"/>
  <c r="L335" i="61" s="1"/>
  <c r="L337" i="61"/>
  <c r="I339" i="61"/>
  <c r="L339" i="61" s="1"/>
  <c r="I341" i="61"/>
  <c r="L341" i="61" s="1"/>
  <c r="I343" i="61"/>
  <c r="L343" i="61" s="1"/>
  <c r="I345" i="61"/>
  <c r="L345" i="61" s="1"/>
  <c r="L279" i="61" l="1"/>
  <c r="M285" i="61"/>
  <c r="L159" i="61"/>
  <c r="M159" i="61"/>
  <c r="L69" i="61"/>
  <c r="M70" i="61"/>
  <c r="M3" i="61"/>
  <c r="L5" i="61"/>
  <c r="M1104" i="42"/>
  <c r="F121" i="58"/>
  <c r="F119" i="58"/>
  <c r="F117" i="58"/>
  <c r="F113" i="58"/>
  <c r="F111" i="58"/>
  <c r="F109" i="58"/>
  <c r="F107" i="58"/>
  <c r="F105" i="58"/>
  <c r="F101" i="58"/>
  <c r="F99" i="58"/>
  <c r="F97" i="58"/>
  <c r="F93" i="58"/>
  <c r="F89" i="58"/>
  <c r="F87" i="58"/>
  <c r="F85" i="58"/>
  <c r="F83" i="58"/>
  <c r="F81" i="58"/>
  <c r="F79" i="58"/>
  <c r="F77" i="58"/>
  <c r="F75" i="58"/>
  <c r="F71" i="58"/>
  <c r="F69" i="58"/>
  <c r="F67" i="58"/>
  <c r="F65" i="58"/>
  <c r="F63" i="58"/>
  <c r="F59" i="58"/>
  <c r="F55" i="58"/>
  <c r="F53" i="58"/>
  <c r="F51" i="58"/>
  <c r="F49" i="58"/>
  <c r="F47" i="58"/>
  <c r="F45" i="58"/>
  <c r="F43" i="58"/>
  <c r="F41" i="58"/>
  <c r="F39" i="58"/>
  <c r="F35" i="58"/>
  <c r="F33" i="58"/>
  <c r="F31" i="58"/>
  <c r="F29" i="58"/>
  <c r="F27" i="58"/>
  <c r="F25" i="58"/>
  <c r="F21" i="58"/>
  <c r="F19" i="58"/>
  <c r="F17" i="58"/>
  <c r="F15" i="58"/>
  <c r="F13" i="58"/>
  <c r="F11" i="58"/>
  <c r="F9" i="58"/>
  <c r="F7" i="58"/>
  <c r="F3" i="58"/>
  <c r="G1" i="58" s="1"/>
  <c r="I1199" i="42" l="1"/>
  <c r="L1199" i="42" s="1"/>
  <c r="I1181" i="42" l="1"/>
  <c r="L1181" i="42" s="1"/>
  <c r="I1151" i="42" l="1"/>
  <c r="L1151" i="42" s="1"/>
  <c r="I1157" i="42"/>
  <c r="L1157" i="42" s="1"/>
  <c r="L1159" i="42"/>
  <c r="I1161" i="42"/>
  <c r="L1161" i="42" s="1"/>
  <c r="I1163" i="42"/>
  <c r="L1163" i="42" s="1"/>
  <c r="I1165" i="42"/>
  <c r="L1165" i="42" s="1"/>
  <c r="I1167" i="42"/>
  <c r="L1167" i="42"/>
  <c r="I1169" i="42"/>
  <c r="L1169" i="42" s="1"/>
  <c r="L1171" i="42"/>
  <c r="I1173" i="42"/>
  <c r="L1173" i="42" s="1"/>
  <c r="I1175" i="42"/>
  <c r="L1175" i="42"/>
  <c r="I1177" i="42"/>
  <c r="L1177" i="42" s="1"/>
  <c r="I1179" i="42"/>
  <c r="L1179" i="42" s="1"/>
  <c r="I1183" i="42"/>
  <c r="L1183" i="42"/>
  <c r="I1185" i="42"/>
  <c r="L1185" i="42" s="1"/>
  <c r="I1187" i="42"/>
  <c r="L1187" i="42" s="1"/>
  <c r="L1189" i="42"/>
  <c r="I1191" i="42"/>
  <c r="L1191" i="42" s="1"/>
  <c r="L1193" i="42"/>
  <c r="I1195" i="42"/>
  <c r="L1195" i="42" s="1"/>
  <c r="I1197" i="42"/>
  <c r="L1197" i="42" s="1"/>
  <c r="L1201" i="42"/>
  <c r="I1203" i="42"/>
  <c r="L1203" i="42" s="1"/>
  <c r="I1205" i="42"/>
  <c r="L1205" i="42" s="1"/>
  <c r="I1207" i="42"/>
  <c r="L1207" i="42" s="1"/>
  <c r="I1209" i="42"/>
  <c r="L1209" i="42" s="1"/>
  <c r="I1211" i="42"/>
  <c r="L1211" i="42"/>
  <c r="L1213" i="42"/>
  <c r="I1215" i="42"/>
  <c r="L1215" i="42" s="1"/>
  <c r="I1217" i="42"/>
  <c r="L1217" i="42" s="1"/>
  <c r="I1219" i="42"/>
  <c r="L1219" i="42"/>
  <c r="I1221" i="42"/>
  <c r="L1221" i="42" s="1"/>
  <c r="I1223" i="42"/>
  <c r="L1223" i="42"/>
  <c r="I1225" i="42"/>
  <c r="L1225" i="42" s="1"/>
  <c r="I1227" i="42"/>
  <c r="L1227" i="42"/>
  <c r="M1001" i="42" l="1"/>
  <c r="F97" i="57" l="1"/>
  <c r="F95" i="57"/>
  <c r="F93" i="57"/>
  <c r="F89" i="57"/>
  <c r="F87" i="57"/>
  <c r="F85" i="57"/>
  <c r="F83" i="57"/>
  <c r="F81" i="57"/>
  <c r="F77" i="57"/>
  <c r="F75" i="57"/>
  <c r="F73" i="57"/>
  <c r="F71" i="57"/>
  <c r="F69" i="57"/>
  <c r="F67" i="57"/>
  <c r="F65" i="57"/>
  <c r="F61" i="57"/>
  <c r="F59" i="57"/>
  <c r="F55" i="57"/>
  <c r="F53" i="57"/>
  <c r="F49" i="57"/>
  <c r="F47" i="57"/>
  <c r="F45" i="57"/>
  <c r="F43" i="57"/>
  <c r="F41" i="57"/>
  <c r="F39" i="57"/>
  <c r="F37" i="57"/>
  <c r="F35" i="57"/>
  <c r="F33" i="57"/>
  <c r="F29" i="57"/>
  <c r="F27" i="57"/>
  <c r="F25" i="57"/>
  <c r="F23" i="57"/>
  <c r="F21" i="57"/>
  <c r="F17" i="57"/>
  <c r="F13" i="57"/>
  <c r="F11" i="57"/>
  <c r="F9" i="57"/>
  <c r="F3" i="57"/>
  <c r="G1" i="57" s="1"/>
  <c r="L1059" i="42" l="1"/>
  <c r="I1061" i="42"/>
  <c r="L1061" i="42" s="1"/>
  <c r="I1063" i="42"/>
  <c r="L1063" i="42" s="1"/>
  <c r="I1065" i="42"/>
  <c r="L1065" i="42" s="1"/>
  <c r="I1067" i="42"/>
  <c r="L1067" i="42" s="1"/>
  <c r="I1069" i="42"/>
  <c r="L1069" i="42" s="1"/>
  <c r="I1071" i="42"/>
  <c r="L1071" i="42"/>
  <c r="I1073" i="42"/>
  <c r="L1073" i="42" s="1"/>
  <c r="L1075" i="42"/>
  <c r="I1077" i="42"/>
  <c r="L1077" i="42" s="1"/>
  <c r="I1079" i="42"/>
  <c r="L1079" i="42" s="1"/>
  <c r="I1081" i="42"/>
  <c r="L1081" i="42" s="1"/>
  <c r="I1083" i="42"/>
  <c r="L1083" i="42" s="1"/>
  <c r="I1085" i="42"/>
  <c r="L1085" i="42" s="1"/>
  <c r="L1087" i="42"/>
  <c r="I1089" i="42"/>
  <c r="L1089" i="42" s="1"/>
  <c r="I1091" i="42"/>
  <c r="L1091" i="42" s="1"/>
  <c r="I1093" i="42"/>
  <c r="L1093" i="42" s="1"/>
  <c r="I1095" i="42"/>
  <c r="L1095" i="42" s="1"/>
  <c r="I1099" i="42"/>
  <c r="L1099" i="42" s="1"/>
  <c r="L1101" i="42"/>
  <c r="I1103" i="42"/>
  <c r="L1103" i="42" s="1"/>
  <c r="L1105" i="42"/>
  <c r="I1107" i="42"/>
  <c r="L1107" i="42" s="1"/>
  <c r="I1109" i="42"/>
  <c r="L1109" i="42" s="1"/>
  <c r="I1111" i="42"/>
  <c r="L1111" i="42" s="1"/>
  <c r="I1113" i="42"/>
  <c r="L1113" i="42" s="1"/>
  <c r="I1115" i="42"/>
  <c r="L1115" i="42" s="1"/>
  <c r="I1117" i="42"/>
  <c r="L1117" i="42"/>
  <c r="I1119" i="42"/>
  <c r="L1119" i="42"/>
  <c r="L1121" i="42"/>
  <c r="I1123" i="42"/>
  <c r="L1123" i="42" s="1"/>
  <c r="I1125" i="42"/>
  <c r="L1125" i="42" s="1"/>
  <c r="I1127" i="42"/>
  <c r="L1127" i="42"/>
  <c r="I1129" i="42"/>
  <c r="L1129" i="42" s="1"/>
  <c r="I1131" i="42"/>
  <c r="L1131" i="42" s="1"/>
  <c r="I1133" i="42"/>
  <c r="L1133" i="42" s="1"/>
  <c r="L1135" i="42"/>
  <c r="I1137" i="42"/>
  <c r="L1137" i="42" s="1"/>
  <c r="I1139" i="42"/>
  <c r="L1139" i="42" s="1"/>
  <c r="I1141" i="42"/>
  <c r="L1141" i="42" s="1"/>
  <c r="I1143" i="42"/>
  <c r="L1143" i="42" s="1"/>
  <c r="I1145" i="42"/>
  <c r="L1145" i="42" s="1"/>
  <c r="I1147" i="42"/>
  <c r="L1147" i="42" s="1"/>
  <c r="I1149" i="42"/>
  <c r="L1149" i="42" s="1"/>
  <c r="I1153" i="42"/>
  <c r="L1153" i="42"/>
  <c r="L1155" i="42"/>
  <c r="F101" i="56" l="1"/>
  <c r="F99" i="56"/>
  <c r="F97" i="56"/>
  <c r="F95" i="56"/>
  <c r="F93" i="56"/>
  <c r="F89" i="56"/>
  <c r="F83" i="56"/>
  <c r="F81" i="56"/>
  <c r="F79" i="56"/>
  <c r="F75" i="56"/>
  <c r="F73" i="56"/>
  <c r="F71" i="56"/>
  <c r="F69" i="56"/>
  <c r="F65" i="56"/>
  <c r="F67" i="56" l="1"/>
  <c r="F63" i="56"/>
  <c r="F61" i="56"/>
  <c r="F59" i="56"/>
  <c r="F55" i="56"/>
  <c r="F51" i="56"/>
  <c r="F49" i="56"/>
  <c r="F47" i="56"/>
  <c r="F43" i="56"/>
  <c r="F41" i="56"/>
  <c r="F39" i="56"/>
  <c r="F35" i="56"/>
  <c r="F33" i="56"/>
  <c r="F31" i="56"/>
  <c r="F29" i="56"/>
  <c r="F27" i="56"/>
  <c r="F23" i="56"/>
  <c r="F21" i="56"/>
  <c r="F17" i="56"/>
  <c r="F15" i="56"/>
  <c r="F13" i="56"/>
  <c r="F11" i="56"/>
  <c r="F9" i="56"/>
  <c r="F7" i="56"/>
  <c r="F5" i="56"/>
  <c r="G1" i="56"/>
  <c r="I967" i="42" l="1"/>
  <c r="L967" i="42" s="1"/>
  <c r="F129" i="53" l="1"/>
  <c r="G1" i="53" s="1"/>
  <c r="F127" i="53"/>
  <c r="F125" i="53"/>
  <c r="F123" i="53"/>
  <c r="F121" i="53"/>
  <c r="F119" i="53"/>
  <c r="F113" i="53"/>
  <c r="F111" i="53"/>
  <c r="F109" i="53"/>
  <c r="F107" i="53"/>
  <c r="F105" i="53"/>
  <c r="F101" i="53"/>
  <c r="F99" i="53"/>
  <c r="F97" i="53"/>
  <c r="F95" i="53"/>
  <c r="F91" i="53"/>
  <c r="F89" i="53"/>
  <c r="F87" i="53"/>
  <c r="F85" i="53"/>
  <c r="F83" i="53"/>
  <c r="F81" i="53"/>
  <c r="F79" i="53"/>
  <c r="F77" i="53"/>
  <c r="F75" i="53"/>
  <c r="F71" i="53"/>
  <c r="F67" i="53"/>
  <c r="F65" i="53"/>
  <c r="F61" i="53"/>
  <c r="F59" i="53"/>
  <c r="F55" i="53"/>
  <c r="F53" i="53"/>
  <c r="F51" i="53"/>
  <c r="F49" i="53"/>
  <c r="F47" i="53"/>
  <c r="F45" i="53"/>
  <c r="F41" i="53"/>
  <c r="F39" i="53"/>
  <c r="F37" i="53"/>
  <c r="F35" i="53"/>
  <c r="F33" i="53"/>
  <c r="F31" i="53"/>
  <c r="F27" i="53"/>
  <c r="F25" i="53"/>
  <c r="F23" i="53"/>
  <c r="F21" i="53"/>
  <c r="F19" i="53"/>
  <c r="F17" i="53"/>
  <c r="F15" i="53"/>
  <c r="F13" i="53"/>
  <c r="F11" i="53"/>
  <c r="F9" i="53"/>
  <c r="F7" i="53"/>
  <c r="F5" i="53"/>
  <c r="F3" i="53"/>
  <c r="I839" i="42" l="1"/>
  <c r="L839" i="42" s="1"/>
  <c r="G1" i="52" l="1"/>
  <c r="F123" i="52"/>
  <c r="F119" i="52"/>
  <c r="F117" i="52"/>
  <c r="F115" i="52"/>
  <c r="F113" i="52"/>
  <c r="F111" i="52"/>
  <c r="F109" i="52"/>
  <c r="F105" i="52"/>
  <c r="F103" i="52"/>
  <c r="F101" i="52"/>
  <c r="F99" i="52"/>
  <c r="F97" i="52"/>
  <c r="F95" i="52"/>
  <c r="F93" i="52"/>
  <c r="F91" i="52"/>
  <c r="F89" i="52"/>
  <c r="F87" i="52"/>
  <c r="F85" i="52"/>
  <c r="F81" i="52"/>
  <c r="F79" i="52"/>
  <c r="F77" i="52"/>
  <c r="F75" i="52"/>
  <c r="F73" i="52"/>
  <c r="F71" i="52"/>
  <c r="F65" i="52"/>
  <c r="F63" i="52"/>
  <c r="F59" i="52"/>
  <c r="F57" i="52"/>
  <c r="F55" i="52"/>
  <c r="F51" i="52"/>
  <c r="F49" i="52"/>
  <c r="F47" i="52"/>
  <c r="F43" i="52"/>
  <c r="F41" i="52"/>
  <c r="F39" i="52"/>
  <c r="F35" i="52"/>
  <c r="F33" i="52"/>
  <c r="F31" i="52"/>
  <c r="F27" i="52"/>
  <c r="F25" i="52"/>
  <c r="F23" i="52"/>
  <c r="F19" i="52"/>
  <c r="F17" i="52"/>
  <c r="F15" i="52"/>
  <c r="F13" i="52"/>
  <c r="F11" i="52"/>
  <c r="F9" i="52"/>
  <c r="F7" i="52"/>
  <c r="F5" i="52"/>
  <c r="F3" i="52"/>
  <c r="I779" i="42" l="1"/>
  <c r="L779" i="42" s="1"/>
  <c r="I761" i="42" l="1"/>
  <c r="L761" i="42" s="1"/>
  <c r="I763" i="42"/>
  <c r="L763" i="42" s="1"/>
  <c r="L765" i="42"/>
  <c r="I767" i="42"/>
  <c r="L767" i="42" s="1"/>
  <c r="I769" i="42"/>
  <c r="L769" i="42" s="1"/>
  <c r="I771" i="42"/>
  <c r="I773" i="42"/>
  <c r="L773" i="42" s="1"/>
  <c r="I775" i="42"/>
  <c r="L775" i="42" s="1"/>
  <c r="I777" i="42"/>
  <c r="L777" i="42" s="1"/>
  <c r="I781" i="42"/>
  <c r="L781" i="42" s="1"/>
  <c r="L783" i="42"/>
  <c r="I785" i="42"/>
  <c r="L785" i="42" s="1"/>
  <c r="I787" i="42"/>
  <c r="L787" i="42" s="1"/>
  <c r="I789" i="42"/>
  <c r="L789" i="42" s="1"/>
  <c r="L791" i="42"/>
  <c r="I793" i="42"/>
  <c r="L793" i="42" s="1"/>
  <c r="I795" i="42"/>
  <c r="L795" i="42" s="1"/>
  <c r="I797" i="42"/>
  <c r="L797" i="42" s="1"/>
  <c r="I799" i="42"/>
  <c r="L799" i="42" s="1"/>
  <c r="I801" i="42"/>
  <c r="L801" i="42" s="1"/>
  <c r="I803" i="42"/>
  <c r="L803" i="42" s="1"/>
  <c r="L805" i="42"/>
  <c r="I807" i="42"/>
  <c r="L807" i="42" s="1"/>
  <c r="I809" i="42"/>
  <c r="L809" i="42" s="1"/>
  <c r="I811" i="42"/>
  <c r="L811" i="42" s="1"/>
  <c r="I813" i="42"/>
  <c r="L813" i="42" s="1"/>
  <c r="I815" i="42"/>
  <c r="L815" i="42" s="1"/>
  <c r="I817" i="42"/>
  <c r="L817" i="42" s="1"/>
  <c r="L819" i="42"/>
  <c r="I821" i="42"/>
  <c r="L821" i="42" s="1"/>
  <c r="I823" i="42"/>
  <c r="L823" i="42" s="1"/>
  <c r="L825" i="42"/>
  <c r="I827" i="42"/>
  <c r="L827" i="42" s="1"/>
  <c r="I829" i="42"/>
  <c r="L829" i="42" s="1"/>
  <c r="L831" i="42"/>
  <c r="I833" i="42"/>
  <c r="L833" i="42" s="1"/>
  <c r="L835" i="42"/>
  <c r="I837" i="42"/>
  <c r="L837" i="42" s="1"/>
  <c r="I841" i="42"/>
  <c r="L841" i="42" s="1"/>
  <c r="I843" i="42"/>
  <c r="L843" i="42" s="1"/>
  <c r="I845" i="42"/>
  <c r="L845" i="42" s="1"/>
  <c r="I847" i="42"/>
  <c r="L847" i="42" s="1"/>
  <c r="I849" i="42"/>
  <c r="L849" i="42" s="1"/>
  <c r="I851" i="42"/>
  <c r="L851" i="42" s="1"/>
  <c r="I853" i="42"/>
  <c r="L853" i="42" s="1"/>
  <c r="L855" i="42"/>
  <c r="I857" i="42"/>
  <c r="L857" i="42" s="1"/>
  <c r="I859" i="42"/>
  <c r="L859" i="42" s="1"/>
  <c r="I861" i="42"/>
  <c r="L861" i="42" s="1"/>
  <c r="I863" i="42"/>
  <c r="L863" i="42" s="1"/>
  <c r="L865" i="42"/>
  <c r="I867" i="42"/>
  <c r="L867" i="42" s="1"/>
  <c r="I869" i="42"/>
  <c r="I871" i="42"/>
  <c r="L871" i="42" s="1"/>
  <c r="I873" i="42"/>
  <c r="L873" i="42" s="1"/>
  <c r="I875" i="42"/>
  <c r="L875" i="42" s="1"/>
  <c r="L877" i="42"/>
  <c r="L879" i="42"/>
  <c r="I881" i="42"/>
  <c r="L881" i="42" s="1"/>
  <c r="I883" i="42"/>
  <c r="L883" i="42" s="1"/>
  <c r="I885" i="42"/>
  <c r="L885" i="42" s="1"/>
  <c r="I887" i="42"/>
  <c r="L887" i="42" s="1"/>
  <c r="I889" i="42"/>
  <c r="L889" i="42" s="1"/>
  <c r="I893" i="42"/>
  <c r="I895" i="42"/>
  <c r="L895" i="42" s="1"/>
  <c r="I897" i="42"/>
  <c r="L897" i="42" s="1"/>
  <c r="L899" i="42"/>
  <c r="I901" i="42"/>
  <c r="L901" i="42" s="1"/>
  <c r="I903" i="42"/>
  <c r="L903" i="42" s="1"/>
  <c r="I905" i="42"/>
  <c r="L905" i="42" s="1"/>
  <c r="I907" i="42"/>
  <c r="L907" i="42" s="1"/>
  <c r="I909" i="42"/>
  <c r="L909" i="42" s="1"/>
  <c r="I911" i="42"/>
  <c r="L911" i="42" s="1"/>
  <c r="L913" i="42"/>
  <c r="I915" i="42"/>
  <c r="L915" i="42" s="1"/>
  <c r="I917" i="42"/>
  <c r="L917" i="42"/>
  <c r="L919" i="42"/>
  <c r="I921" i="42"/>
  <c r="L921" i="42" s="1"/>
  <c r="I923" i="42"/>
  <c r="L923" i="42" s="1"/>
  <c r="I925" i="42"/>
  <c r="L925" i="42" s="1"/>
  <c r="I927" i="42"/>
  <c r="L927" i="42" s="1"/>
  <c r="I929" i="42"/>
  <c r="L929" i="42" s="1"/>
  <c r="L931" i="42"/>
  <c r="I933" i="42"/>
  <c r="L933" i="42" s="1"/>
  <c r="I935" i="42"/>
  <c r="L935" i="42" s="1"/>
  <c r="I937" i="42"/>
  <c r="L937" i="42" s="1"/>
  <c r="L939" i="42"/>
  <c r="I941" i="42"/>
  <c r="L941" i="42" s="1"/>
  <c r="I943" i="42"/>
  <c r="L943" i="42" s="1"/>
  <c r="I945" i="42"/>
  <c r="L945" i="42" s="1"/>
  <c r="L947" i="42"/>
  <c r="I949" i="42"/>
  <c r="L949" i="42" s="1"/>
  <c r="L951" i="42"/>
  <c r="I953" i="42"/>
  <c r="L953" i="42" s="1"/>
  <c r="I955" i="42"/>
  <c r="L955" i="42" s="1"/>
  <c r="I957" i="42"/>
  <c r="L957" i="42" s="1"/>
  <c r="I959" i="42"/>
  <c r="L959" i="42" s="1"/>
  <c r="I961" i="42"/>
  <c r="L961" i="42" s="1"/>
  <c r="I963" i="42"/>
  <c r="L963" i="42" s="1"/>
  <c r="I965" i="42"/>
  <c r="L965" i="42" s="1"/>
  <c r="I969" i="42"/>
  <c r="L969" i="42" s="1"/>
  <c r="L971" i="42"/>
  <c r="I973" i="42"/>
  <c r="L973" i="42" s="1"/>
  <c r="I975" i="42"/>
  <c r="L975" i="42" s="1"/>
  <c r="I977" i="42"/>
  <c r="L977" i="42" s="1"/>
  <c r="L981" i="42"/>
  <c r="I983" i="42"/>
  <c r="L983" i="42" s="1"/>
  <c r="L985" i="42"/>
  <c r="I987" i="42"/>
  <c r="L987" i="42" s="1"/>
  <c r="I989" i="42"/>
  <c r="L989" i="42" s="1"/>
  <c r="I991" i="42"/>
  <c r="L991" i="42" s="1"/>
  <c r="I993" i="42"/>
  <c r="L993" i="42" s="1"/>
  <c r="I995" i="42"/>
  <c r="L995" i="42" s="1"/>
  <c r="I997" i="42"/>
  <c r="L997" i="42" s="1"/>
  <c r="L1001" i="42"/>
  <c r="L1003" i="42"/>
  <c r="I1005" i="42"/>
  <c r="L1005" i="42" s="1"/>
  <c r="I1007" i="42"/>
  <c r="L1007" i="42" s="1"/>
  <c r="I1009" i="42"/>
  <c r="L1009" i="42" s="1"/>
  <c r="L1011" i="42"/>
  <c r="I1013" i="42"/>
  <c r="L1013" i="42" s="1"/>
  <c r="L1015" i="42"/>
  <c r="I1017" i="42"/>
  <c r="L1017" i="42" s="1"/>
  <c r="I1019" i="42"/>
  <c r="L1019" i="42" s="1"/>
  <c r="I1021" i="42"/>
  <c r="L1021" i="42" s="1"/>
  <c r="I1023" i="42"/>
  <c r="L1023" i="42" s="1"/>
  <c r="I1025" i="42"/>
  <c r="L1025" i="42" s="1"/>
  <c r="L1027" i="42"/>
  <c r="I1029" i="42"/>
  <c r="L1029" i="42" s="1"/>
  <c r="I1031" i="42"/>
  <c r="L1031" i="42" s="1"/>
  <c r="I1033" i="42"/>
  <c r="L1033" i="42" s="1"/>
  <c r="I1035" i="42"/>
  <c r="L1035" i="42" s="1"/>
  <c r="I1037" i="42"/>
  <c r="L1037" i="42" s="1"/>
  <c r="I1039" i="42"/>
  <c r="L1039" i="42" s="1"/>
  <c r="I1041" i="42"/>
  <c r="L1041" i="42" s="1"/>
  <c r="I1043" i="42"/>
  <c r="L1043" i="42" s="1"/>
  <c r="I1045" i="42"/>
  <c r="L1045" i="42" s="1"/>
  <c r="L1047" i="42"/>
  <c r="I1049" i="42"/>
  <c r="L1049" i="42" s="1"/>
  <c r="I1051" i="42"/>
  <c r="L1051" i="42" s="1"/>
  <c r="L1053" i="42"/>
  <c r="I1055" i="42"/>
  <c r="L1055" i="42" s="1"/>
  <c r="I1057" i="42"/>
  <c r="L1057" i="42" s="1"/>
  <c r="L771" i="42" l="1"/>
  <c r="N801" i="42"/>
  <c r="L893" i="42"/>
  <c r="M892" i="42"/>
  <c r="L869" i="42"/>
  <c r="G1" i="51"/>
  <c r="F99" i="51"/>
  <c r="F97" i="51"/>
  <c r="F95" i="51"/>
  <c r="F93" i="51"/>
  <c r="F91" i="51"/>
  <c r="F87" i="51"/>
  <c r="F85" i="51"/>
  <c r="F83" i="51"/>
  <c r="F79" i="51"/>
  <c r="F77" i="51"/>
  <c r="F73" i="51"/>
  <c r="F71" i="51"/>
  <c r="F67" i="51"/>
  <c r="F65" i="51"/>
  <c r="F63" i="51"/>
  <c r="F61" i="51"/>
  <c r="F59" i="51"/>
  <c r="F57" i="51"/>
  <c r="F55" i="51"/>
  <c r="F53" i="51"/>
  <c r="F49" i="51"/>
  <c r="F47" i="51"/>
  <c r="F45" i="51"/>
  <c r="F41" i="51"/>
  <c r="F39" i="51"/>
  <c r="F37" i="51"/>
  <c r="F33" i="51"/>
  <c r="F31" i="51"/>
  <c r="F29" i="51"/>
  <c r="F27" i="51"/>
  <c r="F25" i="51"/>
  <c r="F23" i="51"/>
  <c r="F21" i="51"/>
  <c r="F17" i="51"/>
  <c r="F15" i="51"/>
  <c r="F13" i="51"/>
  <c r="F9" i="51"/>
  <c r="F7" i="51"/>
  <c r="F5" i="51"/>
  <c r="F3" i="51"/>
  <c r="I635" i="42" l="1"/>
  <c r="L635" i="42" s="1"/>
  <c r="I637" i="42"/>
  <c r="L639" i="42"/>
  <c r="I641" i="42"/>
  <c r="L641" i="42" s="1"/>
  <c r="I643" i="42"/>
  <c r="L643" i="42" s="1"/>
  <c r="I645" i="42"/>
  <c r="L645" i="42" s="1"/>
  <c r="I647" i="42"/>
  <c r="L647" i="42" s="1"/>
  <c r="I649" i="42"/>
  <c r="L649" i="42" s="1"/>
  <c r="I651" i="42"/>
  <c r="L651" i="42" s="1"/>
  <c r="I653" i="42"/>
  <c r="L653" i="42" s="1"/>
  <c r="I655" i="42"/>
  <c r="L655" i="42" s="1"/>
  <c r="L657" i="42"/>
  <c r="I659" i="42"/>
  <c r="L659" i="42" s="1"/>
  <c r="I661" i="42"/>
  <c r="L661" i="42" s="1"/>
  <c r="I663" i="42"/>
  <c r="L663" i="42" s="1"/>
  <c r="L665" i="42"/>
  <c r="I667" i="42"/>
  <c r="L667" i="42" s="1"/>
  <c r="I669" i="42"/>
  <c r="L669" i="42" s="1"/>
  <c r="I671" i="42"/>
  <c r="L671" i="42" s="1"/>
  <c r="L673" i="42"/>
  <c r="I675" i="42"/>
  <c r="L675" i="42" s="1"/>
  <c r="I677" i="42"/>
  <c r="L677" i="42" s="1"/>
  <c r="I679" i="42"/>
  <c r="L679" i="42" s="1"/>
  <c r="L681" i="42"/>
  <c r="I683" i="42"/>
  <c r="L683" i="42" s="1"/>
  <c r="I685" i="42"/>
  <c r="L685" i="42" s="1"/>
  <c r="I687" i="42"/>
  <c r="L687" i="42" s="1"/>
  <c r="L689" i="42"/>
  <c r="I691" i="42"/>
  <c r="L691" i="42" s="1"/>
  <c r="I693" i="42"/>
  <c r="L693" i="42" s="1"/>
  <c r="I695" i="42"/>
  <c r="L695" i="42" s="1"/>
  <c r="L697" i="42"/>
  <c r="I699" i="42"/>
  <c r="L699" i="42" s="1"/>
  <c r="I701" i="42"/>
  <c r="L701" i="42" s="1"/>
  <c r="L703" i="42"/>
  <c r="L705" i="42"/>
  <c r="I707" i="42"/>
  <c r="L707" i="42" s="1"/>
  <c r="I709" i="42"/>
  <c r="L709" i="42" s="1"/>
  <c r="I711" i="42"/>
  <c r="L711" i="42" s="1"/>
  <c r="I713" i="42"/>
  <c r="L713" i="42" s="1"/>
  <c r="I715" i="42"/>
  <c r="L715" i="42" s="1"/>
  <c r="I717" i="42"/>
  <c r="L717" i="42" s="1"/>
  <c r="L719" i="42"/>
  <c r="I721" i="42"/>
  <c r="L721" i="42" s="1"/>
  <c r="I723" i="42"/>
  <c r="L723" i="42" s="1"/>
  <c r="I725" i="42"/>
  <c r="L725" i="42" s="1"/>
  <c r="I727" i="42"/>
  <c r="L727" i="42" s="1"/>
  <c r="I729" i="42"/>
  <c r="L729" i="42" s="1"/>
  <c r="I731" i="42"/>
  <c r="L731" i="42" s="1"/>
  <c r="I733" i="42"/>
  <c r="L733" i="42" s="1"/>
  <c r="I735" i="42"/>
  <c r="L735" i="42" s="1"/>
  <c r="I737" i="42"/>
  <c r="L737" i="42" s="1"/>
  <c r="I739" i="42"/>
  <c r="L739" i="42" s="1"/>
  <c r="I741" i="42"/>
  <c r="L741" i="42" s="1"/>
  <c r="L743" i="42"/>
  <c r="I745" i="42"/>
  <c r="L745" i="42" s="1"/>
  <c r="I747" i="42"/>
  <c r="L747" i="42" s="1"/>
  <c r="I749" i="42"/>
  <c r="L749" i="42" s="1"/>
  <c r="I751" i="42"/>
  <c r="L751" i="42" s="1"/>
  <c r="I753" i="42"/>
  <c r="L753" i="42" s="1"/>
  <c r="I757" i="42"/>
  <c r="L757" i="42" s="1"/>
  <c r="I759" i="42"/>
  <c r="L759" i="42" l="1"/>
  <c r="M760" i="42"/>
  <c r="L637" i="42"/>
  <c r="M634" i="42"/>
  <c r="I589" i="42"/>
  <c r="L589" i="42" s="1"/>
  <c r="H3" i="50" l="1"/>
  <c r="N434" i="42"/>
  <c r="N433" i="42"/>
  <c r="N431" i="42" l="1"/>
  <c r="F101" i="50"/>
  <c r="F99" i="50"/>
  <c r="F97" i="50"/>
  <c r="F93" i="50"/>
  <c r="F89" i="50"/>
  <c r="F87" i="50"/>
  <c r="F85" i="50"/>
  <c r="F79" i="50"/>
  <c r="F77" i="50"/>
  <c r="F75" i="50"/>
  <c r="F71" i="50"/>
  <c r="F69" i="50"/>
  <c r="F67" i="50"/>
  <c r="F63" i="50"/>
  <c r="F61" i="50"/>
  <c r="F59" i="50"/>
  <c r="F55" i="50"/>
  <c r="F53" i="50"/>
  <c r="F51" i="50"/>
  <c r="F47" i="50"/>
  <c r="F45" i="50"/>
  <c r="F43" i="50"/>
  <c r="F39" i="50"/>
  <c r="F37" i="50"/>
  <c r="F33" i="50"/>
  <c r="F31" i="50"/>
  <c r="F27" i="50"/>
  <c r="F25" i="50"/>
  <c r="F23" i="50"/>
  <c r="F21" i="50"/>
  <c r="F19" i="50"/>
  <c r="F15" i="50"/>
  <c r="F13" i="50"/>
  <c r="F11" i="50"/>
  <c r="F9" i="50"/>
  <c r="F7" i="50"/>
  <c r="F5" i="50"/>
  <c r="F3" i="50"/>
  <c r="I507" i="42" l="1"/>
  <c r="L507" i="42" s="1"/>
  <c r="L527" i="42"/>
  <c r="I529" i="42"/>
  <c r="L529" i="42" s="1"/>
  <c r="I533" i="42"/>
  <c r="L533" i="42" s="1"/>
  <c r="I535" i="42"/>
  <c r="I537" i="42"/>
  <c r="L537" i="42" s="1"/>
  <c r="I539" i="42"/>
  <c r="L539" i="42" s="1"/>
  <c r="I541" i="42"/>
  <c r="L541" i="42" s="1"/>
  <c r="I543" i="42"/>
  <c r="L543" i="42" s="1"/>
  <c r="L545" i="42"/>
  <c r="I547" i="42"/>
  <c r="L547" i="42" s="1"/>
  <c r="I549" i="42"/>
  <c r="L549" i="42" s="1"/>
  <c r="I551" i="42"/>
  <c r="L551" i="42" s="1"/>
  <c r="L553" i="42"/>
  <c r="I555" i="42"/>
  <c r="L555" i="42" s="1"/>
  <c r="I557" i="42"/>
  <c r="L557" i="42" s="1"/>
  <c r="I559" i="42"/>
  <c r="L559" i="42" s="1"/>
  <c r="I561" i="42"/>
  <c r="L561" i="42" s="1"/>
  <c r="I563" i="42"/>
  <c r="L563" i="42" s="1"/>
  <c r="I565" i="42"/>
  <c r="L565" i="42" s="1"/>
  <c r="I567" i="42"/>
  <c r="L567" i="42" s="1"/>
  <c r="L569" i="42"/>
  <c r="I571" i="42"/>
  <c r="L571" i="42" s="1"/>
  <c r="I573" i="42"/>
  <c r="L573" i="42" s="1"/>
  <c r="I575" i="42"/>
  <c r="L575" i="42" s="1"/>
  <c r="L577" i="42"/>
  <c r="I579" i="42"/>
  <c r="L579" i="42" s="1"/>
  <c r="I581" i="42"/>
  <c r="L581" i="42" s="1"/>
  <c r="I583" i="42"/>
  <c r="L583" i="42" s="1"/>
  <c r="L585" i="42"/>
  <c r="I587" i="42"/>
  <c r="L587" i="42" s="1"/>
  <c r="I591" i="42"/>
  <c r="L591" i="42" s="1"/>
  <c r="I593" i="42"/>
  <c r="L593" i="42" s="1"/>
  <c r="I595" i="42"/>
  <c r="L595" i="42" s="1"/>
  <c r="I597" i="42"/>
  <c r="L597" i="42" s="1"/>
  <c r="I599" i="42"/>
  <c r="L599" i="42" s="1"/>
  <c r="I601" i="42"/>
  <c r="L601" i="42" s="1"/>
  <c r="L603" i="42"/>
  <c r="I605" i="42"/>
  <c r="L605" i="42" s="1"/>
  <c r="I607" i="42"/>
  <c r="L607" i="42" s="1"/>
  <c r="L609" i="42"/>
  <c r="I611" i="42"/>
  <c r="L611" i="42" s="1"/>
  <c r="I613" i="42"/>
  <c r="L613" i="42" s="1"/>
  <c r="L615" i="42"/>
  <c r="I617" i="42"/>
  <c r="L617" i="42" s="1"/>
  <c r="I619" i="42"/>
  <c r="L619" i="42" s="1"/>
  <c r="I621" i="42"/>
  <c r="L621" i="42" s="1"/>
  <c r="L623" i="42"/>
  <c r="I625" i="42"/>
  <c r="L625" i="42" s="1"/>
  <c r="I627" i="42"/>
  <c r="L627" i="42" s="1"/>
  <c r="I629" i="42"/>
  <c r="L629" i="42" s="1"/>
  <c r="I631" i="42"/>
  <c r="L631" i="42" s="1"/>
  <c r="L535" i="42" l="1"/>
  <c r="M533" i="42"/>
  <c r="F3" i="49"/>
  <c r="F79" i="49"/>
  <c r="F75" i="49"/>
  <c r="F73" i="49"/>
  <c r="F71" i="49"/>
  <c r="F69" i="49"/>
  <c r="F67" i="49"/>
  <c r="F65" i="49"/>
  <c r="F61" i="49"/>
  <c r="F59" i="49"/>
  <c r="F55" i="49"/>
  <c r="F53" i="49"/>
  <c r="F49" i="49"/>
  <c r="F47" i="49"/>
  <c r="F45" i="49"/>
  <c r="F41" i="49"/>
  <c r="F39" i="49"/>
  <c r="F37" i="49"/>
  <c r="F35" i="49"/>
  <c r="F31" i="49"/>
  <c r="F29" i="49"/>
  <c r="F27" i="49"/>
  <c r="F23" i="49"/>
  <c r="F21" i="49"/>
  <c r="F19" i="49"/>
  <c r="F17" i="49"/>
  <c r="F15" i="49"/>
  <c r="F13" i="49"/>
  <c r="F11" i="49"/>
  <c r="F9" i="49"/>
  <c r="F7" i="49"/>
  <c r="F5" i="49"/>
  <c r="H2" i="49" l="1"/>
  <c r="G1" i="48"/>
  <c r="F101" i="48"/>
  <c r="F99" i="48"/>
  <c r="F97" i="48"/>
  <c r="N241" i="42" l="1"/>
  <c r="H2" i="48"/>
  <c r="F87" i="48" l="1"/>
  <c r="F85" i="48"/>
  <c r="F83" i="48"/>
  <c r="F81" i="48"/>
  <c r="F79" i="48"/>
  <c r="F77" i="48"/>
  <c r="F75" i="48"/>
  <c r="F73" i="48"/>
  <c r="F71" i="48"/>
  <c r="F67" i="48"/>
  <c r="F65" i="48"/>
  <c r="F63" i="48"/>
  <c r="F61" i="48"/>
  <c r="F59" i="48"/>
  <c r="F55" i="48"/>
  <c r="F53" i="48"/>
  <c r="F51" i="48"/>
  <c r="F49" i="48"/>
  <c r="F47" i="48"/>
  <c r="F45" i="48"/>
  <c r="F43" i="48"/>
  <c r="F41" i="48"/>
  <c r="F39" i="48"/>
  <c r="F37" i="48"/>
  <c r="F33" i="48"/>
  <c r="F31" i="48"/>
  <c r="F29" i="48"/>
  <c r="F27" i="48"/>
  <c r="F23" i="48"/>
  <c r="F21" i="48"/>
  <c r="F19" i="48"/>
  <c r="F17" i="48"/>
  <c r="F15" i="48"/>
  <c r="F13" i="48"/>
  <c r="F11" i="48"/>
  <c r="F9" i="48"/>
  <c r="F7" i="48"/>
  <c r="F5" i="48"/>
  <c r="F3" i="48"/>
  <c r="I293" i="42" l="1"/>
  <c r="L293" i="42" s="1"/>
  <c r="G1" i="47" l="1"/>
  <c r="F85" i="47"/>
  <c r="F83" i="47"/>
  <c r="F79" i="47"/>
  <c r="F77" i="47"/>
  <c r="F75" i="47"/>
  <c r="F71" i="47"/>
  <c r="F69" i="47"/>
  <c r="F65" i="47"/>
  <c r="F63" i="47"/>
  <c r="F59" i="47"/>
  <c r="F57" i="47"/>
  <c r="F51" i="47"/>
  <c r="F49" i="47"/>
  <c r="F45" i="47"/>
  <c r="F43" i="47"/>
  <c r="F39" i="47"/>
  <c r="F37" i="47"/>
  <c r="F35" i="47"/>
  <c r="F31" i="47"/>
  <c r="F29" i="47"/>
  <c r="F27" i="47"/>
  <c r="F23" i="47"/>
  <c r="F17" i="47"/>
  <c r="F13" i="47"/>
  <c r="F11" i="47"/>
  <c r="F9" i="47"/>
  <c r="F7" i="47"/>
  <c r="F5" i="47"/>
  <c r="F3" i="47"/>
  <c r="N152" i="42"/>
  <c r="I199" i="42" l="1"/>
  <c r="L199" i="42" s="1"/>
  <c r="H2" i="46" l="1"/>
  <c r="H2" i="45" l="1"/>
  <c r="N49" i="42"/>
  <c r="F5" i="46" l="1"/>
  <c r="F7" i="46"/>
  <c r="F11" i="46"/>
  <c r="F15" i="46"/>
  <c r="F17" i="46"/>
  <c r="F21" i="46"/>
  <c r="F25" i="46"/>
  <c r="F27" i="46"/>
  <c r="F31" i="46"/>
  <c r="F33" i="46"/>
  <c r="F41" i="46"/>
  <c r="F43" i="46"/>
  <c r="F45" i="46"/>
  <c r="F47" i="46"/>
  <c r="F89" i="45"/>
  <c r="F87" i="45"/>
  <c r="F83" i="45"/>
  <c r="F81" i="45"/>
  <c r="F77" i="45"/>
  <c r="F75" i="45"/>
  <c r="F73" i="45"/>
  <c r="F69" i="45"/>
  <c r="F67" i="45"/>
  <c r="F65" i="45"/>
  <c r="F61" i="45"/>
  <c r="F59" i="45"/>
  <c r="F57" i="45"/>
  <c r="F53" i="45"/>
  <c r="F51" i="45"/>
  <c r="F47" i="45"/>
  <c r="F45" i="45"/>
  <c r="F41" i="45"/>
  <c r="F39" i="45"/>
  <c r="F35" i="45"/>
  <c r="F33" i="45"/>
  <c r="F29" i="45"/>
  <c r="F27" i="45"/>
  <c r="F23" i="45"/>
  <c r="F21" i="45"/>
  <c r="F19" i="45"/>
  <c r="F15" i="45"/>
  <c r="F11" i="45"/>
  <c r="F9" i="45"/>
  <c r="F7" i="45"/>
  <c r="F5" i="45"/>
  <c r="F3" i="45"/>
  <c r="L163" i="42" l="1"/>
  <c r="L165" i="42"/>
  <c r="I167" i="42"/>
  <c r="L167" i="42" s="1"/>
  <c r="L169" i="42"/>
  <c r="I171" i="42"/>
  <c r="L171" i="42" s="1"/>
  <c r="I173" i="42"/>
  <c r="L173" i="42" s="1"/>
  <c r="I175" i="42"/>
  <c r="L175" i="42" s="1"/>
  <c r="L177" i="42"/>
  <c r="I179" i="42"/>
  <c r="L179" i="42" s="1"/>
  <c r="I181" i="42"/>
  <c r="L181" i="42" s="1"/>
  <c r="I183" i="42"/>
  <c r="L183" i="42" s="1"/>
  <c r="L185" i="42"/>
  <c r="I187" i="42"/>
  <c r="L187" i="42" s="1"/>
  <c r="I189" i="42"/>
  <c r="L189" i="42" s="1"/>
  <c r="L191" i="42"/>
  <c r="I193" i="42"/>
  <c r="L193" i="42" s="1"/>
  <c r="I195" i="42"/>
  <c r="L195" i="42" s="1"/>
  <c r="L197" i="42"/>
  <c r="L201" i="42"/>
  <c r="I203" i="42"/>
  <c r="L203" i="42" s="1"/>
  <c r="I205" i="42"/>
  <c r="L205" i="42" s="1"/>
  <c r="L207" i="42"/>
  <c r="I209" i="42"/>
  <c r="L209" i="42" s="1"/>
  <c r="I211" i="42"/>
  <c r="L211" i="42" s="1"/>
  <c r="L213" i="42"/>
  <c r="I215" i="42"/>
  <c r="L215" i="42" s="1"/>
  <c r="I217" i="42"/>
  <c r="L217" i="42" s="1"/>
  <c r="L219" i="42"/>
  <c r="I221" i="42"/>
  <c r="L221" i="42" s="1"/>
  <c r="I223" i="42"/>
  <c r="L223" i="42" s="1"/>
  <c r="I225" i="42"/>
  <c r="L225" i="42" s="1"/>
  <c r="I227" i="42"/>
  <c r="L227" i="42" s="1"/>
  <c r="L229" i="42"/>
  <c r="I231" i="42"/>
  <c r="L231" i="42" s="1"/>
  <c r="I233" i="42"/>
  <c r="L233" i="42" s="1"/>
  <c r="L235" i="42"/>
  <c r="I237" i="42"/>
  <c r="L237" i="42" s="1"/>
  <c r="I239" i="42"/>
  <c r="L239" i="42" s="1"/>
  <c r="L241" i="42"/>
  <c r="I245" i="42"/>
  <c r="L245" i="42" s="1"/>
  <c r="I247" i="42"/>
  <c r="L247" i="42" s="1"/>
  <c r="I249" i="42"/>
  <c r="L249" i="42" s="1"/>
  <c r="I251" i="42"/>
  <c r="L251" i="42" s="1"/>
  <c r="L253" i="42"/>
  <c r="I255" i="42"/>
  <c r="L255" i="42" s="1"/>
  <c r="I257" i="42"/>
  <c r="L257" i="42" s="1"/>
  <c r="I259" i="42"/>
  <c r="L259" i="42" s="1"/>
  <c r="I261" i="42"/>
  <c r="L261" i="42" s="1"/>
  <c r="I263" i="42"/>
  <c r="L263" i="42" s="1"/>
  <c r="I265" i="42"/>
  <c r="L265" i="42" s="1"/>
  <c r="L267" i="42"/>
  <c r="I269" i="42"/>
  <c r="L269" i="42" s="1"/>
  <c r="I271" i="42"/>
  <c r="L271" i="42" s="1"/>
  <c r="I273" i="42"/>
  <c r="L273" i="42" s="1"/>
  <c r="I275" i="42"/>
  <c r="L275" i="42" s="1"/>
  <c r="L277" i="42"/>
  <c r="I279" i="42"/>
  <c r="L279" i="42" s="1"/>
  <c r="I281" i="42"/>
  <c r="L281" i="42" s="1"/>
  <c r="I283" i="42"/>
  <c r="L283" i="42" s="1"/>
  <c r="I285" i="42"/>
  <c r="L285" i="42" s="1"/>
  <c r="I287" i="42"/>
  <c r="L287" i="42" s="1"/>
  <c r="I289" i="42"/>
  <c r="L289" i="42" s="1"/>
  <c r="I291" i="42"/>
  <c r="L291" i="42" s="1"/>
  <c r="I295" i="42"/>
  <c r="L295" i="42" s="1"/>
  <c r="I297" i="42"/>
  <c r="L297" i="42" s="1"/>
  <c r="L299" i="42"/>
  <c r="I301" i="42"/>
  <c r="L301" i="42" s="1"/>
  <c r="I303" i="42"/>
  <c r="L303" i="42" s="1"/>
  <c r="I305" i="42"/>
  <c r="L305" i="42" s="1"/>
  <c r="I307" i="42"/>
  <c r="L307" i="42" s="1"/>
  <c r="I309" i="42"/>
  <c r="L309" i="42" s="1"/>
  <c r="L311" i="42"/>
  <c r="I313" i="42"/>
  <c r="L313" i="42" s="1"/>
  <c r="I315" i="42"/>
  <c r="L315" i="42" s="1"/>
  <c r="I317" i="42"/>
  <c r="L317" i="42" s="1"/>
  <c r="I319" i="42"/>
  <c r="L319" i="42" s="1"/>
  <c r="I321" i="42"/>
  <c r="L321" i="42" s="1"/>
  <c r="I323" i="42"/>
  <c r="L323" i="42" s="1"/>
  <c r="I325" i="42"/>
  <c r="L325" i="42" s="1"/>
  <c r="I327" i="42"/>
  <c r="L327" i="42" s="1"/>
  <c r="I329" i="42"/>
  <c r="L329" i="42" s="1"/>
  <c r="L331" i="42"/>
  <c r="I333" i="42"/>
  <c r="L333" i="42" s="1"/>
  <c r="I335" i="42"/>
  <c r="L335" i="42" s="1"/>
  <c r="I337" i="42"/>
  <c r="L337" i="42" s="1"/>
  <c r="L339" i="42"/>
  <c r="I343" i="42"/>
  <c r="L343" i="42" s="1"/>
  <c r="I345" i="42"/>
  <c r="L345" i="42" s="1"/>
  <c r="I347" i="42"/>
  <c r="L347" i="42" s="1"/>
  <c r="L349" i="42"/>
  <c r="I351" i="42"/>
  <c r="L351" i="42" s="1"/>
  <c r="I353" i="42"/>
  <c r="L353" i="42" s="1"/>
  <c r="I355" i="42"/>
  <c r="L355" i="42" s="1"/>
  <c r="I357" i="42"/>
  <c r="L357" i="42" s="1"/>
  <c r="I359" i="42"/>
  <c r="L359" i="42" s="1"/>
  <c r="I361" i="42"/>
  <c r="L361" i="42" s="1"/>
  <c r="I363" i="42"/>
  <c r="L363" i="42" s="1"/>
  <c r="I365" i="42"/>
  <c r="L365" i="42" s="1"/>
  <c r="I367" i="42"/>
  <c r="L367" i="42" s="1"/>
  <c r="L369" i="42"/>
  <c r="I371" i="42"/>
  <c r="L371" i="42" s="1"/>
  <c r="I373" i="42"/>
  <c r="L373" i="42"/>
  <c r="I375" i="42"/>
  <c r="L375" i="42" s="1"/>
  <c r="L377" i="42"/>
  <c r="I379" i="42"/>
  <c r="L379" i="42" s="1"/>
  <c r="I381" i="42"/>
  <c r="L381" i="42" s="1"/>
  <c r="I383" i="42"/>
  <c r="L383" i="42" s="1"/>
  <c r="I385" i="42"/>
  <c r="L385" i="42" s="1"/>
  <c r="L387" i="42"/>
  <c r="I389" i="42"/>
  <c r="L389" i="42" s="1"/>
  <c r="I391" i="42"/>
  <c r="L391" i="42" s="1"/>
  <c r="I393" i="42"/>
  <c r="I395" i="42"/>
  <c r="L395" i="42" s="1"/>
  <c r="L397" i="42"/>
  <c r="I399" i="42"/>
  <c r="L399" i="42" s="1"/>
  <c r="I401" i="42"/>
  <c r="L401" i="42" s="1"/>
  <c r="L403" i="42"/>
  <c r="I405" i="42"/>
  <c r="L405" i="42" s="1"/>
  <c r="I407" i="42"/>
  <c r="L407" i="42" s="1"/>
  <c r="I409" i="42"/>
  <c r="L409" i="42" s="1"/>
  <c r="L411" i="42"/>
  <c r="I413" i="42"/>
  <c r="L413" i="42" s="1"/>
  <c r="I415" i="42"/>
  <c r="L415" i="42" s="1"/>
  <c r="I417" i="42"/>
  <c r="L417" i="42" s="1"/>
  <c r="I419" i="42"/>
  <c r="L419" i="42" s="1"/>
  <c r="I421" i="42"/>
  <c r="L421" i="42" s="1"/>
  <c r="I423" i="42"/>
  <c r="L423" i="42" s="1"/>
  <c r="I425" i="42"/>
  <c r="L425" i="42" s="1"/>
  <c r="L427" i="42"/>
  <c r="L431" i="42"/>
  <c r="I433" i="42"/>
  <c r="L433" i="42" s="1"/>
  <c r="I435" i="42"/>
  <c r="L435" i="42" s="1"/>
  <c r="I437" i="42"/>
  <c r="L437" i="42" s="1"/>
  <c r="I439" i="42"/>
  <c r="L439" i="42" s="1"/>
  <c r="I441" i="42"/>
  <c r="L441" i="42" s="1"/>
  <c r="I443" i="42"/>
  <c r="I445" i="42"/>
  <c r="L445" i="42" s="1"/>
  <c r="L447" i="42"/>
  <c r="I449" i="42"/>
  <c r="L449" i="42" s="1"/>
  <c r="I451" i="42"/>
  <c r="L451" i="42" s="1"/>
  <c r="I453" i="42"/>
  <c r="L453" i="42" s="1"/>
  <c r="I455" i="42"/>
  <c r="L455" i="42" s="1"/>
  <c r="I457" i="42"/>
  <c r="L457" i="42" s="1"/>
  <c r="L459" i="42"/>
  <c r="I461" i="42"/>
  <c r="L461" i="42" s="1"/>
  <c r="I463" i="42"/>
  <c r="L463" i="42" s="1"/>
  <c r="L465" i="42"/>
  <c r="I467" i="42"/>
  <c r="L467" i="42" s="1"/>
  <c r="I469" i="42"/>
  <c r="L469" i="42" s="1"/>
  <c r="L471" i="42"/>
  <c r="I473" i="42"/>
  <c r="L473" i="42" s="1"/>
  <c r="I475" i="42"/>
  <c r="L475" i="42" s="1"/>
  <c r="I477" i="42"/>
  <c r="L477" i="42" s="1"/>
  <c r="L479" i="42"/>
  <c r="I481" i="42"/>
  <c r="L481" i="42" s="1"/>
  <c r="I483" i="42"/>
  <c r="L483" i="42" s="1"/>
  <c r="I485" i="42"/>
  <c r="L485" i="42" s="1"/>
  <c r="L487" i="42"/>
  <c r="I489" i="42"/>
  <c r="L489" i="42" s="1"/>
  <c r="I491" i="42"/>
  <c r="L491" i="42" s="1"/>
  <c r="I493" i="42"/>
  <c r="L493" i="42" s="1"/>
  <c r="I495" i="42"/>
  <c r="L495" i="42"/>
  <c r="L497" i="42"/>
  <c r="I499" i="42"/>
  <c r="L499" i="42" s="1"/>
  <c r="I501" i="42"/>
  <c r="L501" i="42" s="1"/>
  <c r="I503" i="42"/>
  <c r="L503" i="42" s="1"/>
  <c r="L505" i="42"/>
  <c r="I509" i="42"/>
  <c r="L509" i="42" s="1"/>
  <c r="I511" i="42"/>
  <c r="L511" i="42" s="1"/>
  <c r="L513" i="42"/>
  <c r="L515" i="42"/>
  <c r="I517" i="42"/>
  <c r="L517" i="42" s="1"/>
  <c r="I519" i="42"/>
  <c r="L519" i="42" s="1"/>
  <c r="I521" i="42"/>
  <c r="L521" i="42" s="1"/>
  <c r="L523" i="42"/>
  <c r="I525" i="42"/>
  <c r="L525" i="42" s="1"/>
  <c r="L443" i="42" l="1"/>
  <c r="M430" i="42"/>
  <c r="L393" i="42"/>
  <c r="M343" i="42"/>
  <c r="I43" i="42"/>
  <c r="L43" i="42" s="1"/>
  <c r="I133" i="42"/>
  <c r="L133" i="42" l="1"/>
  <c r="I51" i="42"/>
  <c r="L51" i="42" s="1"/>
  <c r="I49" i="42"/>
  <c r="L49" i="42" s="1"/>
  <c r="L55" i="42"/>
  <c r="I41" i="42"/>
  <c r="L41" i="42" s="1"/>
  <c r="I61" i="42"/>
  <c r="L61" i="42" s="1"/>
  <c r="I63" i="42"/>
  <c r="L63" i="42" s="1"/>
  <c r="I65" i="42"/>
  <c r="L65" i="42" s="1"/>
  <c r="I67" i="42"/>
  <c r="L67" i="42" s="1"/>
  <c r="I69" i="42"/>
  <c r="L69" i="42" s="1"/>
  <c r="I71" i="42"/>
  <c r="L71" i="42" s="1"/>
  <c r="I73" i="42"/>
  <c r="L73" i="42" s="1"/>
  <c r="L75" i="42"/>
  <c r="I77" i="42"/>
  <c r="L77" i="42" s="1"/>
  <c r="I79" i="42"/>
  <c r="L79" i="42" s="1"/>
  <c r="L81" i="42"/>
  <c r="I83" i="42"/>
  <c r="L83" i="42" s="1"/>
  <c r="I85" i="42"/>
  <c r="L85" i="42" s="1"/>
  <c r="L87" i="42"/>
  <c r="I89" i="42"/>
  <c r="L89" i="42" s="1"/>
  <c r="I91" i="42"/>
  <c r="L91" i="42" s="1"/>
  <c r="L93" i="42"/>
  <c r="I95" i="42"/>
  <c r="L95" i="42" s="1"/>
  <c r="I97" i="42"/>
  <c r="L97" i="42" s="1"/>
  <c r="L99" i="42"/>
  <c r="I101" i="42"/>
  <c r="L101" i="42" s="1"/>
  <c r="I103" i="42"/>
  <c r="L103" i="42" s="1"/>
  <c r="L105" i="42"/>
  <c r="I107" i="42"/>
  <c r="L107" i="42" s="1"/>
  <c r="I109" i="42"/>
  <c r="L109" i="42" s="1"/>
  <c r="I111" i="42"/>
  <c r="L111" i="42" s="1"/>
  <c r="L113" i="42"/>
  <c r="I115" i="42"/>
  <c r="L115" i="42" s="1"/>
  <c r="I117" i="42"/>
  <c r="L117" i="42" s="1"/>
  <c r="I119" i="42"/>
  <c r="L119" i="42" s="1"/>
  <c r="L121" i="42"/>
  <c r="I123" i="42"/>
  <c r="L123" i="42" s="1"/>
  <c r="I125" i="42"/>
  <c r="L125" i="42" s="1"/>
  <c r="I127" i="42"/>
  <c r="L127" i="42" s="1"/>
  <c r="L129" i="42"/>
  <c r="I131" i="42"/>
  <c r="L131" i="42" s="1"/>
  <c r="I135" i="42"/>
  <c r="L135" i="42" s="1"/>
  <c r="L137" i="42"/>
  <c r="I139" i="42"/>
  <c r="L139" i="42" s="1"/>
  <c r="I141" i="42"/>
  <c r="L141" i="42" s="1"/>
  <c r="L143" i="42"/>
  <c r="I147" i="42"/>
  <c r="L147" i="42" s="1"/>
  <c r="I149" i="42"/>
  <c r="L149" i="42" s="1"/>
  <c r="I151" i="42"/>
  <c r="L151" i="42" s="1"/>
  <c r="L153" i="42"/>
  <c r="I155" i="42"/>
  <c r="L155" i="42" s="1"/>
  <c r="I157" i="42"/>
  <c r="L157" i="42" s="1"/>
  <c r="L159" i="42"/>
  <c r="I161" i="42"/>
  <c r="L161" i="42" s="1"/>
  <c r="N153" i="42" l="1"/>
  <c r="I31" i="42"/>
  <c r="L31" i="42" s="1"/>
  <c r="N1035" i="35" l="1"/>
  <c r="I53" i="42"/>
  <c r="L53" i="42" s="1"/>
  <c r="I47" i="42"/>
  <c r="L47" i="42" s="1"/>
  <c r="L45" i="42"/>
  <c r="I59" i="42"/>
  <c r="L59" i="42" s="1"/>
  <c r="I39" i="42"/>
  <c r="L39" i="42" s="1"/>
  <c r="I37" i="42"/>
  <c r="L37" i="42" s="1"/>
  <c r="L35" i="42"/>
  <c r="I33" i="42"/>
  <c r="L33" i="42" s="1"/>
  <c r="L29" i="42"/>
  <c r="I27" i="42"/>
  <c r="L27" i="42" s="1"/>
  <c r="I25" i="42"/>
  <c r="L25" i="42" s="1"/>
  <c r="L23" i="42"/>
  <c r="I21" i="42"/>
  <c r="L21" i="42" s="1"/>
  <c r="L19" i="42"/>
  <c r="I17" i="42"/>
  <c r="L17" i="42" s="1"/>
  <c r="I15" i="42"/>
  <c r="L15" i="42" s="1"/>
  <c r="L13" i="42"/>
  <c r="I11" i="42"/>
  <c r="L11" i="42" s="1"/>
  <c r="L9" i="42"/>
  <c r="I7" i="42"/>
  <c r="L7" i="42" s="1"/>
  <c r="I5" i="42"/>
  <c r="L5" i="42" s="1"/>
  <c r="L3" i="42"/>
  <c r="I1037" i="35" l="1"/>
  <c r="L1037" i="35" s="1"/>
  <c r="I1035" i="35"/>
  <c r="L1035" i="35" s="1"/>
  <c r="L1033" i="35"/>
  <c r="I1033" i="35"/>
  <c r="I1027" i="35"/>
  <c r="L1027" i="35" s="1"/>
  <c r="I1001" i="35" l="1"/>
  <c r="L1001" i="35" s="1"/>
  <c r="I1009" i="35"/>
  <c r="L1009" i="35" s="1"/>
  <c r="I1011" i="35"/>
  <c r="L1011" i="35" s="1"/>
  <c r="I1015" i="35" l="1"/>
  <c r="I1013" i="35" l="1"/>
  <c r="L1013" i="35" s="1"/>
  <c r="I1007" i="35"/>
  <c r="L1007" i="35" s="1"/>
  <c r="I1019" i="35"/>
  <c r="I1003" i="35" l="1"/>
  <c r="L1003" i="35" s="1"/>
  <c r="I969" i="35" l="1"/>
  <c r="L969" i="35" s="1"/>
  <c r="I967" i="35"/>
  <c r="L967" i="35" s="1"/>
  <c r="I979" i="35"/>
  <c r="L979" i="35" s="1"/>
  <c r="I971" i="35"/>
  <c r="L971" i="35" s="1"/>
  <c r="I963" i="35" l="1"/>
  <c r="L963" i="35" s="1"/>
  <c r="I961" i="35"/>
  <c r="L961" i="35" s="1"/>
  <c r="I951" i="35"/>
  <c r="L951" i="35" s="1"/>
  <c r="I953" i="35"/>
  <c r="L953" i="35" s="1"/>
  <c r="I933" i="35"/>
  <c r="L933" i="35" s="1"/>
  <c r="I943" i="35"/>
  <c r="L943" i="35" s="1"/>
  <c r="I931" i="35"/>
  <c r="I935" i="35"/>
  <c r="L935" i="35" s="1"/>
  <c r="I939" i="35"/>
  <c r="L939" i="35" s="1"/>
  <c r="I941" i="35"/>
  <c r="L941" i="35" s="1"/>
  <c r="L931" i="35" l="1"/>
  <c r="I919" i="35"/>
  <c r="L919" i="35" s="1"/>
  <c r="I879" i="35"/>
  <c r="L879" i="35" s="1"/>
  <c r="I873" i="35"/>
  <c r="L873" i="35" s="1"/>
  <c r="I881" i="35"/>
  <c r="L881" i="35" s="1"/>
  <c r="I851" i="35"/>
  <c r="L851" i="35" s="1"/>
  <c r="I863" i="35"/>
  <c r="L863" i="35" s="1"/>
  <c r="I837" i="35"/>
  <c r="L837" i="35" s="1"/>
  <c r="I843" i="35"/>
  <c r="L843" i="35" s="1"/>
  <c r="I849" i="35"/>
  <c r="L849" i="35" s="1"/>
  <c r="I813" i="35"/>
  <c r="L813" i="35" s="1"/>
  <c r="I815" i="35"/>
  <c r="L815" i="35" s="1"/>
  <c r="L817" i="35"/>
  <c r="L819" i="35"/>
  <c r="I821" i="35"/>
  <c r="L821" i="35" s="1"/>
  <c r="L823" i="35"/>
  <c r="I825" i="35"/>
  <c r="L825" i="35" s="1"/>
  <c r="I827" i="35"/>
  <c r="L827" i="35" s="1"/>
  <c r="I829" i="35"/>
  <c r="L829" i="35" s="1"/>
  <c r="I831" i="35"/>
  <c r="L831" i="35" s="1"/>
  <c r="L833" i="35"/>
  <c r="I835" i="35"/>
  <c r="I839" i="35"/>
  <c r="L839" i="35" s="1"/>
  <c r="L841" i="35"/>
  <c r="I845" i="35"/>
  <c r="L847" i="35"/>
  <c r="I853" i="35"/>
  <c r="I855" i="35"/>
  <c r="L855" i="35" s="1"/>
  <c r="L857" i="35"/>
  <c r="I859" i="35"/>
  <c r="L859" i="35" s="1"/>
  <c r="I865" i="35"/>
  <c r="L865" i="35" s="1"/>
  <c r="L867" i="35"/>
  <c r="I869" i="35"/>
  <c r="L869" i="35" s="1"/>
  <c r="L871" i="35"/>
  <c r="I875" i="35"/>
  <c r="L875" i="35" s="1"/>
  <c r="L877" i="35"/>
  <c r="L883" i="35"/>
  <c r="I885" i="35"/>
  <c r="L885" i="35" s="1"/>
  <c r="I887" i="35"/>
  <c r="I889" i="35"/>
  <c r="L889" i="35" s="1"/>
  <c r="L891" i="35"/>
  <c r="L893" i="35"/>
  <c r="L895" i="35"/>
  <c r="I897" i="35"/>
  <c r="L897" i="35" s="1"/>
  <c r="I899" i="35"/>
  <c r="L899" i="35" s="1"/>
  <c r="L901" i="35"/>
  <c r="I903" i="35"/>
  <c r="L903" i="35" s="1"/>
  <c r="L905" i="35"/>
  <c r="I907" i="35"/>
  <c r="L907" i="35" s="1"/>
  <c r="L909" i="35"/>
  <c r="I911" i="35"/>
  <c r="L911" i="35" s="1"/>
  <c r="L913" i="35"/>
  <c r="I915" i="35"/>
  <c r="L915" i="35" s="1"/>
  <c r="I917" i="35"/>
  <c r="L917" i="35" s="1"/>
  <c r="L921" i="35"/>
  <c r="I923" i="35"/>
  <c r="L923" i="35" s="1"/>
  <c r="I925" i="35"/>
  <c r="L925" i="35" s="1"/>
  <c r="L927" i="35"/>
  <c r="L937" i="35"/>
  <c r="L945" i="35"/>
  <c r="I947" i="35"/>
  <c r="L947" i="35" s="1"/>
  <c r="L949" i="35"/>
  <c r="I955" i="35"/>
  <c r="L955" i="35" s="1"/>
  <c r="I957" i="35"/>
  <c r="L957" i="35" s="1"/>
  <c r="L959" i="35"/>
  <c r="L965" i="35"/>
  <c r="L973" i="35"/>
  <c r="I975" i="35"/>
  <c r="L975" i="35" s="1"/>
  <c r="L977" i="35"/>
  <c r="I981" i="35"/>
  <c r="L981" i="35" s="1"/>
  <c r="I983" i="35"/>
  <c r="L983" i="35" s="1"/>
  <c r="L985" i="35"/>
  <c r="I987" i="35"/>
  <c r="L987" i="35" s="1"/>
  <c r="I989" i="35"/>
  <c r="L989" i="35" s="1"/>
  <c r="L991" i="35"/>
  <c r="L993" i="35"/>
  <c r="L995" i="35"/>
  <c r="L997" i="35"/>
  <c r="L999" i="35"/>
  <c r="L1005" i="35"/>
  <c r="L1015" i="35"/>
  <c r="L1017" i="35"/>
  <c r="L1019" i="35"/>
  <c r="L1023" i="35"/>
  <c r="I1025" i="35"/>
  <c r="L1025" i="35" s="1"/>
  <c r="I1029" i="35"/>
  <c r="L1029" i="35" s="1"/>
  <c r="L1031" i="35"/>
  <c r="I1039" i="35"/>
  <c r="L1039" i="35" s="1"/>
  <c r="L1041" i="35"/>
  <c r="I1043" i="35"/>
  <c r="L1043" i="35" s="1"/>
  <c r="I1045" i="35"/>
  <c r="L1045" i="35" s="1"/>
  <c r="L1047" i="35"/>
  <c r="I1049" i="35"/>
  <c r="L1049" i="35" s="1"/>
  <c r="L1051" i="35"/>
  <c r="I1053" i="35"/>
  <c r="L1053" i="35" s="1"/>
  <c r="I1055" i="35"/>
  <c r="L1055" i="35" s="1"/>
  <c r="L1057" i="35"/>
  <c r="I1059" i="35"/>
  <c r="L1059" i="35" s="1"/>
  <c r="I1061" i="35"/>
  <c r="L1061" i="35" s="1"/>
  <c r="L1063" i="35"/>
  <c r="L1065" i="35"/>
  <c r="I1067" i="35"/>
  <c r="L1067" i="35" s="1"/>
  <c r="I1069" i="35"/>
  <c r="L1069" i="35" s="1"/>
  <c r="I1071" i="35"/>
  <c r="L1071" i="35" s="1"/>
  <c r="L1073" i="35"/>
  <c r="I1075" i="35"/>
  <c r="L1075" i="35" s="1"/>
  <c r="I1077" i="35"/>
  <c r="L1077" i="35" s="1"/>
  <c r="L1079" i="35"/>
  <c r="I1081" i="35"/>
  <c r="L1081" i="35" s="1"/>
  <c r="I1083" i="35"/>
  <c r="L1083" i="35" s="1"/>
  <c r="L1085" i="35"/>
  <c r="I1087" i="35"/>
  <c r="L1087" i="35" s="1"/>
  <c r="I1089" i="35"/>
  <c r="L1089" i="35" s="1"/>
  <c r="L1091" i="35"/>
  <c r="I1093" i="35"/>
  <c r="L1093" i="35" s="1"/>
  <c r="I1095" i="35"/>
  <c r="L1097" i="35"/>
  <c r="I1099" i="35"/>
  <c r="L1099" i="35" s="1"/>
  <c r="I1101" i="35"/>
  <c r="L1101" i="35" s="1"/>
  <c r="I1103" i="35"/>
  <c r="L1103" i="35" s="1"/>
  <c r="L1105" i="35"/>
  <c r="L1107" i="35"/>
  <c r="L1109" i="35"/>
  <c r="L1111" i="35"/>
  <c r="L1113" i="35"/>
  <c r="I1115" i="35"/>
  <c r="L1115" i="35" s="1"/>
  <c r="I1117" i="35"/>
  <c r="L1117" i="35" s="1"/>
  <c r="I1119" i="35"/>
  <c r="L1119" i="35" s="1"/>
  <c r="I1121" i="35"/>
  <c r="L1121" i="35" s="1"/>
  <c r="I1123" i="35"/>
  <c r="L1123" i="35" s="1"/>
  <c r="I1125" i="35"/>
  <c r="L1125" i="35" s="1"/>
  <c r="I1127" i="35"/>
  <c r="L1127" i="35" s="1"/>
  <c r="I1129" i="35"/>
  <c r="L1129" i="35" s="1"/>
  <c r="I1131" i="35"/>
  <c r="L1131" i="35" s="1"/>
  <c r="I1133" i="35"/>
  <c r="L1133" i="35" s="1"/>
  <c r="I1135" i="35"/>
  <c r="L1135" i="35" s="1"/>
  <c r="I1137" i="35"/>
  <c r="L1137" i="35" s="1"/>
  <c r="I1139" i="35"/>
  <c r="L1139" i="35" s="1"/>
  <c r="I1141" i="35"/>
  <c r="L1141" i="35" s="1"/>
  <c r="I1143" i="35"/>
  <c r="L1143" i="35" s="1"/>
  <c r="I1145" i="35"/>
  <c r="L1145" i="35" s="1"/>
  <c r="I1147" i="35"/>
  <c r="L1147" i="35" s="1"/>
  <c r="I1149" i="35"/>
  <c r="L1149" i="35" s="1"/>
  <c r="I1151" i="35"/>
  <c r="L1151" i="35" s="1"/>
  <c r="I1153" i="35"/>
  <c r="L1153" i="35" s="1"/>
  <c r="I1155" i="35"/>
  <c r="L1155" i="35" s="1"/>
  <c r="I1157" i="35"/>
  <c r="L1157" i="35" s="1"/>
  <c r="I1159" i="35"/>
  <c r="L1159" i="35" s="1"/>
  <c r="I1161" i="35"/>
  <c r="L1161" i="35" s="1"/>
  <c r="I1163" i="35"/>
  <c r="L1163" i="35" s="1"/>
  <c r="I1165" i="35"/>
  <c r="L1165" i="35" s="1"/>
  <c r="I1167" i="35"/>
  <c r="L1167" i="35" s="1"/>
  <c r="I1169" i="35"/>
  <c r="L1169" i="35" s="1"/>
  <c r="I1171" i="35"/>
  <c r="L1171" i="35" s="1"/>
  <c r="L1095" i="35" l="1"/>
  <c r="N939" i="35"/>
  <c r="L835" i="35"/>
  <c r="M873" i="35"/>
  <c r="L853" i="35"/>
  <c r="L845" i="35"/>
  <c r="I743" i="35"/>
  <c r="L743" i="35" l="1"/>
  <c r="I769" i="35"/>
  <c r="I789" i="35" l="1"/>
  <c r="I781" i="35"/>
  <c r="I783" i="35"/>
  <c r="L783" i="35" s="1"/>
  <c r="I785" i="35"/>
  <c r="L785" i="35" s="1"/>
  <c r="I791" i="35"/>
  <c r="L791" i="35" s="1"/>
  <c r="I793" i="35"/>
  <c r="I797" i="35"/>
  <c r="L797" i="35" s="1"/>
  <c r="I801" i="35"/>
  <c r="L801" i="35" s="1"/>
  <c r="I803" i="35"/>
  <c r="I805" i="35"/>
  <c r="I809" i="35"/>
  <c r="L787" i="35"/>
  <c r="L789" i="35"/>
  <c r="L793" i="35"/>
  <c r="L795" i="35"/>
  <c r="L799" i="35"/>
  <c r="L803" i="35"/>
  <c r="L805" i="35"/>
  <c r="L807" i="35"/>
  <c r="L811" i="35"/>
  <c r="L779" i="35"/>
  <c r="L781" i="35"/>
  <c r="I771" i="35"/>
  <c r="I777" i="35"/>
  <c r="I775" i="35"/>
  <c r="L809" i="35" l="1"/>
  <c r="M140" i="22"/>
  <c r="M138" i="22"/>
  <c r="M136" i="22"/>
  <c r="M134" i="22"/>
  <c r="M132" i="22"/>
  <c r="M130" i="22"/>
  <c r="M128" i="22"/>
  <c r="I128" i="22"/>
  <c r="M126" i="22"/>
  <c r="I126" i="22"/>
  <c r="M124" i="22"/>
  <c r="I124" i="22"/>
  <c r="M122" i="22"/>
  <c r="L122" i="22"/>
  <c r="I122" i="22"/>
  <c r="M120" i="22"/>
  <c r="I120" i="22"/>
  <c r="M118" i="22"/>
  <c r="I118" i="22"/>
  <c r="M116" i="22"/>
  <c r="M114" i="22"/>
  <c r="M112" i="22"/>
  <c r="M110" i="22"/>
  <c r="M108" i="22"/>
  <c r="I108" i="22"/>
  <c r="M106" i="22"/>
  <c r="I106" i="22"/>
  <c r="M104" i="22"/>
  <c r="M102" i="22"/>
  <c r="I102" i="22"/>
  <c r="M100" i="22"/>
  <c r="M98" i="22"/>
  <c r="M96" i="22"/>
  <c r="M94" i="22"/>
  <c r="M92" i="22"/>
  <c r="M90" i="22"/>
  <c r="M88" i="22"/>
  <c r="M86" i="22"/>
  <c r="I86" i="22"/>
  <c r="M84" i="22"/>
  <c r="M82" i="22"/>
  <c r="I82" i="22"/>
  <c r="M80" i="22"/>
  <c r="I80" i="22"/>
  <c r="M78" i="22"/>
  <c r="M76" i="22"/>
  <c r="M74" i="22"/>
  <c r="M72" i="22"/>
  <c r="M70" i="22"/>
  <c r="M68" i="22"/>
  <c r="M65" i="22"/>
  <c r="I65" i="22"/>
  <c r="M63" i="22"/>
  <c r="I63" i="22"/>
  <c r="M61" i="22"/>
  <c r="I61" i="22"/>
  <c r="M59" i="22"/>
  <c r="I59" i="22"/>
  <c r="M57" i="22"/>
  <c r="I57" i="22"/>
  <c r="M55" i="22"/>
  <c r="I55" i="22"/>
  <c r="M53" i="22"/>
  <c r="I53" i="22"/>
  <c r="M51" i="22"/>
  <c r="L51" i="22"/>
  <c r="M49" i="22"/>
  <c r="I49" i="22"/>
  <c r="M47" i="22"/>
  <c r="I47" i="22"/>
  <c r="M45" i="22"/>
  <c r="L45" i="22"/>
  <c r="I45" i="22"/>
  <c r="M43" i="22"/>
  <c r="I43" i="22"/>
  <c r="M41" i="22"/>
  <c r="M39" i="22"/>
  <c r="L39" i="22"/>
  <c r="M37" i="22"/>
  <c r="L37" i="22"/>
  <c r="M35" i="22"/>
  <c r="L35" i="22"/>
  <c r="I35" i="22"/>
  <c r="M33" i="22"/>
  <c r="L33" i="22"/>
  <c r="M31" i="22"/>
  <c r="L31" i="22"/>
  <c r="M29" i="22"/>
  <c r="L29" i="22"/>
  <c r="M27" i="22"/>
  <c r="M25" i="22"/>
  <c r="L25" i="22"/>
  <c r="M22" i="22"/>
  <c r="L22" i="22"/>
  <c r="M20" i="22"/>
  <c r="I20" i="22"/>
  <c r="N24" i="22" s="1"/>
  <c r="M18" i="22"/>
  <c r="L18" i="22"/>
  <c r="M16" i="22"/>
  <c r="L16" i="22"/>
  <c r="M14" i="22"/>
  <c r="L14" i="22"/>
  <c r="N27" i="22" l="1"/>
  <c r="N67" i="22"/>
  <c r="N72" i="22" s="1"/>
  <c r="N69" i="22"/>
  <c r="N30" i="22"/>
  <c r="M12" i="22"/>
  <c r="I12" i="22"/>
  <c r="M10" i="22"/>
  <c r="I10" i="22"/>
  <c r="L10" i="22" s="1"/>
  <c r="M8" i="22"/>
  <c r="I8" i="22"/>
  <c r="N2" i="22" s="1"/>
  <c r="M1025" i="27" s="1"/>
  <c r="M6" i="22"/>
  <c r="M3" i="22"/>
  <c r="I1025" i="27"/>
  <c r="M1023" i="27" s="1"/>
  <c r="I1023" i="27"/>
  <c r="K1021" i="27"/>
  <c r="M1021" i="27" s="1"/>
  <c r="I1021" i="27"/>
  <c r="I1019" i="27"/>
  <c r="L1018" i="27"/>
  <c r="L1016" i="27"/>
  <c r="I1016" i="27"/>
  <c r="M1016" i="27" s="1"/>
  <c r="L1014" i="27"/>
  <c r="I1014" i="27"/>
  <c r="M1014" i="27" s="1"/>
  <c r="L1012" i="27"/>
  <c r="I1012" i="27"/>
  <c r="I1010" i="27"/>
  <c r="L1008" i="27"/>
  <c r="I1008" i="27"/>
  <c r="M1008" i="27" s="1"/>
  <c r="L1006" i="27"/>
  <c r="I1006" i="27"/>
  <c r="M1006" i="27" s="1"/>
  <c r="I1004" i="27"/>
  <c r="M1000" i="27" s="1"/>
  <c r="L1000" i="27"/>
  <c r="I1000" i="27"/>
  <c r="L998" i="27"/>
  <c r="I998" i="27"/>
  <c r="M996" i="27" s="1"/>
  <c r="I996" i="27"/>
  <c r="I994" i="27"/>
  <c r="I992" i="27"/>
  <c r="L990" i="27"/>
  <c r="I990" i="27"/>
  <c r="L988" i="27"/>
  <c r="I988" i="27"/>
  <c r="I986" i="27"/>
  <c r="I984" i="27"/>
  <c r="L982" i="27"/>
  <c r="I982" i="27"/>
  <c r="M982" i="27" s="1"/>
  <c r="M980" i="27"/>
  <c r="M978" i="27"/>
  <c r="M976" i="27" s="1"/>
  <c r="I976" i="27"/>
  <c r="I974" i="27"/>
  <c r="I972" i="27"/>
  <c r="I970" i="27"/>
  <c r="M968" i="27" s="1"/>
  <c r="I968" i="27"/>
  <c r="I966" i="27"/>
  <c r="L964" i="27"/>
  <c r="I964" i="27"/>
  <c r="M964" i="27" s="1"/>
  <c r="L962" i="27"/>
  <c r="I962" i="27"/>
  <c r="M962" i="27" s="1"/>
  <c r="L960" i="27"/>
  <c r="I960" i="27"/>
  <c r="I958" i="27"/>
  <c r="M956" i="27" s="1"/>
  <c r="I956" i="27"/>
  <c r="L954" i="27"/>
  <c r="I954" i="27"/>
  <c r="I952" i="27"/>
  <c r="M950" i="27" s="1"/>
  <c r="I950" i="27"/>
  <c r="I948" i="27"/>
  <c r="M946" i="27" s="1"/>
  <c r="I946" i="27"/>
  <c r="L944" i="27"/>
  <c r="I944" i="27"/>
  <c r="I942" i="27"/>
  <c r="K940" i="27"/>
  <c r="I940" i="27"/>
  <c r="L938" i="27"/>
  <c r="I938" i="27"/>
  <c r="M938" i="27" s="1"/>
  <c r="I933" i="27"/>
  <c r="I929" i="27"/>
  <c r="M927" i="27" s="1"/>
  <c r="I927" i="27"/>
  <c r="I925" i="27"/>
  <c r="N937" i="27" s="1"/>
  <c r="M933" i="27" s="1"/>
  <c r="L923" i="27"/>
  <c r="I923" i="27"/>
  <c r="M923" i="27" s="1"/>
  <c r="I921" i="27"/>
  <c r="M921" i="27" s="1"/>
  <c r="L919" i="27"/>
  <c r="I919" i="27"/>
  <c r="I917" i="27"/>
  <c r="M915" i="27"/>
  <c r="L913" i="27"/>
  <c r="I913" i="27"/>
  <c r="M913" i="27" s="1"/>
  <c r="M911" i="27"/>
  <c r="I909" i="27"/>
  <c r="I907" i="27"/>
  <c r="L905" i="27"/>
  <c r="I905" i="27"/>
  <c r="M905" i="27" s="1"/>
  <c r="I903" i="27"/>
  <c r="I899" i="27"/>
  <c r="L897" i="27"/>
  <c r="I897" i="27"/>
  <c r="M897" i="27" s="1"/>
  <c r="L895" i="27"/>
  <c r="I895" i="27"/>
  <c r="M895" i="27" s="1"/>
  <c r="I893" i="27"/>
  <c r="I891" i="27"/>
  <c r="I889" i="27"/>
  <c r="L887" i="27"/>
  <c r="K885" i="27"/>
  <c r="M885" i="27" s="1"/>
  <c r="I885" i="27"/>
  <c r="I883" i="27"/>
  <c r="I879" i="27"/>
  <c r="I877" i="27"/>
  <c r="M875" i="27" s="1"/>
  <c r="I875" i="27"/>
  <c r="I873" i="27"/>
  <c r="I871" i="27"/>
  <c r="I869" i="27"/>
  <c r="M867" i="27" s="1"/>
  <c r="K867" i="27"/>
  <c r="I867" i="27"/>
  <c r="I863" i="27"/>
  <c r="M863" i="27" s="1"/>
  <c r="M856" i="27"/>
  <c r="I856" i="27"/>
  <c r="M854" i="27"/>
  <c r="L854" i="27"/>
  <c r="I854" i="27"/>
  <c r="M852" i="27"/>
  <c r="I852" i="27"/>
  <c r="M850" i="27"/>
  <c r="I850" i="27"/>
  <c r="M848" i="27"/>
  <c r="M846" i="27"/>
  <c r="I846" i="27"/>
  <c r="M844" i="27"/>
  <c r="I844" i="27"/>
  <c r="M842" i="27"/>
  <c r="I842" i="27"/>
  <c r="M840" i="27"/>
  <c r="I840" i="27"/>
  <c r="M836" i="27"/>
  <c r="I836" i="27"/>
  <c r="M834" i="27"/>
  <c r="I834" i="27"/>
  <c r="M832" i="27"/>
  <c r="L832" i="27"/>
  <c r="I832" i="27"/>
  <c r="M830" i="27"/>
  <c r="L830" i="27"/>
  <c r="I830" i="27"/>
  <c r="M828" i="27"/>
  <c r="I828" i="27"/>
  <c r="M826" i="27"/>
  <c r="I826" i="27"/>
  <c r="M824" i="27"/>
  <c r="I824" i="27"/>
  <c r="M822" i="27"/>
  <c r="L822" i="27"/>
  <c r="I822" i="27"/>
  <c r="M820" i="27"/>
  <c r="I820" i="27"/>
  <c r="M818" i="27"/>
  <c r="I818" i="27"/>
  <c r="M816" i="27"/>
  <c r="M814" i="27"/>
  <c r="I814" i="27"/>
  <c r="M812" i="27"/>
  <c r="I812" i="27"/>
  <c r="M810" i="27"/>
  <c r="I810" i="27"/>
  <c r="M808" i="27"/>
  <c r="I808" i="27"/>
  <c r="M806" i="27"/>
  <c r="I806" i="27"/>
  <c r="M804" i="27"/>
  <c r="I804" i="27"/>
  <c r="M802" i="27"/>
  <c r="L802" i="27"/>
  <c r="I802" i="27"/>
  <c r="M800" i="27"/>
  <c r="I800" i="27"/>
  <c r="M798" i="27"/>
  <c r="I798" i="27"/>
  <c r="M796" i="27"/>
  <c r="M794" i="27"/>
  <c r="I794" i="27"/>
  <c r="M792" i="27"/>
  <c r="I792" i="27"/>
  <c r="M790" i="27"/>
  <c r="L790" i="27"/>
  <c r="I790" i="27"/>
  <c r="M788" i="27"/>
  <c r="L788" i="27"/>
  <c r="I788" i="27"/>
  <c r="M786" i="27"/>
  <c r="L786" i="27"/>
  <c r="I786" i="27"/>
  <c r="M784" i="27"/>
  <c r="I784" i="27"/>
  <c r="M782" i="27"/>
  <c r="I782" i="27"/>
  <c r="K780" i="27"/>
  <c r="I780" i="27"/>
  <c r="M778" i="27"/>
  <c r="M776" i="27"/>
  <c r="I776" i="27"/>
  <c r="M774" i="27"/>
  <c r="L774" i="27"/>
  <c r="I774" i="27"/>
  <c r="M772" i="27"/>
  <c r="M770" i="27"/>
  <c r="M768" i="27"/>
  <c r="I768" i="27"/>
  <c r="M766" i="27"/>
  <c r="I766" i="27"/>
  <c r="M764" i="27"/>
  <c r="L764" i="27"/>
  <c r="I764" i="27"/>
  <c r="K762" i="27"/>
  <c r="M760" i="27"/>
  <c r="I760" i="27"/>
  <c r="M756" i="27"/>
  <c r="M754" i="27"/>
  <c r="I754" i="27"/>
  <c r="N758" i="27" s="1"/>
  <c r="M752" i="27"/>
  <c r="L752" i="27"/>
  <c r="I752" i="27"/>
  <c r="M750" i="27"/>
  <c r="I750" i="27"/>
  <c r="M748" i="27"/>
  <c r="I748" i="27"/>
  <c r="M746" i="27"/>
  <c r="I746" i="27"/>
  <c r="M744" i="27"/>
  <c r="I744" i="27"/>
  <c r="M742" i="27"/>
  <c r="L742" i="27"/>
  <c r="I742" i="27"/>
  <c r="M740" i="27"/>
  <c r="I740" i="27"/>
  <c r="M738" i="27"/>
  <c r="L738" i="27"/>
  <c r="M736" i="27"/>
  <c r="M734" i="27"/>
  <c r="M732" i="27"/>
  <c r="M730" i="27"/>
  <c r="M728" i="27"/>
  <c r="I728" i="27"/>
  <c r="M726" i="27"/>
  <c r="M724" i="27"/>
  <c r="M722" i="27"/>
  <c r="I722" i="27"/>
  <c r="M720" i="27"/>
  <c r="I720" i="27"/>
  <c r="M718" i="27"/>
  <c r="I718" i="27"/>
  <c r="M716" i="27"/>
  <c r="I716" i="27"/>
  <c r="M714" i="27"/>
  <c r="I714" i="27"/>
  <c r="M712" i="27"/>
  <c r="I712" i="27"/>
  <c r="M710" i="27"/>
  <c r="I710" i="27"/>
  <c r="M708" i="27"/>
  <c r="I708" i="27"/>
  <c r="I706" i="27"/>
  <c r="M704" i="27"/>
  <c r="I704" i="27"/>
  <c r="M702" i="27"/>
  <c r="M700" i="27"/>
  <c r="I700" i="27"/>
  <c r="M698" i="27"/>
  <c r="M696" i="27"/>
  <c r="I696" i="27"/>
  <c r="M694" i="27"/>
  <c r="M692" i="27"/>
  <c r="I692" i="27"/>
  <c r="M690" i="27"/>
  <c r="I690" i="27"/>
  <c r="M688" i="27"/>
  <c r="M686" i="27"/>
  <c r="M684" i="27"/>
  <c r="M682" i="27"/>
  <c r="M680" i="27"/>
  <c r="I680" i="27"/>
  <c r="M678" i="27"/>
  <c r="I678" i="27"/>
  <c r="M676" i="27"/>
  <c r="I676" i="27"/>
  <c r="I674" i="27"/>
  <c r="M672" i="27"/>
  <c r="I672" i="27"/>
  <c r="M670" i="27"/>
  <c r="L670" i="27"/>
  <c r="I670" i="27"/>
  <c r="M668" i="27"/>
  <c r="I668" i="27"/>
  <c r="M666" i="27"/>
  <c r="I666" i="27"/>
  <c r="N665" i="27"/>
  <c r="M664" i="27"/>
  <c r="N662" i="27"/>
  <c r="M662" i="27"/>
  <c r="L662" i="27"/>
  <c r="I662" i="27"/>
  <c r="M659" i="27"/>
  <c r="I659" i="27"/>
  <c r="M657" i="27"/>
  <c r="I657" i="27"/>
  <c r="M655" i="27"/>
  <c r="I655" i="27"/>
  <c r="N661" i="27" s="1"/>
  <c r="M653" i="27"/>
  <c r="I653" i="27"/>
  <c r="M651" i="27"/>
  <c r="I651" i="27"/>
  <c r="M649" i="27"/>
  <c r="I649" i="27"/>
  <c r="M647" i="27"/>
  <c r="M645" i="27"/>
  <c r="I645" i="27"/>
  <c r="M643" i="27"/>
  <c r="I643" i="27"/>
  <c r="M641" i="27"/>
  <c r="I641" i="27"/>
  <c r="M639" i="27"/>
  <c r="I639" i="27"/>
  <c r="M637" i="27"/>
  <c r="L637" i="27"/>
  <c r="I637" i="27"/>
  <c r="M635" i="27"/>
  <c r="L635" i="27"/>
  <c r="I635" i="27" s="1"/>
  <c r="H635" i="27"/>
  <c r="M633" i="27"/>
  <c r="I633" i="27"/>
  <c r="M631" i="27"/>
  <c r="L631" i="27"/>
  <c r="I631" i="27"/>
  <c r="M629" i="27"/>
  <c r="I629" i="27"/>
  <c r="M627" i="27"/>
  <c r="I627" i="27"/>
  <c r="M625" i="27"/>
  <c r="I625" i="27"/>
  <c r="M623" i="27"/>
  <c r="L623" i="27"/>
  <c r="I623" i="27"/>
  <c r="M621" i="27"/>
  <c r="L621" i="27"/>
  <c r="I621" i="27"/>
  <c r="M619" i="27"/>
  <c r="I619" i="27"/>
  <c r="M617" i="27"/>
  <c r="I617" i="27"/>
  <c r="M615" i="27"/>
  <c r="I615" i="27"/>
  <c r="M613" i="27"/>
  <c r="I613" i="27"/>
  <c r="M611" i="27"/>
  <c r="M609" i="27"/>
  <c r="I609" i="27"/>
  <c r="M607" i="27"/>
  <c r="M605" i="27"/>
  <c r="M603" i="27"/>
  <c r="L603" i="27"/>
  <c r="I603" i="27"/>
  <c r="M601" i="27"/>
  <c r="I601" i="27"/>
  <c r="M599" i="27"/>
  <c r="I599" i="27"/>
  <c r="M597" i="27"/>
  <c r="I597" i="27"/>
  <c r="M595" i="27"/>
  <c r="I595" i="27"/>
  <c r="M593" i="27"/>
  <c r="I593" i="27"/>
  <c r="M591" i="27"/>
  <c r="I591" i="27"/>
  <c r="M589" i="27"/>
  <c r="L589" i="27"/>
  <c r="I589" i="27"/>
  <c r="M587" i="27"/>
  <c r="L587" i="27"/>
  <c r="I587" i="27"/>
  <c r="M585" i="27"/>
  <c r="I585" i="27"/>
  <c r="M583" i="27"/>
  <c r="M581" i="27"/>
  <c r="I581" i="27"/>
  <c r="M579" i="27"/>
  <c r="I579" i="27"/>
  <c r="M577" i="27"/>
  <c r="I577" i="27"/>
  <c r="M575" i="27"/>
  <c r="L575" i="27"/>
  <c r="I575" i="27"/>
  <c r="M573" i="27"/>
  <c r="I573" i="27"/>
  <c r="I571" i="27"/>
  <c r="M569" i="27"/>
  <c r="L569" i="27"/>
  <c r="I569" i="27"/>
  <c r="M567" i="27"/>
  <c r="L567" i="27"/>
  <c r="I567" i="27"/>
  <c r="M565" i="27"/>
  <c r="L565" i="27"/>
  <c r="I565" i="27"/>
  <c r="M563" i="27"/>
  <c r="I563" i="27"/>
  <c r="M561" i="27"/>
  <c r="I561" i="27"/>
  <c r="N556" i="27" s="1"/>
  <c r="L559" i="27"/>
  <c r="H559" i="27"/>
  <c r="M559" i="27" s="1"/>
  <c r="M557" i="27"/>
  <c r="I557" i="27"/>
  <c r="M554" i="27"/>
  <c r="M552" i="27"/>
  <c r="M550" i="27"/>
  <c r="M548" i="27"/>
  <c r="I548" i="27"/>
  <c r="E548" i="27"/>
  <c r="M546" i="27"/>
  <c r="L546" i="27"/>
  <c r="I546" i="27"/>
  <c r="M544" i="27"/>
  <c r="I544" i="27"/>
  <c r="M542" i="27"/>
  <c r="I542" i="27"/>
  <c r="M540" i="27"/>
  <c r="L540" i="27"/>
  <c r="I540" i="27"/>
  <c r="M538" i="27"/>
  <c r="I538" i="27"/>
  <c r="M536" i="27"/>
  <c r="I536" i="27"/>
  <c r="M534" i="27"/>
  <c r="L534" i="27"/>
  <c r="I534" i="27"/>
  <c r="M532" i="27"/>
  <c r="L532" i="27"/>
  <c r="I532" i="27"/>
  <c r="M530" i="27"/>
  <c r="I530" i="27"/>
  <c r="M528" i="27"/>
  <c r="I528" i="27"/>
  <c r="M526" i="27"/>
  <c r="I526" i="27"/>
  <c r="M524" i="27"/>
  <c r="I524" i="27"/>
  <c r="M522" i="27"/>
  <c r="M520" i="27"/>
  <c r="I520" i="27"/>
  <c r="M518" i="27"/>
  <c r="I518" i="27"/>
  <c r="M516" i="27"/>
  <c r="L516" i="27" s="1"/>
  <c r="K516" i="27"/>
  <c r="I516" i="27"/>
  <c r="M514" i="27"/>
  <c r="I514" i="27"/>
  <c r="M512" i="27"/>
  <c r="I512" i="27"/>
  <c r="M510" i="27"/>
  <c r="I510" i="27"/>
  <c r="M508" i="27"/>
  <c r="I508" i="27"/>
  <c r="M506" i="27"/>
  <c r="M504" i="27"/>
  <c r="I504" i="27"/>
  <c r="M502" i="27"/>
  <c r="I502" i="27"/>
  <c r="N500" i="27"/>
  <c r="M500" i="27"/>
  <c r="L500" i="27"/>
  <c r="I500" i="27"/>
  <c r="M498" i="27"/>
  <c r="L498" i="27"/>
  <c r="I498" i="27"/>
  <c r="M496" i="27"/>
  <c r="L496" i="27"/>
  <c r="I496" i="27"/>
  <c r="M494" i="27"/>
  <c r="L494" i="27"/>
  <c r="I494" i="27"/>
  <c r="M490" i="27"/>
  <c r="I490" i="27"/>
  <c r="M488" i="27"/>
  <c r="I488" i="27"/>
  <c r="M486" i="27"/>
  <c r="I486" i="27"/>
  <c r="M484" i="27"/>
  <c r="I484" i="27"/>
  <c r="K482" i="27"/>
  <c r="M482" i="27" s="1"/>
  <c r="L482" i="27" s="1"/>
  <c r="I482" i="27"/>
  <c r="M480" i="27"/>
  <c r="I480" i="27"/>
  <c r="M478" i="27"/>
  <c r="I478" i="27"/>
  <c r="M476" i="27"/>
  <c r="I476" i="27"/>
  <c r="M474" i="27"/>
  <c r="L474" i="27"/>
  <c r="K472" i="27"/>
  <c r="M472" i="27" s="1"/>
  <c r="H472" i="27"/>
  <c r="M470" i="27"/>
  <c r="I470" i="27"/>
  <c r="M468" i="27"/>
  <c r="M466" i="27"/>
  <c r="L466" i="27"/>
  <c r="I466" i="27"/>
  <c r="M464" i="27"/>
  <c r="I464" i="27"/>
  <c r="M462" i="27"/>
  <c r="L462" i="27"/>
  <c r="I462" i="27"/>
  <c r="M460" i="27"/>
  <c r="L460" i="27"/>
  <c r="I460" i="27"/>
  <c r="M458" i="27"/>
  <c r="I458" i="27"/>
  <c r="M456" i="27"/>
  <c r="I456" i="27"/>
  <c r="M454" i="27"/>
  <c r="I454" i="27"/>
  <c r="M452" i="27"/>
  <c r="I452" i="27"/>
  <c r="M450" i="27"/>
  <c r="I450" i="27"/>
  <c r="M448" i="27"/>
  <c r="I448" i="27"/>
  <c r="M446" i="27"/>
  <c r="L446" i="27"/>
  <c r="I446" i="27"/>
  <c r="M444" i="27"/>
  <c r="I444" i="27"/>
  <c r="M442" i="27"/>
  <c r="L442" i="27"/>
  <c r="I442" i="27"/>
  <c r="M440" i="27"/>
  <c r="I440" i="27"/>
  <c r="M438" i="27"/>
  <c r="L438" i="27"/>
  <c r="I438" i="27"/>
  <c r="M436" i="27"/>
  <c r="I436" i="27"/>
  <c r="M434" i="27"/>
  <c r="L434" i="27"/>
  <c r="I434" i="27"/>
  <c r="K432" i="27"/>
  <c r="I432" i="27"/>
  <c r="M430" i="27"/>
  <c r="M428" i="27"/>
  <c r="I428" i="27"/>
  <c r="M426" i="27"/>
  <c r="M424" i="27"/>
  <c r="L424" i="27"/>
  <c r="I424" i="27"/>
  <c r="M422" i="27"/>
  <c r="L422" i="27"/>
  <c r="I422" i="27"/>
  <c r="M420" i="27"/>
  <c r="L420" i="27"/>
  <c r="I420" i="27"/>
  <c r="M418" i="27"/>
  <c r="L418" i="27"/>
  <c r="I418" i="27"/>
  <c r="M416" i="27"/>
  <c r="N386" i="27" s="1"/>
  <c r="L416" i="27"/>
  <c r="I416" i="27"/>
  <c r="M414" i="27"/>
  <c r="M412" i="27"/>
  <c r="L412" i="27"/>
  <c r="I412" i="27"/>
  <c r="M410" i="27"/>
  <c r="L410" i="27"/>
  <c r="I410" i="27"/>
  <c r="M408" i="27"/>
  <c r="L408" i="27"/>
  <c r="I408" i="27"/>
  <c r="M406" i="27"/>
  <c r="L406" i="27"/>
  <c r="I406" i="27"/>
  <c r="M404" i="27"/>
  <c r="I404" i="27"/>
  <c r="M402" i="27"/>
  <c r="L402" i="27"/>
  <c r="I402" i="27"/>
  <c r="M400" i="27"/>
  <c r="L400" i="27"/>
  <c r="I400" i="27"/>
  <c r="M398" i="27"/>
  <c r="I398" i="27"/>
  <c r="M396" i="27"/>
  <c r="I396" i="27"/>
  <c r="M394" i="27"/>
  <c r="I394" i="27"/>
  <c r="M392" i="27"/>
  <c r="I392" i="27"/>
  <c r="M390" i="27"/>
  <c r="I390" i="27"/>
  <c r="I388" i="27"/>
  <c r="I386" i="27"/>
  <c r="I384" i="27"/>
  <c r="M382" i="27"/>
  <c r="L382" i="27"/>
  <c r="I382" i="27"/>
  <c r="M380" i="27"/>
  <c r="L380" i="27"/>
  <c r="I380" i="27"/>
  <c r="M378" i="27"/>
  <c r="I378" i="27"/>
  <c r="M376" i="27"/>
  <c r="L376" i="27"/>
  <c r="I376" i="27"/>
  <c r="M373" i="27"/>
  <c r="M371" i="27"/>
  <c r="M369" i="27"/>
  <c r="M367" i="27"/>
  <c r="I367" i="27"/>
  <c r="M365" i="27"/>
  <c r="M363" i="27"/>
  <c r="I363" i="27"/>
  <c r="M361" i="27"/>
  <c r="L361" i="27"/>
  <c r="I361" i="27"/>
  <c r="M359" i="27"/>
  <c r="I359" i="27"/>
  <c r="M357" i="27"/>
  <c r="I357" i="27"/>
  <c r="I355" i="27"/>
  <c r="M353" i="27"/>
  <c r="I353" i="27"/>
  <c r="M351" i="27"/>
  <c r="I351" i="27"/>
  <c r="M349" i="27"/>
  <c r="I349" i="27"/>
  <c r="M347" i="27"/>
  <c r="I347" i="27"/>
  <c r="M345" i="27"/>
  <c r="L345" i="27"/>
  <c r="I345" i="27"/>
  <c r="M343" i="27"/>
  <c r="M341" i="27"/>
  <c r="I339" i="27"/>
  <c r="L339" i="27" s="1"/>
  <c r="M337" i="27"/>
  <c r="M335" i="27"/>
  <c r="I335" i="27"/>
  <c r="M333" i="27"/>
  <c r="I333" i="27"/>
  <c r="M331" i="27"/>
  <c r="I331" i="27"/>
  <c r="M327" i="27"/>
  <c r="I327" i="27"/>
  <c r="M325" i="27"/>
  <c r="I325" i="27"/>
  <c r="M323" i="27"/>
  <c r="L323" i="27"/>
  <c r="M321" i="27"/>
  <c r="L321" i="27"/>
  <c r="M319" i="27"/>
  <c r="I319" i="27"/>
  <c r="N314" i="27" s="1"/>
  <c r="N317" i="27"/>
  <c r="M315" i="27"/>
  <c r="M312" i="27"/>
  <c r="L312" i="27"/>
  <c r="I312" i="27"/>
  <c r="M310" i="27"/>
  <c r="I310" i="27"/>
  <c r="M308" i="27"/>
  <c r="I308" i="27"/>
  <c r="M306" i="27"/>
  <c r="I306" i="27"/>
  <c r="I304" i="27"/>
  <c r="M302" i="27"/>
  <c r="I302" i="27"/>
  <c r="M300" i="27"/>
  <c r="I300" i="27"/>
  <c r="M298" i="27"/>
  <c r="I298" i="27"/>
  <c r="M296" i="27"/>
  <c r="L296" i="27"/>
  <c r="I296" i="27"/>
  <c r="M294" i="27"/>
  <c r="L294" i="27"/>
  <c r="I294" i="27"/>
  <c r="M292" i="27"/>
  <c r="L292" i="27"/>
  <c r="I292" i="27"/>
  <c r="M290" i="27"/>
  <c r="I290" i="27"/>
  <c r="M288" i="27"/>
  <c r="I288" i="27"/>
  <c r="M286" i="27"/>
  <c r="I286" i="27"/>
  <c r="M284" i="27"/>
  <c r="I284" i="27"/>
  <c r="M282" i="27"/>
  <c r="I282" i="27"/>
  <c r="M280" i="27"/>
  <c r="I280" i="27"/>
  <c r="M278" i="27"/>
  <c r="I278" i="27"/>
  <c r="M276" i="27"/>
  <c r="I276" i="27"/>
  <c r="M274" i="27"/>
  <c r="I274" i="27"/>
  <c r="M272" i="27"/>
  <c r="I272" i="27"/>
  <c r="M270" i="27"/>
  <c r="I270" i="27"/>
  <c r="I268" i="27"/>
  <c r="M266" i="27"/>
  <c r="L266" i="27"/>
  <c r="I266" i="27"/>
  <c r="M264" i="27"/>
  <c r="I264" i="27"/>
  <c r="M262" i="27"/>
  <c r="I262" i="27"/>
  <c r="M260" i="27"/>
  <c r="I260" i="27"/>
  <c r="M258" i="27"/>
  <c r="I258" i="27"/>
  <c r="M256" i="27"/>
  <c r="I256" i="27"/>
  <c r="M254" i="27"/>
  <c r="I254" i="27"/>
  <c r="M252" i="27"/>
  <c r="I252" i="27"/>
  <c r="M250" i="27"/>
  <c r="I250" i="27"/>
  <c r="M248" i="27"/>
  <c r="I248" i="27"/>
  <c r="M246" i="27"/>
  <c r="I246" i="27"/>
  <c r="I244" i="27"/>
  <c r="M242" i="27"/>
  <c r="I242" i="27"/>
  <c r="M240" i="27"/>
  <c r="I240" i="27"/>
  <c r="M238" i="27"/>
  <c r="I238" i="27"/>
  <c r="M236" i="27"/>
  <c r="I236" i="27"/>
  <c r="M234" i="27"/>
  <c r="I234" i="27"/>
  <c r="M232" i="27"/>
  <c r="I232" i="27"/>
  <c r="M230" i="27"/>
  <c r="I230" i="27"/>
  <c r="M228" i="27"/>
  <c r="I228" i="27"/>
  <c r="M226" i="27"/>
  <c r="I226" i="27"/>
  <c r="N225" i="27"/>
  <c r="M224" i="27"/>
  <c r="I224" i="27"/>
  <c r="M222" i="27"/>
  <c r="I222" i="27"/>
  <c r="M220" i="27"/>
  <c r="I220" i="27"/>
  <c r="M216" i="27"/>
  <c r="M214" i="27"/>
  <c r="I214" i="27"/>
  <c r="M212" i="27"/>
  <c r="I212" i="27"/>
  <c r="M210" i="27"/>
  <c r="L210" i="27"/>
  <c r="I210" i="27"/>
  <c r="M208" i="27"/>
  <c r="I208" i="27"/>
  <c r="M206" i="27"/>
  <c r="I206" i="27"/>
  <c r="M204" i="27"/>
  <c r="I204" i="27"/>
  <c r="M202" i="27"/>
  <c r="I202" i="27"/>
  <c r="M200" i="27"/>
  <c r="I200" i="27"/>
  <c r="M198" i="27"/>
  <c r="I198" i="27"/>
  <c r="M196" i="27"/>
  <c r="I196" i="27"/>
  <c r="M194" i="27"/>
  <c r="I194" i="27"/>
  <c r="M192" i="27"/>
  <c r="M190" i="27"/>
  <c r="I190" i="27"/>
  <c r="M188" i="27"/>
  <c r="M186" i="27"/>
  <c r="L186" i="27"/>
  <c r="I186" i="27"/>
  <c r="M184" i="27"/>
  <c r="L184" i="27"/>
  <c r="M182" i="27"/>
  <c r="L182" i="27"/>
  <c r="I182" i="27"/>
  <c r="M180" i="27"/>
  <c r="M178" i="27"/>
  <c r="I178" i="27"/>
  <c r="M176" i="27"/>
  <c r="I176" i="27"/>
  <c r="M174" i="27"/>
  <c r="I174" i="27"/>
  <c r="M172" i="27"/>
  <c r="I172" i="27"/>
  <c r="M170" i="27"/>
  <c r="I170" i="27"/>
  <c r="M168" i="27"/>
  <c r="I168" i="27"/>
  <c r="M166" i="27"/>
  <c r="I166" i="27"/>
  <c r="M164" i="27"/>
  <c r="I164" i="27"/>
  <c r="M162" i="27"/>
  <c r="I162" i="27"/>
  <c r="M160" i="27"/>
  <c r="I160" i="27"/>
  <c r="M158" i="27"/>
  <c r="I158" i="27"/>
  <c r="M156" i="27"/>
  <c r="I156" i="27"/>
  <c r="M154" i="27"/>
  <c r="I154" i="27"/>
  <c r="M152" i="27"/>
  <c r="I152" i="27"/>
  <c r="M150" i="27"/>
  <c r="I150" i="27"/>
  <c r="M148" i="27"/>
  <c r="M146" i="27"/>
  <c r="I146" i="27"/>
  <c r="M144" i="27"/>
  <c r="M142" i="27"/>
  <c r="I142" i="27"/>
  <c r="M140" i="27"/>
  <c r="M138" i="27"/>
  <c r="I138" i="27"/>
  <c r="M136" i="27"/>
  <c r="I136" i="27"/>
  <c r="M133" i="27"/>
  <c r="I133" i="27"/>
  <c r="M131" i="27"/>
  <c r="I131" i="27"/>
  <c r="M129" i="27"/>
  <c r="I129" i="27"/>
  <c r="M127" i="27"/>
  <c r="I127" i="27"/>
  <c r="M125" i="27"/>
  <c r="I125" i="27"/>
  <c r="M123" i="27"/>
  <c r="N138" i="27" s="1"/>
  <c r="L123" i="27"/>
  <c r="I123" i="27"/>
  <c r="M121" i="27"/>
  <c r="I121" i="27"/>
  <c r="M119" i="27"/>
  <c r="L119" i="27"/>
  <c r="I119" i="27"/>
  <c r="M117" i="27"/>
  <c r="M115" i="27"/>
  <c r="I115" i="27"/>
  <c r="M113" i="27"/>
  <c r="L113" i="27"/>
  <c r="I113" i="27"/>
  <c r="M111" i="27"/>
  <c r="M109" i="27"/>
  <c r="I109" i="27"/>
  <c r="P108" i="27"/>
  <c r="M107" i="27"/>
  <c r="I107" i="27"/>
  <c r="M105" i="27"/>
  <c r="I105" i="27"/>
  <c r="M103" i="27"/>
  <c r="M101" i="27"/>
  <c r="M99" i="27"/>
  <c r="P98" i="27"/>
  <c r="P99" i="27" s="1"/>
  <c r="M97" i="27"/>
  <c r="M95" i="27"/>
  <c r="P93" i="27"/>
  <c r="M93" i="27"/>
  <c r="M91" i="27"/>
  <c r="M89" i="27"/>
  <c r="M87" i="27"/>
  <c r="M85" i="27"/>
  <c r="M83" i="27"/>
  <c r="I83" i="27"/>
  <c r="N80" i="27" s="1"/>
  <c r="M81" i="27"/>
  <c r="M79" i="27"/>
  <c r="L79" i="27"/>
  <c r="I79" i="27"/>
  <c r="P77" i="27"/>
  <c r="M77" i="27"/>
  <c r="P75" i="27"/>
  <c r="M75" i="27"/>
  <c r="L75" i="27"/>
  <c r="M73" i="27"/>
  <c r="M71" i="27"/>
  <c r="M68" i="27"/>
  <c r="M66" i="27"/>
  <c r="I66" i="27"/>
  <c r="P65" i="27"/>
  <c r="M64" i="27"/>
  <c r="I64" i="27"/>
  <c r="M62" i="27"/>
  <c r="I62" i="27"/>
  <c r="M60" i="27"/>
  <c r="I60" i="27"/>
  <c r="M58" i="27"/>
  <c r="I58" i="27"/>
  <c r="M56" i="27"/>
  <c r="I56" i="27"/>
  <c r="M54" i="27"/>
  <c r="M52" i="27"/>
  <c r="L52" i="27"/>
  <c r="I52" i="27"/>
  <c r="M50" i="27"/>
  <c r="L50" i="27"/>
  <c r="I50" i="27"/>
  <c r="M48" i="27"/>
  <c r="I48" i="27"/>
  <c r="M46" i="27"/>
  <c r="M44" i="27"/>
  <c r="I44" i="27"/>
  <c r="P42" i="27"/>
  <c r="M42" i="27"/>
  <c r="M40" i="27"/>
  <c r="M38" i="27"/>
  <c r="I38" i="27"/>
  <c r="M36" i="27"/>
  <c r="I36" i="27"/>
  <c r="M34" i="27"/>
  <c r="I34" i="27"/>
  <c r="P32" i="27"/>
  <c r="M32" i="27"/>
  <c r="I32" i="27"/>
  <c r="M30" i="27"/>
  <c r="I30" i="27"/>
  <c r="M28" i="27"/>
  <c r="M26" i="27"/>
  <c r="M24" i="27"/>
  <c r="M22" i="27"/>
  <c r="M20" i="27"/>
  <c r="P19" i="27" s="1"/>
  <c r="P18" i="27"/>
  <c r="M18" i="27"/>
  <c r="M16" i="27"/>
  <c r="P15" i="27"/>
  <c r="P14" i="27" s="1"/>
  <c r="P21" i="27" s="1"/>
  <c r="P20" i="27" s="1"/>
  <c r="M14" i="27"/>
  <c r="P13" i="27"/>
  <c r="P12" i="27"/>
  <c r="M12" i="27"/>
  <c r="I12" i="27"/>
  <c r="M10" i="27"/>
  <c r="M8" i="27"/>
  <c r="P6" i="27"/>
  <c r="M6" i="27"/>
  <c r="I6" i="27"/>
  <c r="P4" i="27"/>
  <c r="M4" i="27"/>
  <c r="N5" i="27" s="1"/>
  <c r="N3" i="27"/>
  <c r="I1087" i="20"/>
  <c r="I1085" i="20"/>
  <c r="I1083" i="20"/>
  <c r="I1081" i="20"/>
  <c r="N218" i="27" l="1"/>
  <c r="N498" i="27"/>
  <c r="L1083" i="20"/>
  <c r="N74" i="27"/>
  <c r="N2" i="27"/>
  <c r="N135" i="27"/>
  <c r="M432" i="27"/>
  <c r="N378" i="27" s="1"/>
  <c r="I559" i="27"/>
  <c r="N492" i="27" s="1"/>
  <c r="M762" i="27"/>
  <c r="M909" i="27"/>
  <c r="M952" i="27"/>
  <c r="M958" i="27"/>
  <c r="M966" i="27"/>
  <c r="M974" i="27"/>
  <c r="M986" i="27"/>
  <c r="M1019" i="27"/>
  <c r="N860" i="27"/>
  <c r="M940" i="27"/>
  <c r="M998" i="27"/>
  <c r="M873" i="27"/>
  <c r="M883" i="27"/>
  <c r="M889" i="27"/>
  <c r="M929" i="27"/>
  <c r="M942" i="27"/>
  <c r="M970" i="27"/>
  <c r="M988" i="27"/>
  <c r="M1010" i="27"/>
  <c r="N375" i="27"/>
  <c r="M869" i="27"/>
  <c r="M877" i="27"/>
  <c r="M891" i="27"/>
  <c r="M899" i="27"/>
  <c r="M917" i="27"/>
  <c r="L1085" i="20"/>
  <c r="P43" i="27"/>
  <c r="P67" i="27"/>
  <c r="P76" i="27"/>
  <c r="P78" i="27" s="1"/>
  <c r="P79" i="27" s="1"/>
  <c r="P80" i="27" s="1"/>
  <c r="P100" i="27"/>
  <c r="L390" i="27"/>
  <c r="L394" i="27"/>
  <c r="I472" i="27"/>
  <c r="M871" i="27"/>
  <c r="M879" i="27"/>
  <c r="M893" i="27"/>
  <c r="M903" i="27"/>
  <c r="M907" i="27"/>
  <c r="M925" i="27"/>
  <c r="M944" i="27"/>
  <c r="M960" i="27"/>
  <c r="M990" i="27"/>
  <c r="L12" i="22"/>
  <c r="M919" i="27"/>
  <c r="N70" i="27"/>
  <c r="L472" i="27"/>
  <c r="E565" i="27"/>
  <c r="L1081" i="20"/>
  <c r="P23" i="27"/>
  <c r="P33" i="27"/>
  <c r="P84" i="27"/>
  <c r="L392" i="27"/>
  <c r="L396" i="27"/>
  <c r="M780" i="27"/>
  <c r="M992" i="27"/>
  <c r="M1004" i="27"/>
  <c r="M948" i="27"/>
  <c r="M954" i="27"/>
  <c r="M972" i="27"/>
  <c r="M984" i="27"/>
  <c r="M994" i="27"/>
  <c r="M1012" i="27"/>
  <c r="P2" i="22"/>
  <c r="L8" i="22"/>
  <c r="O1080" i="20"/>
  <c r="I1079" i="20"/>
  <c r="I1077" i="20"/>
  <c r="I1075" i="20"/>
  <c r="I1073" i="20"/>
  <c r="I1071" i="20"/>
  <c r="I1069" i="20"/>
  <c r="H1067" i="20"/>
  <c r="I1067" i="20" s="1"/>
  <c r="I1065" i="20"/>
  <c r="I1063" i="20"/>
  <c r="I1061" i="20"/>
  <c r="I1059" i="20"/>
  <c r="L1077" i="20" l="1"/>
  <c r="L1063" i="20"/>
  <c r="L1069" i="20"/>
  <c r="L1071" i="20"/>
  <c r="L1079" i="20"/>
  <c r="L1059" i="20"/>
  <c r="L1073" i="20"/>
  <c r="L1061" i="20"/>
  <c r="L1067" i="20"/>
  <c r="L1075" i="20"/>
  <c r="I1057" i="20"/>
  <c r="L1057" i="20" s="1"/>
  <c r="O1055" i="20" l="1"/>
  <c r="I1055" i="20"/>
  <c r="I1053" i="20"/>
  <c r="I1051" i="20"/>
  <c r="I1049" i="20"/>
  <c r="I1047" i="20"/>
  <c r="I1045" i="20"/>
  <c r="H1043" i="20"/>
  <c r="K1041" i="20"/>
  <c r="I1041" i="20"/>
  <c r="I1039" i="20"/>
  <c r="I1037" i="20"/>
  <c r="I1035" i="20"/>
  <c r="I1033" i="20"/>
  <c r="O1031" i="20"/>
  <c r="I1031" i="20"/>
  <c r="I1029" i="20"/>
  <c r="I1027" i="20"/>
  <c r="I1025" i="20"/>
  <c r="I1023" i="20"/>
  <c r="I1021" i="20"/>
  <c r="L1019" i="20" s="1"/>
  <c r="I1019" i="20"/>
  <c r="H1017" i="20"/>
  <c r="H1015" i="20"/>
  <c r="L1013" i="20" s="1"/>
  <c r="I1013" i="20"/>
  <c r="I1011" i="20"/>
  <c r="I1009" i="20"/>
  <c r="I1007" i="20"/>
  <c r="L1005" i="20" s="1"/>
  <c r="I1005" i="20"/>
  <c r="I1003" i="20"/>
  <c r="I1001" i="20"/>
  <c r="I997" i="20"/>
  <c r="I995" i="20"/>
  <c r="I993" i="20"/>
  <c r="I991" i="20"/>
  <c r="I989" i="20"/>
  <c r="I987" i="20"/>
  <c r="I985" i="20"/>
  <c r="H985" i="20"/>
  <c r="I983" i="20"/>
  <c r="I981" i="20"/>
  <c r="L979" i="20" s="1"/>
  <c r="I979" i="20"/>
  <c r="I977" i="20"/>
  <c r="L977" i="20" s="1"/>
  <c r="L1027" i="20" l="1"/>
  <c r="L1033" i="20"/>
  <c r="L1047" i="20"/>
  <c r="L1055" i="20"/>
  <c r="L981" i="20"/>
  <c r="L985" i="20"/>
  <c r="L993" i="20"/>
  <c r="L1007" i="20"/>
  <c r="I1015" i="20"/>
  <c r="L1015" i="20" s="1"/>
  <c r="L1021" i="20"/>
  <c r="L1029" i="20"/>
  <c r="L1035" i="20"/>
  <c r="L1041" i="20"/>
  <c r="L1049" i="20"/>
  <c r="L987" i="20"/>
  <c r="L995" i="20"/>
  <c r="L1009" i="20"/>
  <c r="L1023" i="20"/>
  <c r="L1031" i="20"/>
  <c r="L1037" i="20"/>
  <c r="L1051" i="20"/>
  <c r="L983" i="20"/>
  <c r="L989" i="20"/>
  <c r="L1003" i="20"/>
  <c r="L1011" i="20"/>
  <c r="L1025" i="20"/>
  <c r="L1039" i="20"/>
  <c r="L1045" i="20"/>
  <c r="L1053" i="20"/>
  <c r="M976" i="20"/>
  <c r="L975" i="20" s="1"/>
  <c r="I975" i="20"/>
  <c r="I973" i="20"/>
  <c r="I971" i="20"/>
  <c r="I969" i="20"/>
  <c r="M965" i="20"/>
  <c r="I965" i="20"/>
  <c r="I963" i="20"/>
  <c r="I961" i="20"/>
  <c r="I959" i="20"/>
  <c r="I957" i="20"/>
  <c r="L955" i="20" s="1"/>
  <c r="I955" i="20"/>
  <c r="H953" i="20"/>
  <c r="I951" i="20"/>
  <c r="I949" i="20"/>
  <c r="I947" i="20"/>
  <c r="I945" i="20"/>
  <c r="I943" i="20"/>
  <c r="I941" i="20"/>
  <c r="L941" i="20" l="1"/>
  <c r="L949" i="20"/>
  <c r="L961" i="20"/>
  <c r="L943" i="20"/>
  <c r="L951" i="20"/>
  <c r="L957" i="20"/>
  <c r="L963" i="20"/>
  <c r="L969" i="20"/>
  <c r="L945" i="20"/>
  <c r="I953" i="20"/>
  <c r="L965" i="20"/>
  <c r="L971" i="20"/>
  <c r="L947" i="20"/>
  <c r="L953" i="20"/>
  <c r="L959" i="20"/>
  <c r="L973" i="20"/>
  <c r="D1090" i="20"/>
  <c r="O939" i="20"/>
  <c r="H939" i="20"/>
  <c r="I937" i="20"/>
  <c r="I935" i="20"/>
  <c r="I933" i="20"/>
  <c r="L931" i="20" s="1"/>
  <c r="I931" i="20"/>
  <c r="I929" i="20"/>
  <c r="O928" i="20"/>
  <c r="O927" i="20"/>
  <c r="I927" i="20"/>
  <c r="L927" i="20" s="1"/>
  <c r="L923" i="20"/>
  <c r="I923" i="20"/>
  <c r="I921" i="20"/>
  <c r="L921" i="20" s="1"/>
  <c r="I919" i="20"/>
  <c r="L919" i="20" s="1"/>
  <c r="I917" i="20"/>
  <c r="I915" i="20"/>
  <c r="I913" i="20"/>
  <c r="L913" i="20" s="1"/>
  <c r="I911" i="20"/>
  <c r="L909" i="20" s="1"/>
  <c r="I909" i="20"/>
  <c r="L907" i="20" s="1"/>
  <c r="I907" i="20"/>
  <c r="I905" i="20"/>
  <c r="I903" i="20"/>
  <c r="O901" i="20"/>
  <c r="L901" i="20" s="1"/>
  <c r="I901" i="20"/>
  <c r="I899" i="20"/>
  <c r="I897" i="20"/>
  <c r="L895" i="20" s="1"/>
  <c r="I895" i="20"/>
  <c r="L893" i="20" s="1"/>
  <c r="I893" i="20"/>
  <c r="I891" i="20"/>
  <c r="I889" i="20"/>
  <c r="L887" i="20" s="1"/>
  <c r="I887" i="20"/>
  <c r="L885" i="20" s="1"/>
  <c r="I885" i="20"/>
  <c r="I883" i="20"/>
  <c r="I881" i="20"/>
  <c r="L879" i="20" s="1"/>
  <c r="I879" i="20"/>
  <c r="L877" i="20" s="1"/>
  <c r="I877" i="20"/>
  <c r="L875" i="20"/>
  <c r="I873" i="20"/>
  <c r="L871" i="20"/>
  <c r="I871" i="20"/>
  <c r="I869" i="20"/>
  <c r="I867" i="20"/>
  <c r="L863" i="20" s="1"/>
  <c r="I863" i="20"/>
  <c r="L861" i="20" s="1"/>
  <c r="I861" i="20"/>
  <c r="I859" i="20"/>
  <c r="I857" i="20"/>
  <c r="L855" i="20" s="1"/>
  <c r="I855" i="20"/>
  <c r="L853" i="20" s="1"/>
  <c r="I853" i="20"/>
  <c r="I851" i="20"/>
  <c r="I849" i="20"/>
  <c r="L847" i="20" s="1"/>
  <c r="I847" i="20"/>
  <c r="L845" i="20" s="1"/>
  <c r="I845" i="20"/>
  <c r="M843" i="20"/>
  <c r="I843" i="20"/>
  <c r="L841" i="20" s="1"/>
  <c r="I841" i="20"/>
  <c r="L839" i="20" s="1"/>
  <c r="I839" i="20"/>
  <c r="L915" i="20" l="1"/>
  <c r="L933" i="20"/>
  <c r="L849" i="20"/>
  <c r="L857" i="20"/>
  <c r="L867" i="20"/>
  <c r="L881" i="20"/>
  <c r="L889" i="20"/>
  <c r="L903" i="20"/>
  <c r="L917" i="20"/>
  <c r="L935" i="20"/>
  <c r="L851" i="20"/>
  <c r="L859" i="20"/>
  <c r="L869" i="20"/>
  <c r="L883" i="20"/>
  <c r="L891" i="20"/>
  <c r="L899" i="20"/>
  <c r="L905" i="20"/>
  <c r="L937" i="20"/>
  <c r="L843" i="20"/>
  <c r="L873" i="20"/>
  <c r="L911" i="20"/>
  <c r="I837" i="20"/>
  <c r="I835" i="20"/>
  <c r="I833" i="20"/>
  <c r="L831" i="20" s="1"/>
  <c r="I831" i="20"/>
  <c r="I829" i="20"/>
  <c r="H827" i="20"/>
  <c r="I827" i="20" s="1"/>
  <c r="M825" i="20"/>
  <c r="I825" i="20"/>
  <c r="I819" i="20"/>
  <c r="L817" i="20" s="1"/>
  <c r="I817" i="20"/>
  <c r="H815" i="20"/>
  <c r="I813" i="20"/>
  <c r="I811" i="20"/>
  <c r="L809" i="20" s="1"/>
  <c r="I809" i="20"/>
  <c r="I807" i="20"/>
  <c r="I805" i="20"/>
  <c r="I803" i="20"/>
  <c r="L801" i="20" s="1"/>
  <c r="I801" i="20"/>
  <c r="I799" i="20"/>
  <c r="I797" i="20"/>
  <c r="I795" i="20"/>
  <c r="L793" i="20" s="1"/>
  <c r="I793" i="20"/>
  <c r="I791" i="20"/>
  <c r="I789" i="20"/>
  <c r="I787" i="20"/>
  <c r="L785" i="20" s="1"/>
  <c r="I785" i="20"/>
  <c r="I783" i="20"/>
  <c r="I781" i="20"/>
  <c r="I779" i="20"/>
  <c r="L777" i="20" s="1"/>
  <c r="I777" i="20"/>
  <c r="I775" i="20"/>
  <c r="I773" i="20"/>
  <c r="I769" i="20"/>
  <c r="I767" i="20"/>
  <c r="I765" i="20"/>
  <c r="I763" i="20"/>
  <c r="I761" i="20"/>
  <c r="I759" i="20"/>
  <c r="I757" i="20"/>
  <c r="I755" i="20"/>
  <c r="I753" i="20"/>
  <c r="I751" i="20"/>
  <c r="I749" i="20"/>
  <c r="H747" i="20"/>
  <c r="I747" i="20" s="1"/>
  <c r="I745" i="20"/>
  <c r="I743" i="20"/>
  <c r="I741" i="20"/>
  <c r="I739" i="20"/>
  <c r="I737" i="20"/>
  <c r="I735" i="20"/>
  <c r="I733" i="20"/>
  <c r="L753" i="20" l="1"/>
  <c r="L761" i="20"/>
  <c r="L769" i="20"/>
  <c r="L779" i="20"/>
  <c r="L787" i="20"/>
  <c r="L795" i="20"/>
  <c r="L803" i="20"/>
  <c r="L811" i="20"/>
  <c r="M823" i="20"/>
  <c r="L819" i="20" s="1"/>
  <c r="L833" i="20"/>
  <c r="L733" i="20"/>
  <c r="L747" i="20"/>
  <c r="L755" i="20"/>
  <c r="L763" i="20"/>
  <c r="L773" i="20"/>
  <c r="L739" i="20"/>
  <c r="L741" i="20"/>
  <c r="L735" i="20"/>
  <c r="L743" i="20"/>
  <c r="L749" i="20"/>
  <c r="L757" i="20"/>
  <c r="L765" i="20"/>
  <c r="L775" i="20"/>
  <c r="L781" i="20"/>
  <c r="L789" i="20"/>
  <c r="L797" i="20"/>
  <c r="L805" i="20"/>
  <c r="L813" i="20"/>
  <c r="L827" i="20"/>
  <c r="L835" i="20"/>
  <c r="L737" i="20"/>
  <c r="L745" i="20"/>
  <c r="L751" i="20"/>
  <c r="L759" i="20"/>
  <c r="L767" i="20"/>
  <c r="L783" i="20"/>
  <c r="L791" i="20"/>
  <c r="L799" i="20"/>
  <c r="L807" i="20"/>
  <c r="L825" i="20"/>
  <c r="L829" i="20"/>
  <c r="L837" i="20"/>
  <c r="M732" i="20"/>
  <c r="I731" i="20"/>
  <c r="I727" i="20"/>
  <c r="L725" i="20" s="1"/>
  <c r="I725" i="20"/>
  <c r="I723" i="20"/>
  <c r="I721" i="20"/>
  <c r="I719" i="20"/>
  <c r="L715" i="20" s="1"/>
  <c r="I715" i="20"/>
  <c r="L713" i="20" s="1"/>
  <c r="I713" i="20"/>
  <c r="I711" i="20"/>
  <c r="I709" i="20"/>
  <c r="L707" i="20" s="1"/>
  <c r="I707" i="20"/>
  <c r="L705" i="20" s="1"/>
  <c r="I705" i="20"/>
  <c r="I703" i="20"/>
  <c r="I699" i="20"/>
  <c r="L697" i="20" s="1"/>
  <c r="I697" i="20"/>
  <c r="L695" i="20" s="1"/>
  <c r="I695" i="20"/>
  <c r="I693" i="20"/>
  <c r="I691" i="20"/>
  <c r="L689" i="20" s="1"/>
  <c r="I689" i="20"/>
  <c r="L687" i="20" s="1"/>
  <c r="I687" i="20"/>
  <c r="I685" i="20"/>
  <c r="I683" i="20"/>
  <c r="L681" i="20"/>
  <c r="I681" i="20"/>
  <c r="I677" i="20"/>
  <c r="K675" i="20"/>
  <c r="I675" i="20"/>
  <c r="L673" i="20" s="1"/>
  <c r="I673" i="20"/>
  <c r="I671" i="20"/>
  <c r="I669" i="20"/>
  <c r="L667" i="20" s="1"/>
  <c r="I667" i="20"/>
  <c r="L665" i="20" s="1"/>
  <c r="I665" i="20"/>
  <c r="I663" i="20"/>
  <c r="I661" i="20"/>
  <c r="L659" i="20" s="1"/>
  <c r="I659" i="20"/>
  <c r="L657" i="20" s="1"/>
  <c r="I657" i="20"/>
  <c r="I655" i="20"/>
  <c r="I653" i="20"/>
  <c r="L651" i="20" s="1"/>
  <c r="I651" i="20"/>
  <c r="L649" i="20" s="1"/>
  <c r="I649" i="20"/>
  <c r="I647" i="20"/>
  <c r="I645" i="20"/>
  <c r="L643" i="20" s="1"/>
  <c r="I643" i="20"/>
  <c r="I641" i="20"/>
  <c r="I639" i="20"/>
  <c r="L637" i="20" s="1"/>
  <c r="I637" i="20"/>
  <c r="L635" i="20" s="1"/>
  <c r="I635" i="20"/>
  <c r="I633" i="20"/>
  <c r="I631" i="20"/>
  <c r="L629" i="20" s="1"/>
  <c r="I629" i="20"/>
  <c r="L627" i="20" s="1"/>
  <c r="I627" i="20"/>
  <c r="I625" i="20"/>
  <c r="I623" i="20"/>
  <c r="L621" i="20" s="1"/>
  <c r="I621" i="20"/>
  <c r="L619" i="20" s="1"/>
  <c r="I619" i="20"/>
  <c r="I617" i="20"/>
  <c r="I615" i="20"/>
  <c r="L613" i="20" s="1"/>
  <c r="I613" i="20"/>
  <c r="I609" i="20"/>
  <c r="L607" i="20" s="1"/>
  <c r="I607" i="20"/>
  <c r="I605" i="20"/>
  <c r="I603" i="20"/>
  <c r="I601" i="20"/>
  <c r="I599" i="20"/>
  <c r="I597" i="20"/>
  <c r="I595" i="20"/>
  <c r="I593" i="20"/>
  <c r="L591" i="20" s="1"/>
  <c r="I591" i="20"/>
  <c r="I589" i="20"/>
  <c r="I587" i="20"/>
  <c r="I585" i="20"/>
  <c r="L581" i="20" s="1"/>
  <c r="I581" i="20"/>
  <c r="I579" i="20"/>
  <c r="I577" i="20"/>
  <c r="I575" i="20"/>
  <c r="L573" i="20" s="1"/>
  <c r="I573" i="20"/>
  <c r="I571" i="20"/>
  <c r="I569" i="20"/>
  <c r="I567" i="20"/>
  <c r="L565" i="20" s="1"/>
  <c r="I565" i="20"/>
  <c r="I563" i="20"/>
  <c r="I561" i="20"/>
  <c r="I559" i="20"/>
  <c r="L557" i="20" s="1"/>
  <c r="I557" i="20"/>
  <c r="I555" i="20"/>
  <c r="I553" i="20"/>
  <c r="I551" i="20"/>
  <c r="L549" i="20"/>
  <c r="I547" i="20"/>
  <c r="I545" i="20"/>
  <c r="I543" i="20"/>
  <c r="L541" i="20" s="1"/>
  <c r="I541" i="20"/>
  <c r="I539" i="20"/>
  <c r="I537" i="20"/>
  <c r="I535" i="20"/>
  <c r="L533" i="20" s="1"/>
  <c r="I533" i="20"/>
  <c r="I531" i="20"/>
  <c r="I529" i="20"/>
  <c r="I527" i="20"/>
  <c r="L525" i="20" s="1"/>
  <c r="I525" i="20"/>
  <c r="I523" i="20"/>
  <c r="M514" i="20" s="1"/>
  <c r="L512" i="20" s="1"/>
  <c r="I521" i="20"/>
  <c r="I519" i="20"/>
  <c r="I517" i="20"/>
  <c r="M516" i="20"/>
  <c r="I515" i="20"/>
  <c r="I512" i="20"/>
  <c r="I510" i="20"/>
  <c r="I508" i="20"/>
  <c r="I506" i="20"/>
  <c r="L504" i="20" s="1"/>
  <c r="I504" i="20"/>
  <c r="I502" i="20"/>
  <c r="I500" i="20"/>
  <c r="I498" i="20"/>
  <c r="I496" i="20"/>
  <c r="I494" i="20"/>
  <c r="I492" i="20"/>
  <c r="E492" i="20"/>
  <c r="L490" i="20" s="1"/>
  <c r="I490" i="20"/>
  <c r="I488" i="20"/>
  <c r="I486" i="20"/>
  <c r="I484" i="20"/>
  <c r="L480" i="20" s="1"/>
  <c r="I480" i="20"/>
  <c r="I478" i="20"/>
  <c r="I476" i="20"/>
  <c r="I474" i="20"/>
  <c r="E474" i="20"/>
  <c r="I472" i="20"/>
  <c r="I470" i="20"/>
  <c r="I468" i="20"/>
  <c r="L466" i="20" s="1"/>
  <c r="I466" i="20"/>
  <c r="I464" i="20"/>
  <c r="I462" i="20"/>
  <c r="I460" i="20"/>
  <c r="L458" i="20" s="1"/>
  <c r="I458" i="20"/>
  <c r="I456" i="20"/>
  <c r="E456" i="20"/>
  <c r="I454" i="20"/>
  <c r="L452" i="20" s="1"/>
  <c r="I452" i="20"/>
  <c r="I450" i="20"/>
  <c r="I448" i="20"/>
  <c r="I446" i="20"/>
  <c r="L444" i="20" s="1"/>
  <c r="I444" i="20"/>
  <c r="I442" i="20"/>
  <c r="I440" i="20"/>
  <c r="I438" i="20"/>
  <c r="I436" i="20"/>
  <c r="L436" i="20" s="1"/>
  <c r="I434" i="20"/>
  <c r="K432" i="20"/>
  <c r="I432" i="20"/>
  <c r="L432" i="20" s="1"/>
  <c r="K430" i="20"/>
  <c r="I430" i="20"/>
  <c r="L428" i="20" s="1"/>
  <c r="I428" i="20"/>
  <c r="M425" i="20" s="1"/>
  <c r="L423" i="20" s="1"/>
  <c r="I426" i="20"/>
  <c r="I423" i="20"/>
  <c r="L421" i="20" s="1"/>
  <c r="I421" i="20"/>
  <c r="I419" i="20"/>
  <c r="I415" i="20"/>
  <c r="I411" i="20"/>
  <c r="L409" i="20" s="1"/>
  <c r="I409" i="20"/>
  <c r="I407" i="20"/>
  <c r="I405" i="20"/>
  <c r="I403" i="20"/>
  <c r="L401" i="20" s="1"/>
  <c r="I401" i="20"/>
  <c r="I399" i="20"/>
  <c r="I397" i="20"/>
  <c r="I395" i="20"/>
  <c r="L391" i="20" s="1"/>
  <c r="I391" i="20"/>
  <c r="I389" i="20"/>
  <c r="I387" i="20"/>
  <c r="I385" i="20"/>
  <c r="L383" i="20" s="1"/>
  <c r="I383" i="20"/>
  <c r="I381" i="20"/>
  <c r="I377" i="20"/>
  <c r="I375" i="20"/>
  <c r="L373" i="20" s="1"/>
  <c r="I373" i="20"/>
  <c r="I371" i="20"/>
  <c r="I369" i="20"/>
  <c r="I367" i="20"/>
  <c r="L365" i="20" s="1"/>
  <c r="I365" i="20"/>
  <c r="I363" i="20"/>
  <c r="I361" i="20"/>
  <c r="M359" i="20"/>
  <c r="H359" i="20"/>
  <c r="I357" i="20"/>
  <c r="L354" i="20"/>
  <c r="L352" i="20"/>
  <c r="I352" i="20"/>
  <c r="L350" i="20"/>
  <c r="I350" i="20"/>
  <c r="L348" i="20"/>
  <c r="I348" i="20"/>
  <c r="L346" i="20"/>
  <c r="I346" i="20"/>
  <c r="L344" i="20"/>
  <c r="I344" i="20"/>
  <c r="L342" i="20"/>
  <c r="I342" i="20"/>
  <c r="L340" i="20"/>
  <c r="I340" i="20"/>
  <c r="L338" i="20"/>
  <c r="I338" i="20"/>
  <c r="L336" i="20"/>
  <c r="I336" i="20"/>
  <c r="L334" i="20"/>
  <c r="I334" i="20"/>
  <c r="L332" i="20"/>
  <c r="I332" i="20"/>
  <c r="L330" i="20"/>
  <c r="L328" i="20"/>
  <c r="I328" i="20"/>
  <c r="L326" i="20"/>
  <c r="I326" i="20"/>
  <c r="L324" i="20"/>
  <c r="I324" i="20"/>
  <c r="L322" i="20"/>
  <c r="I322" i="20"/>
  <c r="L320" i="20"/>
  <c r="I320" i="20"/>
  <c r="L318" i="20"/>
  <c r="I318" i="20"/>
  <c r="L316" i="20"/>
  <c r="I316" i="20"/>
  <c r="L314" i="20"/>
  <c r="L312" i="20"/>
  <c r="I312" i="20"/>
  <c r="L310" i="20"/>
  <c r="L308" i="20"/>
  <c r="I308" i="20"/>
  <c r="L306" i="20"/>
  <c r="I306" i="20"/>
  <c r="L304" i="20"/>
  <c r="I304" i="20"/>
  <c r="L302" i="20"/>
  <c r="I302" i="20"/>
  <c r="L300" i="20"/>
  <c r="I300" i="20"/>
  <c r="L298" i="20"/>
  <c r="I298" i="20"/>
  <c r="L296" i="20"/>
  <c r="I296" i="20"/>
  <c r="L294" i="20"/>
  <c r="I294" i="20"/>
  <c r="L292" i="20"/>
  <c r="I292" i="20"/>
  <c r="L290" i="20"/>
  <c r="I290" i="20"/>
  <c r="L288" i="20"/>
  <c r="I288" i="20"/>
  <c r="M291" i="20" s="1"/>
  <c r="L286" i="20"/>
  <c r="L284" i="20"/>
  <c r="I284" i="20"/>
  <c r="L282" i="20"/>
  <c r="I282" i="20"/>
  <c r="M285" i="20" s="1"/>
  <c r="L280" i="20"/>
  <c r="I280" i="20"/>
  <c r="L278" i="20"/>
  <c r="I278" i="20"/>
  <c r="L276" i="20"/>
  <c r="I276" i="20"/>
  <c r="L274" i="20"/>
  <c r="I274" i="20"/>
  <c r="M281" i="20" s="1"/>
  <c r="L272" i="20"/>
  <c r="I272" i="20"/>
  <c r="K270" i="20"/>
  <c r="L270" i="20" s="1"/>
  <c r="I270" i="20"/>
  <c r="L268" i="20"/>
  <c r="I268" i="20"/>
  <c r="M273" i="20" s="1"/>
  <c r="L266" i="20"/>
  <c r="I266" i="20"/>
  <c r="K264" i="20"/>
  <c r="L264" i="20" s="1"/>
  <c r="I264" i="20"/>
  <c r="M267" i="20" s="1"/>
  <c r="L262" i="20"/>
  <c r="I262" i="20"/>
  <c r="I256" i="20"/>
  <c r="I254" i="20"/>
  <c r="L252" i="20" s="1"/>
  <c r="I252" i="20"/>
  <c r="L250" i="20" s="1"/>
  <c r="I250" i="20"/>
  <c r="I248" i="20"/>
  <c r="I246" i="20"/>
  <c r="M257" i="20" s="1"/>
  <c r="L256" i="20" s="1"/>
  <c r="I244" i="20"/>
  <c r="I242" i="20"/>
  <c r="M245" i="20" s="1"/>
  <c r="L244" i="20" s="1"/>
  <c r="I240" i="20"/>
  <c r="I238" i="20"/>
  <c r="I236" i="20"/>
  <c r="I234" i="20"/>
  <c r="I232" i="20"/>
  <c r="I230" i="20"/>
  <c r="M233" i="20" s="1"/>
  <c r="L232" i="20" s="1"/>
  <c r="H228" i="20"/>
  <c r="H226" i="20"/>
  <c r="L224" i="20" s="1"/>
  <c r="I224" i="20"/>
  <c r="I222" i="20"/>
  <c r="L220" i="20" s="1"/>
  <c r="I220" i="20"/>
  <c r="M219" i="20"/>
  <c r="L218" i="20" s="1"/>
  <c r="I218" i="20"/>
  <c r="M215" i="20"/>
  <c r="L212" i="20" s="1"/>
  <c r="I212" i="20"/>
  <c r="I210" i="20"/>
  <c r="I208" i="20"/>
  <c r="L206" i="20" s="1"/>
  <c r="I206" i="20"/>
  <c r="I204" i="20"/>
  <c r="L202" i="20" s="1"/>
  <c r="I202" i="20"/>
  <c r="I200" i="20"/>
  <c r="I198" i="20"/>
  <c r="I196" i="20"/>
  <c r="I194" i="20"/>
  <c r="I192" i="20"/>
  <c r="L190" i="20"/>
  <c r="L188" i="20" s="1"/>
  <c r="I188" i="20"/>
  <c r="M191" i="20" s="1"/>
  <c r="I186" i="20"/>
  <c r="L184" i="20" s="1"/>
  <c r="I184" i="20"/>
  <c r="E184" i="20"/>
  <c r="I182" i="20"/>
  <c r="L180" i="20" s="1"/>
  <c r="I180" i="20"/>
  <c r="M183" i="20" s="1"/>
  <c r="I178" i="20"/>
  <c r="I176" i="20"/>
  <c r="L200" i="20" l="1"/>
  <c r="L208" i="20"/>
  <c r="L222" i="20"/>
  <c r="L238" i="20"/>
  <c r="L442" i="20"/>
  <c r="L450" i="20"/>
  <c r="L456" i="20"/>
  <c r="L464" i="20"/>
  <c r="L472" i="20"/>
  <c r="L478" i="20"/>
  <c r="L488" i="20"/>
  <c r="L494" i="20"/>
  <c r="L502" i="20"/>
  <c r="L510" i="20"/>
  <c r="L523" i="20"/>
  <c r="L531" i="20"/>
  <c r="L539" i="20"/>
  <c r="L547" i="20"/>
  <c r="L555" i="20"/>
  <c r="L563" i="20"/>
  <c r="L571" i="20"/>
  <c r="L579" i="20"/>
  <c r="L589" i="20"/>
  <c r="L597" i="20"/>
  <c r="L605" i="20"/>
  <c r="M211" i="20"/>
  <c r="L210" i="20" s="1"/>
  <c r="M241" i="20"/>
  <c r="L240" i="20" s="1"/>
  <c r="M297" i="20"/>
  <c r="O260" i="20" s="1"/>
  <c r="M301" i="20"/>
  <c r="E498" i="20"/>
  <c r="L496" i="20" s="1"/>
  <c r="M517" i="20"/>
  <c r="L517" i="20" s="1"/>
  <c r="L723" i="20"/>
  <c r="L196" i="20"/>
  <c r="L367" i="20"/>
  <c r="L375" i="20"/>
  <c r="L385" i="20"/>
  <c r="L395" i="20"/>
  <c r="L403" i="20"/>
  <c r="L411" i="20"/>
  <c r="L430" i="20"/>
  <c r="L182" i="20"/>
  <c r="M195" i="20"/>
  <c r="L194" i="20" s="1"/>
  <c r="L246" i="20"/>
  <c r="L599" i="20"/>
  <c r="M612" i="20"/>
  <c r="L609" i="20" s="1"/>
  <c r="L234" i="20"/>
  <c r="M263" i="20"/>
  <c r="L361" i="20"/>
  <c r="L369" i="20"/>
  <c r="L377" i="20"/>
  <c r="L387" i="20"/>
  <c r="L397" i="20"/>
  <c r="L405" i="20"/>
  <c r="L415" i="20"/>
  <c r="L438" i="20"/>
  <c r="L446" i="20"/>
  <c r="L454" i="20"/>
  <c r="L460" i="20"/>
  <c r="L468" i="20"/>
  <c r="L474" i="20"/>
  <c r="L484" i="20"/>
  <c r="L498" i="20"/>
  <c r="L506" i="20"/>
  <c r="L535" i="20"/>
  <c r="M205" i="20"/>
  <c r="L204" i="20" s="1"/>
  <c r="L645" i="20"/>
  <c r="L647" i="20"/>
  <c r="M187" i="20"/>
  <c r="L186" i="20" s="1"/>
  <c r="L254" i="20"/>
  <c r="M260" i="20"/>
  <c r="M261" i="20" s="1"/>
  <c r="L519" i="20"/>
  <c r="L527" i="20"/>
  <c r="L543" i="20"/>
  <c r="L551" i="20"/>
  <c r="L559" i="20"/>
  <c r="L567" i="20"/>
  <c r="L575" i="20"/>
  <c r="L585" i="20"/>
  <c r="L593" i="20"/>
  <c r="L601" i="20"/>
  <c r="L623" i="20"/>
  <c r="L631" i="20"/>
  <c r="L639" i="20"/>
  <c r="L653" i="20"/>
  <c r="L661" i="20"/>
  <c r="L669" i="20"/>
  <c r="L675" i="20"/>
  <c r="B1090" i="20" s="1"/>
  <c r="L683" i="20"/>
  <c r="L691" i="20"/>
  <c r="L699" i="20"/>
  <c r="L709" i="20"/>
  <c r="L719" i="20"/>
  <c r="E188" i="20"/>
  <c r="E192" i="20" s="1"/>
  <c r="E196" i="20" s="1"/>
  <c r="L192" i="20"/>
  <c r="L198" i="20"/>
  <c r="L230" i="20"/>
  <c r="L236" i="20"/>
  <c r="L242" i="20"/>
  <c r="L248" i="20"/>
  <c r="L357" i="20"/>
  <c r="L363" i="20"/>
  <c r="L371" i="20"/>
  <c r="L381" i="20"/>
  <c r="L389" i="20"/>
  <c r="L399" i="20"/>
  <c r="L407" i="20"/>
  <c r="L419" i="20"/>
  <c r="L426" i="20"/>
  <c r="L434" i="20"/>
  <c r="L440" i="20"/>
  <c r="L448" i="20"/>
  <c r="L462" i="20"/>
  <c r="L470" i="20"/>
  <c r="L476" i="20"/>
  <c r="L486" i="20"/>
  <c r="L492" i="20"/>
  <c r="L500" i="20"/>
  <c r="L508" i="20"/>
  <c r="L515" i="20"/>
  <c r="L521" i="20"/>
  <c r="L529" i="20"/>
  <c r="L537" i="20"/>
  <c r="L545" i="20"/>
  <c r="L553" i="20"/>
  <c r="L561" i="20"/>
  <c r="L569" i="20"/>
  <c r="L577" i="20"/>
  <c r="L587" i="20"/>
  <c r="L595" i="20"/>
  <c r="L603" i="20"/>
  <c r="L617" i="20"/>
  <c r="L625" i="20"/>
  <c r="L633" i="20"/>
  <c r="L641" i="20"/>
  <c r="L655" i="20"/>
  <c r="L663" i="20"/>
  <c r="L671" i="20"/>
  <c r="L677" i="20"/>
  <c r="L685" i="20"/>
  <c r="L693" i="20"/>
  <c r="L703" i="20"/>
  <c r="L711" i="20"/>
  <c r="L721" i="20"/>
  <c r="I174" i="20"/>
  <c r="M179" i="20" s="1"/>
  <c r="L178" i="20" s="1"/>
  <c r="I165" i="20"/>
  <c r="M168" i="20" s="1"/>
  <c r="I163" i="20"/>
  <c r="I161" i="20"/>
  <c r="L159" i="20" s="1"/>
  <c r="I159" i="20"/>
  <c r="I157" i="20"/>
  <c r="I155" i="20"/>
  <c r="M154" i="20"/>
  <c r="I153" i="20"/>
  <c r="I151" i="20"/>
  <c r="I149" i="20"/>
  <c r="I147" i="20"/>
  <c r="L145" i="20" s="1"/>
  <c r="I145" i="20"/>
  <c r="E145" i="20"/>
  <c r="I143" i="20"/>
  <c r="M140" i="20"/>
  <c r="L139" i="20" s="1"/>
  <c r="I139" i="20"/>
  <c r="I137" i="20"/>
  <c r="I135" i="20"/>
  <c r="I133" i="20"/>
  <c r="I131" i="20"/>
  <c r="I127" i="20"/>
  <c r="I125" i="20"/>
  <c r="M128" i="20" s="1"/>
  <c r="L127" i="20" s="1"/>
  <c r="I123" i="20"/>
  <c r="I121" i="20"/>
  <c r="I119" i="20"/>
  <c r="I117" i="20"/>
  <c r="I115" i="20"/>
  <c r="I111" i="20"/>
  <c r="M114" i="20" s="1"/>
  <c r="L111" i="20" s="1"/>
  <c r="I109" i="20"/>
  <c r="K107" i="20"/>
  <c r="L107" i="20" s="1"/>
  <c r="I107" i="20"/>
  <c r="I105" i="20"/>
  <c r="E105" i="20"/>
  <c r="I103" i="20"/>
  <c r="E103" i="20"/>
  <c r="I101" i="20"/>
  <c r="M104" i="20" s="1"/>
  <c r="L103" i="20" s="1"/>
  <c r="E101" i="20"/>
  <c r="I99" i="20"/>
  <c r="I97" i="20"/>
  <c r="I95" i="20"/>
  <c r="M100" i="20" s="1"/>
  <c r="L99" i="20" s="1"/>
  <c r="I93" i="20"/>
  <c r="I91" i="20"/>
  <c r="F88" i="20"/>
  <c r="M87" i="20"/>
  <c r="L86" i="20" s="1"/>
  <c r="I86" i="20"/>
  <c r="L84" i="20" s="1"/>
  <c r="I84" i="20"/>
  <c r="M82" i="20"/>
  <c r="I82" i="20"/>
  <c r="L80" i="20" s="1"/>
  <c r="I80" i="20"/>
  <c r="I78" i="20"/>
  <c r="I76" i="20"/>
  <c r="I74" i="20"/>
  <c r="M73" i="20"/>
  <c r="I72" i="20"/>
  <c r="E72" i="20"/>
  <c r="I70" i="20"/>
  <c r="L74" i="20" l="1"/>
  <c r="L125" i="20"/>
  <c r="L161" i="20"/>
  <c r="L70" i="20"/>
  <c r="L82" i="20"/>
  <c r="L95" i="20"/>
  <c r="L119" i="20"/>
  <c r="L155" i="20"/>
  <c r="L137" i="20"/>
  <c r="L151" i="20"/>
  <c r="L1087" i="20"/>
  <c r="C1091" i="20"/>
  <c r="M122" i="20"/>
  <c r="L121" i="20" s="1"/>
  <c r="L76" i="20"/>
  <c r="L97" i="20"/>
  <c r="L101" i="20"/>
  <c r="L115" i="20"/>
  <c r="L147" i="20"/>
  <c r="L153" i="20"/>
  <c r="M158" i="20"/>
  <c r="M164" i="20"/>
  <c r="L163" i="20" s="1"/>
  <c r="L72" i="20"/>
  <c r="L78" i="20"/>
  <c r="M94" i="20"/>
  <c r="L93" i="20" s="1"/>
  <c r="L105" i="20"/>
  <c r="M110" i="20"/>
  <c r="L109" i="20" s="1"/>
  <c r="L117" i="20"/>
  <c r="L123" i="20"/>
  <c r="L131" i="20"/>
  <c r="L135" i="20"/>
  <c r="L143" i="20"/>
  <c r="M150" i="20"/>
  <c r="L149" i="20" s="1"/>
  <c r="M83" i="20"/>
  <c r="M90" i="20"/>
  <c r="M134" i="20"/>
  <c r="L133" i="20" s="1"/>
  <c r="I68" i="20"/>
  <c r="I66" i="20"/>
  <c r="I62" i="20"/>
  <c r="E62" i="20"/>
  <c r="I60" i="20"/>
  <c r="I58" i="20"/>
  <c r="I56" i="20"/>
  <c r="I52" i="20"/>
  <c r="M51" i="20"/>
  <c r="L50" i="20" s="1"/>
  <c r="I50" i="20"/>
  <c r="I48" i="20"/>
  <c r="I46" i="20"/>
  <c r="I44" i="20"/>
  <c r="I42" i="20"/>
  <c r="I40" i="20"/>
  <c r="I38" i="20"/>
  <c r="I36" i="20"/>
  <c r="I34" i="20"/>
  <c r="I30" i="20"/>
  <c r="I28" i="20"/>
  <c r="F28" i="20"/>
  <c r="L26" i="20" s="1"/>
  <c r="I26" i="20"/>
  <c r="I24" i="20"/>
  <c r="I22" i="20"/>
  <c r="I20" i="20"/>
  <c r="I18" i="20"/>
  <c r="L20" i="20" l="1"/>
  <c r="B44" i="20"/>
  <c r="L42" i="20" s="1"/>
  <c r="M25" i="20"/>
  <c r="L24" i="20" s="1"/>
  <c r="M39" i="20"/>
  <c r="L38" i="20" s="1"/>
  <c r="L56" i="20"/>
  <c r="M63" i="20"/>
  <c r="L62" i="20" s="1"/>
  <c r="L22" i="20"/>
  <c r="L157" i="20"/>
  <c r="M29" i="20"/>
  <c r="L28" i="20" s="1"/>
  <c r="L36" i="20"/>
  <c r="L40" i="20"/>
  <c r="L46" i="20"/>
  <c r="M55" i="20"/>
  <c r="L52" i="20" s="1"/>
  <c r="L60" i="20"/>
  <c r="L66" i="20"/>
  <c r="L34" i="20"/>
  <c r="L58" i="20"/>
  <c r="M32" i="20"/>
  <c r="L30" i="20" s="1"/>
  <c r="L48" i="20"/>
  <c r="M69" i="20"/>
  <c r="L68" i="20" s="1"/>
  <c r="I16" i="20" l="1"/>
  <c r="Q15" i="20"/>
  <c r="Q14" i="20"/>
  <c r="I14" i="20"/>
  <c r="Q13" i="20"/>
  <c r="Q12" i="20"/>
  <c r="I12" i="20"/>
  <c r="E12" i="20"/>
  <c r="Q11" i="20"/>
  <c r="Q10" i="20"/>
  <c r="L10" i="20"/>
  <c r="Q9" i="20"/>
  <c r="Q8" i="20"/>
  <c r="I8" i="20"/>
  <c r="Q7" i="20"/>
  <c r="Q6" i="20"/>
  <c r="I6" i="20"/>
  <c r="Q5" i="20"/>
  <c r="I4" i="20"/>
  <c r="O3" i="20"/>
  <c r="L777" i="35"/>
  <c r="L775" i="35"/>
  <c r="L773" i="35"/>
  <c r="L771" i="35"/>
  <c r="L769" i="35"/>
  <c r="I767" i="35"/>
  <c r="L765" i="35"/>
  <c r="I763" i="35"/>
  <c r="L763" i="35" s="1"/>
  <c r="I761" i="35"/>
  <c r="L761" i="35" s="1"/>
  <c r="L759" i="35"/>
  <c r="I757" i="35"/>
  <c r="L757" i="35" s="1"/>
  <c r="I755" i="35"/>
  <c r="L755" i="35" s="1"/>
  <c r="I753" i="35"/>
  <c r="L753" i="35" s="1"/>
  <c r="L751" i="35"/>
  <c r="I749" i="35"/>
  <c r="L749" i="35" s="1"/>
  <c r="L747" i="35"/>
  <c r="M17" i="20" l="1"/>
  <c r="M2" i="20"/>
  <c r="O2" i="20" s="1"/>
  <c r="L767" i="35"/>
  <c r="M3" i="20"/>
  <c r="L8" i="20"/>
  <c r="L12" i="20"/>
  <c r="L6" i="20"/>
  <c r="M9" i="20"/>
  <c r="E40" i="20"/>
  <c r="E46" i="20" s="1"/>
  <c r="E18" i="20"/>
  <c r="I745" i="35"/>
  <c r="M858" i="35" s="1"/>
  <c r="L741" i="35"/>
  <c r="M45" i="20" l="1"/>
  <c r="L44" i="20" s="1"/>
  <c r="E52" i="20"/>
  <c r="E56" i="20" s="1"/>
  <c r="E66" i="20" s="1"/>
  <c r="E70" i="20" s="1"/>
  <c r="E74" i="20" s="1"/>
  <c r="E84" i="20" s="1"/>
  <c r="E91" i="20" s="1"/>
  <c r="O87" i="20"/>
  <c r="L745" i="35"/>
  <c r="I737" i="35"/>
  <c r="L737" i="35" s="1"/>
  <c r="I735" i="35"/>
  <c r="L735" i="35" s="1"/>
  <c r="L733" i="35"/>
  <c r="I731" i="35"/>
  <c r="L731" i="35" s="1"/>
  <c r="I729" i="35"/>
  <c r="L729" i="35" s="1"/>
  <c r="L727" i="35"/>
  <c r="E95" i="20" l="1"/>
  <c r="E115" i="20" s="1"/>
  <c r="E131" i="20" s="1"/>
  <c r="I725" i="35"/>
  <c r="L725" i="35" s="1"/>
  <c r="I723" i="35"/>
  <c r="L723" i="35" s="1"/>
  <c r="I721" i="35"/>
  <c r="L721" i="35" s="1"/>
  <c r="I719" i="35"/>
  <c r="L719" i="35" s="1"/>
  <c r="L717" i="35"/>
  <c r="I715" i="35"/>
  <c r="L715" i="35" s="1"/>
  <c r="I713" i="35"/>
  <c r="L713" i="35" s="1"/>
  <c r="L711" i="35"/>
  <c r="I709" i="35"/>
  <c r="L709" i="35" s="1"/>
  <c r="I707" i="35"/>
  <c r="L707" i="35" s="1"/>
  <c r="L705" i="35"/>
  <c r="I703" i="35"/>
  <c r="L703" i="35" s="1"/>
  <c r="E135" i="20" l="1"/>
  <c r="E143" i="20"/>
  <c r="E159" i="20" s="1"/>
  <c r="I701" i="35"/>
  <c r="L701" i="35" s="1"/>
  <c r="I699" i="35"/>
  <c r="E165" i="20" l="1"/>
  <c r="E155" i="20"/>
  <c r="L699" i="35"/>
  <c r="L697" i="35"/>
  <c r="I695" i="35"/>
  <c r="L695" i="35" s="1"/>
  <c r="L693" i="35"/>
  <c r="I691" i="35"/>
  <c r="L691" i="35" s="1"/>
  <c r="I689" i="35"/>
  <c r="L689" i="35" s="1"/>
  <c r="I687" i="35"/>
  <c r="L687" i="35" s="1"/>
  <c r="I685" i="35"/>
  <c r="L685" i="35" s="1"/>
  <c r="L683" i="35"/>
  <c r="I681" i="35"/>
  <c r="L681" i="35" s="1"/>
  <c r="I679" i="35"/>
  <c r="I677" i="35"/>
  <c r="L677" i="35" s="1"/>
  <c r="L675" i="35"/>
  <c r="H675" i="35"/>
  <c r="I673" i="35"/>
  <c r="L673" i="35" s="1"/>
  <c r="L671" i="35"/>
  <c r="H671" i="35"/>
  <c r="I669" i="35"/>
  <c r="L669" i="35" s="1"/>
  <c r="L667" i="35"/>
  <c r="H667" i="35"/>
  <c r="L665" i="35"/>
  <c r="H665" i="35"/>
  <c r="L663" i="35"/>
  <c r="I661" i="35"/>
  <c r="L661" i="35" s="1"/>
  <c r="I659" i="35"/>
  <c r="L659" i="35" s="1"/>
  <c r="I657" i="35"/>
  <c r="L657" i="35" s="1"/>
  <c r="I655" i="35"/>
  <c r="L653" i="35"/>
  <c r="H653" i="35"/>
  <c r="I651" i="35"/>
  <c r="L649" i="35"/>
  <c r="H649" i="35"/>
  <c r="I647" i="35"/>
  <c r="I645" i="35"/>
  <c r="I643" i="35"/>
  <c r="L641" i="35"/>
  <c r="I639" i="35"/>
  <c r="L639" i="35" s="1"/>
  <c r="I637" i="35"/>
  <c r="L651" i="35" l="1"/>
  <c r="L643" i="35"/>
  <c r="L637" i="35"/>
  <c r="L645" i="35"/>
  <c r="L647" i="35"/>
  <c r="L655" i="35"/>
  <c r="L679" i="35"/>
  <c r="L635" i="35"/>
  <c r="I631" i="35"/>
  <c r="I629" i="35"/>
  <c r="L627" i="35"/>
  <c r="I625" i="35"/>
  <c r="I623" i="35"/>
  <c r="I621" i="35"/>
  <c r="I619" i="35"/>
  <c r="L619" i="35" s="1"/>
  <c r="I617" i="35"/>
  <c r="L617" i="35" s="1"/>
  <c r="L615" i="35"/>
  <c r="L621" i="35" l="1"/>
  <c r="L625" i="35"/>
  <c r="M726" i="35"/>
  <c r="M636" i="35"/>
  <c r="L629" i="35"/>
  <c r="L623" i="35"/>
  <c r="L631" i="35"/>
  <c r="I613" i="35"/>
  <c r="I611" i="35"/>
  <c r="I609" i="35"/>
  <c r="I607" i="35"/>
  <c r="L605" i="35"/>
  <c r="I603" i="35"/>
  <c r="I601" i="35"/>
  <c r="L599" i="35"/>
  <c r="I597" i="35"/>
  <c r="I595" i="35"/>
  <c r="I593" i="35"/>
  <c r="L591" i="35"/>
  <c r="I589" i="35"/>
  <c r="L589" i="35" s="1"/>
  <c r="I587" i="35"/>
  <c r="I585" i="35"/>
  <c r="I583" i="35"/>
  <c r="I581" i="35"/>
  <c r="L579" i="35"/>
  <c r="I577" i="35"/>
  <c r="I575" i="35"/>
  <c r="L573" i="35"/>
  <c r="I571" i="35"/>
  <c r="I569" i="35"/>
  <c r="L567" i="35"/>
  <c r="L581" i="35" l="1"/>
  <c r="L595" i="35"/>
  <c r="L569" i="35"/>
  <c r="L577" i="35"/>
  <c r="L603" i="35"/>
  <c r="L585" i="35"/>
  <c r="L607" i="35"/>
  <c r="L611" i="35"/>
  <c r="L613" i="35"/>
  <c r="L571" i="35"/>
  <c r="L575" i="35"/>
  <c r="L583" i="35"/>
  <c r="L587" i="35"/>
  <c r="L593" i="35"/>
  <c r="L597" i="35"/>
  <c r="L601" i="35"/>
  <c r="L609" i="35"/>
  <c r="I565" i="35"/>
  <c r="I563" i="35"/>
  <c r="L561" i="35"/>
  <c r="I559" i="35"/>
  <c r="I557" i="35"/>
  <c r="I555" i="35"/>
  <c r="I553" i="35"/>
  <c r="L551" i="35"/>
  <c r="L549" i="35"/>
  <c r="L547" i="35"/>
  <c r="L555" i="35" l="1"/>
  <c r="L563" i="35"/>
  <c r="L559" i="35"/>
  <c r="L553" i="35"/>
  <c r="L557" i="35"/>
  <c r="L565" i="35"/>
  <c r="I545" i="35"/>
  <c r="L545" i="35" s="1"/>
  <c r="L543" i="35"/>
  <c r="L541" i="35"/>
  <c r="L539" i="35"/>
  <c r="L537" i="35"/>
  <c r="I535" i="35"/>
  <c r="I533" i="35"/>
  <c r="L533" i="35" s="1"/>
  <c r="L531" i="35"/>
  <c r="L529" i="35"/>
  <c r="I525" i="35"/>
  <c r="L535" i="35" l="1"/>
  <c r="L525" i="35"/>
  <c r="I523" i="35"/>
  <c r="L523" i="35" s="1"/>
  <c r="I521" i="35" l="1"/>
  <c r="M530" i="35" s="1"/>
  <c r="L519" i="35"/>
  <c r="L517" i="35"/>
  <c r="L521" i="35" l="1"/>
  <c r="I515" i="35"/>
  <c r="L515" i="35" l="1"/>
  <c r="I513" i="35"/>
  <c r="I511" i="35"/>
  <c r="L509" i="35"/>
  <c r="I507" i="35"/>
  <c r="L507" i="35" l="1"/>
  <c r="L511" i="35"/>
  <c r="L513" i="35"/>
  <c r="I505" i="35"/>
  <c r="I503" i="35"/>
  <c r="L503" i="35" s="1"/>
  <c r="L501" i="35"/>
  <c r="I499" i="35"/>
  <c r="I497" i="35"/>
  <c r="L495" i="35"/>
  <c r="I493" i="35"/>
  <c r="I491" i="35"/>
  <c r="L489" i="35"/>
  <c r="I487" i="35"/>
  <c r="I485" i="35"/>
  <c r="L483" i="35"/>
  <c r="I481" i="35"/>
  <c r="I479" i="35"/>
  <c r="L477" i="35"/>
  <c r="I475" i="35"/>
  <c r="I473" i="35"/>
  <c r="I471" i="35"/>
  <c r="L469" i="35"/>
  <c r="I467" i="35"/>
  <c r="I465" i="35"/>
  <c r="I463" i="35"/>
  <c r="L461" i="35"/>
  <c r="I459" i="35"/>
  <c r="I457" i="35"/>
  <c r="L455" i="35"/>
  <c r="I453" i="35"/>
  <c r="I451" i="35"/>
  <c r="I449" i="35"/>
  <c r="L447" i="35"/>
  <c r="I445" i="35"/>
  <c r="I443" i="35"/>
  <c r="L441" i="35"/>
  <c r="I439" i="35"/>
  <c r="I437" i="35"/>
  <c r="L435" i="35"/>
  <c r="I433" i="35"/>
  <c r="L431" i="35"/>
  <c r="I429" i="35"/>
  <c r="L427" i="35"/>
  <c r="I425" i="35"/>
  <c r="I423" i="35"/>
  <c r="L421" i="35"/>
  <c r="L419" i="35"/>
  <c r="I417" i="35"/>
  <c r="L415" i="35"/>
  <c r="L459" i="35" l="1"/>
  <c r="L417" i="35"/>
  <c r="L425" i="35"/>
  <c r="L429" i="35"/>
  <c r="L433" i="35"/>
  <c r="L445" i="35"/>
  <c r="L449" i="35"/>
  <c r="L453" i="35"/>
  <c r="L465" i="35"/>
  <c r="L473" i="35"/>
  <c r="L481" i="35"/>
  <c r="L485" i="35"/>
  <c r="L493" i="35"/>
  <c r="L497" i="35"/>
  <c r="L423" i="35"/>
  <c r="L439" i="35"/>
  <c r="L443" i="35"/>
  <c r="L451" i="35"/>
  <c r="L463" i="35"/>
  <c r="L467" i="35"/>
  <c r="L471" i="35"/>
  <c r="L475" i="35"/>
  <c r="L479" i="35"/>
  <c r="L487" i="35"/>
  <c r="L491" i="35"/>
  <c r="L499" i="35"/>
  <c r="L505" i="35"/>
  <c r="L437" i="35"/>
  <c r="L457" i="35"/>
  <c r="I413" i="35"/>
  <c r="L413" i="35" s="1"/>
  <c r="L411" i="35" l="1"/>
  <c r="I411" i="35"/>
  <c r="I409" i="35"/>
  <c r="I407" i="35"/>
  <c r="L405" i="35"/>
  <c r="I402" i="35"/>
  <c r="I400" i="35"/>
  <c r="I398" i="35"/>
  <c r="I396" i="35"/>
  <c r="L394" i="35"/>
  <c r="I392" i="35"/>
  <c r="L392" i="35" s="1"/>
  <c r="L390" i="35"/>
  <c r="I388" i="35"/>
  <c r="L386" i="35"/>
  <c r="I384" i="35"/>
  <c r="L384" i="35" s="1"/>
  <c r="L382" i="35"/>
  <c r="I380" i="35"/>
  <c r="I378" i="35"/>
  <c r="I376" i="35"/>
  <c r="I374" i="35"/>
  <c r="L372" i="35"/>
  <c r="I370" i="35"/>
  <c r="L370" i="35" s="1"/>
  <c r="L368" i="35"/>
  <c r="I366" i="35"/>
  <c r="I364" i="35"/>
  <c r="L362" i="35"/>
  <c r="I360" i="35"/>
  <c r="L360" i="35" s="1"/>
  <c r="L358" i="35"/>
  <c r="I354" i="35"/>
  <c r="I350" i="35"/>
  <c r="I348" i="35"/>
  <c r="I346" i="35"/>
  <c r="I344" i="35"/>
  <c r="L342" i="35"/>
  <c r="L340" i="35"/>
  <c r="L338" i="35"/>
  <c r="H336" i="35"/>
  <c r="I336" i="35" s="1"/>
  <c r="L336" i="35" s="1"/>
  <c r="L334" i="35"/>
  <c r="I332" i="35"/>
  <c r="I330" i="35"/>
  <c r="L330" i="35" s="1"/>
  <c r="L328" i="35"/>
  <c r="I326" i="35"/>
  <c r="L324" i="35"/>
  <c r="L322" i="35"/>
  <c r="I320" i="35"/>
  <c r="L318" i="35"/>
  <c r="H318" i="35"/>
  <c r="L332" i="35" l="1"/>
  <c r="L398" i="35"/>
  <c r="M318" i="35"/>
  <c r="L326" i="35"/>
  <c r="L344" i="35"/>
  <c r="L348" i="35"/>
  <c r="L354" i="35"/>
  <c r="L366" i="35"/>
  <c r="L376" i="35"/>
  <c r="L380" i="35"/>
  <c r="L346" i="35"/>
  <c r="L350" i="35"/>
  <c r="L364" i="35"/>
  <c r="L374" i="35"/>
  <c r="L378" i="35"/>
  <c r="L388" i="35"/>
  <c r="L396" i="35"/>
  <c r="L400" i="35"/>
  <c r="L407" i="35"/>
  <c r="L409" i="35"/>
  <c r="M516" i="35"/>
  <c r="L320" i="35"/>
  <c r="L315" i="35"/>
  <c r="I313" i="35"/>
  <c r="L311" i="35"/>
  <c r="H311" i="35"/>
  <c r="I309" i="35"/>
  <c r="L307" i="35"/>
  <c r="H307" i="35"/>
  <c r="I305" i="35"/>
  <c r="L303" i="35"/>
  <c r="L305" i="35" l="1"/>
  <c r="L313" i="35"/>
  <c r="L309" i="35"/>
  <c r="H303" i="35"/>
  <c r="I299" i="35"/>
  <c r="I297" i="35"/>
  <c r="I295" i="35"/>
  <c r="L293" i="35"/>
  <c r="H293" i="35"/>
  <c r="H291" i="35"/>
  <c r="I289" i="35"/>
  <c r="I287" i="35"/>
  <c r="I285" i="35"/>
  <c r="I281" i="35"/>
  <c r="I279" i="35"/>
  <c r="I277" i="35"/>
  <c r="I275" i="35"/>
  <c r="M317" i="35" l="1"/>
  <c r="M404" i="35"/>
  <c r="L275" i="35"/>
  <c r="L279" i="35"/>
  <c r="L285" i="35"/>
  <c r="L289" i="35"/>
  <c r="L299" i="35"/>
  <c r="M403" i="35"/>
  <c r="L402" i="35" s="1"/>
  <c r="N317" i="35" s="1"/>
  <c r="L277" i="35"/>
  <c r="L281" i="35"/>
  <c r="L287" i="35"/>
  <c r="I291" i="35"/>
  <c r="L291" i="35" s="1"/>
  <c r="L295" i="35"/>
  <c r="L297" i="35"/>
  <c r="I273" i="35"/>
  <c r="I271" i="35"/>
  <c r="L269" i="35"/>
  <c r="H269" i="35"/>
  <c r="I267" i="35"/>
  <c r="L265" i="35"/>
  <c r="H265" i="35"/>
  <c r="I263" i="35"/>
  <c r="I261" i="35"/>
  <c r="L261" i="35" s="1"/>
  <c r="H259" i="35"/>
  <c r="I257" i="35"/>
  <c r="H255" i="35"/>
  <c r="I255" i="35" s="1"/>
  <c r="L253" i="35"/>
  <c r="L257" i="35" l="1"/>
  <c r="L271" i="35"/>
  <c r="L273" i="35"/>
  <c r="L255" i="35"/>
  <c r="I259" i="35"/>
  <c r="L259" i="35" s="1"/>
  <c r="H253" i="35"/>
  <c r="L249" i="35"/>
  <c r="H249" i="35"/>
  <c r="E249" i="35"/>
  <c r="I247" i="35"/>
  <c r="L245" i="35"/>
  <c r="H245" i="35"/>
  <c r="H243" i="35"/>
  <c r="I241" i="35"/>
  <c r="L239" i="35"/>
  <c r="H239" i="35"/>
  <c r="E239" i="35"/>
  <c r="I237" i="35"/>
  <c r="I235" i="35"/>
  <c r="L233" i="35"/>
  <c r="H233" i="35"/>
  <c r="I229" i="35"/>
  <c r="I227" i="35"/>
  <c r="I225" i="35"/>
  <c r="E225" i="35"/>
  <c r="I223" i="35"/>
  <c r="L221" i="35"/>
  <c r="L223" i="35" l="1"/>
  <c r="L235" i="35"/>
  <c r="E253" i="35"/>
  <c r="E265" i="35" s="1"/>
  <c r="E269" i="35" s="1"/>
  <c r="L263" i="35"/>
  <c r="L225" i="35"/>
  <c r="L229" i="35"/>
  <c r="L237" i="35"/>
  <c r="L241" i="35"/>
  <c r="L247" i="35"/>
  <c r="L227" i="35"/>
  <c r="H221" i="35"/>
  <c r="L218" i="35"/>
  <c r="H218" i="35"/>
  <c r="I216" i="35"/>
  <c r="L214" i="35"/>
  <c r="H214" i="35"/>
  <c r="H212" i="35"/>
  <c r="I212" i="35" s="1"/>
  <c r="I210" i="35"/>
  <c r="I208" i="35"/>
  <c r="I206" i="35"/>
  <c r="I204" i="35"/>
  <c r="H202" i="35"/>
  <c r="I202" i="35" s="1"/>
  <c r="I200" i="35"/>
  <c r="M199" i="35"/>
  <c r="I198" i="35"/>
  <c r="I196" i="35"/>
  <c r="I194" i="35"/>
  <c r="H192" i="35"/>
  <c r="I192" i="35" s="1"/>
  <c r="H190" i="35"/>
  <c r="I190" i="35" s="1"/>
  <c r="H188" i="35"/>
  <c r="I186" i="35"/>
  <c r="I184" i="35"/>
  <c r="L184" i="35" s="1"/>
  <c r="H182" i="35"/>
  <c r="I180" i="35"/>
  <c r="I178" i="35"/>
  <c r="I176" i="35"/>
  <c r="I174" i="35"/>
  <c r="I172" i="35"/>
  <c r="I170" i="35"/>
  <c r="I168" i="35"/>
  <c r="I166" i="35"/>
  <c r="I164" i="35"/>
  <c r="I160" i="35"/>
  <c r="I158" i="35"/>
  <c r="I156" i="35"/>
  <c r="H154" i="35"/>
  <c r="I152" i="35"/>
  <c r="I150" i="35"/>
  <c r="L150" i="35" s="1"/>
  <c r="I148" i="35"/>
  <c r="L186" i="35" l="1"/>
  <c r="L164" i="35"/>
  <c r="L172" i="35"/>
  <c r="L180" i="35"/>
  <c r="L168" i="35"/>
  <c r="L176" i="35"/>
  <c r="L158" i="35"/>
  <c r="L152" i="35"/>
  <c r="L196" i="35"/>
  <c r="L204" i="35"/>
  <c r="L208" i="35"/>
  <c r="L216" i="35"/>
  <c r="L148" i="35"/>
  <c r="I154" i="35"/>
  <c r="L154" i="35" s="1"/>
  <c r="L156" i="35"/>
  <c r="L160" i="35"/>
  <c r="L166" i="35"/>
  <c r="L170" i="35"/>
  <c r="L174" i="35"/>
  <c r="L178" i="35"/>
  <c r="I188" i="35"/>
  <c r="L188" i="35" s="1"/>
  <c r="L194" i="35"/>
  <c r="L198" i="35"/>
  <c r="L200" i="35"/>
  <c r="L202" i="35"/>
  <c r="L206" i="35"/>
  <c r="L210" i="35"/>
  <c r="L212" i="35"/>
  <c r="L267" i="35"/>
  <c r="E275" i="35"/>
  <c r="L190" i="35"/>
  <c r="L192" i="35"/>
  <c r="H146" i="35"/>
  <c r="I144" i="35"/>
  <c r="I142" i="35"/>
  <c r="I140" i="35"/>
  <c r="I138" i="35"/>
  <c r="I136" i="35"/>
  <c r="L136" i="35" s="1"/>
  <c r="K134" i="35"/>
  <c r="L140" i="35" l="1"/>
  <c r="L138" i="35"/>
  <c r="L142" i="35"/>
  <c r="L144" i="35"/>
  <c r="I146" i="35"/>
  <c r="L146" i="35" s="1"/>
  <c r="I129" i="35"/>
  <c r="I127" i="35"/>
  <c r="I125" i="35"/>
  <c r="I123" i="35"/>
  <c r="I121" i="35"/>
  <c r="I119" i="35"/>
  <c r="I117" i="35"/>
  <c r="I115" i="35"/>
  <c r="I113" i="35"/>
  <c r="I111" i="35"/>
  <c r="I109" i="35"/>
  <c r="I107" i="35"/>
  <c r="L105" i="35"/>
  <c r="I103" i="35"/>
  <c r="I101" i="35"/>
  <c r="L99" i="35"/>
  <c r="I97" i="35"/>
  <c r="I95" i="35"/>
  <c r="I93" i="35"/>
  <c r="I91" i="35"/>
  <c r="H89" i="35"/>
  <c r="I87" i="35"/>
  <c r="I85" i="35"/>
  <c r="I83" i="35"/>
  <c r="N81" i="35"/>
  <c r="I81" i="35"/>
  <c r="I77" i="35"/>
  <c r="I75" i="35"/>
  <c r="I73" i="35"/>
  <c r="I71" i="35"/>
  <c r="I69" i="35"/>
  <c r="L67" i="35" s="1"/>
  <c r="I67" i="35"/>
  <c r="I65" i="35"/>
  <c r="N63" i="35"/>
  <c r="I63" i="35"/>
  <c r="I61" i="35"/>
  <c r="H59" i="35"/>
  <c r="I59" i="35" s="1"/>
  <c r="L61" i="35" l="1"/>
  <c r="L75" i="35"/>
  <c r="L83" i="35"/>
  <c r="L123" i="35"/>
  <c r="L71" i="35"/>
  <c r="L81" i="35"/>
  <c r="L87" i="35"/>
  <c r="L93" i="35"/>
  <c r="L97" i="35"/>
  <c r="L101" i="35"/>
  <c r="L109" i="35"/>
  <c r="L113" i="35"/>
  <c r="L117" i="35"/>
  <c r="L59" i="35"/>
  <c r="L63" i="35"/>
  <c r="L65" i="35"/>
  <c r="L73" i="35"/>
  <c r="L77" i="35"/>
  <c r="L85" i="35"/>
  <c r="I89" i="35"/>
  <c r="L89" i="35" s="1"/>
  <c r="L91" i="35"/>
  <c r="L95" i="35"/>
  <c r="L103" i="35"/>
  <c r="L107" i="35"/>
  <c r="L111" i="35"/>
  <c r="L115" i="35"/>
  <c r="L119" i="35"/>
  <c r="L121" i="35"/>
  <c r="L125" i="35"/>
  <c r="L127" i="35"/>
  <c r="I57" i="35"/>
  <c r="I54" i="35"/>
  <c r="I52" i="35"/>
  <c r="I50" i="35"/>
  <c r="I48" i="35"/>
  <c r="I46" i="35"/>
  <c r="I42" i="35"/>
  <c r="I40" i="35"/>
  <c r="I38" i="35"/>
  <c r="I36" i="35"/>
  <c r="I34" i="35"/>
  <c r="L34" i="35" s="1"/>
  <c r="I32" i="35"/>
  <c r="I30" i="35"/>
  <c r="L28" i="35"/>
  <c r="H28" i="35"/>
  <c r="I26" i="35"/>
  <c r="L36" i="35" l="1"/>
  <c r="L40" i="35"/>
  <c r="L46" i="35"/>
  <c r="L50" i="35"/>
  <c r="L32" i="35"/>
  <c r="L38" i="35"/>
  <c r="L52" i="35"/>
  <c r="M56" i="35"/>
  <c r="L24" i="35"/>
  <c r="H24" i="35"/>
  <c r="I22" i="35"/>
  <c r="L22" i="35" s="1"/>
  <c r="L20" i="35"/>
  <c r="H20" i="35"/>
  <c r="I18" i="35"/>
  <c r="L18" i="35" s="1"/>
  <c r="L16" i="35"/>
  <c r="E16" i="35"/>
  <c r="E28" i="35" s="1"/>
  <c r="H14" i="35"/>
  <c r="I14" i="35" s="1"/>
  <c r="L14" i="35" s="1"/>
  <c r="L12" i="35"/>
  <c r="I10" i="35"/>
  <c r="I8" i="35"/>
  <c r="L10" i="35" l="1"/>
  <c r="L26" i="35"/>
  <c r="E32" i="35"/>
  <c r="E20" i="35"/>
  <c r="L8" i="35"/>
  <c r="E24" i="35"/>
  <c r="I6" i="35"/>
  <c r="L6" i="35" s="1"/>
  <c r="L30" i="35" l="1"/>
  <c r="E36" i="35"/>
  <c r="E46" i="35" s="1"/>
  <c r="L42" i="35" l="1"/>
  <c r="E50" i="35"/>
  <c r="L48" i="35" s="1"/>
  <c r="L4" i="35"/>
  <c r="N4" i="35" s="1"/>
  <c r="H4" i="35"/>
  <c r="E4" i="35"/>
  <c r="M2" i="35"/>
  <c r="N2" i="35" l="1"/>
  <c r="M4" i="35" s="1"/>
  <c r="E57" i="35"/>
  <c r="E65" i="35" l="1"/>
  <c r="E71" i="35" s="1"/>
  <c r="L69" i="35" s="1"/>
  <c r="L57" i="35"/>
  <c r="N58" i="35" s="1"/>
  <c r="L129" i="35"/>
  <c r="I182" i="35"/>
  <c r="L182" i="35" s="1"/>
  <c r="N133" i="35" s="1"/>
  <c r="I243" i="35"/>
  <c r="L243" i="35" s="1"/>
  <c r="N220" i="35" s="1"/>
  <c r="N56" i="35" l="1"/>
  <c r="M58" i="35" s="1"/>
  <c r="M220" i="35"/>
  <c r="M133" i="35"/>
  <c r="O90" i="20"/>
  <c r="P3" i="20" s="1"/>
  <c r="K14" i="20"/>
  <c r="L14" i="20"/>
  <c r="K4" i="20"/>
  <c r="L4" i="20"/>
  <c r="L16" i="20"/>
  <c r="K18" i="20"/>
  <c r="L18" i="20" s="1"/>
  <c r="P90" i="20"/>
  <c r="I226" i="20"/>
  <c r="I228" i="20"/>
  <c r="M229" i="20" s="1"/>
  <c r="P173" i="20" s="1"/>
  <c r="P4" i="20" s="1"/>
  <c r="O175" i="20" s="1"/>
  <c r="M173" i="20"/>
  <c r="M174" i="20" s="1"/>
  <c r="O4" i="20"/>
  <c r="O16" i="20" s="1"/>
  <c r="P2" i="20"/>
  <c r="Q2" i="20"/>
  <c r="L228" i="20"/>
  <c r="L91" i="20"/>
  <c r="M91" i="20" s="1"/>
  <c r="M92" i="20" s="1"/>
  <c r="O166" i="20" s="1"/>
  <c r="L165" i="20"/>
  <c r="L174" i="20"/>
  <c r="L176" i="20"/>
  <c r="L226" i="20"/>
  <c r="M175" i="20" s="1"/>
  <c r="M176" i="20" s="1"/>
  <c r="I815" i="20"/>
  <c r="M730" i="20"/>
  <c r="M731" i="20" s="1"/>
  <c r="O731" i="20" s="1"/>
  <c r="L731" i="20"/>
  <c r="L615" i="20"/>
  <c r="M615" i="20" s="1"/>
  <c r="L727" i="20"/>
  <c r="I359" i="20"/>
  <c r="L359" i="20" s="1"/>
  <c r="L815" i="20"/>
  <c r="I939" i="20"/>
  <c r="M925" i="20" s="1"/>
  <c r="M929" i="20" s="1"/>
  <c r="L929" i="20"/>
  <c r="L939" i="20"/>
  <c r="I1017" i="20"/>
  <c r="I1043" i="20"/>
  <c r="M999" i="20"/>
  <c r="L997" i="20"/>
  <c r="L1017" i="20"/>
  <c r="L1043" i="20"/>
  <c r="N9" i="22"/>
  <c r="O2" i="22" s="1"/>
  <c r="P9" i="22" s="1"/>
  <c r="P68" i="27"/>
  <c r="P69" i="27"/>
  <c r="P36" i="27"/>
  <c r="P44" i="27" s="1"/>
  <c r="P45" i="27" s="1"/>
  <c r="P48" i="27" s="1"/>
  <c r="P49" i="27" s="1"/>
  <c r="P50" i="27" s="1"/>
  <c r="P53" i="27" s="1"/>
  <c r="P57" i="27" s="1"/>
  <c r="P58" i="27" s="1"/>
  <c r="P61" i="27" s="1"/>
  <c r="P46" i="27"/>
  <c r="P47" i="27" s="1"/>
  <c r="P51" i="27" s="1"/>
  <c r="P52" i="27" s="1"/>
  <c r="P54" i="27" s="1"/>
  <c r="P55" i="27" s="1"/>
  <c r="P56" i="27" s="1"/>
  <c r="P59" i="27" s="1"/>
  <c r="P60" i="27" s="1"/>
  <c r="P24" i="27"/>
  <c r="P25" i="27" s="1"/>
  <c r="P101" i="27"/>
  <c r="P102" i="27" s="1"/>
  <c r="P103" i="27" s="1"/>
  <c r="P81" i="27"/>
  <c r="P82" i="27" s="1"/>
  <c r="P37" i="27"/>
  <c r="P39" i="27" s="1"/>
  <c r="P41" i="27" s="1"/>
  <c r="P85" i="27"/>
  <c r="P86" i="27"/>
  <c r="P88" i="27" s="1"/>
  <c r="K268" i="27"/>
  <c r="M268" i="27" s="1"/>
  <c r="N222" i="27" s="1"/>
  <c r="N14" i="27" s="1"/>
  <c r="K304" i="27"/>
  <c r="M304" i="27"/>
  <c r="L304" i="27"/>
  <c r="P83" i="27" l="1"/>
  <c r="P89" i="27"/>
  <c r="P90" i="27" s="1"/>
  <c r="P91" i="27" s="1"/>
  <c r="P92" i="27" s="1"/>
  <c r="M4" i="20"/>
  <c r="M5" i="20" s="1"/>
  <c r="P16" i="20"/>
  <c r="Q3" i="20"/>
  <c r="P66" i="27"/>
  <c r="P70" i="27" s="1"/>
  <c r="P62" i="27"/>
  <c r="P27" i="27"/>
  <c r="P28" i="27" s="1"/>
  <c r="N12" i="22"/>
  <c r="O730" i="20"/>
  <c r="L268" i="27"/>
  <c r="P95" i="27"/>
  <c r="M356" i="20"/>
  <c r="Q4" i="20"/>
  <c r="Q16" i="20" s="1"/>
  <c r="P109" i="27" l="1"/>
  <c r="Q17" i="20"/>
  <c r="A1" i="87"/>
  <c r="A1" i="66"/>
  <c r="A1" i="72"/>
  <c r="A1" i="75"/>
  <c r="A1" i="64"/>
  <c r="A1" i="81"/>
  <c r="A1" i="79"/>
  <c r="A1" i="55"/>
  <c r="B1" i="54"/>
  <c r="A1" i="83"/>
  <c r="A1" i="90"/>
  <c r="A1" i="69"/>
  <c r="A1" i="85"/>
  <c r="A1" i="65"/>
  <c r="A1" i="77"/>
</calcChain>
</file>

<file path=xl/comments1.xml><?xml version="1.0" encoding="utf-8"?>
<comments xmlns="http://schemas.openxmlformats.org/spreadsheetml/2006/main">
  <authors>
    <author>Marina</author>
  </authors>
  <commentList>
    <comment ref="I631" authorId="0">
      <text>
        <r>
          <rPr>
            <b/>
            <sz val="9"/>
            <color indexed="81"/>
            <rFont val="Tahoma"/>
            <family val="2"/>
            <charset val="204"/>
          </rPr>
          <t>Marina: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<sst xmlns="http://schemas.openxmlformats.org/spreadsheetml/2006/main" count="19331" uniqueCount="4435">
  <si>
    <t>марка машины и путевой лист</t>
  </si>
  <si>
    <t>акт №</t>
  </si>
  <si>
    <t>организация и телефон</t>
  </si>
  <si>
    <t>сумма</t>
  </si>
  <si>
    <t>оплата</t>
  </si>
  <si>
    <t>итог</t>
  </si>
  <si>
    <t>б/н</t>
  </si>
  <si>
    <t>диспетчер</t>
  </si>
  <si>
    <t>лама мебель</t>
  </si>
  <si>
    <t>дата акт</t>
  </si>
  <si>
    <t>витранс</t>
  </si>
  <si>
    <t>битех</t>
  </si>
  <si>
    <t>№п/п</t>
  </si>
  <si>
    <t>анпласт</t>
  </si>
  <si>
    <t>деловая русь бел</t>
  </si>
  <si>
    <t>лонакс</t>
  </si>
  <si>
    <t>санэнерджи</t>
  </si>
  <si>
    <t>голдэн эра плюс</t>
  </si>
  <si>
    <t>стейшенари</t>
  </si>
  <si>
    <t>наташа 265</t>
  </si>
  <si>
    <t>громин</t>
  </si>
  <si>
    <t>бел.руб</t>
  </si>
  <si>
    <t>курс</t>
  </si>
  <si>
    <t>42</t>
  </si>
  <si>
    <t>лена</t>
  </si>
  <si>
    <t>тд гранд сервис</t>
  </si>
  <si>
    <t>телекомсистемы</t>
  </si>
  <si>
    <t>дата договора</t>
  </si>
  <si>
    <t>должны</t>
  </si>
  <si>
    <t>оплата факт</t>
  </si>
  <si>
    <t>родион16  от 25.12.12</t>
  </si>
  <si>
    <t>олег 17 от 28.12.12</t>
  </si>
  <si>
    <t>авдеев 18 от 28.12.12</t>
  </si>
  <si>
    <t xml:space="preserve">Январь </t>
  </si>
  <si>
    <t>родион 1 от 15.01.2013</t>
  </si>
  <si>
    <t>леня 2 от 17.01.2013</t>
  </si>
  <si>
    <t>олег0 3 от 18.01.2013</t>
  </si>
  <si>
    <t>14.01.2013</t>
  </si>
  <si>
    <t>12.11.2012г.</t>
  </si>
  <si>
    <t>1</t>
  </si>
  <si>
    <t>ип гвардиан ж.в.</t>
  </si>
  <si>
    <t>14.01.2013г.</t>
  </si>
  <si>
    <t>16.01.2013</t>
  </si>
  <si>
    <t>2</t>
  </si>
  <si>
    <t>3</t>
  </si>
  <si>
    <t>4</t>
  </si>
  <si>
    <t>5</t>
  </si>
  <si>
    <t>ип карпович и.с.</t>
  </si>
  <si>
    <t>17.01.2013</t>
  </si>
  <si>
    <t>21.01.2013</t>
  </si>
  <si>
    <t>6</t>
  </si>
  <si>
    <t>7</t>
  </si>
  <si>
    <t>сооо лама -мебель</t>
  </si>
  <si>
    <t>8</t>
  </si>
  <si>
    <t>9</t>
  </si>
  <si>
    <t>ооо ласпар</t>
  </si>
  <si>
    <t>10</t>
  </si>
  <si>
    <t>ООО "КингСтайл"</t>
  </si>
  <si>
    <t>18.01.2013</t>
  </si>
  <si>
    <t>17-01/13</t>
  </si>
  <si>
    <t>079/02от 01.11.2012г.</t>
  </si>
  <si>
    <t>23.01.2013</t>
  </si>
  <si>
    <t>НППОДО "Эвтектика"</t>
  </si>
  <si>
    <t>24.01.13</t>
  </si>
  <si>
    <t>люда 6504458</t>
  </si>
  <si>
    <t>24.01.2013</t>
  </si>
  <si>
    <t>11</t>
  </si>
  <si>
    <t>12</t>
  </si>
  <si>
    <t>одо далибан</t>
  </si>
  <si>
    <t>28.01.2013</t>
  </si>
  <si>
    <t>13</t>
  </si>
  <si>
    <t>14</t>
  </si>
  <si>
    <t>авдеев 5 от 28.01.2013</t>
  </si>
  <si>
    <t>родион 6 от 29.01.2013</t>
  </si>
  <si>
    <t>25.01.2013г.</t>
  </si>
  <si>
    <t>15</t>
  </si>
  <si>
    <t>16</t>
  </si>
  <si>
    <t>17</t>
  </si>
  <si>
    <t>18</t>
  </si>
  <si>
    <t>19</t>
  </si>
  <si>
    <t>20</t>
  </si>
  <si>
    <t>21</t>
  </si>
  <si>
    <t>22</t>
  </si>
  <si>
    <t>нина 629</t>
  </si>
  <si>
    <t>23</t>
  </si>
  <si>
    <t>24</t>
  </si>
  <si>
    <t>25</t>
  </si>
  <si>
    <t>26</t>
  </si>
  <si>
    <t>леня7 от 30.01.2013</t>
  </si>
  <si>
    <t>олег 8 от 31.01.13</t>
  </si>
  <si>
    <t>Февраль</t>
  </si>
  <si>
    <t>диспол</t>
  </si>
  <si>
    <t>гарант пластстрой</t>
  </si>
  <si>
    <t>04.02.13</t>
  </si>
  <si>
    <t>флексограф</t>
  </si>
  <si>
    <t>27</t>
  </si>
  <si>
    <t>04.02.2013</t>
  </si>
  <si>
    <t>04.02.4013</t>
  </si>
  <si>
    <t>ип добижа н.п.</t>
  </si>
  <si>
    <t>Универсал пласт</t>
  </si>
  <si>
    <t>31.01.2013</t>
  </si>
  <si>
    <t>30.01.2013</t>
  </si>
  <si>
    <t>28</t>
  </si>
  <si>
    <t>29</t>
  </si>
  <si>
    <t>родион 9 от 04.02.2013</t>
  </si>
  <si>
    <t>добижа</t>
  </si>
  <si>
    <t>родион 4 от 21.01.2013</t>
  </si>
  <si>
    <t>авдеев 10 от 07.02.13</t>
  </si>
  <si>
    <t>08.02.2013</t>
  </si>
  <si>
    <t>щуцкий 12 от 08.02.13</t>
  </si>
  <si>
    <t>родион 13 от 11.02.13</t>
  </si>
  <si>
    <t>11.02.13</t>
  </si>
  <si>
    <t>ивеко</t>
  </si>
  <si>
    <t>05.02.13</t>
  </si>
  <si>
    <t>14.02.2013</t>
  </si>
  <si>
    <t>белтепломашстрой</t>
  </si>
  <si>
    <t>15.02.2013</t>
  </si>
  <si>
    <t>ООО "Вильва"</t>
  </si>
  <si>
    <t>30</t>
  </si>
  <si>
    <t>31</t>
  </si>
  <si>
    <t xml:space="preserve"> </t>
  </si>
  <si>
    <t>мостра групп</t>
  </si>
  <si>
    <t>валя</t>
  </si>
  <si>
    <t>наташа265</t>
  </si>
  <si>
    <t>родион 17 от 22.02.13</t>
  </si>
  <si>
    <t>мацевич14 от 15.02.13</t>
  </si>
  <si>
    <t>мацевич 18 от 22.02.13</t>
  </si>
  <si>
    <t>18.02.2013</t>
  </si>
  <si>
    <t>20.02.2013</t>
  </si>
  <si>
    <t>оплатили купоны</t>
  </si>
  <si>
    <t>гранд сервис</t>
  </si>
  <si>
    <t>06.02.2013</t>
  </si>
  <si>
    <t>6-02/13</t>
  </si>
  <si>
    <t>авдеев 15 от 18.02.13</t>
  </si>
  <si>
    <t>авдеев по рб 19 от 22.02.2013</t>
  </si>
  <si>
    <t>авдеев 20 от 26.02.2013</t>
  </si>
  <si>
    <t>щуцкий 16 от 18.02.13</t>
  </si>
  <si>
    <t>32</t>
  </si>
  <si>
    <t>мэтр заславль</t>
  </si>
  <si>
    <t>25.02.2013</t>
  </si>
  <si>
    <t>33</t>
  </si>
  <si>
    <t>34</t>
  </si>
  <si>
    <t>вильва</t>
  </si>
  <si>
    <t>семашко</t>
  </si>
  <si>
    <t>35</t>
  </si>
  <si>
    <t>36</t>
  </si>
  <si>
    <t>37</t>
  </si>
  <si>
    <t>щуцкий 21 от 28.02.2013</t>
  </si>
  <si>
    <t>леня 11 от 07.02.13</t>
  </si>
  <si>
    <t>28.02.2013</t>
  </si>
  <si>
    <t>МАРТ</t>
  </si>
  <si>
    <t>леня 23 от 04.03.2013</t>
  </si>
  <si>
    <t>родион 22 04.03.2013</t>
  </si>
  <si>
    <t>оао сукно</t>
  </si>
  <si>
    <t>27.02.2013</t>
  </si>
  <si>
    <t>чтуп монтажные системы смк</t>
  </si>
  <si>
    <t>01.03.2013</t>
  </si>
  <si>
    <t>22.02.2013</t>
  </si>
  <si>
    <t>38</t>
  </si>
  <si>
    <t>39</t>
  </si>
  <si>
    <t>06.03.2013</t>
  </si>
  <si>
    <t>родион 24 от 11.02.2013</t>
  </si>
  <si>
    <t>40</t>
  </si>
  <si>
    <t>41</t>
  </si>
  <si>
    <t>43</t>
  </si>
  <si>
    <t>44</t>
  </si>
  <si>
    <t>45</t>
  </si>
  <si>
    <t>05-03/13</t>
  </si>
  <si>
    <t>05.03.13</t>
  </si>
  <si>
    <t>079/02 от 01.11.2012г.</t>
  </si>
  <si>
    <t>06-03-1/13</t>
  </si>
  <si>
    <t>06-03/13</t>
  </si>
  <si>
    <t>06.03.13</t>
  </si>
  <si>
    <t>07.03.2013</t>
  </si>
  <si>
    <t>04.03.2013г.</t>
  </si>
  <si>
    <t>11.03.2013</t>
  </si>
  <si>
    <t>05.03.2013</t>
  </si>
  <si>
    <t>авдеев 25</t>
  </si>
  <si>
    <t xml:space="preserve">04.02. п/л </t>
  </si>
  <si>
    <t>бланш люкс</t>
  </si>
  <si>
    <t>родион 28 от 18.03.2013г.</t>
  </si>
  <si>
    <t>13.03.2013</t>
  </si>
  <si>
    <t>15.03.2013</t>
  </si>
  <si>
    <t>46</t>
  </si>
  <si>
    <t>47</t>
  </si>
  <si>
    <t>лиля</t>
  </si>
  <si>
    <t>ооо "ЕвроСтильДекор"</t>
  </si>
  <si>
    <t>от 14.03.2013</t>
  </si>
  <si>
    <t>48</t>
  </si>
  <si>
    <t>18.03.2013</t>
  </si>
  <si>
    <t>49</t>
  </si>
  <si>
    <t>ип Гришин  А.В.</t>
  </si>
  <si>
    <t>50</t>
  </si>
  <si>
    <t>30 от 22.03.2013</t>
  </si>
  <si>
    <t>51</t>
  </si>
  <si>
    <t>20.03.2013</t>
  </si>
  <si>
    <t>27  от 13.03.2013 бусик леня</t>
  </si>
  <si>
    <t>26  от 12.03.2013красовский-щуцкий</t>
  </si>
  <si>
    <t>НДС 20%</t>
  </si>
  <si>
    <t>ооо "КаплайнТрейд"</t>
  </si>
  <si>
    <t>21.03.2013</t>
  </si>
  <si>
    <t>52</t>
  </si>
  <si>
    <t>53</t>
  </si>
  <si>
    <t>25.03.13</t>
  </si>
  <si>
    <t>люда 207</t>
  </si>
  <si>
    <t>по городу</t>
  </si>
  <si>
    <t>32  щуцкий + красовский</t>
  </si>
  <si>
    <t xml:space="preserve">34 щуцкий </t>
  </si>
  <si>
    <t>31 леня от 21.03.13</t>
  </si>
  <si>
    <t>авдеев + красовский29 от 19.03.2013</t>
  </si>
  <si>
    <t>АПРЕЛЬ</t>
  </si>
  <si>
    <t>25.03.2013</t>
  </si>
  <si>
    <t>54</t>
  </si>
  <si>
    <t>люда650</t>
  </si>
  <si>
    <t>55</t>
  </si>
  <si>
    <t>56</t>
  </si>
  <si>
    <t>33 родион 25.03.2013г.</t>
  </si>
  <si>
    <t>ООО "Аура Эллады"</t>
  </si>
  <si>
    <t>ЭКСПЕДИЦИЯ</t>
  </si>
  <si>
    <t>ОДО "Битех"</t>
  </si>
  <si>
    <t>26.03.2013</t>
  </si>
  <si>
    <t>57</t>
  </si>
  <si>
    <t>58</t>
  </si>
  <si>
    <t>28.03.2013</t>
  </si>
  <si>
    <t>29.03.2013</t>
  </si>
  <si>
    <t>35 авдеев 29.03.2013</t>
  </si>
  <si>
    <t>36 щуцкий 01.04.2013</t>
  </si>
  <si>
    <t>37 родион от 01.04.2013</t>
  </si>
  <si>
    <t>38 красовский от 01.04.2013</t>
  </si>
  <si>
    <t>01.04.2013</t>
  </si>
  <si>
    <t>59</t>
  </si>
  <si>
    <t>60</t>
  </si>
  <si>
    <t>61</t>
  </si>
  <si>
    <t>62</t>
  </si>
  <si>
    <t>63</t>
  </si>
  <si>
    <t>люба</t>
  </si>
  <si>
    <t>39 леня бусик от 02.0.4</t>
  </si>
  <si>
    <t>ооо профит вк</t>
  </si>
  <si>
    <t>№3156 от 13.03.2013</t>
  </si>
  <si>
    <t>ООО "Громин"</t>
  </si>
  <si>
    <t>ОДО "Деловая Русь Бел"</t>
  </si>
  <si>
    <t>ООО "Голдэн эра плюс"</t>
  </si>
  <si>
    <t>ОДО "Телеком системы"</t>
  </si>
  <si>
    <t>СООО "Лама мебель"</t>
  </si>
  <si>
    <t>ООО "Ласпар"</t>
  </si>
  <si>
    <t>ООО "Лонакс"</t>
  </si>
  <si>
    <t>ООО "Торговый дом гранд сервис"</t>
  </si>
  <si>
    <t>ООО "Анпласт"</t>
  </si>
  <si>
    <t>ООО "Ома"</t>
  </si>
  <si>
    <t>ОДО "Телекомсистемы"</t>
  </si>
  <si>
    <t>ОДО "Деловая русь бел"</t>
  </si>
  <si>
    <t>ОПЛАТИЛИ</t>
  </si>
  <si>
    <t>СООО "Лама -мебель"</t>
  </si>
  <si>
    <t>04.04.2013</t>
  </si>
  <si>
    <t>64</t>
  </si>
  <si>
    <t>65</t>
  </si>
  <si>
    <t>ЧТУП "Стейшенари"</t>
  </si>
  <si>
    <t>ЧП "Белфаско"</t>
  </si>
  <si>
    <t>ООО "Альтердом"</t>
  </si>
  <si>
    <t>ИП Карпович И.С.</t>
  </si>
  <si>
    <t>ИП добижа н.п.</t>
  </si>
  <si>
    <t>ООО "СантехБел"</t>
  </si>
  <si>
    <t>ООО "Торговый дом Гранд-сервис"</t>
  </si>
  <si>
    <t>ООО "Базискапитал"</t>
  </si>
  <si>
    <t>20-03/13</t>
  </si>
  <si>
    <t>20.03.13</t>
  </si>
  <si>
    <t>27.03.2013</t>
  </si>
  <si>
    <t>27-03/13</t>
  </si>
  <si>
    <t>28-03/13</t>
  </si>
  <si>
    <t>21-03/13</t>
  </si>
  <si>
    <t>40 леня от 04.04.13</t>
  </si>
  <si>
    <t>ип карпович 5,749 02.04-04.04. смр № 1728416</t>
  </si>
  <si>
    <t>66</t>
  </si>
  <si>
    <t>67</t>
  </si>
  <si>
    <t>68</t>
  </si>
  <si>
    <t>05.04.2013</t>
  </si>
  <si>
    <t>69</t>
  </si>
  <si>
    <t>70</t>
  </si>
  <si>
    <t>71</t>
  </si>
  <si>
    <t>72</t>
  </si>
  <si>
    <t>ооо вильва</t>
  </si>
  <si>
    <t>08.04.2013</t>
  </si>
  <si>
    <t>ООО "Новый воздух"</t>
  </si>
  <si>
    <t>ОДО "Лучший вкус"</t>
  </si>
  <si>
    <t xml:space="preserve"> авдеев 41 от 08.04.13</t>
  </si>
  <si>
    <t>белфаско</t>
  </si>
  <si>
    <t>73</t>
  </si>
  <si>
    <t>74</t>
  </si>
  <si>
    <t>ЧТПУП "ОМОЛОН -МАРКЕТ"</t>
  </si>
  <si>
    <t>ИП Петраченко А.В.</t>
  </si>
  <si>
    <t>75</t>
  </si>
  <si>
    <t>03.04.2013</t>
  </si>
  <si>
    <t>76</t>
  </si>
  <si>
    <t>77</t>
  </si>
  <si>
    <t>78</t>
  </si>
  <si>
    <t>79</t>
  </si>
  <si>
    <t>80</t>
  </si>
  <si>
    <t>щуцкий 42 от 09.04.13</t>
  </si>
  <si>
    <t>колеса</t>
  </si>
  <si>
    <t>родион43 от 12.04.2013</t>
  </si>
  <si>
    <t>леня 44 от 12.04.2013</t>
  </si>
  <si>
    <t>саша 45 от 15.04.2013</t>
  </si>
  <si>
    <t>олег 46 от 15.04.2013</t>
  </si>
  <si>
    <t>ооо лонакс</t>
  </si>
  <si>
    <t>15.04.2013</t>
  </si>
  <si>
    <t>16.04.2013</t>
  </si>
  <si>
    <t>леня 47 от 16.04.2013г.</t>
  </si>
  <si>
    <t>18.04.2013</t>
  </si>
  <si>
    <t>ласпар</t>
  </si>
  <si>
    <t>гарант пласт строй</t>
  </si>
  <si>
    <t>19.04.2013г.</t>
  </si>
  <si>
    <t>81</t>
  </si>
  <si>
    <t>82</t>
  </si>
  <si>
    <t>авдеев 48 от 21.04.2013г.</t>
  </si>
  <si>
    <t>17.04.2013</t>
  </si>
  <si>
    <t>83</t>
  </si>
  <si>
    <t>84</t>
  </si>
  <si>
    <t>85</t>
  </si>
  <si>
    <t>86</t>
  </si>
  <si>
    <t>20.04.2013г.</t>
  </si>
  <si>
    <t>чп ариадналайн</t>
  </si>
  <si>
    <t>родион 49 от 22.04.13</t>
  </si>
  <si>
    <t>22.04.2013</t>
  </si>
  <si>
    <t>олег 50 от 22.03.2013г.</t>
  </si>
  <si>
    <t>голден эра плюс</t>
  </si>
  <si>
    <t>ооо лэндтрансэкспедиция</t>
  </si>
  <si>
    <t>ооо фармекс</t>
  </si>
  <si>
    <t>щуцкий 51 от 27.04.2013</t>
  </si>
  <si>
    <t>белхим</t>
  </si>
  <si>
    <t>МАЙ</t>
  </si>
  <si>
    <t>23.04.2013</t>
  </si>
  <si>
    <t>26.04.2013</t>
  </si>
  <si>
    <t>87</t>
  </si>
  <si>
    <t>88</t>
  </si>
  <si>
    <t>89</t>
  </si>
  <si>
    <t>90</t>
  </si>
  <si>
    <t>91</t>
  </si>
  <si>
    <t>92</t>
  </si>
  <si>
    <t>93</t>
  </si>
  <si>
    <t>леня 52 от 29.04.2013г.</t>
  </si>
  <si>
    <t>30.04-02.05.</t>
  </si>
  <si>
    <t>хаузхолд</t>
  </si>
  <si>
    <t>29.04.2013</t>
  </si>
  <si>
    <t>24.04.2013</t>
  </si>
  <si>
    <t>24/04-1/13</t>
  </si>
  <si>
    <t>ИП Слободяник С.Е.</t>
  </si>
  <si>
    <t>53 от 06.05.2013 олег</t>
  </si>
  <si>
    <t xml:space="preserve">54 от 06.05.2013  леня </t>
  </si>
  <si>
    <t>94</t>
  </si>
  <si>
    <t>02.05.2013</t>
  </si>
  <si>
    <t>95</t>
  </si>
  <si>
    <t>08.05.2013</t>
  </si>
  <si>
    <t>93/1</t>
  </si>
  <si>
    <t>30.04.2013</t>
  </si>
  <si>
    <t>93/2</t>
  </si>
  <si>
    <t>нина</t>
  </si>
  <si>
    <t>55 от 08.05.2013 родион</t>
  </si>
  <si>
    <t>17.05.13</t>
  </si>
  <si>
    <t>96</t>
  </si>
  <si>
    <t>98</t>
  </si>
  <si>
    <t>99</t>
  </si>
  <si>
    <t>100</t>
  </si>
  <si>
    <t>ооо аура эллады</t>
  </si>
  <si>
    <t>101</t>
  </si>
  <si>
    <t>новый возлух</t>
  </si>
  <si>
    <t>58 от 18.05.13 олег</t>
  </si>
  <si>
    <t>103</t>
  </si>
  <si>
    <t>104</t>
  </si>
  <si>
    <t>105</t>
  </si>
  <si>
    <t>107</t>
  </si>
  <si>
    <t>60 леша</t>
  </si>
  <si>
    <t>108</t>
  </si>
  <si>
    <t>отдали лиле</t>
  </si>
  <si>
    <t>ип гардиан ж.в.</t>
  </si>
  <si>
    <t>ооо громин</t>
  </si>
  <si>
    <t>109</t>
  </si>
  <si>
    <t>59 ОТ 20.05.13гсаша</t>
  </si>
  <si>
    <t>света 503</t>
  </si>
  <si>
    <t>до 31.05.2013</t>
  </si>
  <si>
    <t>30.04.632</t>
  </si>
  <si>
    <t>97/1</t>
  </si>
  <si>
    <t>17.05.2013</t>
  </si>
  <si>
    <t>102</t>
  </si>
  <si>
    <t>18.05.2013</t>
  </si>
  <si>
    <t>25.05.2013</t>
  </si>
  <si>
    <t>23.05.2013</t>
  </si>
  <si>
    <t>чуп милмокс</t>
  </si>
  <si>
    <t>ИЮНЬ</t>
  </si>
  <si>
    <t>59/1 от 20.05.2013 эдукар леня</t>
  </si>
  <si>
    <t>61 от 27.05.2013</t>
  </si>
  <si>
    <t>22.05.2013</t>
  </si>
  <si>
    <t>б/н по городу</t>
  </si>
  <si>
    <t>колеса бус авдеев</t>
  </si>
  <si>
    <t xml:space="preserve">30.04.,78плат </t>
  </si>
  <si>
    <t>62 авдеев 28.05.13</t>
  </si>
  <si>
    <t>57 авдеев от 180513</t>
  </si>
  <si>
    <t>ооо АгроХимАльянс</t>
  </si>
  <si>
    <t>ооо "Шанте Бьюти"</t>
  </si>
  <si>
    <t>63 саша от 30.05.2013</t>
  </si>
  <si>
    <t>110</t>
  </si>
  <si>
    <t>29.05.2013</t>
  </si>
  <si>
    <t>64 олег от 30.05.2013</t>
  </si>
  <si>
    <t>65 леша  от 31.05.2013</t>
  </si>
  <si>
    <t>111</t>
  </si>
  <si>
    <t>03.06.2013</t>
  </si>
  <si>
    <t>112</t>
  </si>
  <si>
    <t>113</t>
  </si>
  <si>
    <t xml:space="preserve">света </t>
  </si>
  <si>
    <t>66 авдеев от 03.06.2013г.</t>
  </si>
  <si>
    <t>ооо элтикон</t>
  </si>
  <si>
    <t>стейшанари</t>
  </si>
  <si>
    <t>ЧТУП "Стейшанари"</t>
  </si>
  <si>
    <t>лена люда отдали телефон</t>
  </si>
  <si>
    <t>114</t>
  </si>
  <si>
    <t>05.06.2013</t>
  </si>
  <si>
    <t>ООО "Метэл"</t>
  </si>
  <si>
    <t>115</t>
  </si>
  <si>
    <t>ооо "Метэл"</t>
  </si>
  <si>
    <t>116</t>
  </si>
  <si>
    <t>лучший вкус</t>
  </si>
  <si>
    <t>117</t>
  </si>
  <si>
    <t>06.06.2013</t>
  </si>
  <si>
    <t>67 от 06.06.13 родион</t>
  </si>
  <si>
    <t>ИП "БрейкХайдроликс"</t>
  </si>
  <si>
    <t>СП "ВитарАвтомотив" ООО</t>
  </si>
  <si>
    <t>СООО "Антонар"</t>
  </si>
  <si>
    <t>68 олег от 07.06.13</t>
  </si>
  <si>
    <t>69   щуцкий от 07.06.13</t>
  </si>
  <si>
    <t xml:space="preserve">громин </t>
  </si>
  <si>
    <t>70 леня от 07.06.2013</t>
  </si>
  <si>
    <t>далибан</t>
  </si>
  <si>
    <t>10.06.2013</t>
  </si>
  <si>
    <t>118</t>
  </si>
  <si>
    <t>119</t>
  </si>
  <si>
    <t>120</t>
  </si>
  <si>
    <t>121</t>
  </si>
  <si>
    <t>122</t>
  </si>
  <si>
    <t>11.06.2013</t>
  </si>
  <si>
    <t>123</t>
  </si>
  <si>
    <t>наташа</t>
  </si>
  <si>
    <t>колесо плюс</t>
  </si>
  <si>
    <t>04.06.2013</t>
  </si>
  <si>
    <t>ООО "Арвит-авто"</t>
  </si>
  <si>
    <t>27.05.2013</t>
  </si>
  <si>
    <t>01-04/2013</t>
  </si>
  <si>
    <t>03-04/2013</t>
  </si>
  <si>
    <t>10.04.2013</t>
  </si>
  <si>
    <t>10-04/2013</t>
  </si>
  <si>
    <t>20.05.2013</t>
  </si>
  <si>
    <t>30.05.2013</t>
  </si>
  <si>
    <t>15.05.2013</t>
  </si>
  <si>
    <t>13-05/2013</t>
  </si>
  <si>
    <t>13.05.2013</t>
  </si>
  <si>
    <t>04-06/2013</t>
  </si>
  <si>
    <t>ЧТУП "Все двери"</t>
  </si>
  <si>
    <t>12.06.2013</t>
  </si>
  <si>
    <t>люда</t>
  </si>
  <si>
    <t>124</t>
  </si>
  <si>
    <t>125</t>
  </si>
  <si>
    <t>13.06.2013</t>
  </si>
  <si>
    <t>126</t>
  </si>
  <si>
    <t>71 от 10.06.2013 авдеев</t>
  </si>
  <si>
    <t>72 от 14.06.2013 родион</t>
  </si>
  <si>
    <t>сукно</t>
  </si>
  <si>
    <t>новый воздух</t>
  </si>
  <si>
    <t>127</t>
  </si>
  <si>
    <t>128</t>
  </si>
  <si>
    <t>129</t>
  </si>
  <si>
    <t>130</t>
  </si>
  <si>
    <t xml:space="preserve">галина </t>
  </si>
  <si>
    <t>иван</t>
  </si>
  <si>
    <t>14.06.2013</t>
  </si>
  <si>
    <t>131</t>
  </si>
  <si>
    <t>17.06.2013</t>
  </si>
  <si>
    <t>73 от 17.06.2013 авдеев</t>
  </si>
  <si>
    <t>74 от 17.06.2013</t>
  </si>
  <si>
    <t>ип шепетовская ю.с</t>
  </si>
  <si>
    <t>ип попека и.в.</t>
  </si>
  <si>
    <t>чтуп альфаградМ</t>
  </si>
  <si>
    <t>14.06.13</t>
  </si>
  <si>
    <t xml:space="preserve">отдали </t>
  </si>
  <si>
    <t>дисп</t>
  </si>
  <si>
    <t>75 олег от 21.06.2013</t>
  </si>
  <si>
    <t>76 щуцкий от 21.06.2012</t>
  </si>
  <si>
    <t>ООО "КупидонСем"</t>
  </si>
  <si>
    <t>132</t>
  </si>
  <si>
    <t>133</t>
  </si>
  <si>
    <t>ооо тент системс</t>
  </si>
  <si>
    <t>20.06.2013</t>
  </si>
  <si>
    <t>134</t>
  </si>
  <si>
    <t>135</t>
  </si>
  <si>
    <t>136</t>
  </si>
  <si>
    <t>18.06.2013</t>
  </si>
  <si>
    <t>19.06.2013</t>
  </si>
  <si>
    <t>137</t>
  </si>
  <si>
    <t>138</t>
  </si>
  <si>
    <t>77 родион от 24.06.2013</t>
  </si>
  <si>
    <t>ип дулин и.а.</t>
  </si>
  <si>
    <t>24.06.2013</t>
  </si>
  <si>
    <t>реутов</t>
  </si>
  <si>
    <t>видное</t>
  </si>
  <si>
    <t>валя 253</t>
  </si>
  <si>
    <t>ИЮЛЬ</t>
  </si>
  <si>
    <t>139</t>
  </si>
  <si>
    <t>140</t>
  </si>
  <si>
    <t>141</t>
  </si>
  <si>
    <t>26.05.2013</t>
  </si>
  <si>
    <t>142</t>
  </si>
  <si>
    <t>143</t>
  </si>
  <si>
    <t>144</t>
  </si>
  <si>
    <t>145</t>
  </si>
  <si>
    <t>79 авдеев</t>
  </si>
  <si>
    <t>80 олег</t>
  </si>
  <si>
    <t>27.06.2013</t>
  </si>
  <si>
    <t>шанте бьюти</t>
  </si>
  <si>
    <t>28.06.2013</t>
  </si>
  <si>
    <t>26.06.2013</t>
  </si>
  <si>
    <t>01.07.2013</t>
  </si>
  <si>
    <t xml:space="preserve">  </t>
  </si>
  <si>
    <t>СМР</t>
  </si>
  <si>
    <t>81  от 02.07.13 щуцкий</t>
  </si>
  <si>
    <t>люда н.н</t>
  </si>
  <si>
    <t xml:space="preserve">лиля </t>
  </si>
  <si>
    <t>82 от 02.07.13</t>
  </si>
  <si>
    <t>лама-мебель</t>
  </si>
  <si>
    <t>02.07.2013г</t>
  </si>
  <si>
    <t>146</t>
  </si>
  <si>
    <t>ип шепетовская ю.с.</t>
  </si>
  <si>
    <t>переславль +варшавка</t>
  </si>
  <si>
    <t>147</t>
  </si>
  <si>
    <t>148</t>
  </si>
  <si>
    <t>149</t>
  </si>
  <si>
    <t>6552959 отдали леня</t>
  </si>
  <si>
    <t>83 от 04.07.2013 олег</t>
  </si>
  <si>
    <t>элитттекстиль</t>
  </si>
  <si>
    <t>150</t>
  </si>
  <si>
    <t>151</t>
  </si>
  <si>
    <t>08.07.2013</t>
  </si>
  <si>
    <t>04.07.2013</t>
  </si>
  <si>
    <t>ооо транспортная компания магнитар</t>
  </si>
  <si>
    <t>84 от 10.07.2013 родион</t>
  </si>
  <si>
    <t>авто альянс</t>
  </si>
  <si>
    <t>ОКТЯБРЬ</t>
  </si>
  <si>
    <t>ип дабижа</t>
  </si>
  <si>
    <t>сами</t>
  </si>
  <si>
    <t>родион п/л №1 от 26.10.12.</t>
  </si>
  <si>
    <t>антонар</t>
  </si>
  <si>
    <t>оплатили</t>
  </si>
  <si>
    <t>арвит-авто</t>
  </si>
  <si>
    <t>270,5</t>
  </si>
  <si>
    <t>брейкхайдроликс</t>
  </si>
  <si>
    <t>фленджер</t>
  </si>
  <si>
    <t>марина 6320510</t>
  </si>
  <si>
    <t>текс трейд</t>
  </si>
  <si>
    <t>272</t>
  </si>
  <si>
    <t>Ноябрь</t>
  </si>
  <si>
    <t>родион п/л №2 от02.11.2012</t>
  </si>
  <si>
    <t>06-11/12</t>
  </si>
  <si>
    <t>ратипа</t>
  </si>
  <si>
    <t>авдеев п/л 003 от 06.11.2012</t>
  </si>
  <si>
    <t>08.11.2012г.</t>
  </si>
  <si>
    <t>ооо интертракт</t>
  </si>
  <si>
    <t>ип гвардиан  Ж.В.</t>
  </si>
  <si>
    <t>№06/11 от 06.11.2012г.</t>
  </si>
  <si>
    <t>авдеев п/л 004 от 13.11.2012</t>
  </si>
  <si>
    <t>родион 5 от 15 .11.12</t>
  </si>
  <si>
    <t>19-11/12</t>
  </si>
  <si>
    <t>сателит</t>
  </si>
  <si>
    <t>витаравтомотив</t>
  </si>
  <si>
    <t>гарантпластстрой</t>
  </si>
  <si>
    <t>авдеев 6 от 22.11.12</t>
  </si>
  <si>
    <t>ОМА</t>
  </si>
  <si>
    <t>Декабрь</t>
  </si>
  <si>
    <t>родион 7 от 26.11.12</t>
  </si>
  <si>
    <t>28-11/12</t>
  </si>
  <si>
    <t xml:space="preserve">                                                </t>
  </si>
  <si>
    <t>волшебный остров</t>
  </si>
  <si>
    <t>богдановский8 от 28.11.12</t>
  </si>
  <si>
    <t>30-11/12</t>
  </si>
  <si>
    <t>авдеев 9 от 30.11.2012</t>
  </si>
  <si>
    <t>05-12/12</t>
  </si>
  <si>
    <t>ома</t>
  </si>
  <si>
    <t>СООО "ТД Инструменткомплект</t>
  </si>
  <si>
    <t>родион 10 от 04.12.12г</t>
  </si>
  <si>
    <t>06-12/12</t>
  </si>
  <si>
    <t>богдановский 010/1 от 06.12.12</t>
  </si>
  <si>
    <t>олег 11 от 07.12.12г</t>
  </si>
  <si>
    <t>11-12/12</t>
  </si>
  <si>
    <t>ЧП "СемашкоАВтоТранс</t>
  </si>
  <si>
    <t>богдановский 12 от 10.12.12</t>
  </si>
  <si>
    <t>пустой</t>
  </si>
  <si>
    <t>родион 13 от 11.12.12</t>
  </si>
  <si>
    <t>родион 14 от 17.12.12</t>
  </si>
  <si>
    <t>19-12/12</t>
  </si>
  <si>
    <t>авдеев 15 от 20.12.12</t>
  </si>
  <si>
    <t>батэ</t>
  </si>
  <si>
    <t>электропром</t>
  </si>
  <si>
    <t>ивановна</t>
  </si>
  <si>
    <t>стройизотех</t>
  </si>
  <si>
    <t>олег 15/1 от 20.12.12</t>
  </si>
  <si>
    <t>22.142.12</t>
  </si>
  <si>
    <t>ГРОМИН</t>
  </si>
  <si>
    <t>будритейл</t>
  </si>
  <si>
    <t>78 от 24.06.</t>
  </si>
  <si>
    <t>85 от 11.07.13 нестерович</t>
  </si>
  <si>
    <t>тд.гранд сервис</t>
  </si>
  <si>
    <t>86 от 12.07.13 авдеев</t>
  </si>
  <si>
    <t>152</t>
  </si>
  <si>
    <t>ип шептовская</t>
  </si>
  <si>
    <t>12.07.2013</t>
  </si>
  <si>
    <t>11.07.2013</t>
  </si>
  <si>
    <t>13.07.2013</t>
  </si>
  <si>
    <t>15.07.2013</t>
  </si>
  <si>
    <t>153</t>
  </si>
  <si>
    <t>154</t>
  </si>
  <si>
    <t>570 за 9,5т</t>
  </si>
  <si>
    <t>за 5,3т,15м3</t>
  </si>
  <si>
    <t>каплайн</t>
  </si>
  <si>
    <t>90 костя</t>
  </si>
  <si>
    <t>155</t>
  </si>
  <si>
    <t>156</t>
  </si>
  <si>
    <t>157</t>
  </si>
  <si>
    <t>17.07.2013</t>
  </si>
  <si>
    <t>158</t>
  </si>
  <si>
    <t>159</t>
  </si>
  <si>
    <t>18.07.2013</t>
  </si>
  <si>
    <t xml:space="preserve">89 от 16.07.2013 леня </t>
  </si>
  <si>
    <t>91 авдеев от 19.07.13</t>
  </si>
  <si>
    <t>87 олег 13.07.13</t>
  </si>
  <si>
    <t>88 родион</t>
  </si>
  <si>
    <t>омолон маркет</t>
  </si>
  <si>
    <t>160</t>
  </si>
  <si>
    <t>161</t>
  </si>
  <si>
    <t>162</t>
  </si>
  <si>
    <t>163</t>
  </si>
  <si>
    <t>92 олег</t>
  </si>
  <si>
    <t>22.07.2013</t>
  </si>
  <si>
    <t>93 леша</t>
  </si>
  <si>
    <t>94 костя</t>
  </si>
  <si>
    <t>95 от 29.07.13авдеев</t>
  </si>
  <si>
    <t>АВГУСТ</t>
  </si>
  <si>
    <t>96 от 30.07.леня</t>
  </si>
  <si>
    <t>164</t>
  </si>
  <si>
    <t>милмокс</t>
  </si>
  <si>
    <t>31.07.2013</t>
  </si>
  <si>
    <t>31.07.2013г.</t>
  </si>
  <si>
    <t>165</t>
  </si>
  <si>
    <t>29.07.2013</t>
  </si>
  <si>
    <t>166</t>
  </si>
  <si>
    <t>01.08.2013</t>
  </si>
  <si>
    <t>167</t>
  </si>
  <si>
    <t>либра</t>
  </si>
  <si>
    <t>168</t>
  </si>
  <si>
    <t>169</t>
  </si>
  <si>
    <t>170</t>
  </si>
  <si>
    <t>171</t>
  </si>
  <si>
    <t>ип харитончик</t>
  </si>
  <si>
    <t>02.08.2013</t>
  </si>
  <si>
    <t xml:space="preserve">  ома</t>
  </si>
  <si>
    <t>172</t>
  </si>
  <si>
    <t>173</t>
  </si>
  <si>
    <t>05.08.2013</t>
  </si>
  <si>
    <t>98 костя от 02.08.2013</t>
  </si>
  <si>
    <t>98/1 авдеев от 05.08.2013</t>
  </si>
  <si>
    <t>99 леня от 05.082013</t>
  </si>
  <si>
    <t>метал по городу</t>
  </si>
  <si>
    <t>174</t>
  </si>
  <si>
    <t>97 от 02.08.2013 олег</t>
  </si>
  <si>
    <t>175</t>
  </si>
  <si>
    <t>07.08.2013</t>
  </si>
  <si>
    <t>грандсервис</t>
  </si>
  <si>
    <t>100 володя от 07.08.2013 ивеко</t>
  </si>
  <si>
    <t>07.08.13</t>
  </si>
  <si>
    <t>синтон</t>
  </si>
  <si>
    <t>102 от 12.08.13 олег</t>
  </si>
  <si>
    <t>176</t>
  </si>
  <si>
    <t>177</t>
  </si>
  <si>
    <t>12.08.2013</t>
  </si>
  <si>
    <t>103 от 13.08.13 костя</t>
  </si>
  <si>
    <t>178</t>
  </si>
  <si>
    <t>ооо велес</t>
  </si>
  <si>
    <t>179</t>
  </si>
  <si>
    <t>180</t>
  </si>
  <si>
    <t>181</t>
  </si>
  <si>
    <t>8,-9</t>
  </si>
  <si>
    <t>101мерс  от 07.08.2013 леня</t>
  </si>
  <si>
    <t>09.08.2013</t>
  </si>
  <si>
    <t>ООО Статура</t>
  </si>
  <si>
    <t>ип талейко Е.Л.</t>
  </si>
  <si>
    <t>громин отдали за весь июнь</t>
  </si>
  <si>
    <t>105 от 15.08.2013 леша</t>
  </si>
  <si>
    <t>26.07.2013</t>
  </si>
  <si>
    <t>104 от 14.08.2013 леня</t>
  </si>
  <si>
    <t>182</t>
  </si>
  <si>
    <t>183</t>
  </si>
  <si>
    <t>16.08.2013</t>
  </si>
  <si>
    <t>106 от 20.08.2013г красовский</t>
  </si>
  <si>
    <t>универсал пласт</t>
  </si>
  <si>
    <t>ип шаталова л.н.</t>
  </si>
  <si>
    <t>19.08.2013</t>
  </si>
  <si>
    <t>184</t>
  </si>
  <si>
    <t>185</t>
  </si>
  <si>
    <t>186</t>
  </si>
  <si>
    <t>маша</t>
  </si>
  <si>
    <t>187</t>
  </si>
  <si>
    <t>21.08.2013</t>
  </si>
  <si>
    <t>21.08.2013г.</t>
  </si>
  <si>
    <t>чтуп евроросторг</t>
  </si>
  <si>
    <t>188</t>
  </si>
  <si>
    <t>189</t>
  </si>
  <si>
    <t>190</t>
  </si>
  <si>
    <t>191</t>
  </si>
  <si>
    <t>ип хурсевич А.А.</t>
  </si>
  <si>
    <t>22.08.2013</t>
  </si>
  <si>
    <t>108 от 23.08.2013 костя</t>
  </si>
  <si>
    <t>650 у.е  за 100 у.е туда и 550 за 35м3</t>
  </si>
  <si>
    <t>192</t>
  </si>
  <si>
    <t>193</t>
  </si>
  <si>
    <t>26.08.2013</t>
  </si>
  <si>
    <t>110 от 29.08.2013 красовский</t>
  </si>
  <si>
    <t>194</t>
  </si>
  <si>
    <t>195</t>
  </si>
  <si>
    <t>196</t>
  </si>
  <si>
    <t>29.08.2013</t>
  </si>
  <si>
    <t>купидон сем</t>
  </si>
  <si>
    <t>аура эллада</t>
  </si>
  <si>
    <t>111 от 29.08.2013 нестерович</t>
  </si>
  <si>
    <t>Сентябрь</t>
  </si>
  <si>
    <t>197</t>
  </si>
  <si>
    <t>31.08.2013</t>
  </si>
  <si>
    <t xml:space="preserve"> 112 родион от 30.08.2013</t>
  </si>
  <si>
    <t>лама -мебель</t>
  </si>
  <si>
    <t>198</t>
  </si>
  <si>
    <t>02.09.2013г.</t>
  </si>
  <si>
    <t>199</t>
  </si>
  <si>
    <t>200</t>
  </si>
  <si>
    <t>201</t>
  </si>
  <si>
    <t>02.09.2013</t>
  </si>
  <si>
    <t>одо деловая русь бел</t>
  </si>
  <si>
    <t>113 леня от 03.09.2013г.</t>
  </si>
  <si>
    <t>202</t>
  </si>
  <si>
    <t>203</t>
  </si>
  <si>
    <t>204</t>
  </si>
  <si>
    <t>05.09.2013</t>
  </si>
  <si>
    <t xml:space="preserve">    </t>
  </si>
  <si>
    <t>06.09.2013</t>
  </si>
  <si>
    <t>115 авдеев от 06.09.2013г.</t>
  </si>
  <si>
    <t>14-08/13</t>
  </si>
  <si>
    <t>14.08.2013</t>
  </si>
  <si>
    <t>22-08/2013</t>
  </si>
  <si>
    <t>31-07/13</t>
  </si>
  <si>
    <t>07-08/13</t>
  </si>
  <si>
    <t>02-09-1/13</t>
  </si>
  <si>
    <t>06-08/13</t>
  </si>
  <si>
    <t>06.08.2013</t>
  </si>
  <si>
    <t>19-08/2013</t>
  </si>
  <si>
    <t>28-08/13</t>
  </si>
  <si>
    <t>28.08.2013</t>
  </si>
  <si>
    <t>19-08-1/13</t>
  </si>
  <si>
    <t>26-08/13</t>
  </si>
  <si>
    <t>02-09/13</t>
  </si>
  <si>
    <t>09.09.2013</t>
  </si>
  <si>
    <t>205</t>
  </si>
  <si>
    <t>206</t>
  </si>
  <si>
    <t>114 леня от 05.09.13</t>
  </si>
  <si>
    <t>420 за 5т,30м3</t>
  </si>
  <si>
    <t>109 авдеев от 29.08.</t>
  </si>
  <si>
    <t>117 красовский от 10.09.13</t>
  </si>
  <si>
    <t>ООО СТФмонтаж</t>
  </si>
  <si>
    <t>купидонсем</t>
  </si>
  <si>
    <t>каплайнтрейд</t>
  </si>
  <si>
    <t>11.09.2013</t>
  </si>
  <si>
    <t>207</t>
  </si>
  <si>
    <t>208</t>
  </si>
  <si>
    <t>206/1</t>
  </si>
  <si>
    <t>лама - мебель</t>
  </si>
  <si>
    <t>118 от 11.09.2013 леня</t>
  </si>
  <si>
    <t xml:space="preserve">ип дабижа </t>
  </si>
  <si>
    <t>209</t>
  </si>
  <si>
    <t>210</t>
  </si>
  <si>
    <t>13.09.2013</t>
  </si>
  <si>
    <t>119 от 13.09.2013г. Авдеев</t>
  </si>
  <si>
    <t>211</t>
  </si>
  <si>
    <t>16.09.2013</t>
  </si>
  <si>
    <t>12.09.2013</t>
  </si>
  <si>
    <t>пылев 100</t>
  </si>
  <si>
    <t>2.7млн андрей</t>
  </si>
  <si>
    <t>120 от 16.09.13 родион</t>
  </si>
  <si>
    <t>121 от 16.09.2013 богдановский</t>
  </si>
  <si>
    <t>12-09/2013</t>
  </si>
  <si>
    <t>107 родион от 23.08.2013</t>
  </si>
  <si>
    <t>209/1</t>
  </si>
  <si>
    <t>209/2</t>
  </si>
  <si>
    <t>122 от  19.09.2013 красовский</t>
  </si>
  <si>
    <t>124от 20.09 авдеев</t>
  </si>
  <si>
    <t>ГРОМИН отдали</t>
  </si>
  <si>
    <t>125 от 23.09.13 богдановский</t>
  </si>
  <si>
    <t>126 от 23.09.13 родион</t>
  </si>
  <si>
    <t>19.09.2013</t>
  </si>
  <si>
    <t>212</t>
  </si>
  <si>
    <t>213</t>
  </si>
  <si>
    <t>214</t>
  </si>
  <si>
    <t>20.09.2013</t>
  </si>
  <si>
    <t>18.09.2013</t>
  </si>
  <si>
    <t>элиттекстиль</t>
  </si>
  <si>
    <t>альфаградм</t>
  </si>
  <si>
    <t>23.09.2013</t>
  </si>
  <si>
    <t>215</t>
  </si>
  <si>
    <t xml:space="preserve">ип матвеева н.н.           </t>
  </si>
  <si>
    <t>123 от 19.09. леня ивеко</t>
  </si>
  <si>
    <t>216</t>
  </si>
  <si>
    <t>217</t>
  </si>
  <si>
    <t>218</t>
  </si>
  <si>
    <t>219</t>
  </si>
  <si>
    <t>127 леня от 24.09.2013</t>
  </si>
  <si>
    <t>128 олег от 27.09.13</t>
  </si>
  <si>
    <t>26.09.2013</t>
  </si>
  <si>
    <t>гал.иван.</t>
  </si>
  <si>
    <t>Октябрь</t>
  </si>
  <si>
    <t>ичтуп хим оникс</t>
  </si>
  <si>
    <t>220</t>
  </si>
  <si>
    <t>221</t>
  </si>
  <si>
    <t>27.09.2013</t>
  </si>
  <si>
    <t xml:space="preserve">26.09.2013 </t>
  </si>
  <si>
    <t>222</t>
  </si>
  <si>
    <t>30.09.2013</t>
  </si>
  <si>
    <t>223</t>
  </si>
  <si>
    <t>129 от 30.09.13 костя</t>
  </si>
  <si>
    <t xml:space="preserve">130 от 30.09.2013леня </t>
  </si>
  <si>
    <t>25.09.2013</t>
  </si>
  <si>
    <t xml:space="preserve"> ооо виксан бел</t>
  </si>
  <si>
    <t>131 леша от  01.10.2013</t>
  </si>
  <si>
    <t>02.10.2013</t>
  </si>
  <si>
    <t>224</t>
  </si>
  <si>
    <t>01.10.2013</t>
  </si>
  <si>
    <t>иностр.част.пред. Спецальянс</t>
  </si>
  <si>
    <t>ООО "Тибетрэй"</t>
  </si>
  <si>
    <t>132 от 03.10.13 авдеев</t>
  </si>
  <si>
    <t>116от 9.09. богдановский</t>
  </si>
  <si>
    <t>133 от 07.10.13 олег</t>
  </si>
  <si>
    <t>гарантпласстрой</t>
  </si>
  <si>
    <t>225</t>
  </si>
  <si>
    <t>226</t>
  </si>
  <si>
    <t>228</t>
  </si>
  <si>
    <t>229</t>
  </si>
  <si>
    <t>230</t>
  </si>
  <si>
    <t>ооо локальные системы</t>
  </si>
  <si>
    <t>07.10.2013</t>
  </si>
  <si>
    <t xml:space="preserve"> и воз2 кор</t>
  </si>
  <si>
    <t>350 за 10</t>
  </si>
  <si>
    <t>04.10.2013</t>
  </si>
  <si>
    <t>231</t>
  </si>
  <si>
    <t>226/1</t>
  </si>
  <si>
    <t>ооо торговля и снабжение</t>
  </si>
  <si>
    <t>09.10.2013</t>
  </si>
  <si>
    <t>232</t>
  </si>
  <si>
    <t>233</t>
  </si>
  <si>
    <t>135 от 10.10.2013г костя</t>
  </si>
  <si>
    <t>люда 650</t>
  </si>
  <si>
    <t>1 квартал</t>
  </si>
  <si>
    <t>2 квартал</t>
  </si>
  <si>
    <t>3 квартал</t>
  </si>
  <si>
    <t>4 квартал</t>
  </si>
  <si>
    <t>136 от 11.10.13 родион</t>
  </si>
  <si>
    <t>137 от 14.10.13 авдеев</t>
  </si>
  <si>
    <t>14.10.2013</t>
  </si>
  <si>
    <t>234</t>
  </si>
  <si>
    <t>235</t>
  </si>
  <si>
    <t>236</t>
  </si>
  <si>
    <t>430 за 4.2т,26м</t>
  </si>
  <si>
    <t>11.10.2013</t>
  </si>
  <si>
    <t>233/1</t>
  </si>
  <si>
    <t>233/2</t>
  </si>
  <si>
    <t>сооо лама мебель</t>
  </si>
  <si>
    <t>ип добижа</t>
  </si>
  <si>
    <t>маша 254</t>
  </si>
  <si>
    <t>134 от 09.10.13 леня ивеко</t>
  </si>
  <si>
    <t>237</t>
  </si>
  <si>
    <t>238</t>
  </si>
  <si>
    <t>239</t>
  </si>
  <si>
    <t>16.10.2013</t>
  </si>
  <si>
    <t>ООО "ЭнергоОбеспечение"</t>
  </si>
  <si>
    <t>138 от 18.10.2013г. Красовский</t>
  </si>
  <si>
    <t>550тыс</t>
  </si>
  <si>
    <t>240</t>
  </si>
  <si>
    <t>241</t>
  </si>
  <si>
    <t>242</t>
  </si>
  <si>
    <t>и лена</t>
  </si>
  <si>
    <t>140 леша от 21.10.13 .</t>
  </si>
  <si>
    <t>ООО "Строительные инновации и материалы"</t>
  </si>
  <si>
    <t>18.10.2013</t>
  </si>
  <si>
    <t>ООО "Брандтрей"</t>
  </si>
  <si>
    <t>16.10.2013г</t>
  </si>
  <si>
    <t>243</t>
  </si>
  <si>
    <t>139 костя  от20.10.13(18.100</t>
  </si>
  <si>
    <t>141 от 21.10.13 леня ивеко</t>
  </si>
  <si>
    <t>244</t>
  </si>
  <si>
    <t>23.10.2013г.</t>
  </si>
  <si>
    <t>ЧТПУП "Виленчиц А.Б."</t>
  </si>
  <si>
    <t>21.10.2013</t>
  </si>
  <si>
    <t>142 от 25.10.13 авдеев</t>
  </si>
  <si>
    <t>143красовский от</t>
  </si>
  <si>
    <t>одо битех</t>
  </si>
  <si>
    <t>245</t>
  </si>
  <si>
    <t>25.10.2013</t>
  </si>
  <si>
    <t>24.10.13</t>
  </si>
  <si>
    <t>оао камволь</t>
  </si>
  <si>
    <t>анжела</t>
  </si>
  <si>
    <t>одо телеком системы</t>
  </si>
  <si>
    <t>29.10.2013</t>
  </si>
  <si>
    <t>246</t>
  </si>
  <si>
    <t>9т весь прицеп</t>
  </si>
  <si>
    <t>550+70 штр</t>
  </si>
  <si>
    <t>247</t>
  </si>
  <si>
    <t>248</t>
  </si>
  <si>
    <t>145 родион от 29.10.2013</t>
  </si>
  <si>
    <t>144богдановский от 28.10.2013</t>
  </si>
  <si>
    <t>28.10.2013</t>
  </si>
  <si>
    <t>249</t>
  </si>
  <si>
    <t>за 9т</t>
  </si>
  <si>
    <t>31.10.2013г.</t>
  </si>
  <si>
    <t>250</t>
  </si>
  <si>
    <t>251</t>
  </si>
  <si>
    <t>31.10.2013</t>
  </si>
  <si>
    <t>146 от 31.10.2013 авдеев</t>
  </si>
  <si>
    <t>147 от 04.11.13 красовский</t>
  </si>
  <si>
    <t>148 от 04.11.13 родион</t>
  </si>
  <si>
    <t>252</t>
  </si>
  <si>
    <t>253</t>
  </si>
  <si>
    <t>04.11.2013</t>
  </si>
  <si>
    <t>01.11.2013г.</t>
  </si>
  <si>
    <t>320 за 10м3</t>
  </si>
  <si>
    <t>149 от 05.11.2013г богдановский</t>
  </si>
  <si>
    <t>150 от 05.11.2013г леня</t>
  </si>
  <si>
    <t>сооо "дайверс-инвест"</t>
  </si>
  <si>
    <t>151 авдеев от 08.11.13г.</t>
  </si>
  <si>
    <t>152 красовского от 09.11.2013</t>
  </si>
  <si>
    <t>153 от 11.11.13 родион</t>
  </si>
  <si>
    <t>11.11.2013г.</t>
  </si>
  <si>
    <t>07.11.2013</t>
  </si>
  <si>
    <t>ип ханило Л.В.</t>
  </si>
  <si>
    <t>254</t>
  </si>
  <si>
    <t>ооо брандтрейд</t>
  </si>
  <si>
    <t>08.11.2013</t>
  </si>
  <si>
    <t>255</t>
  </si>
  <si>
    <t>256</t>
  </si>
  <si>
    <t>257</t>
  </si>
  <si>
    <t>11.11.2013</t>
  </si>
  <si>
    <t>258</t>
  </si>
  <si>
    <t>255/1</t>
  </si>
  <si>
    <t>255/2</t>
  </si>
  <si>
    <t>16.10.13</t>
  </si>
  <si>
    <t>СООО "ГЕЙМ СТРИМ"</t>
  </si>
  <si>
    <t>13.11.2013</t>
  </si>
  <si>
    <t>велес</t>
  </si>
  <si>
    <t>14.11.2013</t>
  </si>
  <si>
    <t>154 от 14.11.2013 леня</t>
  </si>
  <si>
    <t>15.11.2013</t>
  </si>
  <si>
    <t>259</t>
  </si>
  <si>
    <t>260</t>
  </si>
  <si>
    <t>261</t>
  </si>
  <si>
    <t xml:space="preserve">андрей </t>
  </si>
  <si>
    <t>262</t>
  </si>
  <si>
    <t>263</t>
  </si>
  <si>
    <t>18.11.2013</t>
  </si>
  <si>
    <t>156 от 18.11 богдановский</t>
  </si>
  <si>
    <t>155 от 18.11 авдеев</t>
  </si>
  <si>
    <t>11т 650+30 срыв.моей загр</t>
  </si>
  <si>
    <t>264</t>
  </si>
  <si>
    <t>265</t>
  </si>
  <si>
    <t>157от 19.11 родион</t>
  </si>
  <si>
    <t>159 авдеев от 25.11.2013</t>
  </si>
  <si>
    <t>266</t>
  </si>
  <si>
    <t>22.11.2013</t>
  </si>
  <si>
    <t>158 от 22.11.2013г.красовский</t>
  </si>
  <si>
    <t>450 за 4.2т 25м3</t>
  </si>
  <si>
    <t>25.11.2013</t>
  </si>
  <si>
    <t>267</t>
  </si>
  <si>
    <t>268</t>
  </si>
  <si>
    <t>25м3,2.5 т</t>
  </si>
  <si>
    <t>160 леня от 26.11.13</t>
  </si>
  <si>
    <t>161 тишков от 27.11.13</t>
  </si>
  <si>
    <t>ооо "гт-запад"</t>
  </si>
  <si>
    <t>269</t>
  </si>
  <si>
    <t>ооо белпродтрейд</t>
  </si>
  <si>
    <t>26.11.2013</t>
  </si>
  <si>
    <t>27.11.2013</t>
  </si>
  <si>
    <t>лена люда 450у.е.</t>
  </si>
  <si>
    <t>270</t>
  </si>
  <si>
    <t>ооо  металлинокс плюс</t>
  </si>
  <si>
    <t>162  от 28.11. 13 богдановский</t>
  </si>
  <si>
    <t>164 красовский от 29.11.13</t>
  </si>
  <si>
    <t>28.11.13</t>
  </si>
  <si>
    <t>271</t>
  </si>
  <si>
    <t>273</t>
  </si>
  <si>
    <t>29.11.2013</t>
  </si>
  <si>
    <t>140 у.е.</t>
  </si>
  <si>
    <t>ип гвардиан</t>
  </si>
  <si>
    <t>вера</t>
  </si>
  <si>
    <t>02.12.13</t>
  </si>
  <si>
    <t>274</t>
  </si>
  <si>
    <t>275</t>
  </si>
  <si>
    <t>276</t>
  </si>
  <si>
    <t>240 громин</t>
  </si>
  <si>
    <t>02.12.2013</t>
  </si>
  <si>
    <t>590у.е.,за 8т</t>
  </si>
  <si>
    <t>180 у.е.</t>
  </si>
  <si>
    <t>ип лапицкий с.п.</t>
  </si>
  <si>
    <t>ооо голден эра +</t>
  </si>
  <si>
    <t>одо телекомсистемы</t>
  </si>
  <si>
    <t>одо лучший вкус</t>
  </si>
  <si>
    <t>277</t>
  </si>
  <si>
    <t>278</t>
  </si>
  <si>
    <t>279</t>
  </si>
  <si>
    <t>04.12.13</t>
  </si>
  <si>
    <t>163 родион от 29.11.13</t>
  </si>
  <si>
    <t>166 от 06.12.13 авдеев</t>
  </si>
  <si>
    <t>230 =2м3+30 за возврат</t>
  </si>
  <si>
    <t>380 за 25</t>
  </si>
  <si>
    <t>280</t>
  </si>
  <si>
    <t>281</t>
  </si>
  <si>
    <t>09.12.2013</t>
  </si>
  <si>
    <t xml:space="preserve">запчасти </t>
  </si>
  <si>
    <t>андрей</t>
  </si>
  <si>
    <t>167 от 09.12.13 богдановский</t>
  </si>
  <si>
    <t>05.12.2013</t>
  </si>
  <si>
    <t>279/1</t>
  </si>
  <si>
    <t>20.11.2013</t>
  </si>
  <si>
    <t>лена люда</t>
  </si>
  <si>
    <t>тпчуп овви го</t>
  </si>
  <si>
    <t>282</t>
  </si>
  <si>
    <t>283</t>
  </si>
  <si>
    <t>11.12.13</t>
  </si>
  <si>
    <t>168 от 13.12.13 авдеев</t>
  </si>
  <si>
    <t>169 от 13.12.13 красовский</t>
  </si>
  <si>
    <t>284</t>
  </si>
  <si>
    <t>285</t>
  </si>
  <si>
    <t>286</t>
  </si>
  <si>
    <t>287</t>
  </si>
  <si>
    <t>16.12.13</t>
  </si>
  <si>
    <t>170 от 16.12.13 родион</t>
  </si>
  <si>
    <t>172 от 19.12.13 богдановский</t>
  </si>
  <si>
    <t>175 родион</t>
  </si>
  <si>
    <t>173 авдеев от 20.12.13</t>
  </si>
  <si>
    <t>18.12.13</t>
  </si>
  <si>
    <t>288</t>
  </si>
  <si>
    <t>289</t>
  </si>
  <si>
    <t>все ол</t>
  </si>
  <si>
    <t>марина ди</t>
  </si>
  <si>
    <t>293</t>
  </si>
  <si>
    <t>23.12.13</t>
  </si>
  <si>
    <t>локальные системы</t>
  </si>
  <si>
    <t>290</t>
  </si>
  <si>
    <t>291</t>
  </si>
  <si>
    <t>292</t>
  </si>
  <si>
    <t>294</t>
  </si>
  <si>
    <t>295</t>
  </si>
  <si>
    <t>296</t>
  </si>
  <si>
    <t>171 от 17.12.13 тишков</t>
  </si>
  <si>
    <t>20.12.2013</t>
  </si>
  <si>
    <t>174 от 23.12.2013 красовский</t>
  </si>
  <si>
    <t>24.12.2013</t>
  </si>
  <si>
    <t>ип смирнова е.а.</t>
  </si>
  <si>
    <t>19.12.13</t>
  </si>
  <si>
    <t>290/1</t>
  </si>
  <si>
    <t>290/2</t>
  </si>
  <si>
    <t>ооо старт -альянс</t>
  </si>
  <si>
    <t>20.12.13</t>
  </si>
  <si>
    <t>165 родион от 07.12.13</t>
  </si>
  <si>
    <t>роял терм</t>
  </si>
  <si>
    <t>16/12-13</t>
  </si>
  <si>
    <t>ип  мирошниченко</t>
  </si>
  <si>
    <t>297</t>
  </si>
  <si>
    <t>298</t>
  </si>
  <si>
    <t>26.12.13</t>
  </si>
  <si>
    <t>ооо бастион</t>
  </si>
  <si>
    <t>матрасы</t>
  </si>
  <si>
    <t>04.11.13</t>
  </si>
  <si>
    <t xml:space="preserve">оввиго </t>
  </si>
  <si>
    <t>30.12.2013</t>
  </si>
  <si>
    <t>28.12.13</t>
  </si>
  <si>
    <t>24.12.13</t>
  </si>
  <si>
    <t>24-12/13</t>
  </si>
  <si>
    <t>299</t>
  </si>
  <si>
    <t>300</t>
  </si>
  <si>
    <t>301</t>
  </si>
  <si>
    <t>25.12.13</t>
  </si>
  <si>
    <t>вес и объем</t>
  </si>
  <si>
    <t>уп славянская столица</t>
  </si>
  <si>
    <t xml:space="preserve">176 красовский </t>
  </si>
  <si>
    <t>177 богдановский</t>
  </si>
  <si>
    <t xml:space="preserve">1 родион </t>
  </si>
  <si>
    <t xml:space="preserve">2 авдеев </t>
  </si>
  <si>
    <t>3 нестерович от 10.01.2014г.</t>
  </si>
  <si>
    <t>4 нестерович от 15.01.2014г.</t>
  </si>
  <si>
    <t>ооо тд гранд сервис</t>
  </si>
  <si>
    <t>14.01.2014</t>
  </si>
  <si>
    <t>17.01.2014</t>
  </si>
  <si>
    <t>фурни</t>
  </si>
  <si>
    <t>09.12</t>
  </si>
  <si>
    <t>15.01.14</t>
  </si>
  <si>
    <t>ООО "Брандтрейд"</t>
  </si>
  <si>
    <t>ООО "БКС-Комплект"</t>
  </si>
  <si>
    <t>5 от 16.01.14 богдановский</t>
  </si>
  <si>
    <t>итого</t>
  </si>
  <si>
    <t>6 родион от 16.01.2013г.</t>
  </si>
  <si>
    <t>костя</t>
  </si>
  <si>
    <t xml:space="preserve">7 красовский </t>
  </si>
  <si>
    <t>8 авдеев</t>
  </si>
  <si>
    <t>20.01.2014</t>
  </si>
  <si>
    <t>СООО "Лама-мебель"</t>
  </si>
  <si>
    <t>1150,за 2т.+2 точки москва</t>
  </si>
  <si>
    <t>ООО "СладКом"</t>
  </si>
  <si>
    <t>ЧТУП "Межароль"</t>
  </si>
  <si>
    <t>580 за 7т.35м</t>
  </si>
  <si>
    <t>за 8,6т.+200</t>
  </si>
  <si>
    <t>13.01.2014</t>
  </si>
  <si>
    <t>13-01/14</t>
  </si>
  <si>
    <t>13-01-1/14</t>
  </si>
  <si>
    <t>13-01-2/14</t>
  </si>
  <si>
    <t>23.01.2014</t>
  </si>
  <si>
    <t>ООО "Пофит ВК"</t>
  </si>
  <si>
    <t>9 богдановский</t>
  </si>
  <si>
    <t>10 родион</t>
  </si>
  <si>
    <t>27.01.2014</t>
  </si>
  <si>
    <t>11красовский</t>
  </si>
  <si>
    <t>12 авдеев</t>
  </si>
  <si>
    <t>8/1 от 22.01.2014 нестерович</t>
  </si>
  <si>
    <t>22.01.2014</t>
  </si>
  <si>
    <t>22-01-1/14</t>
  </si>
  <si>
    <t>ип веракса с.а.</t>
  </si>
  <si>
    <t>22-01/14</t>
  </si>
  <si>
    <t>нал</t>
  </si>
  <si>
    <t>29.01.2014</t>
  </si>
  <si>
    <t>у.е.</t>
  </si>
  <si>
    <t>обороты</t>
  </si>
  <si>
    <t>11 рейсов</t>
  </si>
  <si>
    <t>27-01/14</t>
  </si>
  <si>
    <t>ООО "ОМА"</t>
  </si>
  <si>
    <t>30.01.2014</t>
  </si>
  <si>
    <t>ООО "Локальные системы"</t>
  </si>
  <si>
    <t>ооо строоительные инновации и материалы</t>
  </si>
  <si>
    <t>13тишков  от 28.01.14г</t>
  </si>
  <si>
    <t>27-01-1/14</t>
  </si>
  <si>
    <t>ООО "Элиттекстиль"</t>
  </si>
  <si>
    <t>31.01.2014</t>
  </si>
  <si>
    <t>03.02.2014</t>
  </si>
  <si>
    <t>29-01/14</t>
  </si>
  <si>
    <t>17 красовский от 04.02.2014</t>
  </si>
  <si>
    <t>16 нестерович от 03.02.2014г.</t>
  </si>
  <si>
    <t>15 богдановский от 03.02.2014г.</t>
  </si>
  <si>
    <t>18 нестерович</t>
  </si>
  <si>
    <t>29-01-1/14</t>
  </si>
  <si>
    <t>ЧТУП "Универсал пласт"</t>
  </si>
  <si>
    <t>6227443 владимир</t>
  </si>
  <si>
    <t>19 от 06.02.14 авдеев</t>
  </si>
  <si>
    <t>07.02.2014</t>
  </si>
  <si>
    <t>05.02.2014</t>
  </si>
  <si>
    <t>20 от 07.02.14 родион</t>
  </si>
  <si>
    <t>03-02/14</t>
  </si>
  <si>
    <t>21красовский от 10.02.14</t>
  </si>
  <si>
    <t>22 богдановский от 10.02.14</t>
  </si>
  <si>
    <t xml:space="preserve">3447 от </t>
  </si>
  <si>
    <t>20/1 от 07.02.2014 тишков</t>
  </si>
  <si>
    <t>14 родион  от 31.01.2014г.</t>
  </si>
  <si>
    <t>ЧП "Стейшанари"</t>
  </si>
  <si>
    <t>10.02.2014</t>
  </si>
  <si>
    <t>до 10м3</t>
  </si>
  <si>
    <t>20-01/14</t>
  </si>
  <si>
    <t>20-01-1/14</t>
  </si>
  <si>
    <t>11.02.14</t>
  </si>
  <si>
    <t>10.02.14</t>
  </si>
  <si>
    <t>ООО"ЭнПроектСтрой"</t>
  </si>
  <si>
    <t>ооо Алителла"</t>
  </si>
  <si>
    <t>17.02.2014</t>
  </si>
  <si>
    <t>540 за 6т.30м3</t>
  </si>
  <si>
    <t>тмф транс</t>
  </si>
  <si>
    <t>14.02.2014</t>
  </si>
  <si>
    <t>13.02.2014</t>
  </si>
  <si>
    <t>25 нестерович</t>
  </si>
  <si>
    <t>ип хурсевич а.а.</t>
  </si>
  <si>
    <t>05-02/14</t>
  </si>
  <si>
    <t>05.02.14</t>
  </si>
  <si>
    <t>12.02.2014</t>
  </si>
  <si>
    <t>12-02/14</t>
  </si>
  <si>
    <t>12-02-1/14</t>
  </si>
  <si>
    <t>12-02-2/14</t>
  </si>
  <si>
    <t>ЗАО "ТД Аллекор"</t>
  </si>
  <si>
    <t>ООО "Центр учебного оборудования "Вариант"</t>
  </si>
  <si>
    <t>20.02.2014</t>
  </si>
  <si>
    <t xml:space="preserve">26 авдеев от 21.02.14 </t>
  </si>
  <si>
    <t xml:space="preserve">27 богдановский </t>
  </si>
  <si>
    <t>24.02.2014</t>
  </si>
  <si>
    <t>28 красовский</t>
  </si>
  <si>
    <t>24 леша от 14.02.2014</t>
  </si>
  <si>
    <t>20-02/14</t>
  </si>
  <si>
    <t>9х20=180</t>
  </si>
  <si>
    <t>23родион</t>
  </si>
  <si>
    <t>6т 30м3 540</t>
  </si>
  <si>
    <t>29 от 24.02.14 тишков</t>
  </si>
  <si>
    <t>командировка</t>
  </si>
  <si>
    <t>30 от 28.02.14 родион</t>
  </si>
  <si>
    <t>03.03.14</t>
  </si>
  <si>
    <t>27.02.14</t>
  </si>
  <si>
    <t>25.02.2014</t>
  </si>
  <si>
    <t>5,5 т 25м3 500</t>
  </si>
  <si>
    <t>03.03.2014</t>
  </si>
  <si>
    <t>28.02.2014</t>
  </si>
  <si>
    <t>"Профит  ВК"</t>
  </si>
  <si>
    <t>31 от 04.03.2014 нестерович</t>
  </si>
  <si>
    <t>32 от 04.03.14красовкий</t>
  </si>
  <si>
    <t>33 от 04.03.14 богдановский</t>
  </si>
  <si>
    <t>25-02/14</t>
  </si>
  <si>
    <t>25-02-1/14</t>
  </si>
  <si>
    <t>27-02/14</t>
  </si>
  <si>
    <t>06.03.2014</t>
  </si>
  <si>
    <t>34 авдеев от 07.03.14</t>
  </si>
  <si>
    <t>томилино</t>
  </si>
  <si>
    <t>05.03.14</t>
  </si>
  <si>
    <t>04.03.14</t>
  </si>
  <si>
    <t>3.6т 20м 450</t>
  </si>
  <si>
    <t xml:space="preserve">35 родион </t>
  </si>
  <si>
    <t>07.03.14</t>
  </si>
  <si>
    <t>10.03.2014</t>
  </si>
  <si>
    <t>ООО "Голден  эра плюс"</t>
  </si>
  <si>
    <t>36 от 10.03.2014 богдановский</t>
  </si>
  <si>
    <t>ооо анпласт</t>
  </si>
  <si>
    <t>37 от 10.03.2014 нестерович</t>
  </si>
  <si>
    <t>ООО "Пан Панчыч"</t>
  </si>
  <si>
    <t>38 от 12.03. красовский</t>
  </si>
  <si>
    <t>11.03.2014</t>
  </si>
  <si>
    <t>13.03.2014</t>
  </si>
  <si>
    <t>ЧУП"Милмокс"</t>
  </si>
  <si>
    <t>39 авдеев от 14.03.14</t>
  </si>
  <si>
    <t>12.03.2014</t>
  </si>
  <si>
    <t>04-03/14</t>
  </si>
  <si>
    <t>06-03/14</t>
  </si>
  <si>
    <t>05-03/14</t>
  </si>
  <si>
    <t>11-03/14</t>
  </si>
  <si>
    <t>17.03.2014</t>
  </si>
  <si>
    <t>14.03.2014</t>
  </si>
  <si>
    <t>40 от 18.03.14 родион</t>
  </si>
  <si>
    <t>12-03/14</t>
  </si>
  <si>
    <t>18.03.2014</t>
  </si>
  <si>
    <t>ооо "Торговля и снабжение"</t>
  </si>
  <si>
    <t>ИП Баркун Ю.А.</t>
  </si>
  <si>
    <t>39/1 от 17.03.2014 нестерович</t>
  </si>
  <si>
    <t>3 должны</t>
  </si>
  <si>
    <t>20.03.2014</t>
  </si>
  <si>
    <t>42 от 24.03. от красовский</t>
  </si>
  <si>
    <t>24.03.14</t>
  </si>
  <si>
    <t>19.03.2014</t>
  </si>
  <si>
    <t>21.03.2014</t>
  </si>
  <si>
    <t>61/1</t>
  </si>
  <si>
    <t>62/1</t>
  </si>
  <si>
    <t>24.03.2014</t>
  </si>
  <si>
    <t>отдали оле и за один март</t>
  </si>
  <si>
    <t>43 от 26.03.14 богдановский</t>
  </si>
  <si>
    <t>41 от 20.03.14 мерс</t>
  </si>
  <si>
    <t>44 от 27.03.2014 авдеев</t>
  </si>
  <si>
    <t>38+50</t>
  </si>
  <si>
    <t>42/1 от 25.03.</t>
  </si>
  <si>
    <t>46 от 31.03.14 красовский</t>
  </si>
  <si>
    <t>7 оле</t>
  </si>
  <si>
    <t>7Х20=140</t>
  </si>
  <si>
    <t>31.03.2014</t>
  </si>
  <si>
    <t>УП "Автобис"</t>
  </si>
  <si>
    <t>ооо"ГарантПластСтрой"</t>
  </si>
  <si>
    <t>01.04.2014</t>
  </si>
  <si>
    <t>25.03.14</t>
  </si>
  <si>
    <t>10 рейсов</t>
  </si>
  <si>
    <t>45 родион от 31.03.2014</t>
  </si>
  <si>
    <t>03.04.14</t>
  </si>
  <si>
    <t>47 тишков от 31.03.14</t>
  </si>
  <si>
    <t>49 от 07.04.2014 родион</t>
  </si>
  <si>
    <t>лама</t>
  </si>
  <si>
    <t>02.04.14</t>
  </si>
  <si>
    <t>02-1-04/14</t>
  </si>
  <si>
    <t>02-04/14</t>
  </si>
  <si>
    <t>48 от 04.04.2014 костя</t>
  </si>
  <si>
    <t>07.04.14</t>
  </si>
  <si>
    <t>ЧТУП "Уневерсал пласт"</t>
  </si>
  <si>
    <t>09.04.14</t>
  </si>
  <si>
    <t xml:space="preserve">ласпар </t>
  </si>
  <si>
    <t>брандтрейд</t>
  </si>
  <si>
    <t>50 леня от 07.04.14 ивеко</t>
  </si>
  <si>
    <t xml:space="preserve">51 авдеев от </t>
  </si>
  <si>
    <t>08.04.14</t>
  </si>
  <si>
    <t>52/1 от 11.04.14 олег</t>
  </si>
  <si>
    <t>05.04.14</t>
  </si>
  <si>
    <t>ООО "Лендтрансэкспедиция"</t>
  </si>
  <si>
    <t>ООО "Маркетэкотранс"</t>
  </si>
  <si>
    <t>14.04.2014</t>
  </si>
  <si>
    <t>ООО ТД "Гранд -сервис"</t>
  </si>
  <si>
    <t>54 леша от 14.04.14</t>
  </si>
  <si>
    <t xml:space="preserve">55 костя </t>
  </si>
  <si>
    <t>9,3т.</t>
  </si>
  <si>
    <t>14.04.14</t>
  </si>
  <si>
    <t>16.04.14</t>
  </si>
  <si>
    <t xml:space="preserve">57 авдеев от </t>
  </si>
  <si>
    <t>58 от 21.04.2014 г. красовский</t>
  </si>
  <si>
    <t>56 нестерович от 17.04.14 мерс</t>
  </si>
  <si>
    <t>21.04.14</t>
  </si>
  <si>
    <t>60 родион</t>
  </si>
  <si>
    <t>16-01-1/14</t>
  </si>
  <si>
    <t>53 нестерович мерседес</t>
  </si>
  <si>
    <t>25.04.2014</t>
  </si>
  <si>
    <t>62 костя</t>
  </si>
  <si>
    <t>22.04.2014</t>
  </si>
  <si>
    <t>28.04.2014</t>
  </si>
  <si>
    <t>97</t>
  </si>
  <si>
    <t>ЧПТУП "Милмокс"</t>
  </si>
  <si>
    <t>ИП Сенатор М.Г.</t>
  </si>
  <si>
    <t>63родион</t>
  </si>
  <si>
    <t>12х20=240</t>
  </si>
  <si>
    <t>24.04.14</t>
  </si>
  <si>
    <t>64 олег от 05.05.2014</t>
  </si>
  <si>
    <t>65 от 05.05.14 нестерович</t>
  </si>
  <si>
    <t>59 костя от 22.04.14</t>
  </si>
  <si>
    <t>07.05.14</t>
  </si>
  <si>
    <t>08.05.2014</t>
  </si>
  <si>
    <t>106</t>
  </si>
  <si>
    <t>66 авдеев от 12.05.14</t>
  </si>
  <si>
    <t>ЧТПУП "Омолон маркет"</t>
  </si>
  <si>
    <t>05.05.14</t>
  </si>
  <si>
    <t>05-05-2/14</t>
  </si>
  <si>
    <t>05-05-1/14</t>
  </si>
  <si>
    <t>05-05/14</t>
  </si>
  <si>
    <t>ИП Ермак С.Ю.</t>
  </si>
  <si>
    <t>08.05.14</t>
  </si>
  <si>
    <t>12.05.14</t>
  </si>
  <si>
    <t>ООО "Профит ВК"</t>
  </si>
  <si>
    <t>ЧТУП "ЛогосХоллИмпорт"</t>
  </si>
  <si>
    <t>67 нестерович от 13.05.14</t>
  </si>
  <si>
    <t>06.05.14</t>
  </si>
  <si>
    <t>19.05.2014</t>
  </si>
  <si>
    <t>14.05.14</t>
  </si>
  <si>
    <t>14-05/14</t>
  </si>
  <si>
    <t>17.05.2014</t>
  </si>
  <si>
    <t>3рейса</t>
  </si>
  <si>
    <t>71 командировка от 19.05.14</t>
  </si>
  <si>
    <t>68 богданоский от 14.05.2014</t>
  </si>
  <si>
    <t>Евростильдекор</t>
  </si>
  <si>
    <t>ТД гранд сервис</t>
  </si>
  <si>
    <t>69 родион от 15.05.14</t>
  </si>
  <si>
    <t>торговля и снабжение</t>
  </si>
  <si>
    <t>70 красовский от 15.05.2014</t>
  </si>
  <si>
    <t>72 красовский от 22.05.14</t>
  </si>
  <si>
    <t>профит вк</t>
  </si>
  <si>
    <t>73 авдеев с 23.05.14</t>
  </si>
  <si>
    <t>02.06.14</t>
  </si>
  <si>
    <t>ООО "Гарант пласт строй"</t>
  </si>
  <si>
    <t>75 леша от 28.05.2014</t>
  </si>
  <si>
    <t>76 костя от 02.06.14</t>
  </si>
  <si>
    <t>28.05.2014</t>
  </si>
  <si>
    <t>78 от 03.06.14 олег</t>
  </si>
  <si>
    <t>26.05.2014</t>
  </si>
  <si>
    <t>77 от 02.06.14</t>
  </si>
  <si>
    <t>74леня командировка мерс</t>
  </si>
  <si>
    <t>04.06.2014</t>
  </si>
  <si>
    <t>22.05.14</t>
  </si>
  <si>
    <t>29.05.14</t>
  </si>
  <si>
    <t>СООО "Дайверс-инвест"</t>
  </si>
  <si>
    <t>05.06.14</t>
  </si>
  <si>
    <t>9рейсов в мае</t>
  </si>
  <si>
    <t>ЧТУП "ТД"Форсаж-инструмент"</t>
  </si>
  <si>
    <t>80 от 09.06.14 родион</t>
  </si>
  <si>
    <t>81 от 09.06.14 авдеев</t>
  </si>
  <si>
    <t>04.06.14</t>
  </si>
  <si>
    <t>06.06.14</t>
  </si>
  <si>
    <t>ООО "Брантрейд"</t>
  </si>
  <si>
    <t>06.06.2014</t>
  </si>
  <si>
    <t>ОДО "Унитехстрой"</t>
  </si>
  <si>
    <t>79 от 05.06.14 леня ивеко</t>
  </si>
  <si>
    <t>82костя 11.6.14</t>
  </si>
  <si>
    <t>ООО "Металлы и сплавы"</t>
  </si>
  <si>
    <t>мостра-групп</t>
  </si>
  <si>
    <t>09.06.14</t>
  </si>
  <si>
    <t>83 от 12.06.14командировка</t>
  </si>
  <si>
    <t>12.06.14</t>
  </si>
  <si>
    <t>13.06.14</t>
  </si>
  <si>
    <t>ЧТУП "Стейшанари "</t>
  </si>
  <si>
    <t>ООО "ТД гранд сервис"</t>
  </si>
  <si>
    <t>ООО Инолта"</t>
  </si>
  <si>
    <t>10.06.14</t>
  </si>
  <si>
    <t>84 от 17.06.2014г.</t>
  </si>
  <si>
    <t>15.05.14</t>
  </si>
  <si>
    <t>семена 1000</t>
  </si>
  <si>
    <t>85 олег от 18.06.14</t>
  </si>
  <si>
    <t>18.06.2014</t>
  </si>
  <si>
    <t>87 родион20.06.2014</t>
  </si>
  <si>
    <t>19.06.2014</t>
  </si>
  <si>
    <t>86 женя 19.06.2014</t>
  </si>
  <si>
    <t>23.06.2014</t>
  </si>
  <si>
    <t>20.05.2014</t>
  </si>
  <si>
    <t>21.05.14</t>
  </si>
  <si>
    <t>21-05/14</t>
  </si>
  <si>
    <t>19-05/14</t>
  </si>
  <si>
    <t>20-05/14</t>
  </si>
  <si>
    <t>26.05.14</t>
  </si>
  <si>
    <t>26-05/14</t>
  </si>
  <si>
    <t>22.05.2014</t>
  </si>
  <si>
    <t>90 от 25.06.2014 красовский</t>
  </si>
  <si>
    <t>13000 тыс.должен</t>
  </si>
  <si>
    <t>17.06.2014</t>
  </si>
  <si>
    <t>17-06/14</t>
  </si>
  <si>
    <t>24.06.2014</t>
  </si>
  <si>
    <t>26-06/14</t>
  </si>
  <si>
    <t>92 родион от 27.06.14</t>
  </si>
  <si>
    <t>91 от 26.06.14 авдеев</t>
  </si>
  <si>
    <t>26.06.2014</t>
  </si>
  <si>
    <t>7рейсов июнь</t>
  </si>
  <si>
    <t>июль</t>
  </si>
  <si>
    <t>30.06.2014</t>
  </si>
  <si>
    <t>20.06.2014</t>
  </si>
  <si>
    <t>7т28=540</t>
  </si>
  <si>
    <t>ИП зайковский С.И.</t>
  </si>
  <si>
    <t>чп "Остспедкарго"</t>
  </si>
  <si>
    <t>овердрайв электро</t>
  </si>
  <si>
    <t xml:space="preserve"> 6 за июнь</t>
  </si>
  <si>
    <t>130 шт</t>
  </si>
  <si>
    <t>01.07.2014</t>
  </si>
  <si>
    <t>02.07.2014</t>
  </si>
  <si>
    <t>89 от 25.06.2014леня</t>
  </si>
  <si>
    <t>и еще 3000000</t>
  </si>
  <si>
    <t>95 олег от 04.07.14</t>
  </si>
  <si>
    <t>96 от 07.07.14 родион</t>
  </si>
  <si>
    <t>09.07.14</t>
  </si>
  <si>
    <t>06.07.14</t>
  </si>
  <si>
    <t>07.07.14</t>
  </si>
  <si>
    <t>07.07.2014</t>
  </si>
  <si>
    <t>04.07.2014</t>
  </si>
  <si>
    <t>30-06/14</t>
  </si>
  <si>
    <t>ООО"ЮрТайм"</t>
  </si>
  <si>
    <t>93 леня от 27.06.14мерс</t>
  </si>
  <si>
    <t>94 от 30.06.2014тишков ивеко</t>
  </si>
  <si>
    <t>магнитар</t>
  </si>
  <si>
    <t>испорчен</t>
  </si>
  <si>
    <t xml:space="preserve">лена </t>
  </si>
  <si>
    <t xml:space="preserve">ип добижа </t>
  </si>
  <si>
    <t>ООО "ЭнПроектСтрой"</t>
  </si>
  <si>
    <t>98 от 08.07.2014 авдеев</t>
  </si>
  <si>
    <t>97 от 07.07.14 леня мерс</t>
  </si>
  <si>
    <t>99 от 14.07.2014 костя</t>
  </si>
  <si>
    <t>100 от 14.07.2014 родион</t>
  </si>
  <si>
    <t>15.07.2014</t>
  </si>
  <si>
    <t>09.07.2014</t>
  </si>
  <si>
    <t>11.07.2014</t>
  </si>
  <si>
    <t>еще таня с 101 пут</t>
  </si>
  <si>
    <t>09.97.2014</t>
  </si>
  <si>
    <t>09-07-1/14</t>
  </si>
  <si>
    <t>09-07-2/14</t>
  </si>
  <si>
    <t>12.07.2014</t>
  </si>
  <si>
    <t>88 от23.06.14 богдановский</t>
  </si>
  <si>
    <t>98/1 от 12.07.14мерс</t>
  </si>
  <si>
    <t>сергей леня 300+ вборис.170</t>
  </si>
  <si>
    <t xml:space="preserve">104 богдановский </t>
  </si>
  <si>
    <t>каплайн трейд</t>
  </si>
  <si>
    <t>18.07.2014</t>
  </si>
  <si>
    <t>103 олег17.07.14</t>
  </si>
  <si>
    <t>105 родион 22.07.14г.</t>
  </si>
  <si>
    <t>17.07.14</t>
  </si>
  <si>
    <t>102 от 17.07.14 ивеко тишков</t>
  </si>
  <si>
    <t>21.07.14</t>
  </si>
  <si>
    <t>19.07.2014</t>
  </si>
  <si>
    <t>16.07.14</t>
  </si>
  <si>
    <t>16-07/14</t>
  </si>
  <si>
    <t>16-07-1/14</t>
  </si>
  <si>
    <t>гос.предприятие "Аква минск"</t>
  </si>
  <si>
    <t>23.07.14</t>
  </si>
  <si>
    <t>экспедиция</t>
  </si>
  <si>
    <t>ООО "транссервисстрой"</t>
  </si>
  <si>
    <t>24.07.14</t>
  </si>
  <si>
    <t>22.07.14</t>
  </si>
  <si>
    <t>22-07/14</t>
  </si>
  <si>
    <t>21-07/14</t>
  </si>
  <si>
    <t>101от 15.07.14 мерс тишков</t>
  </si>
  <si>
    <t>28.07.14</t>
  </si>
  <si>
    <t>107 олег 25.07.14</t>
  </si>
  <si>
    <t>108костя25.07.14</t>
  </si>
  <si>
    <t>109 от 29.07.14 родион</t>
  </si>
  <si>
    <t xml:space="preserve">стейшанари </t>
  </si>
  <si>
    <t>24-07/14</t>
  </si>
  <si>
    <t>26.07.14</t>
  </si>
  <si>
    <t xml:space="preserve">112 от 31.07.2014 авдеев </t>
  </si>
  <si>
    <t>111 от 30.07.14 володя</t>
  </si>
  <si>
    <t>31.07.14</t>
  </si>
  <si>
    <t>и еще матрац 180</t>
  </si>
  <si>
    <t>106 командировка Нестерович 24.07.</t>
  </si>
  <si>
    <t>влад 150</t>
  </si>
  <si>
    <t>овердрайв электро 150</t>
  </si>
  <si>
    <t>01.08.14</t>
  </si>
  <si>
    <t>113 от 01.08.14г. Богдановский</t>
  </si>
  <si>
    <t>114 от 01.08.14 леня</t>
  </si>
  <si>
    <t>115 от 04.08.14 красовский</t>
  </si>
  <si>
    <t>04.08.14</t>
  </si>
  <si>
    <t>29.07.14</t>
  </si>
  <si>
    <t>29-07/14</t>
  </si>
  <si>
    <t>ООО "Дайверс-инвест"</t>
  </si>
  <si>
    <t>110 от 30.07.14 леня на мерседесе</t>
  </si>
  <si>
    <t>5р</t>
  </si>
  <si>
    <t>28-07/14</t>
  </si>
  <si>
    <t>06.08.14</t>
  </si>
  <si>
    <t>ЧТУП "ЭлитАвтоУслуги"</t>
  </si>
  <si>
    <t>04-08/14</t>
  </si>
  <si>
    <t>ип сугако г.а.</t>
  </si>
  <si>
    <t>ЧТУП "ЛЕГОБизнесТранс"</t>
  </si>
  <si>
    <t>116 от 05.08.14родион</t>
  </si>
  <si>
    <t>31-07/14</t>
  </si>
  <si>
    <t>07.08.14</t>
  </si>
  <si>
    <t>30.07.14</t>
  </si>
  <si>
    <t>08.08.14</t>
  </si>
  <si>
    <t>05.08.14</t>
  </si>
  <si>
    <t>05-08/14</t>
  </si>
  <si>
    <t>14,5т</t>
  </si>
  <si>
    <t>ООО "О2 Инвест"</t>
  </si>
  <si>
    <t>ЗАО "Интерпартнер"</t>
  </si>
  <si>
    <t>11.08.14</t>
  </si>
  <si>
    <t>07-08/14</t>
  </si>
  <si>
    <t>ЧП "Техсервис -СДМ"</t>
  </si>
  <si>
    <t>ООО "Мультитранс"</t>
  </si>
  <si>
    <t>118  красовский от 11.08.14</t>
  </si>
  <si>
    <t>7рейсов</t>
  </si>
  <si>
    <t>2,5т 12м3=280</t>
  </si>
  <si>
    <t>119 от 12.08.14 родион</t>
  </si>
  <si>
    <t>москва,протвино,оболеннск</t>
  </si>
  <si>
    <t>120 тишков 13.08.14</t>
  </si>
  <si>
    <t>121 от15.08.14 авдеев</t>
  </si>
  <si>
    <t>маша 4,0 и вл.борис.170</t>
  </si>
  <si>
    <t>лама 310 наши</t>
  </si>
  <si>
    <t>14.08.14</t>
  </si>
  <si>
    <t>бытовая техн50, и 190 быт</t>
  </si>
  <si>
    <t>117 женя от 08.08.</t>
  </si>
  <si>
    <t>11-08/14</t>
  </si>
  <si>
    <t>118/1 от 11.08.14 богдановский</t>
  </si>
  <si>
    <t>122 богдановский</t>
  </si>
  <si>
    <t>15.08.14</t>
  </si>
  <si>
    <t>18.08.14</t>
  </si>
  <si>
    <t xml:space="preserve">123 олег </t>
  </si>
  <si>
    <t>13.08.14</t>
  </si>
  <si>
    <t>13-08/14</t>
  </si>
  <si>
    <t>14-08/14</t>
  </si>
  <si>
    <t xml:space="preserve">124 леня </t>
  </si>
  <si>
    <t>09-07/14</t>
  </si>
  <si>
    <t>11-1,</t>
  </si>
  <si>
    <t>20.08.14</t>
  </si>
  <si>
    <t>21.08.14</t>
  </si>
  <si>
    <t>лиля жанна</t>
  </si>
  <si>
    <t xml:space="preserve">маша </t>
  </si>
  <si>
    <t>126 авдеев от 22.08.14</t>
  </si>
  <si>
    <t>дайверс инвест</t>
  </si>
  <si>
    <t>чтуп универсал пласт</t>
  </si>
  <si>
    <t>ооо гарант пласт строй</t>
  </si>
  <si>
    <t>переславль,железнодорожный,варшавка</t>
  </si>
  <si>
    <t>25.08.14</t>
  </si>
  <si>
    <t>ип батулина Ю.В.</t>
  </si>
  <si>
    <t>монтажспецкомплект</t>
  </si>
  <si>
    <t>ООО "Акустиком"</t>
  </si>
  <si>
    <t>125 родион  от 19.08.14</t>
  </si>
  <si>
    <t>21-08/14</t>
  </si>
  <si>
    <t>20-08/14</t>
  </si>
  <si>
    <t>127 олег от 26.08.14</t>
  </si>
  <si>
    <t>126/1 от 25.08.14 леня</t>
  </si>
  <si>
    <t>128 от 27.08.14родион</t>
  </si>
  <si>
    <t>27.08.14</t>
  </si>
  <si>
    <t>129 от 28.08.богдановский</t>
  </si>
  <si>
    <t>дедовск,менделеево,люберцы</t>
  </si>
  <si>
    <t>01.09.2014</t>
  </si>
  <si>
    <t>130 от 01.09.14 тишков</t>
  </si>
  <si>
    <t>29.08.2014</t>
  </si>
  <si>
    <t>телеком системы</t>
  </si>
  <si>
    <t>эллиттекстиль</t>
  </si>
  <si>
    <t>01.09.14</t>
  </si>
  <si>
    <t>7т25м3-410??????????7</t>
  </si>
  <si>
    <t>27-08-1/14</t>
  </si>
  <si>
    <t>27-08/14</t>
  </si>
  <si>
    <t>3точки</t>
  </si>
  <si>
    <t>19.08.14</t>
  </si>
  <si>
    <t>131 от 02.09.14г.авдеев</t>
  </si>
  <si>
    <t>132 от 03.09.14 красовский</t>
  </si>
  <si>
    <t>03.09.14</t>
  </si>
  <si>
    <t>01-09/14</t>
  </si>
  <si>
    <t>влад.борис.350</t>
  </si>
  <si>
    <t>наташа450</t>
  </si>
  <si>
    <t>133 от 04.09.14 родион</t>
  </si>
  <si>
    <t>2т</t>
  </si>
  <si>
    <t>134 от 04.09.14</t>
  </si>
  <si>
    <t>08.09.14</t>
  </si>
  <si>
    <t>10рейсов</t>
  </si>
  <si>
    <t>матрассы 200</t>
  </si>
  <si>
    <t>02.09.14</t>
  </si>
  <si>
    <t>02-09/14</t>
  </si>
  <si>
    <t>04.09.14</t>
  </si>
  <si>
    <t>04-09/14</t>
  </si>
  <si>
    <t>04-09-1/14</t>
  </si>
  <si>
    <t>ип виленчиц а.в.</t>
  </si>
  <si>
    <t>135 от 09.09.14 авдеев</t>
  </si>
  <si>
    <t>ооо миасритейл</t>
  </si>
  <si>
    <t>06.09.14</t>
  </si>
  <si>
    <t>350+30</t>
  </si>
  <si>
    <t>10.09.14</t>
  </si>
  <si>
    <t>ЧТУП "Синдекор"</t>
  </si>
  <si>
    <t>раиса</t>
  </si>
  <si>
    <t>136 от 10.09.14 олег на москву</t>
  </si>
  <si>
    <t xml:space="preserve">лама </t>
  </si>
  <si>
    <t>138 костя от 12.09.14</t>
  </si>
  <si>
    <t>инолта</t>
  </si>
  <si>
    <t>139 олег</t>
  </si>
  <si>
    <t>140 от 15.09.14 родион</t>
  </si>
  <si>
    <t>1т</t>
  </si>
  <si>
    <t>бытовая , и 190 быт</t>
  </si>
  <si>
    <t>унивесал пласт</t>
  </si>
  <si>
    <t>15.09.14</t>
  </si>
  <si>
    <t>141 от 16.09.14авдеев</t>
  </si>
  <si>
    <t>за август 12</t>
  </si>
  <si>
    <t>18.09.14</t>
  </si>
  <si>
    <t>ип боровая о.в.</t>
  </si>
  <si>
    <t>серп,подольск,москва</t>
  </si>
  <si>
    <t>137 от 11.09.14 леня ивеко</t>
  </si>
  <si>
    <t>142 от 19.09.14 олег</t>
  </si>
  <si>
    <t>маша 3,0</t>
  </si>
  <si>
    <t>12.09.14</t>
  </si>
  <si>
    <t>143 от 22.09.14авдеев</t>
  </si>
  <si>
    <t>144 от 22.09.14г. Родион</t>
  </si>
  <si>
    <t>145 от 22.09.14 тишков</t>
  </si>
  <si>
    <t>16.09.14</t>
  </si>
  <si>
    <t>16-09/14</t>
  </si>
  <si>
    <t>кинг стайл</t>
  </si>
  <si>
    <t>19.09.14</t>
  </si>
  <si>
    <t>22.09.14</t>
  </si>
  <si>
    <t>23.09.14</t>
  </si>
  <si>
    <t>17.09.14</t>
  </si>
  <si>
    <t>17-09/14</t>
  </si>
  <si>
    <t>ЧП "РоялТранс"</t>
  </si>
  <si>
    <t>18-09/14</t>
  </si>
  <si>
    <t>146 от 23.09.14 леня</t>
  </si>
  <si>
    <t>ООО "Эллиттекстиль"</t>
  </si>
  <si>
    <t>3т</t>
  </si>
  <si>
    <t>147 от 24.09.14 богдановский</t>
  </si>
  <si>
    <t>300генна</t>
  </si>
  <si>
    <t>завезли доки 25.09</t>
  </si>
  <si>
    <t>25.09.14</t>
  </si>
  <si>
    <t>227</t>
  </si>
  <si>
    <t>148 от 26.09.14 олег</t>
  </si>
  <si>
    <t>149 от 26.09.14 авдеев</t>
  </si>
  <si>
    <t>ООО "Торговля и снабжение"</t>
  </si>
  <si>
    <t>26.09.14</t>
  </si>
  <si>
    <t>нал 300 лена</t>
  </si>
  <si>
    <t>25.09.2014</t>
  </si>
  <si>
    <t>29.09.14</t>
  </si>
  <si>
    <t>150 от 29.09.14 родион</t>
  </si>
  <si>
    <t>вильва,5т 480</t>
  </si>
  <si>
    <t>29.09.2014</t>
  </si>
  <si>
    <t xml:space="preserve">24.09.14 </t>
  </si>
  <si>
    <t>30.09.14</t>
  </si>
  <si>
    <t>ИП Зуева Л.А.</t>
  </si>
  <si>
    <t>ООО "ТК Магнитар"</t>
  </si>
  <si>
    <t>151 костя от 02.10.14г</t>
  </si>
  <si>
    <t>пересл+</t>
  </si>
  <si>
    <t>москва петровское</t>
  </si>
  <si>
    <t>7,2 т со скидкой 600000</t>
  </si>
  <si>
    <t>ИП Гвардиан Ж.В.</t>
  </si>
  <si>
    <t>150+250 2 точки</t>
  </si>
  <si>
    <t>02.10.14</t>
  </si>
  <si>
    <t>гранд сервис???????????</t>
  </si>
  <si>
    <t>8пал.1,5т</t>
  </si>
  <si>
    <t>154 от 06.10.14 родион</t>
  </si>
  <si>
    <t>155 от 07.10.14 тишков</t>
  </si>
  <si>
    <t>06.10.14</t>
  </si>
  <si>
    <t>ЧТПУП "Омолон-маркет"</t>
  </si>
  <si>
    <t>30-09/14</t>
  </si>
  <si>
    <t xml:space="preserve">ип смирнова </t>
  </si>
  <si>
    <t>ОООСтроительные инновации и материалы</t>
  </si>
  <si>
    <t>6,5т45м3-580</t>
  </si>
  <si>
    <t>генна 300</t>
  </si>
  <si>
    <t>лена анатолий 350у.е,6614253</t>
  </si>
  <si>
    <t>153 от 06.10.14 леня</t>
  </si>
  <si>
    <t>03.10.14</t>
  </si>
  <si>
    <t>01.10.14</t>
  </si>
  <si>
    <t>одо унитех строй</t>
  </si>
  <si>
    <t>01-10-1/14</t>
  </si>
  <si>
    <t>ооо элиттекстиль</t>
  </si>
  <si>
    <t>2москва и железнодор</t>
  </si>
  <si>
    <t>09.10.14</t>
  </si>
  <si>
    <t>08.10.14</t>
  </si>
  <si>
    <t>156 олег от 09.10.14</t>
  </si>
  <si>
    <t>250 анатолий</t>
  </si>
  <si>
    <t>157 костя от 10.10.14</t>
  </si>
  <si>
    <t>07.10.14</t>
  </si>
  <si>
    <t>ООО "Альфасток"</t>
  </si>
  <si>
    <t>152 олег от 03.10.</t>
  </si>
  <si>
    <t>серпухов</t>
  </si>
  <si>
    <t>158 от 13.10.14 родион</t>
  </si>
  <si>
    <t>2точки москва</t>
  </si>
  <si>
    <t>13.10.14</t>
  </si>
  <si>
    <t>ООО"Ласпар"</t>
  </si>
  <si>
    <t>150+200</t>
  </si>
  <si>
    <t>50+540 за 8т 35м3</t>
  </si>
  <si>
    <t>09-10/14</t>
  </si>
  <si>
    <t>06-10/14</t>
  </si>
  <si>
    <t>07-10/14</t>
  </si>
  <si>
    <t>01-10/14</t>
  </si>
  <si>
    <t>29-09/14</t>
  </si>
  <si>
    <t>железнодор,никопольск,и серпухов</t>
  </si>
  <si>
    <t>159 от 16.10.14 авдеев</t>
  </si>
  <si>
    <t>163 женя от 27.10.14 авдеев</t>
  </si>
  <si>
    <t>ип дулин</t>
  </si>
  <si>
    <t>роял транс</t>
  </si>
  <si>
    <t>кузнецы 300</t>
  </si>
  <si>
    <t>маша 270,александр 280</t>
  </si>
  <si>
    <t>наташа 193</t>
  </si>
  <si>
    <t>переславль</t>
  </si>
  <si>
    <t>164 красовский 27.10.14</t>
  </si>
  <si>
    <t>5,5т,25м3=500</t>
  </si>
  <si>
    <t>27.10.14</t>
  </si>
  <si>
    <t>25.10.14</t>
  </si>
  <si>
    <t>9пал.</t>
  </si>
  <si>
    <t>21.10.14</t>
  </si>
  <si>
    <t>21-10/14</t>
  </si>
  <si>
    <t>161 богдановский</t>
  </si>
  <si>
    <t>20.10.14</t>
  </si>
  <si>
    <t>23.10.14</t>
  </si>
  <si>
    <t>ООО "5А-Логистикс"</t>
  </si>
  <si>
    <t>120+320</t>
  </si>
  <si>
    <t>22.10.14</t>
  </si>
  <si>
    <t>160 красовский от 20.10.14</t>
  </si>
  <si>
    <t>ООО "элиттекстиль"</t>
  </si>
  <si>
    <t>ООО"Локальные системы"</t>
  </si>
  <si>
    <t>162 леня от 23.10.14</t>
  </si>
  <si>
    <t>СЗАО "Серволюкс"</t>
  </si>
  <si>
    <t>17.10.14</t>
  </si>
  <si>
    <t>15.10.14</t>
  </si>
  <si>
    <t>16.10.14</t>
  </si>
  <si>
    <t>165 богдановскийот 31.10.14</t>
  </si>
  <si>
    <t>29.10.14</t>
  </si>
  <si>
    <t>29-10/14</t>
  </si>
  <si>
    <t>31.10.14</t>
  </si>
  <si>
    <t>01.11.14</t>
  </si>
  <si>
    <t>03.11.14</t>
  </si>
  <si>
    <t>30.10.14</t>
  </si>
  <si>
    <t>168 красовский от 04.11.14</t>
  </si>
  <si>
    <t>167 родион от 03.11.14</t>
  </si>
  <si>
    <t>166 авдеев от 03.11.14</t>
  </si>
  <si>
    <t>иван 250</t>
  </si>
  <si>
    <t>ТПУП "ОВВИ ГО"</t>
  </si>
  <si>
    <t>ООО"Вильва"</t>
  </si>
  <si>
    <t>ира элект</t>
  </si>
  <si>
    <t>ткань 300 жанна</t>
  </si>
  <si>
    <t>350 2точки варшавка и ногинск,40м3,4т</t>
  </si>
  <si>
    <t>10.11.14</t>
  </si>
  <si>
    <t>14.10.14</t>
  </si>
  <si>
    <t>3т18м3,400</t>
  </si>
  <si>
    <t>169 костя от 11.11.14</t>
  </si>
  <si>
    <t>170 авдеев от 11.11.14</t>
  </si>
  <si>
    <t>12.11.14</t>
  </si>
  <si>
    <t>13.11.14</t>
  </si>
  <si>
    <t>171 от 13.11.14 леня</t>
  </si>
  <si>
    <t>05.11.14</t>
  </si>
  <si>
    <t>Гос.пред-е "Аква Минск"</t>
  </si>
  <si>
    <t>06.11.14</t>
  </si>
  <si>
    <t>06-11/14</t>
  </si>
  <si>
    <t>05-11/14</t>
  </si>
  <si>
    <t>10-11/14</t>
  </si>
  <si>
    <t>12-11/14</t>
  </si>
  <si>
    <t>13-11/14</t>
  </si>
  <si>
    <t>17.11.14</t>
  </si>
  <si>
    <t>12-13</t>
  </si>
  <si>
    <t>лучший  вкус</t>
  </si>
  <si>
    <t>220паркет,400 ленин сергей за 9палет</t>
  </si>
  <si>
    <t>172 от 17.11.14 родион</t>
  </si>
  <si>
    <t>400 за 4т18м3</t>
  </si>
  <si>
    <t>173 от 18.11.14 олег</t>
  </si>
  <si>
    <t>45500+ за 2точку о.з+10у.е</t>
  </si>
  <si>
    <t>14.11.14</t>
  </si>
  <si>
    <t>ип хурсевич е.а.</t>
  </si>
  <si>
    <t>24.11.14</t>
  </si>
  <si>
    <t>174 от женя</t>
  </si>
  <si>
    <t>175 от 24.11.14 леня</t>
  </si>
  <si>
    <t>7,2т40м3 590</t>
  </si>
  <si>
    <t>176 от 25.11.14 леша</t>
  </si>
  <si>
    <t>саша 300 за 7палет 1,1т</t>
  </si>
  <si>
    <t>2точки москва и ногинск,1\2машины</t>
  </si>
  <si>
    <t>2м3,300кг</t>
  </si>
  <si>
    <t>26.11.14</t>
  </si>
  <si>
    <t>19.11.14</t>
  </si>
  <si>
    <t>19-11/14</t>
  </si>
  <si>
    <t>300нал.</t>
  </si>
  <si>
    <t>27.11.14</t>
  </si>
  <si>
    <t>20.11.14</t>
  </si>
  <si>
    <t>20-11/14</t>
  </si>
  <si>
    <t xml:space="preserve">177 от 28.11.14 сергей </t>
  </si>
  <si>
    <t>28.11.14</t>
  </si>
  <si>
    <t>строительные инновации и мат.</t>
  </si>
  <si>
    <t>29.11.14</t>
  </si>
  <si>
    <t xml:space="preserve"> и еще за 450 лена</t>
  </si>
  <si>
    <t>25.11.14</t>
  </si>
  <si>
    <t>01.12.14</t>
  </si>
  <si>
    <t>02.12.14</t>
  </si>
  <si>
    <t>178 от 02.12.14 женя</t>
  </si>
  <si>
    <t>ип тамашонок л.в.</t>
  </si>
  <si>
    <t>30м3,2т</t>
  </si>
  <si>
    <t>179 от 04.12.14 леша</t>
  </si>
  <si>
    <t>дедовск,подольск,москва</t>
  </si>
  <si>
    <t>серпухов речицы</t>
  </si>
  <si>
    <t>москва</t>
  </si>
  <si>
    <t>04.12.14</t>
  </si>
  <si>
    <t>05.12.14</t>
  </si>
  <si>
    <t>08.12.14</t>
  </si>
  <si>
    <t>180 от 05.12.14 сергей</t>
  </si>
  <si>
    <t>телекомсистемы по рб</t>
  </si>
  <si>
    <t>57м3,3смр по 11,5</t>
  </si>
  <si>
    <t>4т20=430</t>
  </si>
  <si>
    <t>181 женя от 08.12.14</t>
  </si>
  <si>
    <t>ЧТУП"ДафюрТранс"</t>
  </si>
  <si>
    <t>запчасти 470</t>
  </si>
  <si>
    <t>03.12.14</t>
  </si>
  <si>
    <t>речицы,никопольская</t>
  </si>
  <si>
    <t>182 тишков  от 09.12.14</t>
  </si>
  <si>
    <t>183 олег  от 10.12.14</t>
  </si>
  <si>
    <t>11.12.14</t>
  </si>
  <si>
    <t>10.12.14</t>
  </si>
  <si>
    <t>09.12.14</t>
  </si>
  <si>
    <t>184 от 11.12.14 леша</t>
  </si>
  <si>
    <t>подольск,москва</t>
  </si>
  <si>
    <t>185 от12.12 сергей</t>
  </si>
  <si>
    <t>быково,москва(томилино)</t>
  </si>
  <si>
    <t>леня мебель</t>
  </si>
  <si>
    <t xml:space="preserve">торговля и снабжение </t>
  </si>
  <si>
    <t>5т</t>
  </si>
  <si>
    <t>строительные инновации и материаллы</t>
  </si>
  <si>
    <t>ип абрамович</t>
  </si>
  <si>
    <t>чуп универсал пласт</t>
  </si>
  <si>
    <t>9рейсов</t>
  </si>
  <si>
    <t>188 олег</t>
  </si>
  <si>
    <t>550таня</t>
  </si>
  <si>
    <t>смирнова</t>
  </si>
  <si>
    <t>ОДО "крестьянское подворье"</t>
  </si>
  <si>
    <t>ООО "Туссон"</t>
  </si>
  <si>
    <t>эдвин дар</t>
  </si>
  <si>
    <t>анжелла</t>
  </si>
  <si>
    <t>187 леша от 19.12.14</t>
  </si>
  <si>
    <t>24.12.14</t>
  </si>
  <si>
    <t>23.12.14</t>
  </si>
  <si>
    <t>189 тишков</t>
  </si>
  <si>
    <t>191 авдеев</t>
  </si>
  <si>
    <t>190 сергей</t>
  </si>
  <si>
    <t>ООО "Виптекс"</t>
  </si>
  <si>
    <t>ип хурсевич</t>
  </si>
  <si>
    <t>29.12.14</t>
  </si>
  <si>
    <t>24-12/14</t>
  </si>
  <si>
    <t>24-12-1/14</t>
  </si>
  <si>
    <t>24-12-2/14</t>
  </si>
  <si>
    <t>25-26</t>
  </si>
  <si>
    <t>26.12.14</t>
  </si>
  <si>
    <t>2 авдеев е.в. От 09.01.15</t>
  </si>
  <si>
    <t>1 родион а.а от 09.01.15</t>
  </si>
  <si>
    <t>3 красовский о.в. От 09.01.15</t>
  </si>
  <si>
    <t>ООО "СейлСервиСолюшенс"</t>
  </si>
  <si>
    <t>22.12.14</t>
  </si>
  <si>
    <t>20.12.14</t>
  </si>
  <si>
    <t>186 женя от15.12.14</t>
  </si>
  <si>
    <t>15-12/14</t>
  </si>
  <si>
    <t>15.12.14</t>
  </si>
  <si>
    <t>18.12.14</t>
  </si>
  <si>
    <t>ООО "Каплайн трейд"</t>
  </si>
  <si>
    <t>20,12,14</t>
  </si>
  <si>
    <t>308</t>
  </si>
  <si>
    <t>305</t>
  </si>
  <si>
    <t>4 банчук от 09.01.15</t>
  </si>
  <si>
    <t>12.01.2015</t>
  </si>
  <si>
    <t>13.01.2015</t>
  </si>
  <si>
    <t>14.01.2015</t>
  </si>
  <si>
    <t>ЧТУП "Унгиверсал пласт"</t>
  </si>
  <si>
    <t>ООО"Громин"</t>
  </si>
  <si>
    <t>19.01.2015</t>
  </si>
  <si>
    <t>12-01/15</t>
  </si>
  <si>
    <t xml:space="preserve">5 авдеев от 15.01.15 </t>
  </si>
  <si>
    <t>13-01/15</t>
  </si>
  <si>
    <t>14-01/15</t>
  </si>
  <si>
    <t>14-01-1/15</t>
  </si>
  <si>
    <t>ООО "ЕвроСтильДекор"</t>
  </si>
  <si>
    <t>21.01.2015</t>
  </si>
  <si>
    <t>6 красовский от 19.01.15</t>
  </si>
  <si>
    <t>19-01/15</t>
  </si>
  <si>
    <t>8родион от 21.01.15</t>
  </si>
  <si>
    <t>7 банчук от 20.01.15</t>
  </si>
  <si>
    <t>9 леня от 23.01.15</t>
  </si>
  <si>
    <t xml:space="preserve">10 красовский от </t>
  </si>
  <si>
    <t>11 авдеев</t>
  </si>
  <si>
    <t>26.01.2015</t>
  </si>
  <si>
    <t>23.01.2015</t>
  </si>
  <si>
    <t>21-01/15</t>
  </si>
  <si>
    <t>28.01.2015</t>
  </si>
  <si>
    <t>30.01.2015</t>
  </si>
  <si>
    <t>29.01.2015</t>
  </si>
  <si>
    <t>ТЧУП "Постэлектроникс"</t>
  </si>
  <si>
    <t>02.02.2015</t>
  </si>
  <si>
    <t>28-01/15</t>
  </si>
  <si>
    <t>28-01-1/15</t>
  </si>
  <si>
    <t>28-01-3/15</t>
  </si>
  <si>
    <t>28-01-2/15</t>
  </si>
  <si>
    <t>12 леша от 03.02.14</t>
  </si>
  <si>
    <t>13 красовский от 03.02.14</t>
  </si>
  <si>
    <t>14 банчук от 03.02.14</t>
  </si>
  <si>
    <t>15 леня от 03.02.14</t>
  </si>
  <si>
    <t>05.02.15</t>
  </si>
  <si>
    <t>ип антоненко е.а.</t>
  </si>
  <si>
    <t>16 авдеев  от 05.02.15</t>
  </si>
  <si>
    <t>09.02.2015</t>
  </si>
  <si>
    <t>17 Родион  от 09.02.15</t>
  </si>
  <si>
    <t>07.02.2015</t>
  </si>
  <si>
    <t>18 леня  10.02.15</t>
  </si>
  <si>
    <t>12.02.2015</t>
  </si>
  <si>
    <t>04-02/15</t>
  </si>
  <si>
    <t>04.02.2015</t>
  </si>
  <si>
    <t>0402-1/15</t>
  </si>
  <si>
    <t>10.02.2015</t>
  </si>
  <si>
    <t>19 леня от 12.02.15</t>
  </si>
  <si>
    <t>13.02.2015</t>
  </si>
  <si>
    <t>ИП Мурзич Е.А.</t>
  </si>
  <si>
    <t>21 от 16.02.2015 банчук</t>
  </si>
  <si>
    <t>16.02.2015</t>
  </si>
  <si>
    <t>11.02.2015</t>
  </si>
  <si>
    <t>11-02-1/15</t>
  </si>
  <si>
    <t>16.02.15</t>
  </si>
  <si>
    <t>ООО "АКВАкем"</t>
  </si>
  <si>
    <t>ООО "Компания Далибан"</t>
  </si>
  <si>
    <t>24родион от 20.02.15</t>
  </si>
  <si>
    <t>22 от 18.02.15</t>
  </si>
  <si>
    <t>20.02.2015</t>
  </si>
  <si>
    <t>23.02.2015</t>
  </si>
  <si>
    <t>ООО "Торговый дом "Гранд сервис"</t>
  </si>
  <si>
    <t>ЧП"Оспеткарго"</t>
  </si>
  <si>
    <t>ИП Похилко А.В.</t>
  </si>
  <si>
    <t>25 леня от 24.02.15</t>
  </si>
  <si>
    <t>26.02.15</t>
  </si>
  <si>
    <t>21.02.15</t>
  </si>
  <si>
    <t>16-02/15</t>
  </si>
  <si>
    <t>19.02.2015</t>
  </si>
  <si>
    <t>19-02/15</t>
  </si>
  <si>
    <t>20 от 13.02.15 олег</t>
  </si>
  <si>
    <t>ЧТТУП"ГалТексАвто"</t>
  </si>
  <si>
    <t>26 банчук</t>
  </si>
  <si>
    <t>27красовский</t>
  </si>
  <si>
    <t>02.03.15</t>
  </si>
  <si>
    <t>03.03.15</t>
  </si>
  <si>
    <t>март</t>
  </si>
  <si>
    <t>25.02.2015</t>
  </si>
  <si>
    <t>25-02/15</t>
  </si>
  <si>
    <t xml:space="preserve">29 родион </t>
  </si>
  <si>
    <t xml:space="preserve">28 авдеев </t>
  </si>
  <si>
    <t>04.03.2015</t>
  </si>
  <si>
    <t>строительные инновации</t>
  </si>
  <si>
    <t>25-02-1/15</t>
  </si>
  <si>
    <t>27.02.2015</t>
  </si>
  <si>
    <t xml:space="preserve">23 авдеев от 19.02.15 </t>
  </si>
  <si>
    <t>ООО "СильверЛайн"</t>
  </si>
  <si>
    <t>ип гайдис р.а.</t>
  </si>
  <si>
    <t>09.03.2015</t>
  </si>
  <si>
    <t>02-03/15</t>
  </si>
  <si>
    <t>05.03.15</t>
  </si>
  <si>
    <t>ИП Хурсевич А.А.</t>
  </si>
  <si>
    <t>30 банчук</t>
  </si>
  <si>
    <t>31 нестерович от 09.03.15</t>
  </si>
  <si>
    <t>32 авдеев от 09.03.15</t>
  </si>
  <si>
    <t>03-03/15</t>
  </si>
  <si>
    <t>09.03.15</t>
  </si>
  <si>
    <t>11.03.15</t>
  </si>
  <si>
    <t>12.03.15</t>
  </si>
  <si>
    <t>04.03.15</t>
  </si>
  <si>
    <t>04-03/15</t>
  </si>
  <si>
    <t>ип Марфель А.В</t>
  </si>
  <si>
    <t>16.03.15</t>
  </si>
  <si>
    <t xml:space="preserve">34 леша </t>
  </si>
  <si>
    <t>36банчук</t>
  </si>
  <si>
    <t>37 авдеев</t>
  </si>
  <si>
    <t xml:space="preserve">лама мебель </t>
  </si>
  <si>
    <t>17-18</t>
  </si>
  <si>
    <t>универсал  пласт</t>
  </si>
  <si>
    <t>10.03.15</t>
  </si>
  <si>
    <t>10-03/15</t>
  </si>
  <si>
    <t>11-03/15</t>
  </si>
  <si>
    <t>11-03-1/15</t>
  </si>
  <si>
    <t>35 нестерович от 16.03.15</t>
  </si>
  <si>
    <t>18.03.15</t>
  </si>
  <si>
    <t>19.03.15</t>
  </si>
  <si>
    <t>ИП Курлович Е.Н.</t>
  </si>
  <si>
    <t>33 олег  от 13.03.15</t>
  </si>
  <si>
    <t>16-03/15</t>
  </si>
  <si>
    <t>17.03.15</t>
  </si>
  <si>
    <t>17-03/15</t>
  </si>
  <si>
    <t xml:space="preserve">39 родион </t>
  </si>
  <si>
    <t>23.03.15</t>
  </si>
  <si>
    <t>38 от 20.03.15 красовский</t>
  </si>
  <si>
    <t>ООО "Гарантпластстрой"</t>
  </si>
  <si>
    <t>Апрель</t>
  </si>
  <si>
    <t>19-03/15</t>
  </si>
  <si>
    <t>18-03/15</t>
  </si>
  <si>
    <t>26.03.2015</t>
  </si>
  <si>
    <t>ООО "Блайнд"</t>
  </si>
  <si>
    <t>42 красовский</t>
  </si>
  <si>
    <t>24.03.15</t>
  </si>
  <si>
    <t>27.03.15</t>
  </si>
  <si>
    <t>30.03.15</t>
  </si>
  <si>
    <t>ИП Голодок Л.Н.</t>
  </si>
  <si>
    <t>44 леня от 27.03.15</t>
  </si>
  <si>
    <t>31.03.15</t>
  </si>
  <si>
    <t>01.04.15</t>
  </si>
  <si>
    <t>25.03.15</t>
  </si>
  <si>
    <t>40банчук от 23.03.15</t>
  </si>
  <si>
    <t>26.03.15</t>
  </si>
  <si>
    <t>26-03/15</t>
  </si>
  <si>
    <t>41авдеев от 25.03.15</t>
  </si>
  <si>
    <t>30-03/15</t>
  </si>
  <si>
    <t>25-03/15</t>
  </si>
  <si>
    <t>24-03/15</t>
  </si>
  <si>
    <t>ООО "Транспортная компания Магнитар"</t>
  </si>
  <si>
    <t>03.04.15</t>
  </si>
  <si>
    <t xml:space="preserve">ИП гайдис </t>
  </si>
  <si>
    <t>06.04.2015</t>
  </si>
  <si>
    <t>47 леша от 06.04.15</t>
  </si>
  <si>
    <t>43 родион от 27.03.15</t>
  </si>
  <si>
    <t>48 красовский</t>
  </si>
  <si>
    <t>49 авдеев</t>
  </si>
  <si>
    <t>45 авдеев 31.03.15</t>
  </si>
  <si>
    <t>02.04.2015</t>
  </si>
  <si>
    <t>02-04/15</t>
  </si>
  <si>
    <t>31-03/15</t>
  </si>
  <si>
    <t>09.04.15</t>
  </si>
  <si>
    <t>50леня от 07.04.15</t>
  </si>
  <si>
    <t>51 саша от 09.04.15</t>
  </si>
  <si>
    <t>10.04.15</t>
  </si>
  <si>
    <t>ЧУП "Милмокс"</t>
  </si>
  <si>
    <t>52 от 10.04.15 родион</t>
  </si>
  <si>
    <t>15.04.15</t>
  </si>
  <si>
    <t>14.04.15</t>
  </si>
  <si>
    <t>16 рейсов</t>
  </si>
  <si>
    <t>06.04.15</t>
  </si>
  <si>
    <t>06-04/15</t>
  </si>
  <si>
    <t>46 саша от 03.04.15</t>
  </si>
  <si>
    <t>ИП Добижа Н.п.</t>
  </si>
  <si>
    <t>ЧУП "Универсал пласт"</t>
  </si>
  <si>
    <t>53 красовский от 15.04.15</t>
  </si>
  <si>
    <t>08.04.15</t>
  </si>
  <si>
    <t>08-04/15</t>
  </si>
  <si>
    <t>09-04/15</t>
  </si>
  <si>
    <t>09-04-1/15</t>
  </si>
  <si>
    <t>13.04.15</t>
  </si>
  <si>
    <t>17.04.15</t>
  </si>
  <si>
    <t>16.04.15</t>
  </si>
  <si>
    <t>ООО "Синдекор"</t>
  </si>
  <si>
    <t>14-04/15</t>
  </si>
  <si>
    <t>54 от 15.04.15 леня ивеко</t>
  </si>
  <si>
    <t>55 родион 20.04.15</t>
  </si>
  <si>
    <t>15-04/15</t>
  </si>
  <si>
    <t>56 саша от 23.04.15</t>
  </si>
  <si>
    <t xml:space="preserve">57 от 23.04.15 леня </t>
  </si>
  <si>
    <t>СООО"Лама-мебель"</t>
  </si>
  <si>
    <t>27.04.15</t>
  </si>
  <si>
    <t>23.04.15</t>
  </si>
  <si>
    <t>ип таршинашвили</t>
  </si>
  <si>
    <t>20.04.15</t>
  </si>
  <si>
    <t>20-04/15</t>
  </si>
  <si>
    <t>ООО "Шанте бьюти"</t>
  </si>
  <si>
    <t>22.04.15</t>
  </si>
  <si>
    <t>25.04.15</t>
  </si>
  <si>
    <t>22-04/15</t>
  </si>
  <si>
    <t>ООО"Дайверс инвест"</t>
  </si>
  <si>
    <t>59 олег</t>
  </si>
  <si>
    <t>60родион</t>
  </si>
  <si>
    <t>ЧПУП "Производственная компания СТФ"3333290 дима</t>
  </si>
  <si>
    <t>15 рейсов</t>
  </si>
  <si>
    <t>04.05.15</t>
  </si>
  <si>
    <t>27-04-1/15</t>
  </si>
  <si>
    <t>27-04/15</t>
  </si>
  <si>
    <t>30.04.15</t>
  </si>
  <si>
    <t>58 женя от 25.04.15</t>
  </si>
  <si>
    <t>ООО "Интел-Страйд"</t>
  </si>
  <si>
    <t>62 от 04.05.15красовский</t>
  </si>
  <si>
    <t>29.04.15</t>
  </si>
  <si>
    <t>29-04/15</t>
  </si>
  <si>
    <t>29-04-1/15</t>
  </si>
  <si>
    <t>63саша от06.05.15</t>
  </si>
  <si>
    <t>синдекор</t>
  </si>
  <si>
    <t>61 авдеев 04.05.15</t>
  </si>
  <si>
    <t>05.05.15</t>
  </si>
  <si>
    <t>05-05/15</t>
  </si>
  <si>
    <t>ООО"Синдекор"</t>
  </si>
  <si>
    <t>07.05.15</t>
  </si>
  <si>
    <t>ЧП "Тирекслайн"</t>
  </si>
  <si>
    <t>06-05/15</t>
  </si>
  <si>
    <t>06.05.15</t>
  </si>
  <si>
    <t>08.05.15</t>
  </si>
  <si>
    <t>66 красовский от 11.05.15</t>
  </si>
  <si>
    <t>ооо строительные инновации и материалы</t>
  </si>
  <si>
    <t>14.05.15</t>
  </si>
  <si>
    <t>67леня от 12.05.15 ивеко</t>
  </si>
  <si>
    <t>68 тишков от 12.05.15  мерс</t>
  </si>
  <si>
    <t>69 авдеев от 14.05.15</t>
  </si>
  <si>
    <t>70 родион от 15.05.15</t>
  </si>
  <si>
    <t>12.05.15</t>
  </si>
  <si>
    <t>12-05/15</t>
  </si>
  <si>
    <t>71 саша</t>
  </si>
  <si>
    <t>12-05-1/15</t>
  </si>
  <si>
    <t>ип рапецкая</t>
  </si>
  <si>
    <t>12-05-2/15</t>
  </si>
  <si>
    <t>ип лагойко т в</t>
  </si>
  <si>
    <t xml:space="preserve"> ип добижа</t>
  </si>
  <si>
    <t>18.05.15</t>
  </si>
  <si>
    <t>13-05/15</t>
  </si>
  <si>
    <t>13.05.15</t>
  </si>
  <si>
    <t>74 леня 19.05.15</t>
  </si>
  <si>
    <t>75 авдеев 21.05.15</t>
  </si>
  <si>
    <t>20.05.15</t>
  </si>
  <si>
    <t>20-05/15</t>
  </si>
  <si>
    <t>18-05/15</t>
  </si>
  <si>
    <t>21.05.15</t>
  </si>
  <si>
    <t>ип павловец а.о</t>
  </si>
  <si>
    <t>Универсал пласт"</t>
  </si>
  <si>
    <t>25.05.15</t>
  </si>
  <si>
    <t>73 тишков от 18.05.15</t>
  </si>
  <si>
    <t>76 калашников 25.05.15</t>
  </si>
  <si>
    <t>77родион 25.05.15</t>
  </si>
  <si>
    <t>ип тархинишвили</t>
  </si>
  <si>
    <t>с 01.06</t>
  </si>
  <si>
    <t>набрать 27.05</t>
  </si>
  <si>
    <t>20-05-1/15</t>
  </si>
  <si>
    <t>72 красовский от 18.05.15</t>
  </si>
  <si>
    <t>20-05-2/15</t>
  </si>
  <si>
    <t>13рейсов</t>
  </si>
  <si>
    <t>78красовский от 26.05.15</t>
  </si>
  <si>
    <t>01.06.15</t>
  </si>
  <si>
    <t>23.05.15</t>
  </si>
  <si>
    <t>ип Зуева Л.А.</t>
  </si>
  <si>
    <t>27.28</t>
  </si>
  <si>
    <t>28.05.15</t>
  </si>
  <si>
    <t>ТЭУП"ОВАЛ Солюшнз"</t>
  </si>
  <si>
    <t>павел от жанны</t>
  </si>
  <si>
    <t>Михальченко М.Н.</t>
  </si>
  <si>
    <t>наташа 2653937</t>
  </si>
  <si>
    <t>80 авдеев от 01.06.15</t>
  </si>
  <si>
    <t>81калашников от 01.06.2015</t>
  </si>
  <si>
    <t>82 от 01.06.15 родион</t>
  </si>
  <si>
    <t>26-05/15</t>
  </si>
  <si>
    <t>26-05-1/15</t>
  </si>
  <si>
    <t>26.05.15</t>
  </si>
  <si>
    <t>01.06.2015</t>
  </si>
  <si>
    <t xml:space="preserve">79 тишков от 26.05.15 </t>
  </si>
  <si>
    <t>ооо серьезные люди</t>
  </si>
  <si>
    <t>ип тархнишвили</t>
  </si>
  <si>
    <t>83 от 01.06.2015 нестерович</t>
  </si>
  <si>
    <t>50 уе</t>
  </si>
  <si>
    <t>дисп Ира 300000</t>
  </si>
  <si>
    <t>ИП Лапицкий</t>
  </si>
  <si>
    <t>дисп вера 370000</t>
  </si>
  <si>
    <t>27.05.15</t>
  </si>
  <si>
    <t>27-05/15</t>
  </si>
  <si>
    <t>01.06</t>
  </si>
  <si>
    <t>15.05.15</t>
  </si>
  <si>
    <t>84 от 03.06.15   красовский</t>
  </si>
  <si>
    <t>08.06.15</t>
  </si>
  <si>
    <t>03.06.15</t>
  </si>
  <si>
    <t>03-06/15</t>
  </si>
  <si>
    <t>03-06-1/15</t>
  </si>
  <si>
    <t>03-06-2/15</t>
  </si>
  <si>
    <t>01-06/15</t>
  </si>
  <si>
    <t>65 авдеев от08.05.15</t>
  </si>
  <si>
    <t>64 леша от 08.05.15</t>
  </si>
  <si>
    <t>наташа 1500</t>
  </si>
  <si>
    <t>ЧТУП "РР-Транс"</t>
  </si>
  <si>
    <t>двери женя 350 от лена люда</t>
  </si>
  <si>
    <t>ИП Тархнишвили Г.М.</t>
  </si>
  <si>
    <t>05.06.15</t>
  </si>
  <si>
    <t>универсалпласт</t>
  </si>
  <si>
    <t>86 родион от 08.06</t>
  </si>
  <si>
    <t>никопольская</t>
  </si>
  <si>
    <t>коровинское,никопольская</t>
  </si>
  <si>
    <t>петровское,железнодорожный</t>
  </si>
  <si>
    <t>ИП Павловец</t>
  </si>
  <si>
    <t>2 смр</t>
  </si>
  <si>
    <t>протоколы акты сами</t>
  </si>
  <si>
    <t>87 авдеев от 09.06</t>
  </si>
  <si>
    <t>ООО "Версити"</t>
  </si>
  <si>
    <t>88 олег от 10.06</t>
  </si>
  <si>
    <t>москва,железнодорожный</t>
  </si>
  <si>
    <t>12.06.15</t>
  </si>
  <si>
    <t>ИП Добижа Н.П.</t>
  </si>
  <si>
    <t>90 саша от 11.06</t>
  </si>
  <si>
    <t>дисп наташа</t>
  </si>
  <si>
    <t>ЧТУП "Бадюкова-транс"</t>
  </si>
  <si>
    <t>ИП Гайдис Р.А.</t>
  </si>
  <si>
    <t>10.06.15</t>
  </si>
  <si>
    <t>11.06.15</t>
  </si>
  <si>
    <t>09.06.15</t>
  </si>
  <si>
    <t>08-06/15</t>
  </si>
  <si>
    <t>09-06/15</t>
  </si>
  <si>
    <t>10-06/15</t>
  </si>
  <si>
    <t>11-06/15</t>
  </si>
  <si>
    <t>89 нестерович от 10.06</t>
  </si>
  <si>
    <t>273.56</t>
  </si>
  <si>
    <t>276.21</t>
  </si>
  <si>
    <t>280.97</t>
  </si>
  <si>
    <t>277.41</t>
  </si>
  <si>
    <t>91 авдеев от 12.06</t>
  </si>
  <si>
    <t>17.06.15</t>
  </si>
  <si>
    <t>16.06.15</t>
  </si>
  <si>
    <t>Овалсолюшнз</t>
  </si>
  <si>
    <t>6 точек</t>
  </si>
  <si>
    <t>275 у.е.</t>
  </si>
  <si>
    <t>300 у.е.</t>
  </si>
  <si>
    <t>12.06</t>
  </si>
  <si>
    <t>320+20+50</t>
  </si>
  <si>
    <t>нет док</t>
  </si>
  <si>
    <t>85 калашников от 05.06</t>
  </si>
  <si>
    <t>274.36</t>
  </si>
  <si>
    <t>дисп вера 350000</t>
  </si>
  <si>
    <t>15.06</t>
  </si>
  <si>
    <t>250 тыс 16.06</t>
  </si>
  <si>
    <t xml:space="preserve">93 нестерович от17.06 </t>
  </si>
  <si>
    <t>19.06.15</t>
  </si>
  <si>
    <t>94 от 18.06 олег</t>
  </si>
  <si>
    <t>23.06.15</t>
  </si>
  <si>
    <t>ООО "Татат"</t>
  </si>
  <si>
    <t>ООО"Элиттекстиль"</t>
  </si>
  <si>
    <t>95 от 19.06 саша</t>
  </si>
  <si>
    <t>24.06.15</t>
  </si>
  <si>
    <t>15.06.15</t>
  </si>
  <si>
    <t>18.06.15</t>
  </si>
  <si>
    <t>ООО «НПК Будмакс».</t>
  </si>
  <si>
    <t xml:space="preserve">люда </t>
  </si>
  <si>
    <t>22.06.15</t>
  </si>
  <si>
    <t>ООО "Капитал Логистикс"</t>
  </si>
  <si>
    <t>97 от 22.06 леша</t>
  </si>
  <si>
    <t>фаберлик</t>
  </si>
  <si>
    <t>15-06/15</t>
  </si>
  <si>
    <t>17-06/15</t>
  </si>
  <si>
    <t>280.96</t>
  </si>
  <si>
    <t>98 от 22 тишков</t>
  </si>
  <si>
    <t>99 от 23 нестерович</t>
  </si>
  <si>
    <t>Деловая русь</t>
  </si>
  <si>
    <t>ИП Павленок С.М.</t>
  </si>
  <si>
    <t>25.06.15</t>
  </si>
  <si>
    <t>29.06.15</t>
  </si>
  <si>
    <t>Каплайн-тред</t>
  </si>
  <si>
    <t>ООО"Кама бел снаб"</t>
  </si>
  <si>
    <t>16-06/15</t>
  </si>
  <si>
    <t>92 родион 15.06</t>
  </si>
  <si>
    <t>280.23</t>
  </si>
  <si>
    <t>17-06-1/16</t>
  </si>
  <si>
    <t>ИП Василевский К.Г.</t>
  </si>
  <si>
    <t>279.12</t>
  </si>
  <si>
    <t>286.02</t>
  </si>
  <si>
    <t>23-06/15</t>
  </si>
  <si>
    <t>22-06/15</t>
  </si>
  <si>
    <t>24-06/15</t>
  </si>
  <si>
    <t>24-06-1/15</t>
  </si>
  <si>
    <t>287.32</t>
  </si>
  <si>
    <t>ООО "Ратипа"</t>
  </si>
  <si>
    <t>рос</t>
  </si>
  <si>
    <t>100 от 25.06 женя</t>
  </si>
  <si>
    <t>29-06/15</t>
  </si>
  <si>
    <t>раменское,фаберлик</t>
  </si>
  <si>
    <t>101 от 29.06 олег</t>
  </si>
  <si>
    <t>102 от30.06 саша</t>
  </si>
  <si>
    <t>28.06.15</t>
  </si>
  <si>
    <t>Профит вк</t>
  </si>
  <si>
    <t>01.07.15</t>
  </si>
  <si>
    <t>Милмокс</t>
  </si>
  <si>
    <t xml:space="preserve">103 леша от </t>
  </si>
  <si>
    <t>06.07.15</t>
  </si>
  <si>
    <t>СООО"Лама мебель"</t>
  </si>
  <si>
    <t>02.07.15</t>
  </si>
  <si>
    <t>104 тишков от 01.07</t>
  </si>
  <si>
    <t>раменское+мос</t>
  </si>
  <si>
    <t>талнчики - 23</t>
  </si>
  <si>
    <t>17 рейсов громин</t>
  </si>
  <si>
    <t>96 от 19.06 женя</t>
  </si>
  <si>
    <t>ООО Стильбистой</t>
  </si>
  <si>
    <t>284.23</t>
  </si>
  <si>
    <t>105 от 01.07 женя</t>
  </si>
  <si>
    <t>ЧП "АС-керамикс"</t>
  </si>
  <si>
    <t>106 от 06.07 олег</t>
  </si>
  <si>
    <t>107 от 07.07 нестерович</t>
  </si>
  <si>
    <t>108 от 07.07 саша</t>
  </si>
  <si>
    <t>01-07/15</t>
  </si>
  <si>
    <t>278.59</t>
  </si>
  <si>
    <t>01-07-1/15</t>
  </si>
  <si>
    <t>275.73</t>
  </si>
  <si>
    <t>ЧТУП Синдекор</t>
  </si>
  <si>
    <t>08.07.15</t>
  </si>
  <si>
    <t>879600</t>
  </si>
  <si>
    <t>09.07.15</t>
  </si>
  <si>
    <t>09.07.16</t>
  </si>
  <si>
    <t>109 от 08.07 женя</t>
  </si>
  <si>
    <t>5 точек</t>
  </si>
  <si>
    <t>06-07/15</t>
  </si>
  <si>
    <t>06-07-1/15</t>
  </si>
  <si>
    <t>08-07/15</t>
  </si>
  <si>
    <t>3-250000</t>
  </si>
  <si>
    <t>ФАБЕР,ЖД</t>
  </si>
  <si>
    <t>11100000</t>
  </si>
  <si>
    <t>276.75</t>
  </si>
  <si>
    <t>08.07.15г</t>
  </si>
  <si>
    <t>08-07-1/15</t>
  </si>
  <si>
    <t>110 от 13.07 леша</t>
  </si>
  <si>
    <t>112 от 13.07.15 леня</t>
  </si>
  <si>
    <t>111 от 13.07.15 олег</t>
  </si>
  <si>
    <t>465000</t>
  </si>
  <si>
    <t>ИП Костюкевич В.И.</t>
  </si>
  <si>
    <t>930000</t>
  </si>
  <si>
    <t>274.89</t>
  </si>
  <si>
    <t>8300000</t>
  </si>
  <si>
    <t>276.59</t>
  </si>
  <si>
    <t>272.52</t>
  </si>
  <si>
    <t>протвино</t>
  </si>
  <si>
    <t>13.07.15</t>
  </si>
  <si>
    <t>13.07.15г</t>
  </si>
  <si>
    <t>ООО"Омолон-маркет"</t>
  </si>
  <si>
    <t>15.07.15</t>
  </si>
  <si>
    <t>ТД Гранд Сервис</t>
  </si>
  <si>
    <t>16.07.15</t>
  </si>
  <si>
    <t>113 от 16.07.15 саша</t>
  </si>
  <si>
    <t>фабер</t>
  </si>
  <si>
    <t>114 от 16.07.15 женя</t>
  </si>
  <si>
    <t>СООО "Каплайн трейд"</t>
  </si>
  <si>
    <t>2000000</t>
  </si>
  <si>
    <t>3300000</t>
  </si>
  <si>
    <t>10700000</t>
  </si>
  <si>
    <t>900000</t>
  </si>
  <si>
    <t>5500000</t>
  </si>
  <si>
    <t>"Деловая Русь бел"</t>
  </si>
  <si>
    <t>4200000</t>
  </si>
  <si>
    <t>15-07-1/15</t>
  </si>
  <si>
    <t>13-07/15.</t>
  </si>
  <si>
    <t>270.12</t>
  </si>
  <si>
    <t>270.27</t>
  </si>
  <si>
    <t>39590</t>
  </si>
  <si>
    <t>20.07.15</t>
  </si>
  <si>
    <t>18.07.15</t>
  </si>
  <si>
    <t>ЧПТУП"Милмокс"</t>
  </si>
  <si>
    <t>3040000</t>
  </si>
  <si>
    <t>23.07.15</t>
  </si>
  <si>
    <t>889600</t>
  </si>
  <si>
    <t>116 от21.07.15 леня</t>
  </si>
  <si>
    <t>ИП Зуева Л.А</t>
  </si>
  <si>
    <t>ИП Лапицкий С.П.</t>
  </si>
  <si>
    <t>Фаберлик</t>
  </si>
  <si>
    <t xml:space="preserve">115 олег от </t>
  </si>
  <si>
    <t>ИП Абрамович Е.А.</t>
  </si>
  <si>
    <t>117 от 27.07 саша</t>
  </si>
  <si>
    <t>118 от 27.07 женя</t>
  </si>
  <si>
    <t>вороново+петровское</t>
  </si>
  <si>
    <t>7000000</t>
  </si>
  <si>
    <t>2500000</t>
  </si>
  <si>
    <t>2600000</t>
  </si>
  <si>
    <t>2800000</t>
  </si>
  <si>
    <t>протвино+одинцово</t>
  </si>
  <si>
    <t>24.07.15</t>
  </si>
  <si>
    <t>270.53</t>
  </si>
  <si>
    <t>39552</t>
  </si>
  <si>
    <t>267.24</t>
  </si>
  <si>
    <t>40039</t>
  </si>
  <si>
    <t>119от 28.07 олег</t>
  </si>
  <si>
    <t>фаберлик+менделеево</t>
  </si>
  <si>
    <t>15-07/15.</t>
  </si>
  <si>
    <t>20-07/15</t>
  </si>
  <si>
    <t>21-07/15</t>
  </si>
  <si>
    <t>21.07.15</t>
  </si>
  <si>
    <t>22-07/15</t>
  </si>
  <si>
    <t>22.07.15</t>
  </si>
  <si>
    <t>266.78</t>
  </si>
  <si>
    <t>41607</t>
  </si>
  <si>
    <t>120 от 29.07 леша</t>
  </si>
  <si>
    <t>закрыто 17</t>
  </si>
  <si>
    <t>1800000</t>
  </si>
  <si>
    <t>ЧТУП "Универсал-пласт"</t>
  </si>
  <si>
    <t>ИП Дабижа Н.П.</t>
  </si>
  <si>
    <t>770000</t>
  </si>
  <si>
    <t>03.08.15</t>
  </si>
  <si>
    <t>8600000</t>
  </si>
  <si>
    <t>2200000</t>
  </si>
  <si>
    <t>28-07/15</t>
  </si>
  <si>
    <t>28.07.15</t>
  </si>
  <si>
    <t>260.36</t>
  </si>
  <si>
    <t>41097</t>
  </si>
  <si>
    <t>31.07.15</t>
  </si>
  <si>
    <t>ЧП "АС Керамикс"</t>
  </si>
  <si>
    <t>01.08.15</t>
  </si>
  <si>
    <t>ИП Авде К.М.</t>
  </si>
  <si>
    <t>3000000</t>
  </si>
  <si>
    <t>ООО "ЕвроТрансКоммерц"</t>
  </si>
  <si>
    <t>Омолон-маркет</t>
  </si>
  <si>
    <t>05.08.15</t>
  </si>
  <si>
    <t>121 саша от 03.08.15</t>
  </si>
  <si>
    <t>04.08.15</t>
  </si>
  <si>
    <t>122 олег</t>
  </si>
  <si>
    <t>долгопрудный+фабер</t>
  </si>
  <si>
    <t>ИП Журавский М.О.</t>
  </si>
  <si>
    <t>ООО "Кинг стайл"</t>
  </si>
  <si>
    <t>42633</t>
  </si>
  <si>
    <t>28-07-1/15</t>
  </si>
  <si>
    <t>256.48</t>
  </si>
  <si>
    <t>30.07.15</t>
  </si>
  <si>
    <t>30-07/15</t>
  </si>
  <si>
    <t>123 нестерович мерс от  28.07</t>
  </si>
  <si>
    <t>124 леша от 06.08.15</t>
  </si>
  <si>
    <t>10.08.15</t>
  </si>
  <si>
    <t>03-08/15</t>
  </si>
  <si>
    <t>251.67</t>
  </si>
  <si>
    <t>ИП Лагойко Т.В.</t>
  </si>
  <si>
    <t>"Элиттекстиль"</t>
  </si>
  <si>
    <t>07.08.15</t>
  </si>
  <si>
    <t>20.07.14</t>
  </si>
  <si>
    <t>27.07.15</t>
  </si>
  <si>
    <t>27.07.16</t>
  </si>
  <si>
    <t>27.07.17</t>
  </si>
  <si>
    <t>06.08.15</t>
  </si>
  <si>
    <t>06-08/15</t>
  </si>
  <si>
    <t>04-08/15</t>
  </si>
  <si>
    <t>125 саша от 10.08</t>
  </si>
  <si>
    <t xml:space="preserve">вороново </t>
  </si>
  <si>
    <t>15 громин</t>
  </si>
  <si>
    <t>талон 18</t>
  </si>
  <si>
    <t>скзали что 15</t>
  </si>
  <si>
    <t>126 олег от 10.08</t>
  </si>
  <si>
    <t>ЧТУП "Универсалпласт"</t>
  </si>
  <si>
    <t>ИП Голуб</t>
  </si>
  <si>
    <t>Экспедиция</t>
  </si>
  <si>
    <t>14.08.15</t>
  </si>
  <si>
    <t>17.08.15</t>
  </si>
  <si>
    <t>11.08.15</t>
  </si>
  <si>
    <t>11-08/15</t>
  </si>
  <si>
    <t>11-08-2/15</t>
  </si>
  <si>
    <t>15.08.15</t>
  </si>
  <si>
    <t>127 леша от 17.08</t>
  </si>
  <si>
    <t>128саша от 17.08</t>
  </si>
  <si>
    <t>129 олег от 17.08</t>
  </si>
  <si>
    <t>130т женя от 18.08</t>
  </si>
  <si>
    <t>ЧП Виленчиц</t>
  </si>
  <si>
    <t>Пан Паныч</t>
  </si>
  <si>
    <t>раменское</t>
  </si>
  <si>
    <t>18.08.15</t>
  </si>
  <si>
    <t>19.08.15</t>
  </si>
  <si>
    <t>20.08.15</t>
  </si>
  <si>
    <t>18-08/15</t>
  </si>
  <si>
    <t>19-08/15</t>
  </si>
  <si>
    <t>19-08-1/15</t>
  </si>
  <si>
    <t>20-08/15</t>
  </si>
  <si>
    <t>50 у.е.</t>
  </si>
  <si>
    <t>2-100000</t>
  </si>
  <si>
    <t>ИП Малько С.Е.</t>
  </si>
  <si>
    <t>ООО"Блайнд"</t>
  </si>
  <si>
    <t>21.08.15</t>
  </si>
  <si>
    <t>22.08.15</t>
  </si>
  <si>
    <t>24.08.15</t>
  </si>
  <si>
    <t>131 леша от 21.08.15</t>
  </si>
  <si>
    <t>132 саша от 21.08.15</t>
  </si>
  <si>
    <t>жд+фаберлик</t>
  </si>
  <si>
    <t>25.08.15</t>
  </si>
  <si>
    <t>27.08.15</t>
  </si>
  <si>
    <t>ИП Асадчий А.А.</t>
  </si>
  <si>
    <t>ООО "КамаБелСнаб"</t>
  </si>
  <si>
    <t>ИП Шеверенько В.М.</t>
  </si>
  <si>
    <t>28.08.15</t>
  </si>
  <si>
    <t>133 Женя от 24.08</t>
  </si>
  <si>
    <t>ООО "Белвит"</t>
  </si>
  <si>
    <t>134 Олег от 25.08</t>
  </si>
  <si>
    <t>одинцово</t>
  </si>
  <si>
    <t>вороново+долгопрудный</t>
  </si>
  <si>
    <t>ООО "ОстаГол-Транс"</t>
  </si>
  <si>
    <t>в п/л 129</t>
  </si>
  <si>
    <t xml:space="preserve">135 Леша от </t>
  </si>
  <si>
    <t>ЧТПУП "Милмокс"</t>
  </si>
  <si>
    <t>25-08/15</t>
  </si>
  <si>
    <t>136 Саша от</t>
  </si>
  <si>
    <t>15 опл</t>
  </si>
  <si>
    <t>31.08.15</t>
  </si>
  <si>
    <t>26-08/15</t>
  </si>
  <si>
    <t>27-08/15</t>
  </si>
  <si>
    <t>03.09.15</t>
  </si>
  <si>
    <t>26.08.15</t>
  </si>
  <si>
    <t>24-08/15</t>
  </si>
  <si>
    <t>04.09.15</t>
  </si>
  <si>
    <t>01.09.15</t>
  </si>
  <si>
    <t>01-09/15</t>
  </si>
  <si>
    <t>137 Олег</t>
  </si>
  <si>
    <t>фаберл+вороново</t>
  </si>
  <si>
    <t>138 Женя</t>
  </si>
  <si>
    <t>01-09-1/15</t>
  </si>
  <si>
    <t>Синдекор</t>
  </si>
  <si>
    <t>02.09.15</t>
  </si>
  <si>
    <t>02-09/15</t>
  </si>
  <si>
    <t>07.09.15</t>
  </si>
  <si>
    <t>07.09.16</t>
  </si>
  <si>
    <t>07.09.17</t>
  </si>
  <si>
    <t>08.09.15</t>
  </si>
  <si>
    <t>31.08.16</t>
  </si>
  <si>
    <t>ОДО "Альфафарм"</t>
  </si>
  <si>
    <t>лобня+долгопрудный</t>
  </si>
  <si>
    <t>139 Саша</t>
  </si>
  <si>
    <t>08-09/15</t>
  </si>
  <si>
    <t>СЕНТЯБРЬ(((</t>
  </si>
  <si>
    <t>ИП Зданович В.Ф.</t>
  </si>
  <si>
    <t>14 рейсов</t>
  </si>
  <si>
    <t>11-08-1/15</t>
  </si>
  <si>
    <t>15 сент утр</t>
  </si>
  <si>
    <t>3124170 бухг</t>
  </si>
  <si>
    <t>15 сент утро</t>
  </si>
  <si>
    <t>ЧУП "Универсал-пласт"</t>
  </si>
  <si>
    <t>141 авдеев</t>
  </si>
  <si>
    <t>140 родион</t>
  </si>
  <si>
    <t>ИП Мирошниченко О.Е.</t>
  </si>
  <si>
    <t>14.09.15</t>
  </si>
  <si>
    <t>11.09.16</t>
  </si>
  <si>
    <t>11.09.17</t>
  </si>
  <si>
    <t>11.09.18</t>
  </si>
  <si>
    <t>08-09-1/15</t>
  </si>
  <si>
    <t>ООО "Каплайн-трейд"</t>
  </si>
  <si>
    <t>03-09/15</t>
  </si>
  <si>
    <t>ЧУП "Корза-карго"</t>
  </si>
  <si>
    <t>11.09.15</t>
  </si>
  <si>
    <t>ИП Филлипенко Ю.И.</t>
  </si>
  <si>
    <t>ЗАО "Витранс"</t>
  </si>
  <si>
    <t>ООО "Евротибас"</t>
  </si>
  <si>
    <t>09.09.15</t>
  </si>
  <si>
    <t>09-09/15</t>
  </si>
  <si>
    <t>октябрьский+фаберлик</t>
  </si>
  <si>
    <t>10.09.15</t>
  </si>
  <si>
    <t>10-09/15</t>
  </si>
  <si>
    <t>12.09.15</t>
  </si>
  <si>
    <t>142 красовский</t>
  </si>
  <si>
    <t>14-09/15</t>
  </si>
  <si>
    <t>143 калашников</t>
  </si>
  <si>
    <t>144 Родион</t>
  </si>
  <si>
    <t>21.09.15</t>
  </si>
  <si>
    <t>ООО "Беладис"</t>
  </si>
  <si>
    <t>145 Авдеев от 14.09</t>
  </si>
  <si>
    <t xml:space="preserve">146 Красовский от </t>
  </si>
  <si>
    <t>1500000</t>
  </si>
  <si>
    <t>ИП Заговалко А.Р.</t>
  </si>
  <si>
    <t>16.09.15</t>
  </si>
  <si>
    <t>16-09/15</t>
  </si>
  <si>
    <t>15.09.15</t>
  </si>
  <si>
    <t>15-09-1/15</t>
  </si>
  <si>
    <t>15-09/15</t>
  </si>
  <si>
    <t>147 Калашников</t>
  </si>
  <si>
    <t>21-09/15</t>
  </si>
  <si>
    <t>ИП Рак И.И.</t>
  </si>
  <si>
    <t>23.09.15</t>
  </si>
  <si>
    <t>148 Авдеев</t>
  </si>
  <si>
    <t xml:space="preserve">149 Красовский </t>
  </si>
  <si>
    <t>150 родион</t>
  </si>
  <si>
    <t>151 калашников</t>
  </si>
  <si>
    <t>152 родион</t>
  </si>
  <si>
    <t>153 авдеев</t>
  </si>
  <si>
    <t>громин 19</t>
  </si>
  <si>
    <t>ООО "ГардаТранс"</t>
  </si>
  <si>
    <t>28.09.15</t>
  </si>
  <si>
    <t>ЧП "АСкерамикс"</t>
  </si>
  <si>
    <t>ЧТУП "Милмокс"</t>
  </si>
  <si>
    <t>ООО "Элиттектиль"</t>
  </si>
  <si>
    <t>14 опл</t>
  </si>
  <si>
    <t>ООО "Омолон-маркет"</t>
  </si>
  <si>
    <t>01.10.15</t>
  </si>
  <si>
    <t>02.10.15</t>
  </si>
  <si>
    <t>подольск</t>
  </si>
  <si>
    <t>23-09/15</t>
  </si>
  <si>
    <t>23-09-1/15</t>
  </si>
  <si>
    <t>30.09.15</t>
  </si>
  <si>
    <t>ООО "Мастер Флекс"</t>
  </si>
  <si>
    <t>28-09/15</t>
  </si>
  <si>
    <t>28-09-1/15</t>
  </si>
  <si>
    <t>протвино+курилово</t>
  </si>
  <si>
    <t>05.10.15</t>
  </si>
  <si>
    <t>01-10/15</t>
  </si>
  <si>
    <t>154 саша</t>
  </si>
  <si>
    <t>155 олег</t>
  </si>
  <si>
    <t>156 женя</t>
  </si>
  <si>
    <t>я</t>
  </si>
  <si>
    <t>30-09/15</t>
  </si>
  <si>
    <t>08.10.15</t>
  </si>
  <si>
    <t>157 олег</t>
  </si>
  <si>
    <t>ООО "Карио"</t>
  </si>
  <si>
    <t>09.10.15</t>
  </si>
  <si>
    <t>05-10/15</t>
  </si>
  <si>
    <t>помен смр</t>
  </si>
  <si>
    <t>07.10.15</t>
  </si>
  <si>
    <t>07-10/15</t>
  </si>
  <si>
    <t>05-10-1/15</t>
  </si>
  <si>
    <t>12.10.15</t>
  </si>
  <si>
    <t>13.10.15</t>
  </si>
  <si>
    <t>158 саша</t>
  </si>
  <si>
    <t>ЧУП "Будрекс"</t>
  </si>
  <si>
    <t>ЧТУП "ОвалСолюшнс"</t>
  </si>
  <si>
    <t>159 леша</t>
  </si>
  <si>
    <t>160 олег</t>
  </si>
  <si>
    <t>1000нбрб</t>
  </si>
  <si>
    <t>161 женя</t>
  </si>
  <si>
    <t>СООО "Элиттекстиль"</t>
  </si>
  <si>
    <t>162 леша</t>
  </si>
  <si>
    <t xml:space="preserve">опл </t>
  </si>
  <si>
    <t>19.10.2015</t>
  </si>
  <si>
    <t>15.10.2015</t>
  </si>
  <si>
    <t>12-10/15</t>
  </si>
  <si>
    <t>14.10.15</t>
  </si>
  <si>
    <t>14-10/15</t>
  </si>
  <si>
    <t>20.10.15</t>
  </si>
  <si>
    <t>20-10/15</t>
  </si>
  <si>
    <t>14-10-1/15</t>
  </si>
  <si>
    <t>26.10.15</t>
  </si>
  <si>
    <t>ИП Смирнова Е.В.</t>
  </si>
  <si>
    <t>164 олег</t>
  </si>
  <si>
    <t>28.10.15</t>
  </si>
  <si>
    <t>22.10.15</t>
  </si>
  <si>
    <t>163 нестерович</t>
  </si>
  <si>
    <t>16 талончики</t>
  </si>
  <si>
    <t>167 саша</t>
  </si>
  <si>
    <t>20-10-1/15</t>
  </si>
  <si>
    <t>21.10.15</t>
  </si>
  <si>
    <t>21-10/15</t>
  </si>
  <si>
    <t>громин этот  рейс в сентябрь</t>
  </si>
  <si>
    <t>ООО"СейлСервиСолюшенс"</t>
  </si>
  <si>
    <t>30.10.15</t>
  </si>
  <si>
    <t>165 женя</t>
  </si>
  <si>
    <t>264 саша</t>
  </si>
  <si>
    <t>26-10/15</t>
  </si>
  <si>
    <t>опл 19</t>
  </si>
  <si>
    <t>12 рейсов</t>
  </si>
  <si>
    <t>02.11.15</t>
  </si>
  <si>
    <t>169 олег(168)</t>
  </si>
  <si>
    <t>166 женя (леша)</t>
  </si>
  <si>
    <t>03.11.15</t>
  </si>
  <si>
    <t>ИП Парфянович К.С.</t>
  </si>
  <si>
    <t>302</t>
  </si>
  <si>
    <t>303</t>
  </si>
  <si>
    <t>40у.е.</t>
  </si>
  <si>
    <t>30 у.е.</t>
  </si>
  <si>
    <t>304</t>
  </si>
  <si>
    <t>27.10.15</t>
  </si>
  <si>
    <t>27-10/15</t>
  </si>
  <si>
    <t>28-10/15</t>
  </si>
  <si>
    <t>вороново</t>
  </si>
  <si>
    <t>170 саша</t>
  </si>
  <si>
    <t>ООО "Ратипа логистика"</t>
  </si>
  <si>
    <t>ИП Шарипенко Д.О.</t>
  </si>
  <si>
    <t>04.11.15</t>
  </si>
  <si>
    <t>306</t>
  </si>
  <si>
    <r>
      <t>168 леня</t>
    </r>
    <r>
      <rPr>
        <b/>
        <sz val="10"/>
        <color theme="3" tint="0.39997558519241921"/>
        <rFont val="Arial"/>
        <family val="2"/>
        <charset val="204"/>
      </rPr>
      <t>168</t>
    </r>
  </si>
  <si>
    <t>02-11/15</t>
  </si>
  <si>
    <t>171  женя</t>
  </si>
  <si>
    <t>лешина машина</t>
  </si>
  <si>
    <t>поехал женя</t>
  </si>
  <si>
    <t>ИП Гришин А.В.</t>
  </si>
  <si>
    <t>307</t>
  </si>
  <si>
    <t>172  леша</t>
  </si>
  <si>
    <t>173 олег</t>
  </si>
  <si>
    <t>07.11.15</t>
  </si>
  <si>
    <t>09.11.15</t>
  </si>
  <si>
    <t>03-11/15</t>
  </si>
  <si>
    <t>03-11-1/15</t>
  </si>
  <si>
    <t>ООО "Вся сантехника"</t>
  </si>
  <si>
    <t>10.11.15</t>
  </si>
  <si>
    <t>10-11/15</t>
  </si>
  <si>
    <t>11.11.15</t>
  </si>
  <si>
    <t>09-11/15</t>
  </si>
  <si>
    <t>11-11/15</t>
  </si>
  <si>
    <t>11-11-1/15</t>
  </si>
  <si>
    <t>НОЯБРЬ</t>
  </si>
  <si>
    <t>309</t>
  </si>
  <si>
    <t>16.11.15</t>
  </si>
  <si>
    <t>310</t>
  </si>
  <si>
    <t>311</t>
  </si>
  <si>
    <t>13.11.15</t>
  </si>
  <si>
    <t>312</t>
  </si>
  <si>
    <t>313</t>
  </si>
  <si>
    <t>314</t>
  </si>
  <si>
    <t>315</t>
  </si>
  <si>
    <t>316</t>
  </si>
  <si>
    <t>14.11.15</t>
  </si>
  <si>
    <t>174 женя</t>
  </si>
  <si>
    <t>175 саша</t>
  </si>
  <si>
    <t>178 женя</t>
  </si>
  <si>
    <t>11 опл</t>
  </si>
  <si>
    <t>317</t>
  </si>
  <si>
    <t>21.11.15</t>
  </si>
  <si>
    <t>177 володя</t>
  </si>
  <si>
    <t>приказ 175</t>
  </si>
  <si>
    <t>179 леша</t>
  </si>
  <si>
    <t>исправить на 179 п/л</t>
  </si>
  <si>
    <r>
      <t xml:space="preserve">176 леша </t>
    </r>
    <r>
      <rPr>
        <b/>
        <sz val="10"/>
        <color rgb="FF00B0F0"/>
        <rFont val="Arial"/>
        <family val="2"/>
        <charset val="204"/>
      </rPr>
      <t>178</t>
    </r>
  </si>
  <si>
    <t>19.11.15</t>
  </si>
  <si>
    <t>19-11/15</t>
  </si>
  <si>
    <t>23.11.15</t>
  </si>
  <si>
    <t>318</t>
  </si>
  <si>
    <t>19-11-1/15</t>
  </si>
  <si>
    <t>19-11-2/15</t>
  </si>
  <si>
    <t>13 рейсов талончики</t>
  </si>
  <si>
    <t>180 саша</t>
  </si>
  <si>
    <t>181 олег</t>
  </si>
  <si>
    <t>319</t>
  </si>
  <si>
    <t>27.11.15</t>
  </si>
  <si>
    <t>01.12.15</t>
  </si>
  <si>
    <t>320</t>
  </si>
  <si>
    <t>70 у.е б/н просто</t>
  </si>
  <si>
    <t>30.11.15</t>
  </si>
  <si>
    <t>321</t>
  </si>
  <si>
    <t>322</t>
  </si>
  <si>
    <t>323</t>
  </si>
  <si>
    <t>324</t>
  </si>
  <si>
    <t>25.11.15</t>
  </si>
  <si>
    <t>25-11/15</t>
  </si>
  <si>
    <t>24-11/15</t>
  </si>
  <si>
    <t>24.11.15</t>
  </si>
  <si>
    <t>25-11-1/15</t>
  </si>
  <si>
    <t>182 леша</t>
  </si>
  <si>
    <t>183 женя</t>
  </si>
  <si>
    <t>ИП Соколинский В.В.</t>
  </si>
  <si>
    <t>325</t>
  </si>
  <si>
    <t>326</t>
  </si>
  <si>
    <t>327</t>
  </si>
  <si>
    <t>04.12.15</t>
  </si>
  <si>
    <t>04.12.16</t>
  </si>
  <si>
    <t>04.12.17</t>
  </si>
  <si>
    <t>ООО "Сантехпром"</t>
  </si>
  <si>
    <t>290*19</t>
  </si>
  <si>
    <t>подольск+вороново</t>
  </si>
  <si>
    <t>ГП "Аква-Минск"</t>
  </si>
  <si>
    <t>07.12.15</t>
  </si>
  <si>
    <t>03.12.15</t>
  </si>
  <si>
    <t>328</t>
  </si>
  <si>
    <t>329</t>
  </si>
  <si>
    <t>330</t>
  </si>
  <si>
    <t>331</t>
  </si>
  <si>
    <t>332</t>
  </si>
  <si>
    <t>333</t>
  </si>
  <si>
    <t>334</t>
  </si>
  <si>
    <t>184 олег</t>
  </si>
  <si>
    <t>ЧТПУП"Омолон-Маркет"</t>
  </si>
  <si>
    <t>30-11/15</t>
  </si>
  <si>
    <t>02.12.15</t>
  </si>
  <si>
    <t>02-12/15</t>
  </si>
  <si>
    <t>02-12-1/15</t>
  </si>
  <si>
    <t>10.12.15</t>
  </si>
  <si>
    <t>335</t>
  </si>
  <si>
    <t>336</t>
  </si>
  <si>
    <t>07-12/15</t>
  </si>
  <si>
    <t>185 саша</t>
  </si>
  <si>
    <t>337</t>
  </si>
  <si>
    <t>11.12.15</t>
  </si>
  <si>
    <t>ЧТУП "КорнетГруз"</t>
  </si>
  <si>
    <t>11.12.17</t>
  </si>
  <si>
    <t>338</t>
  </si>
  <si>
    <t>339</t>
  </si>
  <si>
    <t>ООО "ОЛ-Логик"</t>
  </si>
  <si>
    <t>рф</t>
  </si>
  <si>
    <t>08.12.15</t>
  </si>
  <si>
    <t>08-12/15</t>
  </si>
  <si>
    <t>186 леша</t>
  </si>
  <si>
    <t>340</t>
  </si>
  <si>
    <t>341</t>
  </si>
  <si>
    <t>342</t>
  </si>
  <si>
    <t>14.12.15</t>
  </si>
  <si>
    <t>187 женя</t>
  </si>
  <si>
    <t>09.12.15</t>
  </si>
  <si>
    <t>ИП Белодуб Ю.Г.</t>
  </si>
  <si>
    <t>343</t>
  </si>
  <si>
    <t>344</t>
  </si>
  <si>
    <t>17.12.15</t>
  </si>
  <si>
    <t>345</t>
  </si>
  <si>
    <t>346</t>
  </si>
  <si>
    <t>09-12-1/15</t>
  </si>
  <si>
    <t>16.12.15</t>
  </si>
  <si>
    <t>ЧП "Лагосистем"</t>
  </si>
  <si>
    <t>ООО "Аист Экспедиция"</t>
  </si>
  <si>
    <t>18.12.15</t>
  </si>
  <si>
    <t>347</t>
  </si>
  <si>
    <t>348</t>
  </si>
  <si>
    <t>190 женя</t>
  </si>
  <si>
    <t>ООО "БТК-Регион"</t>
  </si>
  <si>
    <t>191 леша</t>
  </si>
  <si>
    <t>УП "Овал Солюшнз"</t>
  </si>
  <si>
    <t>ИП Павловец А.О.</t>
  </si>
  <si>
    <t>вроново+курилово</t>
  </si>
  <si>
    <t>349</t>
  </si>
  <si>
    <t>350</t>
  </si>
  <si>
    <t>351</t>
  </si>
  <si>
    <t>352</t>
  </si>
  <si>
    <t>353</t>
  </si>
  <si>
    <t>354</t>
  </si>
  <si>
    <t>355</t>
  </si>
  <si>
    <t>21.12.15</t>
  </si>
  <si>
    <t>192 леша</t>
  </si>
  <si>
    <t>193 женя</t>
  </si>
  <si>
    <t>188 саша</t>
  </si>
  <si>
    <t>189 олег</t>
  </si>
  <si>
    <t>12 опл</t>
  </si>
  <si>
    <t>15.12.15</t>
  </si>
  <si>
    <t>16-12/15</t>
  </si>
  <si>
    <t>15-12/15</t>
  </si>
  <si>
    <t>16-12-1/15</t>
  </si>
  <si>
    <t>14-12/15</t>
  </si>
  <si>
    <t>194 леша</t>
  </si>
  <si>
    <t>22.12.15</t>
  </si>
  <si>
    <t>22-12/15</t>
  </si>
  <si>
    <t>23.12.15</t>
  </si>
  <si>
    <t>356</t>
  </si>
  <si>
    <t>357</t>
  </si>
  <si>
    <t>Январь</t>
  </si>
  <si>
    <t>1 Калашников</t>
  </si>
  <si>
    <t>долгопрудный</t>
  </si>
  <si>
    <t>01-12/15</t>
  </si>
  <si>
    <t>24.12.15</t>
  </si>
  <si>
    <t>26.12.15</t>
  </si>
  <si>
    <t>28.12.15</t>
  </si>
  <si>
    <t>28-12/15</t>
  </si>
  <si>
    <t>30.12.15</t>
  </si>
  <si>
    <t>29.12.15</t>
  </si>
  <si>
    <t>263.56</t>
  </si>
  <si>
    <t>2 Красовский</t>
  </si>
  <si>
    <t>09-12/15</t>
  </si>
  <si>
    <t>23-12/15</t>
  </si>
  <si>
    <t>195 леня</t>
  </si>
  <si>
    <t>3000000 должны</t>
  </si>
  <si>
    <t>3 авдеев</t>
  </si>
  <si>
    <t>4 Родион</t>
  </si>
  <si>
    <t>5 Калашников</t>
  </si>
  <si>
    <t>6 Красовский</t>
  </si>
  <si>
    <t>фаберлик+железнодорожный</t>
  </si>
  <si>
    <t>железнодорожный</t>
  </si>
  <si>
    <t>ИП Шиманюк А.В.</t>
  </si>
  <si>
    <t>14.01.16</t>
  </si>
  <si>
    <t>Частное предприятие "Корза Карго"</t>
  </si>
  <si>
    <t>18.01.16</t>
  </si>
  <si>
    <t>11-01/16</t>
  </si>
  <si>
    <t>11-01-1/16</t>
  </si>
  <si>
    <t>11.11.16</t>
  </si>
  <si>
    <t>11.01.16</t>
  </si>
  <si>
    <t>18-01/16</t>
  </si>
  <si>
    <t>ИП Дулин И.А.</t>
  </si>
  <si>
    <t>ЧТУП "Синдекор</t>
  </si>
  <si>
    <t>21.01.16</t>
  </si>
  <si>
    <t>23.01.16</t>
  </si>
  <si>
    <t>25.01.16</t>
  </si>
  <si>
    <t>ИП Дубинская И.З.</t>
  </si>
  <si>
    <t>14  рейсов</t>
  </si>
  <si>
    <t>8 Красовский</t>
  </si>
  <si>
    <t>19.01.16</t>
  </si>
  <si>
    <t>19-01/16</t>
  </si>
  <si>
    <t>20.01.16</t>
  </si>
  <si>
    <t>20-01/16</t>
  </si>
  <si>
    <t>19-01-1/16</t>
  </si>
  <si>
    <t>9 Калашников</t>
  </si>
  <si>
    <t>10 Родион</t>
  </si>
  <si>
    <t>ИП Севко И.А.</t>
  </si>
  <si>
    <t>москва-минск</t>
  </si>
  <si>
    <t>подольск-минск</t>
  </si>
  <si>
    <t>29.01.16</t>
  </si>
  <si>
    <t>22.01.16</t>
  </si>
  <si>
    <t>01.02.16</t>
  </si>
  <si>
    <t>долгопрудный+вороново</t>
  </si>
  <si>
    <t>28-01/16</t>
  </si>
  <si>
    <t>28.01.16</t>
  </si>
  <si>
    <t>26-01/16</t>
  </si>
  <si>
    <t>26.01.16</t>
  </si>
  <si>
    <t>28-01-1/16</t>
  </si>
  <si>
    <t>11 Калашников</t>
  </si>
  <si>
    <t>ООО "Кинг Стайл"</t>
  </si>
  <si>
    <t>12 Красовский</t>
  </si>
  <si>
    <t>13 Родион</t>
  </si>
  <si>
    <t>14 Авдеев</t>
  </si>
  <si>
    <t>08.02.16</t>
  </si>
  <si>
    <t>05.02.16</t>
  </si>
  <si>
    <t>подольск+москва</t>
  </si>
  <si>
    <t>04.02.16</t>
  </si>
  <si>
    <t>04-02/16</t>
  </si>
  <si>
    <t>03.02.16</t>
  </si>
  <si>
    <t>03-02/16</t>
  </si>
  <si>
    <t>02.02.16</t>
  </si>
  <si>
    <t>02-02/16</t>
  </si>
  <si>
    <t>12.02.16</t>
  </si>
  <si>
    <t>15 Калашников</t>
  </si>
  <si>
    <t>09.02.16</t>
  </si>
  <si>
    <t>09-02/15</t>
  </si>
  <si>
    <t>15.02.16</t>
  </si>
  <si>
    <t>13.02.16</t>
  </si>
  <si>
    <t>16 Красовский</t>
  </si>
  <si>
    <t>17 Родион</t>
  </si>
  <si>
    <t>18 Авдеев</t>
  </si>
  <si>
    <t>10-02/16</t>
  </si>
  <si>
    <t>10.02.16</t>
  </si>
  <si>
    <t>09-02-1/16</t>
  </si>
  <si>
    <t>10-02-1/16</t>
  </si>
  <si>
    <t>ООО "Кравтвинилторг"</t>
  </si>
  <si>
    <t>22.02.16</t>
  </si>
  <si>
    <t>19 Калашников</t>
  </si>
  <si>
    <t>20 Родион</t>
  </si>
  <si>
    <t>16.02.16</t>
  </si>
  <si>
    <t>16-02/16</t>
  </si>
  <si>
    <t>17.02.16</t>
  </si>
  <si>
    <t>17-02/16</t>
  </si>
  <si>
    <t>17-02-1/16</t>
  </si>
  <si>
    <t>вороново+железнодорожный</t>
  </si>
  <si>
    <t>21 Красовский</t>
  </si>
  <si>
    <t>24.02.16</t>
  </si>
  <si>
    <t>24-02/16</t>
  </si>
  <si>
    <t>22 Родион</t>
  </si>
  <si>
    <t>29.02.16</t>
  </si>
  <si>
    <t>25.02.16</t>
  </si>
  <si>
    <t>25-02/16</t>
  </si>
  <si>
    <t>01.03.16</t>
  </si>
  <si>
    <t>ЧП "Белсельтур"</t>
  </si>
  <si>
    <t>вороново+фаберлик</t>
  </si>
  <si>
    <t>7 Нестерович</t>
  </si>
  <si>
    <t>Долговечный А.П.</t>
  </si>
  <si>
    <t>29-02/16</t>
  </si>
  <si>
    <t>ИП Бабаева  Н.В.</t>
  </si>
  <si>
    <t>ИП Шаркова Е.Г.</t>
  </si>
  <si>
    <t>ООО "Мистерия-М"</t>
  </si>
  <si>
    <t>05.03.16</t>
  </si>
  <si>
    <t>24 Калашников</t>
  </si>
  <si>
    <t>23 Авдеев</t>
  </si>
  <si>
    <t>25 Красовский</t>
  </si>
  <si>
    <t>29-02-1/16</t>
  </si>
  <si>
    <t>01-03/16</t>
  </si>
  <si>
    <t>09.03.16</t>
  </si>
  <si>
    <t>Частное предприятие "НТМ-трейд"</t>
  </si>
  <si>
    <t>Реестр реализации услуг за февраль 2016 года</t>
  </si>
  <si>
    <t>Реестр реализации услуг за январь месяц 2016 года</t>
  </si>
  <si>
    <t>Март</t>
  </si>
  <si>
    <t>26 Родион</t>
  </si>
  <si>
    <t>27 Авдеев</t>
  </si>
  <si>
    <t>14.03.16</t>
  </si>
  <si>
    <t>09-03/16</t>
  </si>
  <si>
    <t>09-03-1/16</t>
  </si>
  <si>
    <t>10 из 14</t>
  </si>
  <si>
    <t>ООО "Овердрай-Электро"</t>
  </si>
  <si>
    <t>28 Красовский</t>
  </si>
  <si>
    <t>18.03.16</t>
  </si>
  <si>
    <t>29 Калашников</t>
  </si>
  <si>
    <t xml:space="preserve">30 </t>
  </si>
  <si>
    <t>30 Родион</t>
  </si>
  <si>
    <t>21.03.16</t>
  </si>
  <si>
    <t>ИП Ермаков И.А.</t>
  </si>
  <si>
    <t>19.03.16</t>
  </si>
  <si>
    <t>22.03.16</t>
  </si>
  <si>
    <t>24.03.16</t>
  </si>
  <si>
    <t>УП Раладос</t>
  </si>
  <si>
    <t>31 Нестерович</t>
  </si>
  <si>
    <t>ЧТУП "ОвалСолюшнз"</t>
  </si>
  <si>
    <t>33 Красовский</t>
  </si>
  <si>
    <t>34 Родион</t>
  </si>
  <si>
    <t>28.03.16</t>
  </si>
  <si>
    <t>35 Калашников</t>
  </si>
  <si>
    <t>ООО "Белинтерклимат"</t>
  </si>
  <si>
    <t>25.03.16</t>
  </si>
  <si>
    <t>32 Авдеев</t>
  </si>
  <si>
    <t>Нестерович</t>
  </si>
  <si>
    <t>15.03.16</t>
  </si>
  <si>
    <t>15-03/16</t>
  </si>
  <si>
    <t>22-03/16</t>
  </si>
  <si>
    <t>23.03.16</t>
  </si>
  <si>
    <t>23-03/16</t>
  </si>
  <si>
    <t>15-03-1/16</t>
  </si>
  <si>
    <t>21-03/16</t>
  </si>
  <si>
    <t>16.03.16</t>
  </si>
  <si>
    <t>16-03/16</t>
  </si>
  <si>
    <t>24-03/16</t>
  </si>
  <si>
    <t>31.03.16</t>
  </si>
  <si>
    <t>ИП "Милованов Г.В.</t>
  </si>
  <si>
    <t>Красовский</t>
  </si>
  <si>
    <t>01.04.16</t>
  </si>
  <si>
    <t>Калашников</t>
  </si>
  <si>
    <t>ИП Милованов Г.В.</t>
  </si>
  <si>
    <t>ИП Янушевич В.А.</t>
  </si>
  <si>
    <t>Родион</t>
  </si>
  <si>
    <t>04.04.16</t>
  </si>
  <si>
    <t>3 рейса</t>
  </si>
  <si>
    <t>28-03/16</t>
  </si>
  <si>
    <t>29.03.16</t>
  </si>
  <si>
    <t>29-03/16</t>
  </si>
  <si>
    <t>29-03-1/16</t>
  </si>
  <si>
    <t>30.03.16</t>
  </si>
  <si>
    <t>30-03/16</t>
  </si>
  <si>
    <t>Авдеев</t>
  </si>
  <si>
    <t>Частное предприятие "Лайкюжн"</t>
  </si>
  <si>
    <t>07.04.16</t>
  </si>
  <si>
    <t>ИП Попченко П.В.</t>
  </si>
  <si>
    <t>11.04.16</t>
  </si>
  <si>
    <t>08.04.16</t>
  </si>
  <si>
    <t>Частное предприятие "Глас-Логистик"</t>
  </si>
  <si>
    <t>Реестр реализации услуг за март 2016 года</t>
  </si>
  <si>
    <t>290.95</t>
  </si>
  <si>
    <t>283.33</t>
  </si>
  <si>
    <t>293.94</t>
  </si>
  <si>
    <t>292.88</t>
  </si>
  <si>
    <t>295.92</t>
  </si>
  <si>
    <t>295.33</t>
  </si>
  <si>
    <t>297.89</t>
  </si>
  <si>
    <t>297.51</t>
  </si>
  <si>
    <t>295.24</t>
  </si>
  <si>
    <t>296.95</t>
  </si>
  <si>
    <t>294.93</t>
  </si>
  <si>
    <t>04-04/16</t>
  </si>
  <si>
    <t>06/04/16</t>
  </si>
  <si>
    <t>06-04/16</t>
  </si>
  <si>
    <t>05/04/16</t>
  </si>
  <si>
    <t>05.04.16</t>
  </si>
  <si>
    <t>07-16/16</t>
  </si>
  <si>
    <t>авдеев</t>
  </si>
  <si>
    <t>ИП Марфель А.В.</t>
  </si>
  <si>
    <t>11-04/16</t>
  </si>
  <si>
    <t>15.04.16</t>
  </si>
  <si>
    <t>13.04.16</t>
  </si>
  <si>
    <t>13-04-1/16</t>
  </si>
  <si>
    <t>18.04.16</t>
  </si>
  <si>
    <t>красовский</t>
  </si>
  <si>
    <t>13-04/16</t>
  </si>
  <si>
    <t>ООО "Гарда-транс"</t>
  </si>
  <si>
    <t>18-04/16</t>
  </si>
  <si>
    <t>ЧТУП "Омолон-маркет"</t>
  </si>
  <si>
    <t>ИП Пискунова В.А.</t>
  </si>
  <si>
    <t>родион</t>
  </si>
  <si>
    <t>25.04.16</t>
  </si>
  <si>
    <t>22.04.16</t>
  </si>
  <si>
    <t>20.04.16</t>
  </si>
  <si>
    <t>ООО "Санэнерджи"</t>
  </si>
  <si>
    <t>18-04-1/16</t>
  </si>
  <si>
    <t>20-04/16</t>
  </si>
  <si>
    <t>21.04.16</t>
  </si>
  <si>
    <t>21-04/16</t>
  </si>
  <si>
    <t>ООО "Громит"</t>
  </si>
  <si>
    <t>ИП Драница Г.А.</t>
  </si>
  <si>
    <t>ООО "Континенталь-Транс"</t>
  </si>
  <si>
    <t>ИП Еремич Н.Е.</t>
  </si>
  <si>
    <t>ООО "ТВ Логистик"</t>
  </si>
  <si>
    <t>ООО "Пилот"</t>
  </si>
  <si>
    <t>02.05.16</t>
  </si>
  <si>
    <t>25-04/16</t>
  </si>
  <si>
    <t>26.04.16</t>
  </si>
  <si>
    <t>26-04-1/16</t>
  </si>
  <si>
    <t>27.04.16</t>
  </si>
  <si>
    <t>04.05.16</t>
  </si>
  <si>
    <t>04-05-1/16</t>
  </si>
  <si>
    <t>ЧТУП "Овал Солюшнз"</t>
  </si>
  <si>
    <t>04-05/16</t>
  </si>
  <si>
    <t>06.05.16</t>
  </si>
  <si>
    <t>26-04/16</t>
  </si>
  <si>
    <t>06.04.16</t>
  </si>
  <si>
    <t>294.1</t>
  </si>
  <si>
    <t>295.36</t>
  </si>
  <si>
    <t>299.45</t>
  </si>
  <si>
    <t>302.41</t>
  </si>
  <si>
    <t>297.71</t>
  </si>
  <si>
    <t>295.42</t>
  </si>
  <si>
    <t>РФ    295.93</t>
  </si>
  <si>
    <t>Реестр реализации услуг за апрель 2016 года</t>
  </si>
  <si>
    <t>16.05.16</t>
  </si>
  <si>
    <t>13.05.16</t>
  </si>
  <si>
    <t>10.05.16</t>
  </si>
  <si>
    <t>11.05.16</t>
  </si>
  <si>
    <t>11-05/16</t>
  </si>
  <si>
    <t>10-05/16</t>
  </si>
  <si>
    <t>28.04.16</t>
  </si>
  <si>
    <t>ЧП Глас-логистик</t>
  </si>
  <si>
    <t>УП "Стронг"</t>
  </si>
  <si>
    <t>13 оплачено</t>
  </si>
  <si>
    <t>23.05.16</t>
  </si>
  <si>
    <t>21.05.16</t>
  </si>
  <si>
    <t>18.05.16</t>
  </si>
  <si>
    <t>18-05/16</t>
  </si>
  <si>
    <t>16-05/16</t>
  </si>
  <si>
    <t>17.05.16</t>
  </si>
  <si>
    <t>17-05/16</t>
  </si>
  <si>
    <t>23.08.16</t>
  </si>
  <si>
    <t>23-08/16</t>
  </si>
  <si>
    <t>25.05.16</t>
  </si>
  <si>
    <t>нестерович</t>
  </si>
  <si>
    <t xml:space="preserve">тишков </t>
  </si>
  <si>
    <t>мерс</t>
  </si>
  <si>
    <t>27.05.16</t>
  </si>
  <si>
    <t>30.05.16</t>
  </si>
  <si>
    <t>25-05/16</t>
  </si>
  <si>
    <t>ИП Соколов В.Н.</t>
  </si>
  <si>
    <t>06.06.16</t>
  </si>
  <si>
    <t>УП "Овал-Солюшнз"</t>
  </si>
  <si>
    <t>03.06.16</t>
  </si>
  <si>
    <t>30-05/16</t>
  </si>
  <si>
    <t>31.05.16</t>
  </si>
  <si>
    <t>31-05/16</t>
  </si>
  <si>
    <t>01.06.16</t>
  </si>
  <si>
    <t>01-06/16</t>
  </si>
  <si>
    <t>Реестр реализации услуг за май 2016 года</t>
  </si>
  <si>
    <t>23-05/16</t>
  </si>
  <si>
    <t>бе руб на дату платежа</t>
  </si>
  <si>
    <t>10.06.16</t>
  </si>
  <si>
    <t>13.06.16</t>
  </si>
  <si>
    <t>5 оплачено</t>
  </si>
  <si>
    <t>ЧТУП "Овал-солюшнз"</t>
  </si>
  <si>
    <t>Чижонок</t>
  </si>
  <si>
    <t>ИП Сазановец Н.С.</t>
  </si>
  <si>
    <t>ЧТУП "ЯсельдаАвтоТранс"</t>
  </si>
  <si>
    <t>ЧП "Лагентранс"</t>
  </si>
  <si>
    <t>ИП Янушнвич В.А.</t>
  </si>
  <si>
    <t>ООО "РесурсЛогистик"</t>
  </si>
  <si>
    <t>17.06.16</t>
  </si>
  <si>
    <t>20.06.16</t>
  </si>
  <si>
    <t>в путевой красовскому</t>
  </si>
  <si>
    <t>06-06/16</t>
  </si>
  <si>
    <t>08.06.16</t>
  </si>
  <si>
    <t>08-06/16</t>
  </si>
  <si>
    <t>15.06.16</t>
  </si>
  <si>
    <t>15-06/16</t>
  </si>
  <si>
    <t>14.06.16</t>
  </si>
  <si>
    <t>14-06/16</t>
  </si>
  <si>
    <t>15-06-1/16</t>
  </si>
  <si>
    <t>15-06-2/16</t>
  </si>
  <si>
    <t>1белорус должны</t>
  </si>
  <si>
    <t>марина</t>
  </si>
  <si>
    <t>ТЭУП "Овал Солюшнз"</t>
  </si>
  <si>
    <t>ООО"Каплайн-Трейд"</t>
  </si>
  <si>
    <t>24.06.16</t>
  </si>
  <si>
    <t>ООО "Интел-страйд"</t>
  </si>
  <si>
    <t>23.06.16</t>
  </si>
  <si>
    <t>27.06.16</t>
  </si>
  <si>
    <t>20-06/16</t>
  </si>
  <si>
    <t>22.06.16</t>
  </si>
  <si>
    <t>22-06/16</t>
  </si>
  <si>
    <t>22-06-1/16</t>
  </si>
  <si>
    <t>22-06-2/16</t>
  </si>
  <si>
    <t>ЧТУП  "Синдекор"</t>
  </si>
  <si>
    <t>30.06.16</t>
  </si>
  <si>
    <t>04.07.16</t>
  </si>
  <si>
    <t>29.06.16</t>
  </si>
  <si>
    <t>27-06/16</t>
  </si>
  <si>
    <t>27-06-1/16</t>
  </si>
  <si>
    <t>BYN</t>
  </si>
  <si>
    <t>29-06/16</t>
  </si>
  <si>
    <t>29-06-1/16</t>
  </si>
  <si>
    <t>Частное предприятие"Роял Транс"</t>
  </si>
  <si>
    <t>Реестр реализации услуг за июнь 2016 года</t>
  </si>
  <si>
    <t>ИЮЛЬ BYN</t>
  </si>
  <si>
    <t>299.68</t>
  </si>
  <si>
    <t>304.05</t>
  </si>
  <si>
    <t>303.01</t>
  </si>
  <si>
    <t>304.62</t>
  </si>
  <si>
    <t>305.17</t>
  </si>
  <si>
    <t>307.74</t>
  </si>
  <si>
    <t>306.57</t>
  </si>
  <si>
    <t>ЧТУП "Корза-карго"</t>
  </si>
  <si>
    <t>07.07.16</t>
  </si>
  <si>
    <t>08.07.16</t>
  </si>
  <si>
    <t>ИП Шрубов М.В.</t>
  </si>
  <si>
    <t>ООО "Ратипа Логистика"</t>
  </si>
  <si>
    <t>05.07.16</t>
  </si>
  <si>
    <t>04-07/16</t>
  </si>
  <si>
    <t>05-07/16</t>
  </si>
  <si>
    <t>ООО "Максиарт Логистик"</t>
  </si>
  <si>
    <t>11.07.16</t>
  </si>
  <si>
    <t>ИП Антоненко Е.А.</t>
  </si>
  <si>
    <t>05-07-1/16</t>
  </si>
  <si>
    <t>до конца недели</t>
  </si>
  <si>
    <t>06.07.16</t>
  </si>
  <si>
    <t>06-07/16</t>
  </si>
  <si>
    <t>ООО "Капитал-логистикс"</t>
  </si>
  <si>
    <t>пт-пн</t>
  </si>
  <si>
    <t>15.07.16</t>
  </si>
  <si>
    <t>14.07.16</t>
  </si>
  <si>
    <t>18.07.16</t>
  </si>
  <si>
    <t>19.07.16</t>
  </si>
  <si>
    <t>11-07/16</t>
  </si>
  <si>
    <t>12.07.16</t>
  </si>
  <si>
    <t>12-07/16</t>
  </si>
  <si>
    <t>13.07.16</t>
  </si>
  <si>
    <t>13-07/16</t>
  </si>
  <si>
    <t>ИП Нагорская Л.А.</t>
  </si>
  <si>
    <t>25.07.16</t>
  </si>
  <si>
    <t>Шульга</t>
  </si>
  <si>
    <t>ЧТУП "Ариадналайн"</t>
  </si>
  <si>
    <t>22.07.16</t>
  </si>
  <si>
    <t>21.07.16</t>
  </si>
  <si>
    <t>15 оплачен</t>
  </si>
  <si>
    <t>13 рейсов</t>
  </si>
  <si>
    <t>18-07/16</t>
  </si>
  <si>
    <t>19-07/16</t>
  </si>
  <si>
    <t>20.07.16</t>
  </si>
  <si>
    <t>20-07/16</t>
  </si>
  <si>
    <t>Частное предприятие "ТРТС-Плюс"</t>
  </si>
  <si>
    <t>ООО "ТирексЛайн"</t>
  </si>
  <si>
    <t>01.08.16</t>
  </si>
  <si>
    <t>29.07.16</t>
  </si>
  <si>
    <t>25-07/16</t>
  </si>
  <si>
    <t>27-07/16</t>
  </si>
  <si>
    <t>27-07-1/16</t>
  </si>
  <si>
    <t>05.08.16</t>
  </si>
  <si>
    <t>ООО "Геос и Компания"</t>
  </si>
  <si>
    <t>Адеев</t>
  </si>
  <si>
    <t>08.08.16</t>
  </si>
  <si>
    <t>Реестр реализации услуг за июль месяц 2016 года</t>
  </si>
  <si>
    <t>02.08.16</t>
  </si>
  <si>
    <t>02-08/16</t>
  </si>
  <si>
    <t>03.08.16</t>
  </si>
  <si>
    <t>03-08/16</t>
  </si>
  <si>
    <t>03-08-1/16</t>
  </si>
  <si>
    <t>ИП Аскабович В.Н.</t>
  </si>
  <si>
    <t>МП Масель Я.Л.</t>
  </si>
  <si>
    <t>11.08.16</t>
  </si>
  <si>
    <t>ЧТУП "Велторг"</t>
  </si>
  <si>
    <t>15.08.16</t>
  </si>
  <si>
    <t>1000 01.08.16</t>
  </si>
  <si>
    <t>08-08/16</t>
  </si>
  <si>
    <t>09.08.16</t>
  </si>
  <si>
    <t>09-08/16</t>
  </si>
  <si>
    <t>10.08.16</t>
  </si>
  <si>
    <t>10-08/16</t>
  </si>
  <si>
    <t>11-08/16</t>
  </si>
  <si>
    <t>18.08.16</t>
  </si>
  <si>
    <t>ИП Масель Я.Л.</t>
  </si>
  <si>
    <t>ООО "Беллинк-Логистик"</t>
  </si>
  <si>
    <t>ИП Селезнёва О.К.</t>
  </si>
  <si>
    <t>22.08.16</t>
  </si>
  <si>
    <t>15-08/16</t>
  </si>
  <si>
    <t>17.08.16</t>
  </si>
  <si>
    <t>17-08/16</t>
  </si>
  <si>
    <t>17-08-1/16</t>
  </si>
  <si>
    <t>18-08/16</t>
  </si>
  <si>
    <t>игорь</t>
  </si>
  <si>
    <t>ООО "Лиратранс"</t>
  </si>
  <si>
    <t>26.08.16</t>
  </si>
  <si>
    <t>29.08.16</t>
  </si>
  <si>
    <t>перед</t>
  </si>
  <si>
    <t>у нас остаётся июльский</t>
  </si>
  <si>
    <t>27.08.16</t>
  </si>
  <si>
    <t>22-08/16</t>
  </si>
  <si>
    <t>25.08.16</t>
  </si>
  <si>
    <t>25-08/16</t>
  </si>
  <si>
    <t>24.08.16</t>
  </si>
  <si>
    <t>24-08/196</t>
  </si>
  <si>
    <t>01.09.16</t>
  </si>
  <si>
    <t>18 рейсов</t>
  </si>
  <si>
    <t>05.09.16</t>
  </si>
  <si>
    <t>Реестр реализации услуг за август месяц 2016 года</t>
  </si>
  <si>
    <t>29-08/16</t>
  </si>
  <si>
    <t>29-08-4/16</t>
  </si>
  <si>
    <t>30.08.16</t>
  </si>
  <si>
    <t>30-08/16</t>
  </si>
  <si>
    <t>31-08/16</t>
  </si>
  <si>
    <t>СЕНТЯБРЬ</t>
  </si>
  <si>
    <t>09.09.16</t>
  </si>
  <si>
    <t>06.09.16</t>
  </si>
  <si>
    <t>08.09.16</t>
  </si>
  <si>
    <t>12.09.16</t>
  </si>
  <si>
    <t>06-09/12</t>
  </si>
  <si>
    <t>06-09-1/16</t>
  </si>
  <si>
    <t>08-09/16</t>
  </si>
  <si>
    <t>08-09-1/16</t>
  </si>
  <si>
    <t>15.09.16</t>
  </si>
  <si>
    <t>ИП Носик А.И.</t>
  </si>
  <si>
    <t>ЧУП "АвтоЭкспрессШарм"</t>
  </si>
  <si>
    <t>ИП Левшина Т.Н.</t>
  </si>
  <si>
    <t>19.09.16</t>
  </si>
  <si>
    <t>ООО "Проспер"</t>
  </si>
  <si>
    <t>ЧТУП "Либеротранс"</t>
  </si>
  <si>
    <t>рос.руб</t>
  </si>
  <si>
    <t>17.09.16</t>
  </si>
  <si>
    <t>ЧТУП "Лиратранс"</t>
  </si>
  <si>
    <t>22.09.16</t>
  </si>
  <si>
    <t>12-09/16</t>
  </si>
  <si>
    <t>13.09.16</t>
  </si>
  <si>
    <t>13-09/16</t>
  </si>
  <si>
    <t>14-09/16</t>
  </si>
  <si>
    <t>14.09.16</t>
  </si>
  <si>
    <t>15-09/16</t>
  </si>
  <si>
    <t>29-08-1/16</t>
  </si>
  <si>
    <t>26.09.16</t>
  </si>
  <si>
    <t>18 опл</t>
  </si>
  <si>
    <t>19-09/16</t>
  </si>
  <si>
    <t>20.09.16</t>
  </si>
  <si>
    <t>20-09/16</t>
  </si>
  <si>
    <t>21.09.16</t>
  </si>
  <si>
    <t>21-09/16</t>
  </si>
  <si>
    <t>21-09-1/16</t>
  </si>
  <si>
    <t>шульга</t>
  </si>
  <si>
    <t>ООО "Таймикс"</t>
  </si>
  <si>
    <t>ООО "Анлитранс"</t>
  </si>
  <si>
    <t>29.09.16</t>
  </si>
  <si>
    <t>26-09/16</t>
  </si>
  <si>
    <t>УП "Белкаспиан"</t>
  </si>
  <si>
    <t>ООО "Белеврологистик"</t>
  </si>
  <si>
    <t>30.09.16</t>
  </si>
  <si>
    <t>ЧТУП "КонтактМашКомплект"</t>
  </si>
  <si>
    <t>красвоский</t>
  </si>
  <si>
    <t>рос фирма</t>
  </si>
  <si>
    <t>03.10.16</t>
  </si>
  <si>
    <t>26-09-1/16</t>
  </si>
  <si>
    <t>28.09.16</t>
  </si>
  <si>
    <t>28-09/16</t>
  </si>
  <si>
    <t>28-09-1/16</t>
  </si>
  <si>
    <t>Реестр реализации услуг за сентябрь месяц 2016 года</t>
  </si>
  <si>
    <t>чижонок</t>
  </si>
  <si>
    <t>ИП Рукша А.В.</t>
  </si>
  <si>
    <t>бел.фирм</t>
  </si>
  <si>
    <t>07.10.16</t>
  </si>
  <si>
    <t>10.10.16</t>
  </si>
  <si>
    <t>03-10/16</t>
  </si>
  <si>
    <t>05.10.16</t>
  </si>
  <si>
    <t>05-10/16</t>
  </si>
  <si>
    <t>05-10-1/16</t>
  </si>
  <si>
    <t>13.10.16</t>
  </si>
  <si>
    <t>10-10/16</t>
  </si>
  <si>
    <t>ООО "Тирекслайн"</t>
  </si>
  <si>
    <t>Номер дог.</t>
  </si>
  <si>
    <t>номер проток.</t>
  </si>
  <si>
    <t>дата прот.</t>
  </si>
  <si>
    <t>номер смр</t>
  </si>
  <si>
    <t>дата смр</t>
  </si>
  <si>
    <t>маршрут</t>
  </si>
  <si>
    <t>дата акта</t>
  </si>
  <si>
    <t>сумма акта</t>
  </si>
  <si>
    <t>рф-рб</t>
  </si>
  <si>
    <t>сантехпром</t>
  </si>
  <si>
    <t>рб-рф</t>
  </si>
  <si>
    <t>б/н, б/н</t>
  </si>
  <si>
    <t>протокол-акт/СМР</t>
  </si>
  <si>
    <t>.+/-</t>
  </si>
  <si>
    <t>.-/+</t>
  </si>
  <si>
    <t>2041П</t>
  </si>
  <si>
    <t>роялтранс</t>
  </si>
  <si>
    <t>.+/+</t>
  </si>
  <si>
    <t>27.01П</t>
  </si>
  <si>
    <t>севко</t>
  </si>
  <si>
    <t>04/01-16-П</t>
  </si>
  <si>
    <t>корза карго</t>
  </si>
  <si>
    <t>капитал логистик</t>
  </si>
  <si>
    <t>шрубов</t>
  </si>
  <si>
    <t>1597/15-43</t>
  </si>
  <si>
    <t>ВУ/06/07/2016/1</t>
  </si>
  <si>
    <t>максиарт</t>
  </si>
  <si>
    <t>42/14</t>
  </si>
  <si>
    <t>антоненко</t>
  </si>
  <si>
    <t>3/П</t>
  </si>
  <si>
    <t>дубинская</t>
  </si>
  <si>
    <t>ОС-162/2016-П</t>
  </si>
  <si>
    <t>овал сол</t>
  </si>
  <si>
    <t>карио</t>
  </si>
  <si>
    <t>30-11-2015/1</t>
  </si>
  <si>
    <t>143,</t>
  </si>
  <si>
    <t>ЧП "АВВАинтер"</t>
  </si>
  <si>
    <t>крафтвинил</t>
  </si>
  <si>
    <t>17.10.16</t>
  </si>
  <si>
    <t>ЧП "Белтракер"</t>
  </si>
  <si>
    <t>ЧП "РусоРус"</t>
  </si>
  <si>
    <t>21.10.16</t>
  </si>
  <si>
    <t>ООО"Сантехпром"</t>
  </si>
  <si>
    <t>24.10.16</t>
  </si>
  <si>
    <t>20.10.16</t>
  </si>
  <si>
    <t>Реестр реализации услуг за октябрь месяц 2016 года</t>
  </si>
  <si>
    <t>11.10.16</t>
  </si>
  <si>
    <t>11-10/16</t>
  </si>
  <si>
    <t>12.10.16</t>
  </si>
  <si>
    <t>12-10/16</t>
  </si>
  <si>
    <t>17-10/16</t>
  </si>
  <si>
    <t>18.10.16</t>
  </si>
  <si>
    <t>18-10/16</t>
  </si>
  <si>
    <t>19.10.16</t>
  </si>
  <si>
    <t>19-10/16</t>
  </si>
  <si>
    <t>ПТ "Легранд"</t>
  </si>
  <si>
    <t>28.10.16</t>
  </si>
  <si>
    <t>косяк, опл 360</t>
  </si>
  <si>
    <t>16 оплачено из 16</t>
  </si>
  <si>
    <t>ООО "ВТС Транспорт"</t>
  </si>
  <si>
    <t>01.11.16</t>
  </si>
  <si>
    <t>31.10.16</t>
  </si>
  <si>
    <t>24-10/16</t>
  </si>
  <si>
    <t>26.10.16</t>
  </si>
  <si>
    <t>26-10/16</t>
  </si>
  <si>
    <t>26-10-1/16</t>
  </si>
  <si>
    <t>ЭКСПЕД</t>
  </si>
  <si>
    <t>20 за счёт 09</t>
  </si>
  <si>
    <t>29.10.16</t>
  </si>
  <si>
    <t xml:space="preserve">ООО «ИННОВЕЙТРЕЙД» </t>
  </si>
  <si>
    <t>ИП Попченко</t>
  </si>
  <si>
    <t>04.11.16</t>
  </si>
  <si>
    <t>03.11.16</t>
  </si>
  <si>
    <t>01-11/16</t>
  </si>
  <si>
    <t>01-11-1/16</t>
  </si>
  <si>
    <t>02.11.16</t>
  </si>
  <si>
    <t>02-11/16</t>
  </si>
  <si>
    <t>14.11.16</t>
  </si>
  <si>
    <t>ООО "Рейл Карго"</t>
  </si>
  <si>
    <t>ИП Лотикова Е.В.</t>
  </si>
  <si>
    <t>09.11.16</t>
  </si>
  <si>
    <t>09-11/16</t>
  </si>
  <si>
    <t>07.11.16</t>
  </si>
  <si>
    <t>07-11/16</t>
  </si>
  <si>
    <t>08.11.16</t>
  </si>
  <si>
    <t>08-11/16</t>
  </si>
  <si>
    <t>25.10.16</t>
  </si>
  <si>
    <t>25-10/16</t>
  </si>
  <si>
    <t>ООО "АльтеРеал"</t>
  </si>
  <si>
    <t>358</t>
  </si>
  <si>
    <t>18.11.16</t>
  </si>
  <si>
    <t>359</t>
  </si>
  <si>
    <t>360</t>
  </si>
  <si>
    <t>361</t>
  </si>
  <si>
    <t>17.11.16</t>
  </si>
  <si>
    <t>362</t>
  </si>
  <si>
    <t>21.11.16</t>
  </si>
  <si>
    <t>363</t>
  </si>
  <si>
    <t>364</t>
  </si>
  <si>
    <t>365</t>
  </si>
  <si>
    <t>366</t>
  </si>
  <si>
    <t>367</t>
  </si>
  <si>
    <t>14-11/16</t>
  </si>
  <si>
    <t>15.11.16</t>
  </si>
  <si>
    <t>15-11/16</t>
  </si>
  <si>
    <t>16.11.16</t>
  </si>
  <si>
    <t>16-11/16</t>
  </si>
  <si>
    <t>16-11-1/16</t>
  </si>
  <si>
    <t>ООО "Бондаренко А.М."</t>
  </si>
  <si>
    <t>368</t>
  </si>
  <si>
    <t>369</t>
  </si>
  <si>
    <t>24.11.16</t>
  </si>
  <si>
    <t>ИП Процкий А.С.</t>
  </si>
  <si>
    <t>28.11.16</t>
  </si>
  <si>
    <t>370</t>
  </si>
  <si>
    <t>371</t>
  </si>
  <si>
    <t>372</t>
  </si>
  <si>
    <t>ИП Партон А.Д.</t>
  </si>
  <si>
    <t>373</t>
  </si>
  <si>
    <t>374</t>
  </si>
  <si>
    <t>ООО "Интелстрайд"</t>
  </si>
  <si>
    <t>21-11/16</t>
  </si>
  <si>
    <t>23.11.16</t>
  </si>
  <si>
    <t>23-11/16</t>
  </si>
  <si>
    <t>23-11-1/16</t>
  </si>
  <si>
    <t>Реестр реализации услуг за ноябрь месяц 2016 года</t>
  </si>
  <si>
    <t>01.12.16</t>
  </si>
  <si>
    <t>375</t>
  </si>
  <si>
    <t>28-11/16</t>
  </si>
  <si>
    <t>30.11.16</t>
  </si>
  <si>
    <t>30-11/16</t>
  </si>
  <si>
    <t>376</t>
  </si>
  <si>
    <t>377</t>
  </si>
  <si>
    <t>ЧТУП "Унаверсал-пласт"</t>
  </si>
  <si>
    <t>03.12.16</t>
  </si>
  <si>
    <t>05.12.16</t>
  </si>
  <si>
    <t>378</t>
  </si>
  <si>
    <t>379</t>
  </si>
  <si>
    <t>380</t>
  </si>
  <si>
    <t>381</t>
  </si>
  <si>
    <t>382</t>
  </si>
  <si>
    <t>384</t>
  </si>
  <si>
    <t>01-12/16</t>
  </si>
  <si>
    <t>08.12.16</t>
  </si>
  <si>
    <t>12.12.16</t>
  </si>
  <si>
    <t>09.12.16</t>
  </si>
  <si>
    <t>385</t>
  </si>
  <si>
    <t>386</t>
  </si>
  <si>
    <t>387</t>
  </si>
  <si>
    <t>388</t>
  </si>
  <si>
    <t>389</t>
  </si>
  <si>
    <t>390</t>
  </si>
  <si>
    <t>391</t>
  </si>
  <si>
    <t>393</t>
  </si>
  <si>
    <t>05-12/16</t>
  </si>
  <si>
    <t>06.12.16</t>
  </si>
  <si>
    <t>06-12/16</t>
  </si>
  <si>
    <t>07.12.16</t>
  </si>
  <si>
    <t>07-12/16</t>
  </si>
  <si>
    <t>ИП Зайков А.В.</t>
  </si>
  <si>
    <t>ООО "Милитекс"</t>
  </si>
  <si>
    <t>ЧТУП "Тирекслайн"</t>
  </si>
  <si>
    <t>ООО "Саненерджи"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</si>
  <si>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</si>
  <si>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</si>
  <si>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</si>
  <si>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</si>
  <si>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</si>
  <si>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</si>
  <si>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</si>
  <si>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</si>
  <si>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</si>
  <si>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</si>
  <si>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19.12.16</t>
  </si>
  <si>
    <t>16.12.16</t>
  </si>
  <si>
    <t>15.12.16</t>
  </si>
  <si>
    <t>12-12/16</t>
  </si>
  <si>
    <t>13.12.16</t>
  </si>
  <si>
    <t>13-12/16</t>
  </si>
  <si>
    <t>14.12.16</t>
  </si>
  <si>
    <t>14-12/16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</si>
  <si>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</si>
  <si>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</si>
  <si>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</si>
  <si>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</si>
  <si>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</si>
  <si>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</si>
  <si>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</si>
  <si>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</si>
  <si>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</si>
  <si>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23.12.16</t>
  </si>
  <si>
    <t>22.12.16</t>
  </si>
  <si>
    <t>26.12.16</t>
  </si>
  <si>
    <t>пн</t>
  </si>
  <si>
    <t>ООО "АвизаТранс"</t>
  </si>
  <si>
    <t>НДС</t>
  </si>
  <si>
    <t>19-12/16</t>
  </si>
  <si>
    <t>21.12.16</t>
  </si>
  <si>
    <t>21-12/16</t>
  </si>
  <si>
    <t>21-12-1/16</t>
  </si>
  <si>
    <t>21-12-2/16</t>
  </si>
  <si>
    <t>19-12-1/16</t>
  </si>
  <si>
    <t>ЧП "ФернеАвто"</t>
  </si>
  <si>
    <t>ИП Черненко Ю.Н.</t>
  </si>
  <si>
    <t>ИП Лянгер  А.А.</t>
  </si>
  <si>
    <t>ЧТУП "Будрекс"</t>
  </si>
  <si>
    <t>28.12.16</t>
  </si>
  <si>
    <t>413</t>
  </si>
  <si>
    <t>414</t>
  </si>
  <si>
    <t>415</t>
  </si>
  <si>
    <t>29.12.16</t>
  </si>
  <si>
    <t>30.12.16</t>
  </si>
  <si>
    <t>23-12/16</t>
  </si>
  <si>
    <t>26-12/16</t>
  </si>
  <si>
    <t>26-12-1/16</t>
  </si>
  <si>
    <t>28-12/16</t>
  </si>
  <si>
    <t>27-12/16</t>
  </si>
  <si>
    <t>27.12.16</t>
  </si>
  <si>
    <t>Реестр реализации услуг за декабрь месяц 2016 года</t>
  </si>
  <si>
    <t>10.0117</t>
  </si>
  <si>
    <t>416</t>
  </si>
  <si>
    <t>417</t>
  </si>
  <si>
    <t>418</t>
  </si>
  <si>
    <t>8 из 15</t>
  </si>
  <si>
    <t>ндс</t>
  </si>
  <si>
    <t>ИП Макаревич В.Л.</t>
  </si>
  <si>
    <t>16.01.17</t>
  </si>
  <si>
    <t>13.01.17</t>
  </si>
  <si>
    <t>10.01.17</t>
  </si>
  <si>
    <t>сантехпр</t>
  </si>
  <si>
    <t>28.09.20162-п</t>
  </si>
  <si>
    <t>лиратр</t>
  </si>
  <si>
    <t>дабижа</t>
  </si>
  <si>
    <t>локсист</t>
  </si>
  <si>
    <t>жанна</t>
  </si>
  <si>
    <t>тирекслайн</t>
  </si>
  <si>
    <t>05,06,07.10.2016</t>
  </si>
  <si>
    <t>2 б/н</t>
  </si>
  <si>
    <t>5 б/н</t>
  </si>
  <si>
    <t>капл</t>
  </si>
  <si>
    <t>3 б/н</t>
  </si>
  <si>
    <t>2б/н</t>
  </si>
  <si>
    <t xml:space="preserve">013-Т/16 </t>
  </si>
  <si>
    <t>у-пласт</t>
  </si>
  <si>
    <r>
      <t xml:space="preserve">локсист </t>
    </r>
    <r>
      <rPr>
        <b/>
        <sz val="9"/>
        <color theme="1"/>
        <rFont val="Calibri"/>
        <family val="2"/>
        <charset val="204"/>
        <scheme val="minor"/>
      </rPr>
      <t>ЭКСП</t>
    </r>
  </si>
  <si>
    <t xml:space="preserve"> 3 б/н</t>
  </si>
  <si>
    <t>27, 28.10.2016</t>
  </si>
  <si>
    <t xml:space="preserve"> б/н</t>
  </si>
  <si>
    <t>0316-112</t>
  </si>
  <si>
    <t>4476,4428,4555,4427,4557</t>
  </si>
  <si>
    <t>либеространс</t>
  </si>
  <si>
    <t xml:space="preserve">019.16 Р </t>
  </si>
  <si>
    <t xml:space="preserve">б/н, 781473 </t>
  </si>
  <si>
    <t>02, 03.11.2016</t>
  </si>
  <si>
    <t>4 б/н</t>
  </si>
  <si>
    <t>380-П</t>
  </si>
  <si>
    <t>лотикова</t>
  </si>
  <si>
    <t xml:space="preserve">14/11/1742 </t>
  </si>
  <si>
    <t>171116/1</t>
  </si>
  <si>
    <t>21.11..2016</t>
  </si>
  <si>
    <t>0001, б/н</t>
  </si>
  <si>
    <t>22, 23.11.2016</t>
  </si>
  <si>
    <t>24., 25.11.2016</t>
  </si>
  <si>
    <t>93/16</t>
  </si>
  <si>
    <t>П132-16</t>
  </si>
  <si>
    <t>271/04-15</t>
  </si>
  <si>
    <t>4886,4807,4805,4944,4889,4947,4819,4846,4958</t>
  </si>
  <si>
    <t>упласт</t>
  </si>
  <si>
    <t>09, 10.12.2016</t>
  </si>
  <si>
    <t>1212/1</t>
  </si>
  <si>
    <t>2./15</t>
  </si>
  <si>
    <t>13.</t>
  </si>
  <si>
    <t>1215527, 1215528</t>
  </si>
  <si>
    <t>ПА/27-12</t>
  </si>
  <si>
    <t>3.750</t>
  </si>
  <si>
    <t>10-01/17</t>
  </si>
  <si>
    <t>10-01-1/17</t>
  </si>
  <si>
    <t>13-01/17</t>
  </si>
  <si>
    <t>600</t>
  </si>
  <si>
    <t>21.01.17</t>
  </si>
  <si>
    <t>23.01.17</t>
  </si>
  <si>
    <t>20.01.17</t>
  </si>
  <si>
    <t>450</t>
  </si>
  <si>
    <t>1350</t>
  </si>
  <si>
    <t>17.01.17</t>
  </si>
  <si>
    <t>17-01/17</t>
  </si>
  <si>
    <t>17-01-1/17</t>
  </si>
  <si>
    <t>41179</t>
  </si>
  <si>
    <t>ООО "Домовой-РП"</t>
  </si>
  <si>
    <t>27.01.17</t>
  </si>
  <si>
    <t>26.01.17</t>
  </si>
  <si>
    <t>юшкевич</t>
  </si>
  <si>
    <t>ЧТУП "Карготранссервис"</t>
  </si>
  <si>
    <t>ООО "БалспедЛогистик"</t>
  </si>
  <si>
    <t>30.01.17</t>
  </si>
  <si>
    <t>Реестр реализации услуг за январь  месяц 2017 года</t>
  </si>
  <si>
    <t>20-01/17</t>
  </si>
  <si>
    <t>НДС30р</t>
  </si>
  <si>
    <t>23-01/17</t>
  </si>
  <si>
    <t>21-01/17</t>
  </si>
  <si>
    <t>24.01.17</t>
  </si>
  <si>
    <t>24-01/17</t>
  </si>
  <si>
    <t>41521</t>
  </si>
  <si>
    <t>25.01.17</t>
  </si>
  <si>
    <t>25-01/17</t>
  </si>
  <si>
    <t>26-01/17</t>
  </si>
  <si>
    <t>41396</t>
  </si>
  <si>
    <t>1150</t>
  </si>
  <si>
    <t>31-01/17</t>
  </si>
  <si>
    <t>31.01.17</t>
  </si>
  <si>
    <t>31-01-1/17</t>
  </si>
  <si>
    <t>03.02.17</t>
  </si>
  <si>
    <t>Юшкевич</t>
  </si>
  <si>
    <t>ООО "Кепалас"</t>
  </si>
  <si>
    <t>650</t>
  </si>
  <si>
    <t>480</t>
  </si>
  <si>
    <t>ИТЭУП "Кюне и Нагель"</t>
  </si>
  <si>
    <t>06.02.17</t>
  </si>
  <si>
    <t>02.02.17</t>
  </si>
  <si>
    <t>02-02/17</t>
  </si>
  <si>
    <t>01.02.17</t>
  </si>
  <si>
    <t>01-02/17</t>
  </si>
  <si>
    <t>рб-рб</t>
  </si>
  <si>
    <t>ндс20%</t>
  </si>
  <si>
    <t>без рб-рб</t>
  </si>
  <si>
    <t>Реестр реализации услуг за февраль  месяц 2017 года</t>
  </si>
  <si>
    <t>13,01,2017</t>
  </si>
  <si>
    <t>свет</t>
  </si>
  <si>
    <t>локс ист</t>
  </si>
  <si>
    <t xml:space="preserve">№191-ИП </t>
  </si>
  <si>
    <t>04.02..2016</t>
  </si>
  <si>
    <t>19/01/17,</t>
  </si>
  <si>
    <r>
      <t>№</t>
    </r>
    <r>
      <rPr>
        <sz val="9"/>
        <rFont val="Times New Roman"/>
        <family val="1"/>
        <charset val="204"/>
      </rPr>
      <t>26-01/10</t>
    </r>
  </si>
  <si>
    <t>б/н,б/н</t>
  </si>
  <si>
    <t>тирексл</t>
  </si>
  <si>
    <t>синд</t>
  </si>
  <si>
    <t>08.02.17</t>
  </si>
  <si>
    <t>13.02.17</t>
  </si>
  <si>
    <t>06-02/17</t>
  </si>
  <si>
    <t>07.02.17</t>
  </si>
  <si>
    <t>07-02/17</t>
  </si>
  <si>
    <t>08.02.12</t>
  </si>
  <si>
    <t>08-02/17</t>
  </si>
  <si>
    <t>20.02.17</t>
  </si>
  <si>
    <t>15.02.17</t>
  </si>
  <si>
    <t>ЧП "Роял Транс"</t>
  </si>
  <si>
    <t>13-02/17</t>
  </si>
  <si>
    <t>420</t>
  </si>
  <si>
    <t>24.02.17</t>
  </si>
  <si>
    <t>23.02.17</t>
  </si>
  <si>
    <t>22.02.17</t>
  </si>
  <si>
    <t>20-02/17</t>
  </si>
  <si>
    <t>21.02.17</t>
  </si>
  <si>
    <t>21-02/17</t>
  </si>
  <si>
    <t>09.02.17</t>
  </si>
  <si>
    <t>09-02/17</t>
  </si>
  <si>
    <t>15-02/17</t>
  </si>
  <si>
    <t>15-02/17-1</t>
  </si>
  <si>
    <t>27.02.17</t>
  </si>
  <si>
    <t>27-02/17</t>
  </si>
  <si>
    <t>ЧП "Остпедкарго"</t>
  </si>
  <si>
    <t>ИП "Гвардин Ж.В."</t>
  </si>
  <si>
    <t>24-02/17</t>
  </si>
  <si>
    <t>02.03.17</t>
  </si>
  <si>
    <t>03.03.17</t>
  </si>
  <si>
    <t>27-02-1/17</t>
  </si>
  <si>
    <t>06.03.17</t>
  </si>
  <si>
    <t>01.03.17</t>
  </si>
  <si>
    <t>01-03/17</t>
  </si>
  <si>
    <t xml:space="preserve">НДС 20% </t>
  </si>
  <si>
    <t>12оплач</t>
  </si>
  <si>
    <t>12 РЕЙСОВ</t>
  </si>
  <si>
    <t>09.03.17</t>
  </si>
  <si>
    <t>13.03.17</t>
  </si>
  <si>
    <t>рейл</t>
  </si>
  <si>
    <t>2311.2016</t>
  </si>
  <si>
    <t>пар</t>
  </si>
  <si>
    <t>03022017.</t>
  </si>
  <si>
    <t>дабиж</t>
  </si>
  <si>
    <t>289/2017/S</t>
  </si>
  <si>
    <t>кюне</t>
  </si>
  <si>
    <t>,б/н</t>
  </si>
  <si>
    <t>09,10,02.2017</t>
  </si>
  <si>
    <t>б/н, 090615,170203</t>
  </si>
  <si>
    <t>02,03.02.2017</t>
  </si>
  <si>
    <t>17.03.17</t>
  </si>
  <si>
    <t>16.03.17</t>
  </si>
  <si>
    <t>550</t>
  </si>
  <si>
    <t>20.03.17</t>
  </si>
  <si>
    <t>07.03.17</t>
  </si>
  <si>
    <t>07-03/17</t>
  </si>
  <si>
    <t>06-03/17</t>
  </si>
  <si>
    <t>900</t>
  </si>
  <si>
    <t>11 ОПЛ</t>
  </si>
  <si>
    <t>03-03/17</t>
  </si>
  <si>
    <t>06-03-1/17</t>
  </si>
  <si>
    <t>13-03/17</t>
  </si>
  <si>
    <t>13-03-1/17</t>
  </si>
  <si>
    <t>15-03/17</t>
  </si>
  <si>
    <t>15.03.17</t>
  </si>
  <si>
    <t>23.03.17</t>
  </si>
  <si>
    <t xml:space="preserve">ИП Лагойко </t>
  </si>
  <si>
    <t>ИП Семчик Е.А.</t>
  </si>
  <si>
    <t>24.03.17</t>
  </si>
  <si>
    <t>ООО "АВД Продакшен"</t>
  </si>
  <si>
    <t>27.03.17</t>
  </si>
  <si>
    <t>42878</t>
  </si>
  <si>
    <t>25.03.17</t>
  </si>
  <si>
    <t>520</t>
  </si>
  <si>
    <t>21-03/17</t>
  </si>
  <si>
    <t>21.03.17</t>
  </si>
  <si>
    <t>17-03/17</t>
  </si>
  <si>
    <t>21-03-1/17</t>
  </si>
  <si>
    <t>30.03.17</t>
  </si>
  <si>
    <t>ООО "Строительные инновации материалы"</t>
  </si>
  <si>
    <t>03.04.17</t>
  </si>
  <si>
    <t>24-03/17</t>
  </si>
  <si>
    <t>27-0/17</t>
  </si>
  <si>
    <t>28.03.17</t>
  </si>
  <si>
    <t>28-03/17</t>
  </si>
  <si>
    <t>30-03/17</t>
  </si>
  <si>
    <t xml:space="preserve">АПРЕЛЬ </t>
  </si>
  <si>
    <t>29.03.17</t>
  </si>
  <si>
    <t>29-03/17</t>
  </si>
  <si>
    <t>27-03-1/17</t>
  </si>
  <si>
    <t>Реестр реализации услуг за март  месяц 2017 года</t>
  </si>
  <si>
    <t>ООО "ТЭЛСТАЙЛ-М"</t>
  </si>
  <si>
    <t>ООО "Ламерэй"</t>
  </si>
  <si>
    <t>06.04.17</t>
  </si>
  <si>
    <t>06-04/17</t>
  </si>
  <si>
    <t>ИП Сидорович И.П.</t>
  </si>
  <si>
    <t>ООО "ВТС-Транспорт"</t>
  </si>
  <si>
    <t>10.04.17</t>
  </si>
  <si>
    <t>11.04.17</t>
  </si>
  <si>
    <t>03-04/17</t>
  </si>
  <si>
    <t>04.04.17</t>
  </si>
  <si>
    <t>04-04/17</t>
  </si>
  <si>
    <t>05.04.17</t>
  </si>
  <si>
    <t>05-04/17</t>
  </si>
  <si>
    <t>05-04-1/17</t>
  </si>
  <si>
    <t>фирма рф</t>
  </si>
  <si>
    <t>ё</t>
  </si>
  <si>
    <t>ОС-183/2016-П</t>
  </si>
  <si>
    <t>абр</t>
  </si>
  <si>
    <t>жан</t>
  </si>
  <si>
    <t>сант</t>
  </si>
  <si>
    <t>.03032017</t>
  </si>
  <si>
    <t>тир</t>
  </si>
  <si>
    <t>даб</t>
  </si>
  <si>
    <t>3  б/н</t>
  </si>
  <si>
    <t>15., 16. 03.2017</t>
  </si>
  <si>
    <t>2  б/н</t>
  </si>
  <si>
    <t>22, 23.03.2017</t>
  </si>
  <si>
    <t>лагойко</t>
  </si>
  <si>
    <t>318/3</t>
  </si>
  <si>
    <t>2186443/4</t>
  </si>
  <si>
    <t>20-03/17</t>
  </si>
  <si>
    <t>17.04.17</t>
  </si>
  <si>
    <t>ЧТУП "Литком"</t>
  </si>
  <si>
    <t>ИП Ломацкая И.В.</t>
  </si>
  <si>
    <t>17-04/17</t>
  </si>
  <si>
    <t>12.04.17</t>
  </si>
  <si>
    <t>ООО" Ратипа-логистика"</t>
  </si>
  <si>
    <t>10-04/17</t>
  </si>
  <si>
    <t>12-04/17</t>
  </si>
  <si>
    <t>12-04-1/17</t>
  </si>
  <si>
    <t>13.04.17</t>
  </si>
  <si>
    <t>13-04/17</t>
  </si>
  <si>
    <t>ИП Николайченко Н.А.</t>
  </si>
  <si>
    <t>19.04.17</t>
  </si>
  <si>
    <t>26.04.17</t>
  </si>
  <si>
    <t>22.04.17</t>
  </si>
  <si>
    <t>21.04.17</t>
  </si>
  <si>
    <t>20.04.17</t>
  </si>
  <si>
    <t>20-04/17</t>
  </si>
  <si>
    <t>19-04/17</t>
  </si>
  <si>
    <t>19-04-1/17</t>
  </si>
  <si>
    <t>21-04/17</t>
  </si>
  <si>
    <t>24.04.17</t>
  </si>
  <si>
    <t>24-04/17</t>
  </si>
  <si>
    <t>ООО "Ратипа-логистика"</t>
  </si>
  <si>
    <t>02.05.17</t>
  </si>
  <si>
    <t>ООО "Корза-Карго"</t>
  </si>
  <si>
    <t>Реестр реализации услуг за апрель  месяц 2017 года</t>
  </si>
  <si>
    <t>26-04/17</t>
  </si>
  <si>
    <t>27.04.17</t>
  </si>
  <si>
    <t>27-04/17</t>
  </si>
  <si>
    <t>430</t>
  </si>
  <si>
    <t>13 из 13</t>
  </si>
  <si>
    <t>25-04/17</t>
  </si>
  <si>
    <t>25.04.17</t>
  </si>
  <si>
    <t>ООО "Глобал Контакт Сервис"</t>
  </si>
  <si>
    <t>ИП Лукашенков Н.А.</t>
  </si>
  <si>
    <t>06.05.17</t>
  </si>
  <si>
    <t>05.05.17</t>
  </si>
  <si>
    <t>ООО "Белфенс"</t>
  </si>
  <si>
    <t>02-05/17</t>
  </si>
  <si>
    <t>03-05/17</t>
  </si>
  <si>
    <t>02-05-1/17</t>
  </si>
  <si>
    <t>04.05.17</t>
  </si>
  <si>
    <t>04-05/17</t>
  </si>
  <si>
    <t>СП "Санта Импэкс Брест"</t>
  </si>
  <si>
    <t>ЧТУП "Либеро-Транс"</t>
  </si>
  <si>
    <t>13.05.17</t>
  </si>
  <si>
    <t>15.05.17</t>
  </si>
  <si>
    <t>ИП Талецкая М.В.</t>
  </si>
  <si>
    <t>11.05.17</t>
  </si>
  <si>
    <t>10.05.17</t>
  </si>
  <si>
    <t>10-05/17</t>
  </si>
  <si>
    <t>10-05-1/17</t>
  </si>
  <si>
    <t>11-05/17</t>
  </si>
  <si>
    <t>упл</t>
  </si>
  <si>
    <t>31.03, 01.04.2017</t>
  </si>
  <si>
    <t>4б/н</t>
  </si>
  <si>
    <t>3 бн</t>
  </si>
  <si>
    <t xml:space="preserve">№060417/2-п </t>
  </si>
  <si>
    <t xml:space="preserve">№ ОС-183/2016-П  </t>
  </si>
  <si>
    <t>овалсол</t>
  </si>
  <si>
    <t>111-04</t>
  </si>
  <si>
    <t>21, 22.04.2017</t>
  </si>
  <si>
    <t>лок</t>
  </si>
  <si>
    <t>380-п</t>
  </si>
  <si>
    <t>№180417-п</t>
  </si>
  <si>
    <t>22.05.17</t>
  </si>
  <si>
    <t>17.05.17</t>
  </si>
  <si>
    <t>18.05.17</t>
  </si>
  <si>
    <t>ООО "Тимбертрейдэкспо"</t>
  </si>
  <si>
    <t>16.05.17</t>
  </si>
  <si>
    <t>НДС20%</t>
  </si>
  <si>
    <t>тишков</t>
  </si>
  <si>
    <t>15-05/17</t>
  </si>
  <si>
    <t>16-05/17</t>
  </si>
  <si>
    <t>17-05/17</t>
  </si>
  <si>
    <t>1400</t>
  </si>
  <si>
    <t>ИП Гаврищук М.Н.</t>
  </si>
  <si>
    <t>ИП Генюш И.П.</t>
  </si>
  <si>
    <t>26.05.17</t>
  </si>
  <si>
    <t>25.05.17</t>
  </si>
  <si>
    <t>29.05.17</t>
  </si>
  <si>
    <t>22-05/17</t>
  </si>
  <si>
    <t>23.05.17</t>
  </si>
  <si>
    <t>23-05/17</t>
  </si>
  <si>
    <t>24.05.17</t>
  </si>
  <si>
    <t>24-05/17</t>
  </si>
  <si>
    <t>24-05-1/17</t>
  </si>
  <si>
    <t>17 РЕЙСОВ</t>
  </si>
  <si>
    <t>15 из 15</t>
  </si>
  <si>
    <t>29-05/17</t>
  </si>
  <si>
    <t>ООО "Овал Солюшнз"</t>
  </si>
  <si>
    <t>31.05.17</t>
  </si>
  <si>
    <t>ООО "Сава Запад"</t>
  </si>
  <si>
    <t>05.06.17</t>
  </si>
  <si>
    <t>ООО "Джитрис"</t>
  </si>
  <si>
    <t>31-05/17</t>
  </si>
  <si>
    <t>31-05-1/17</t>
  </si>
  <si>
    <t>31-05-2/17</t>
  </si>
  <si>
    <t>Реестр реализации услуг за май месяц 2017 года</t>
  </si>
  <si>
    <t>29-05-1/17</t>
  </si>
  <si>
    <t>03.06.17</t>
  </si>
  <si>
    <t>05-06/17</t>
  </si>
  <si>
    <t>08.06.17</t>
  </si>
  <si>
    <t>05-06-1/17</t>
  </si>
  <si>
    <t>12.06.17</t>
  </si>
  <si>
    <t>07.06.17</t>
  </si>
  <si>
    <t>07-06/17</t>
  </si>
  <si>
    <t>07-06-1/17</t>
  </si>
  <si>
    <t>3б/н</t>
  </si>
  <si>
    <t xml:space="preserve">1Н/02.05.17 </t>
  </si>
  <si>
    <t>0000.354</t>
  </si>
  <si>
    <t>лок сист</t>
  </si>
  <si>
    <t>23,24.05.2017</t>
  </si>
  <si>
    <t>3884686,SL17-006872</t>
  </si>
  <si>
    <t>00.27</t>
  </si>
  <si>
    <t xml:space="preserve">АТИ 0517-203 </t>
  </si>
  <si>
    <t>ИП Рыгаль А.И.</t>
  </si>
  <si>
    <t>ООО "ПКТ"</t>
  </si>
  <si>
    <t>ООО "Тиреклайн"</t>
  </si>
  <si>
    <t>16.06.17</t>
  </si>
  <si>
    <t>20.06.17</t>
  </si>
  <si>
    <t>19.06.17</t>
  </si>
  <si>
    <t>13.06.17</t>
  </si>
  <si>
    <t>13-06/17</t>
  </si>
  <si>
    <t>13-06-1/17</t>
  </si>
  <si>
    <t>14.06.17</t>
  </si>
  <si>
    <t>14-06/17</t>
  </si>
  <si>
    <t>15.06.17</t>
  </si>
  <si>
    <t>15-06/17</t>
  </si>
  <si>
    <t>06.06.17</t>
  </si>
  <si>
    <t>166.67</t>
  </si>
  <si>
    <t>01.06.17</t>
  </si>
  <si>
    <t>21.06.17</t>
  </si>
  <si>
    <t>ООО "Овердрайв-Электро"</t>
  </si>
  <si>
    <t>26.06.17</t>
  </si>
  <si>
    <t>23.06.17</t>
  </si>
  <si>
    <t>19-06/17</t>
  </si>
  <si>
    <t>23-06/17</t>
  </si>
  <si>
    <t>22.06.17</t>
  </si>
  <si>
    <t>22-06/17</t>
  </si>
  <si>
    <t>21-06/17</t>
  </si>
  <si>
    <t>17 из 17</t>
  </si>
  <si>
    <t>30.06.17</t>
  </si>
  <si>
    <t>29.06.17</t>
  </si>
  <si>
    <t>ООО "Карат 2011"</t>
  </si>
  <si>
    <t>04-07/17</t>
  </si>
  <si>
    <t>28.06.17</t>
  </si>
  <si>
    <t>29-06/17</t>
  </si>
  <si>
    <t>04.07.17</t>
  </si>
  <si>
    <t>28-06/17</t>
  </si>
  <si>
    <t>29-06-1/17</t>
  </si>
  <si>
    <t>Реестр реализации услуг за июнь месяц 2017 года</t>
  </si>
  <si>
    <t>27.06.17</t>
  </si>
  <si>
    <t>27-06/17</t>
  </si>
  <si>
    <t>06.07.17</t>
  </si>
  <si>
    <t>03.07.17</t>
  </si>
  <si>
    <t>03-07/17</t>
  </si>
  <si>
    <t>10.07.17</t>
  </si>
  <si>
    <t>05.07.17</t>
  </si>
  <si>
    <t>05-07/17</t>
  </si>
  <si>
    <t>06-07/17</t>
  </si>
  <si>
    <t>и п носик</t>
  </si>
  <si>
    <t>св</t>
  </si>
  <si>
    <t>01,06,2017</t>
  </si>
  <si>
    <t>01-2/06-3</t>
  </si>
  <si>
    <t>05,06.06.2017</t>
  </si>
  <si>
    <t>06062017-п</t>
  </si>
  <si>
    <t>12,09,2016</t>
  </si>
  <si>
    <t>12,06.2017</t>
  </si>
  <si>
    <t>0003/11</t>
  </si>
  <si>
    <t>08/2017,</t>
  </si>
  <si>
    <t>15/06/2017,</t>
  </si>
  <si>
    <t>19,06,2017</t>
  </si>
  <si>
    <t>23,06,2017</t>
  </si>
  <si>
    <t>20,21,22.06.2017</t>
  </si>
  <si>
    <t>21,06,2017</t>
  </si>
  <si>
    <t>22,06,2017</t>
  </si>
  <si>
    <t>22.06,2017</t>
  </si>
  <si>
    <t>26,06,2017</t>
  </si>
  <si>
    <t>22,23.06,2017</t>
  </si>
  <si>
    <t>27,06,2017</t>
  </si>
  <si>
    <t>28,06,2017</t>
  </si>
  <si>
    <t>30,06,2017</t>
  </si>
  <si>
    <t>26,06,2017-п</t>
  </si>
  <si>
    <t>04,02,2016</t>
  </si>
  <si>
    <t>29,06,2017</t>
  </si>
  <si>
    <t>27,01,2016</t>
  </si>
  <si>
    <t>ЧТУП "ОЛТранс"</t>
  </si>
  <si>
    <t>13.07.17</t>
  </si>
  <si>
    <t>14.07.17</t>
  </si>
  <si>
    <t>17.07.17</t>
  </si>
  <si>
    <t>ИП Парфиянович К.С.</t>
  </si>
  <si>
    <t>10-07/17</t>
  </si>
  <si>
    <t>11.07.17</t>
  </si>
  <si>
    <t>11-07/17</t>
  </si>
  <si>
    <t>11-07-1/17</t>
  </si>
  <si>
    <t xml:space="preserve"> ИП Василевский К.Г.</t>
  </si>
  <si>
    <t>ООО "Атэком"</t>
  </si>
  <si>
    <t>ООО "Тэлстайл-М"</t>
  </si>
  <si>
    <t>24.07.17</t>
  </si>
  <si>
    <t>21.07.17</t>
  </si>
  <si>
    <t>рос фирм</t>
  </si>
  <si>
    <t>17-07/17</t>
  </si>
  <si>
    <t>19.07.17</t>
  </si>
  <si>
    <t>19-07/17</t>
  </si>
  <si>
    <t>21-07/17</t>
  </si>
  <si>
    <t>19-07-1/17</t>
  </si>
  <si>
    <t>20.07.17</t>
  </si>
  <si>
    <t>20-17/17</t>
  </si>
  <si>
    <t>СООО "Юнайтед Компани"</t>
  </si>
  <si>
    <t>ИП Жарская А.М.</t>
  </si>
  <si>
    <t>28.07.17</t>
  </si>
  <si>
    <t>31.07.17</t>
  </si>
  <si>
    <t>??</t>
  </si>
  <si>
    <t>26.07.17</t>
  </si>
  <si>
    <t>26-07/17</t>
  </si>
  <si>
    <t>25.07.17</t>
  </si>
  <si>
    <t>25-07/17</t>
  </si>
  <si>
    <t>26-07-1/17</t>
  </si>
  <si>
    <t>27-07/17</t>
  </si>
  <si>
    <t>Реестр реализации услуг за июль месяц 2017 года</t>
  </si>
  <si>
    <t>04.08.17</t>
  </si>
  <si>
    <t>ЧТУП"Синдекор"</t>
  </si>
  <si>
    <t>07.08.17</t>
  </si>
  <si>
    <t>08.08.17</t>
  </si>
  <si>
    <t>14 из 14</t>
  </si>
  <si>
    <t>4 из 14 опл</t>
  </si>
  <si>
    <t>01.08.17</t>
  </si>
  <si>
    <t>01-08/17</t>
  </si>
  <si>
    <t>02.08.17</t>
  </si>
  <si>
    <t>02-08/17</t>
  </si>
  <si>
    <t>03.08.17</t>
  </si>
  <si>
    <t>03-08/17</t>
  </si>
  <si>
    <t>10.08.17</t>
  </si>
  <si>
    <t>07-08/17</t>
  </si>
  <si>
    <t>ИП Леонец В.В.</t>
  </si>
  <si>
    <t xml:space="preserve">ИП Гришин А.В. </t>
  </si>
  <si>
    <t>ЧП "Кристалл Трейд"</t>
  </si>
  <si>
    <t>гв</t>
  </si>
  <si>
    <t>рейлкарго</t>
  </si>
  <si>
    <t>п132-16</t>
  </si>
  <si>
    <t>17.07,2017</t>
  </si>
  <si>
    <t>25/06-1-2015</t>
  </si>
  <si>
    <t>13,175771,175772</t>
  </si>
  <si>
    <t>19,20.07.2017</t>
  </si>
  <si>
    <t>19.07,2017</t>
  </si>
  <si>
    <t>21.07,2017</t>
  </si>
  <si>
    <t>18.07,2017</t>
  </si>
  <si>
    <t>24,06,2017</t>
  </si>
  <si>
    <t>20.07,2017</t>
  </si>
  <si>
    <t>27,03,17</t>
  </si>
  <si>
    <t>22.07,2017</t>
  </si>
  <si>
    <t>5б/н</t>
  </si>
  <si>
    <t>26.07,2017</t>
  </si>
  <si>
    <t>28.07,2017</t>
  </si>
  <si>
    <t>31.07,2017</t>
  </si>
  <si>
    <t>0004/11</t>
  </si>
  <si>
    <t>25.07,2017</t>
  </si>
  <si>
    <t>27.07,2017</t>
  </si>
  <si>
    <t>7966341/1</t>
  </si>
  <si>
    <t>3/п</t>
  </si>
  <si>
    <t>0000000.9</t>
  </si>
  <si>
    <t>14.08.17</t>
  </si>
  <si>
    <t>09.08.17</t>
  </si>
  <si>
    <t>09-08-1/17</t>
  </si>
  <si>
    <t>09-08/17</t>
  </si>
  <si>
    <t>ООО"Тимбертрейдэкспо"</t>
  </si>
  <si>
    <t>ИП Сивчик М.М.</t>
  </si>
  <si>
    <t>Ип Богданов О.Д.</t>
  </si>
  <si>
    <t>нищик</t>
  </si>
  <si>
    <t>маш2050</t>
  </si>
  <si>
    <t>18.08.17</t>
  </si>
  <si>
    <t>ИПСеменов А.Д.</t>
  </si>
  <si>
    <t>21.08.17</t>
  </si>
  <si>
    <t>15.08.17</t>
  </si>
  <si>
    <t>15-08/17</t>
  </si>
  <si>
    <t>16.08.17</t>
  </si>
  <si>
    <t>16-08/17</t>
  </si>
  <si>
    <t>15-08-1/17</t>
  </si>
  <si>
    <t>16-08-1/17</t>
  </si>
  <si>
    <t>нишик</t>
  </si>
  <si>
    <t>маш 4515</t>
  </si>
  <si>
    <t>ИП Хукюм Ю.Ф.</t>
  </si>
  <si>
    <t>ИП Яроцевич Т.М.</t>
  </si>
  <si>
    <t>ИП Матвейчик О.Ю.</t>
  </si>
  <si>
    <t>28.08.17</t>
  </si>
  <si>
    <t>ООО "Гарда Транс"</t>
  </si>
  <si>
    <t>20%НДС</t>
  </si>
  <si>
    <t>25.08.17</t>
  </si>
  <si>
    <t>ООО "ТехноАктив"</t>
  </si>
  <si>
    <t>коп пут</t>
  </si>
  <si>
    <t>22.08.17</t>
  </si>
  <si>
    <t>22-08/17</t>
  </si>
  <si>
    <t>21-08/17</t>
  </si>
  <si>
    <t>24.08.17</t>
  </si>
  <si>
    <t>24-08/17</t>
  </si>
  <si>
    <t>23.08.17</t>
  </si>
  <si>
    <t>23-08/17</t>
  </si>
  <si>
    <t>ООО "Санэнержди"</t>
  </si>
  <si>
    <t>30-08/17</t>
  </si>
  <si>
    <t>30-08-1/17</t>
  </si>
  <si>
    <t>31-08/17</t>
  </si>
  <si>
    <t>31.08.17</t>
  </si>
  <si>
    <t>сентбрь</t>
  </si>
  <si>
    <t>04.09.17</t>
  </si>
  <si>
    <t>Реестр реализации услуг за август месяц 2017 года</t>
  </si>
  <si>
    <t>УНП 190214363</t>
  </si>
  <si>
    <r>
      <t xml:space="preserve">договором </t>
    </r>
    <r>
      <rPr>
        <b/>
        <sz val="12"/>
        <rFont val="Times New Roman"/>
        <family val="1"/>
        <charset val="204"/>
      </rPr>
      <t>№ б/н от 10.08.2017г</t>
    </r>
  </si>
  <si>
    <t>УНП 190258312</t>
  </si>
  <si>
    <t>№ ИП 15-015-П от 05.11.2015г</t>
  </si>
  <si>
    <t>УНП 191267489</t>
  </si>
  <si>
    <t>№ б/н от 10.08.2017г</t>
  </si>
  <si>
    <r>
      <t>УНП 192801819 Юр.адрес; 220051, г. Минск,</t>
    </r>
    <r>
      <rPr>
        <b/>
        <sz val="12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 xml:space="preserve">ул. Рафиева, </t>
    </r>
  </si>
  <si>
    <t>№ 16/08-2017/3  от«16» августа 2017г.</t>
  </si>
  <si>
    <t>УНП 192930946</t>
  </si>
  <si>
    <t>220045, г.Минск, ул.Наполеона Орды, 15-156</t>
  </si>
  <si>
    <t>б/н от «15» августа 2017г</t>
  </si>
  <si>
    <t>220028, г.Минск, ул.Маяковского 140-12</t>
  </si>
  <si>
    <t>УНП 191455791</t>
  </si>
  <si>
    <r>
      <t xml:space="preserve">№ </t>
    </r>
    <r>
      <rPr>
        <b/>
        <sz val="12"/>
        <rFont val="Times New Roman"/>
        <family val="1"/>
        <charset val="204"/>
      </rPr>
      <t>б/н от «15» августа 2017г</t>
    </r>
  </si>
  <si>
    <t>УНП 691537851</t>
  </si>
  <si>
    <t>№б/н от «29» сентября 2016г</t>
  </si>
  <si>
    <t>223056, РБ, Минский р-н, д.Урожайная, ул.Армейская, 64/3</t>
  </si>
  <si>
    <t>УНП 600488499</t>
  </si>
  <si>
    <t>№ б/н  от«23» августа 2017г.</t>
  </si>
  <si>
    <t>220028, г.Минск, ул.Маяковского 168 А, кв.11 УНП 191806231</t>
  </si>
  <si>
    <r>
      <t>№ 738  от«23» августа 2017г.</t>
    </r>
    <r>
      <rPr>
        <sz val="12"/>
        <rFont val="Times New Roman"/>
        <family val="1"/>
        <charset val="204"/>
      </rPr>
      <t xml:space="preserve"> </t>
    </r>
  </si>
  <si>
    <t>Гродненская область, г. Волковыск ул. Горбатова, 12 кв.16</t>
  </si>
  <si>
    <t xml:space="preserve"> УНП 591421571 </t>
  </si>
  <si>
    <t xml:space="preserve"> № 49  от«23» августа 2017г. </t>
  </si>
  <si>
    <t xml:space="preserve">Юр.АДРЕС: 214036 Смоленск, п.Маркатушино,д.ПЛК,каб.3 ИНН/КПП 6732140920 / 673201001 </t>
  </si>
  <si>
    <r>
      <t>№ 16 от «24» августа 2017г.</t>
    </r>
    <r>
      <rPr>
        <sz val="12"/>
        <rFont val="Times New Roman"/>
        <family val="1"/>
        <charset val="204"/>
      </rPr>
      <t xml:space="preserve"> </t>
    </r>
  </si>
  <si>
    <t xml:space="preserve">УНП 190737986  </t>
  </si>
  <si>
    <t>№15/П-263 от«25» сентября 2015г</t>
  </si>
  <si>
    <t>Республика Беларусь</t>
  </si>
  <si>
    <t>220055. г. Минск, ул. Колесникова 8-96</t>
  </si>
  <si>
    <t>220104, г.Минск,ул.Матусевича,60-15</t>
  </si>
  <si>
    <t>17 рейсов</t>
  </si>
  <si>
    <t>общ</t>
  </si>
  <si>
    <t>НДС 0%</t>
  </si>
  <si>
    <t>фирма РФ</t>
  </si>
  <si>
    <t>ЧТУП "ТурДеТранс"</t>
  </si>
  <si>
    <t>син</t>
  </si>
  <si>
    <t>10,11.08.2017</t>
  </si>
  <si>
    <t>ИП 15-015-П</t>
  </si>
  <si>
    <t>16/08-2017/3</t>
  </si>
  <si>
    <t>17,18.08.2017</t>
  </si>
  <si>
    <t>15/П-263</t>
  </si>
  <si>
    <t>0027,0028/1</t>
  </si>
  <si>
    <t>дог б/н 05.09.17</t>
  </si>
  <si>
    <t>унп 291483918</t>
  </si>
  <si>
    <t>04-09/17</t>
  </si>
  <si>
    <t xml:space="preserve">ИП Семенов </t>
  </si>
  <si>
    <t>09.09.17</t>
  </si>
  <si>
    <t>06.09.17</t>
  </si>
  <si>
    <t>06-09/17</t>
  </si>
  <si>
    <t>07-09/17</t>
  </si>
  <si>
    <t>15.09.17</t>
  </si>
  <si>
    <t>18.09.17</t>
  </si>
  <si>
    <t>13.09.17</t>
  </si>
  <si>
    <t>13-09/17</t>
  </si>
  <si>
    <t>13-09-1/17</t>
  </si>
  <si>
    <t>13-09-2/17</t>
  </si>
  <si>
    <t>ООО "Гарда транс"</t>
  </si>
  <si>
    <t>22.09.17</t>
  </si>
  <si>
    <t>ЧТУП "Альтагамма"</t>
  </si>
  <si>
    <t>25.09.17</t>
  </si>
  <si>
    <t>20.09.17</t>
  </si>
  <si>
    <t>19.09.17</t>
  </si>
  <si>
    <t>19-09/17</t>
  </si>
  <si>
    <t>20-09/17</t>
  </si>
  <si>
    <t>21.09.17</t>
  </si>
  <si>
    <t>21-09/17</t>
  </si>
  <si>
    <t>21-09-1/17</t>
  </si>
  <si>
    <t>29.09.17</t>
  </si>
  <si>
    <t>ЧТУП "Лиза- Транс"</t>
  </si>
  <si>
    <t>01.10.17</t>
  </si>
  <si>
    <t>17 опл</t>
  </si>
  <si>
    <t>13 ресов</t>
  </si>
  <si>
    <t>02.10.17</t>
  </si>
  <si>
    <t>26.09.17</t>
  </si>
  <si>
    <t>26-09/17</t>
  </si>
  <si>
    <t>28.09.17</t>
  </si>
  <si>
    <t>28-09/17</t>
  </si>
  <si>
    <t>27.09.17</t>
  </si>
  <si>
    <t>27-09/17</t>
  </si>
  <si>
    <t>Реестр реализации услуг за сентябрь месяц 2017 года</t>
  </si>
  <si>
    <t>05.10.17</t>
  </si>
  <si>
    <t>ИП Карпук Т.А.</t>
  </si>
  <si>
    <t>06.10.17</t>
  </si>
  <si>
    <t>09.10.17</t>
  </si>
  <si>
    <t>ООО "Хайвэйлогистик"</t>
  </si>
  <si>
    <t xml:space="preserve"> +шульга</t>
  </si>
  <si>
    <t>ЧТУП "Евротраклогистик"</t>
  </si>
  <si>
    <t>ООО "Санэнержджи"</t>
  </si>
  <si>
    <t>04.10.17</t>
  </si>
  <si>
    <t>04-10-1/17</t>
  </si>
  <si>
    <t>04-10/17</t>
  </si>
  <si>
    <t>03-10/17</t>
  </si>
  <si>
    <t>03.10.17</t>
  </si>
  <si>
    <t>05-10/17</t>
  </si>
  <si>
    <t>301.89</t>
  </si>
  <si>
    <t>050917-001</t>
  </si>
  <si>
    <t>07,08.09.2017</t>
  </si>
  <si>
    <t>3б/н, SI17-013544</t>
  </si>
  <si>
    <t>14,15.09.2017</t>
  </si>
  <si>
    <t xml:space="preserve">№15/П-263 </t>
  </si>
  <si>
    <t>9,10,11,12</t>
  </si>
  <si>
    <t>27,28.09.2017</t>
  </si>
  <si>
    <t>16.10.17</t>
  </si>
  <si>
    <t>11.10.17</t>
  </si>
  <si>
    <t>11-10/17</t>
  </si>
  <si>
    <t>11-10-1/17</t>
  </si>
  <si>
    <t>ИП Поспелов В.Н.</t>
  </si>
  <si>
    <t>ООО "Каплайн Трейд"</t>
  </si>
  <si>
    <t>20.10.17</t>
  </si>
  <si>
    <t>23.10.17</t>
  </si>
  <si>
    <t>Сенюк А.А.</t>
  </si>
  <si>
    <t>25.10.17</t>
  </si>
  <si>
    <t>18.10.17</t>
  </si>
  <si>
    <t>18-10/17</t>
  </si>
  <si>
    <t>18-10-1/17</t>
  </si>
  <si>
    <t>18-10-2/17</t>
  </si>
  <si>
    <t>ЧП "Гранат Торг"</t>
  </si>
  <si>
    <t>28.10.17</t>
  </si>
  <si>
    <t>23-10/17</t>
  </si>
  <si>
    <t>25-10/17</t>
  </si>
  <si>
    <t>26.10.17</t>
  </si>
  <si>
    <t>26-10/17</t>
  </si>
  <si>
    <t>в рос</t>
  </si>
  <si>
    <t>01.11.17</t>
  </si>
  <si>
    <t>13 опл</t>
  </si>
  <si>
    <t>30.10.17</t>
  </si>
  <si>
    <t>30-10/17</t>
  </si>
  <si>
    <t>Реестр реализации услуг за октябрь месяц 2017 года</t>
  </si>
  <si>
    <t>ООО "Эффективные системы упаковки"</t>
  </si>
  <si>
    <t>04.11.17</t>
  </si>
  <si>
    <t>01-11/17</t>
  </si>
  <si>
    <t>01-11-2/17</t>
  </si>
  <si>
    <t>ИП Самусик Е.А.</t>
  </si>
  <si>
    <t>ИП Вахнович В.В.</t>
  </si>
  <si>
    <t>10.11.17</t>
  </si>
  <si>
    <t>ООО "А-Дента"</t>
  </si>
  <si>
    <t>13.11.17</t>
  </si>
  <si>
    <t>15.10.17</t>
  </si>
  <si>
    <t>Оганесян В.С.</t>
  </si>
  <si>
    <t>07.11.17</t>
  </si>
  <si>
    <t>07-11/17</t>
  </si>
  <si>
    <t>09.11.17</t>
  </si>
  <si>
    <t>09-11/17</t>
  </si>
  <si>
    <t>08.11.17</t>
  </si>
  <si>
    <t>08-11/17</t>
  </si>
  <si>
    <t>28/09./17</t>
  </si>
  <si>
    <t>224/1,224/2</t>
  </si>
  <si>
    <t>б/н,3944484,1920021/068</t>
  </si>
  <si>
    <t>28,29.09.2017</t>
  </si>
  <si>
    <t>П-1017-01</t>
  </si>
  <si>
    <t>05, 06.10.2017</t>
  </si>
  <si>
    <t>15/580</t>
  </si>
  <si>
    <t>12,13.10.2017</t>
  </si>
  <si>
    <t>3 б/н, 1920024/076</t>
  </si>
  <si>
    <t>33814, 9925</t>
  </si>
  <si>
    <t>33815, 9926</t>
  </si>
  <si>
    <t xml:space="preserve"> 2 б/н</t>
  </si>
  <si>
    <t>А 0154.1, А 0239/2</t>
  </si>
  <si>
    <t>07.09.17, 11.10.17</t>
  </si>
  <si>
    <t>15.11.17</t>
  </si>
  <si>
    <t>13-11/17</t>
  </si>
  <si>
    <t>20.11.17</t>
  </si>
  <si>
    <t>383</t>
  </si>
  <si>
    <t>15-11/17</t>
  </si>
  <si>
    <t>16.11.17</t>
  </si>
  <si>
    <t>16-11/17</t>
  </si>
  <si>
    <t>23.11.17</t>
  </si>
  <si>
    <t>ИП Гайдис А.В.</t>
  </si>
  <si>
    <t>27.11.17</t>
  </si>
  <si>
    <t>28.11.17</t>
  </si>
  <si>
    <t>392</t>
  </si>
  <si>
    <t>20-11/17</t>
  </si>
  <si>
    <t>22.11.17</t>
  </si>
  <si>
    <t>22-11/17</t>
  </si>
  <si>
    <t>1350 опл 10.11</t>
  </si>
  <si>
    <t>оплат в бел</t>
  </si>
  <si>
    <t>1 опл</t>
  </si>
  <si>
    <t>ООО "Далибан"</t>
  </si>
  <si>
    <t>30.11.17</t>
  </si>
  <si>
    <t>27-11/17</t>
  </si>
  <si>
    <t>22-11-1/17</t>
  </si>
  <si>
    <t>30-11/17</t>
  </si>
  <si>
    <t>28-11/17</t>
  </si>
  <si>
    <t>ООО+A7:M952 "Громин"</t>
  </si>
  <si>
    <t>ДЕКАБРЬ</t>
  </si>
  <si>
    <t>Реестр реализации услуг за ноябрь месяц 2017 года</t>
  </si>
  <si>
    <t>ИП Данченко Н.П.</t>
  </si>
  <si>
    <t>07.12.17</t>
  </si>
  <si>
    <t>08.12.17</t>
  </si>
  <si>
    <t>05.12.17</t>
  </si>
  <si>
    <t>05-12/17</t>
  </si>
  <si>
    <t>06.12.17</t>
  </si>
  <si>
    <t>06-12/17</t>
  </si>
  <si>
    <t>06-12-1/17</t>
  </si>
  <si>
    <t>ИП Колоскова Т.И.</t>
  </si>
  <si>
    <t>04-02-233/550-17</t>
  </si>
  <si>
    <t>4(К)</t>
  </si>
  <si>
    <t>000.100</t>
  </si>
  <si>
    <t>18.12.17</t>
  </si>
  <si>
    <t>92-2016</t>
  </si>
  <si>
    <t>7966375/1</t>
  </si>
  <si>
    <t>4 бн</t>
  </si>
  <si>
    <t>15,16,17.11.2017</t>
  </si>
  <si>
    <t>а0330от08.11, а0365-1</t>
  </si>
  <si>
    <t>,1920021/086,б/н</t>
  </si>
  <si>
    <t>1Н/02.05.17</t>
  </si>
  <si>
    <t>23.11..2017</t>
  </si>
  <si>
    <t>24.11..2017</t>
  </si>
  <si>
    <t>15.12.17</t>
  </si>
  <si>
    <t>419</t>
  </si>
  <si>
    <t>421</t>
  </si>
  <si>
    <t>422</t>
  </si>
  <si>
    <t>423</t>
  </si>
  <si>
    <t>11-12/17</t>
  </si>
  <si>
    <t>13.12.17</t>
  </si>
  <si>
    <t>13-12/17</t>
  </si>
  <si>
    <t>13-12-1/17</t>
  </si>
  <si>
    <t>14.12.17</t>
  </si>
  <si>
    <t>14-12/17</t>
  </si>
  <si>
    <r>
      <t>ООО "Витранс</t>
    </r>
    <r>
      <rPr>
        <sz val="10"/>
        <rFont val="Arial"/>
        <family val="2"/>
        <charset val="204"/>
      </rPr>
      <t>"</t>
    </r>
  </si>
  <si>
    <t>ООО"Рейл-карго"</t>
  </si>
  <si>
    <t>ООО "Ратипа-Логистика"</t>
  </si>
  <si>
    <t>УП "Овал-Солюшнз</t>
  </si>
  <si>
    <t>Эффективные системы упаковки</t>
  </si>
  <si>
    <t>22.12.17</t>
  </si>
  <si>
    <t>424</t>
  </si>
  <si>
    <t>425</t>
  </si>
  <si>
    <t>426</t>
  </si>
  <si>
    <t>26.12.17</t>
  </si>
  <si>
    <t>427</t>
  </si>
  <si>
    <t>428</t>
  </si>
  <si>
    <t>429</t>
  </si>
  <si>
    <t>431</t>
  </si>
  <si>
    <t>432</t>
  </si>
  <si>
    <t>433</t>
  </si>
  <si>
    <t>434</t>
  </si>
  <si>
    <t>435</t>
  </si>
  <si>
    <t>29.12.17</t>
  </si>
  <si>
    <t>21.12.17</t>
  </si>
  <si>
    <t>19-12/17</t>
  </si>
  <si>
    <t>19.12.17</t>
  </si>
  <si>
    <t>21-12/17</t>
  </si>
  <si>
    <t>20.12.17</t>
  </si>
  <si>
    <t>20-12/17</t>
  </si>
  <si>
    <t>21-12-1/17</t>
  </si>
  <si>
    <t>27-12/17</t>
  </si>
  <si>
    <t>27.12.17</t>
  </si>
  <si>
    <t>ИП Курчик С.И.</t>
  </si>
  <si>
    <t>Реестр реализации услуг за декабрь месяц 2017 года</t>
  </si>
  <si>
    <t>09.12.17</t>
  </si>
  <si>
    <t>13.01.18</t>
  </si>
  <si>
    <t>15.01.18</t>
  </si>
  <si>
    <t>ООО "Синтал-Пак"</t>
  </si>
  <si>
    <t>09.01.18</t>
  </si>
  <si>
    <t>09-01/18</t>
  </si>
  <si>
    <t>09-01-1/18</t>
  </si>
  <si>
    <t>10.01.18</t>
  </si>
  <si>
    <t>10-01/18</t>
  </si>
  <si>
    <t>11.01.18</t>
  </si>
  <si>
    <t>01,02.12.2017</t>
  </si>
  <si>
    <t>А0388-1</t>
  </si>
  <si>
    <t>187П</t>
  </si>
  <si>
    <t xml:space="preserve">081217/2 </t>
  </si>
  <si>
    <t>0.8122017</t>
  </si>
  <si>
    <t>1920021/091</t>
  </si>
  <si>
    <t>локс</t>
  </si>
  <si>
    <r>
      <t>1597/15-43</t>
    </r>
    <r>
      <rPr>
        <b/>
        <sz val="10"/>
        <rFont val="Times New Roman"/>
        <family val="1"/>
        <charset val="204"/>
      </rPr>
      <t xml:space="preserve">  </t>
    </r>
  </si>
  <si>
    <t xml:space="preserve">04-02-233/550-17 </t>
  </si>
  <si>
    <t>ИП Бровко Д.А.</t>
  </si>
  <si>
    <t>ИП Семенов</t>
  </si>
  <si>
    <t>17.01.18</t>
  </si>
  <si>
    <t>15-01/18</t>
  </si>
  <si>
    <t>19.01.18</t>
  </si>
  <si>
    <t>ИП Богданов О.Д</t>
  </si>
  <si>
    <t>22.01.18</t>
  </si>
  <si>
    <t>ЧТУП "Универсал -пласт"</t>
  </si>
  <si>
    <t>23.01.18</t>
  </si>
  <si>
    <t>17-01/18</t>
  </si>
  <si>
    <t>17-01-1/18</t>
  </si>
  <si>
    <t>16.01.18</t>
  </si>
  <si>
    <t>16-01/18</t>
  </si>
  <si>
    <t>ООО "Профит-ВК"</t>
  </si>
  <si>
    <t>ООО "Сава-запад"</t>
  </si>
  <si>
    <t>ООО "Рейл-карго"</t>
  </si>
  <si>
    <t>ИП Волчек В.М.</t>
  </si>
  <si>
    <t>25.01.18</t>
  </si>
  <si>
    <t>26.01.18</t>
  </si>
  <si>
    <t>29.01.18</t>
  </si>
  <si>
    <t>27.01.18</t>
  </si>
  <si>
    <t>ИП Зуевский М.А.</t>
  </si>
  <si>
    <t>ООО "Остпедкарго"</t>
  </si>
  <si>
    <t>все опл</t>
  </si>
  <si>
    <t>22-01/18</t>
  </si>
  <si>
    <t>24.01.18</t>
  </si>
  <si>
    <t>24-01/18</t>
  </si>
  <si>
    <t>25-01/18</t>
  </si>
  <si>
    <t>23-01/18</t>
  </si>
  <si>
    <t>ИП Матецкий Д.В.</t>
  </si>
  <si>
    <t>31.01.18</t>
  </si>
  <si>
    <t>31-01/18</t>
  </si>
  <si>
    <t>05.02.18</t>
  </si>
  <si>
    <t>03.02.18</t>
  </si>
  <si>
    <t>31-01-1/18</t>
  </si>
  <si>
    <t>01-02/18</t>
  </si>
  <si>
    <t>01.02.18</t>
  </si>
  <si>
    <t>ФЕВРАЛЬ</t>
  </si>
  <si>
    <t>Реестр реализации услуг за январь меясяц 2018 года</t>
  </si>
  <si>
    <t>семенов</t>
  </si>
  <si>
    <t>сава</t>
  </si>
  <si>
    <t xml:space="preserve">15/П-263 </t>
  </si>
  <si>
    <t>светил</t>
  </si>
  <si>
    <t>18,19.01.2018</t>
  </si>
  <si>
    <t>23,24.01.2018</t>
  </si>
  <si>
    <r>
      <t>380-П</t>
    </r>
    <r>
      <rPr>
        <sz val="9"/>
        <rFont val="Times New Roman"/>
        <family val="1"/>
        <charset val="204"/>
      </rPr>
      <t xml:space="preserve"> </t>
    </r>
  </si>
  <si>
    <t>25/01.</t>
  </si>
  <si>
    <t>в путевом шульга</t>
  </si>
  <si>
    <t>ИП Кузьменко Д.О.</t>
  </si>
  <si>
    <t>08.02.18</t>
  </si>
  <si>
    <t>05-02/18</t>
  </si>
  <si>
    <t>ИП Рапецкая Т.А.</t>
  </si>
  <si>
    <t>ООО "Кашин Пластик"</t>
  </si>
  <si>
    <t>09.02.18</t>
  </si>
  <si>
    <t>07.02.18</t>
  </si>
  <si>
    <t>07-02/18</t>
  </si>
  <si>
    <t>ИП Михайлова Л.Д.</t>
  </si>
  <si>
    <t>12.02.18</t>
  </si>
  <si>
    <t>4 опл</t>
  </si>
  <si>
    <t>08-02/18</t>
  </si>
  <si>
    <t>06-02/18</t>
  </si>
  <si>
    <t>06.02.18</t>
  </si>
  <si>
    <t>15.02.18</t>
  </si>
  <si>
    <t>12-02/18</t>
  </si>
  <si>
    <t>ИП Абрамович Е.А</t>
  </si>
  <si>
    <t>14-02.18</t>
  </si>
  <si>
    <t>14.02.18</t>
  </si>
  <si>
    <t>ООО Лакальные системы</t>
  </si>
  <si>
    <t>ООО Громин</t>
  </si>
  <si>
    <t>13-02/18</t>
  </si>
  <si>
    <t>13.02.18</t>
  </si>
  <si>
    <t>15-02\18</t>
  </si>
  <si>
    <t>19.02.18</t>
  </si>
  <si>
    <t>ИП Дабижа</t>
  </si>
  <si>
    <t>ИП Абрамович</t>
  </si>
  <si>
    <t>ОО Каплайн</t>
  </si>
  <si>
    <t>ООО Санэнерджи</t>
  </si>
  <si>
    <t>ЧП Овал Солюшнз</t>
  </si>
  <si>
    <t>ООО Гроян Групп</t>
  </si>
  <si>
    <t>ООО АистЭкспедиция</t>
  </si>
  <si>
    <t>ООО Рейл Карго</t>
  </si>
  <si>
    <t>Нищик</t>
  </si>
  <si>
    <t>ООО Тирекслайн</t>
  </si>
  <si>
    <t>ООО Кашин пластик</t>
  </si>
  <si>
    <t>АВДЕЕВ</t>
  </si>
  <si>
    <t>НИЩИК</t>
  </si>
  <si>
    <t>ООО Локальные системы</t>
  </si>
  <si>
    <t>ООО Сантехпром</t>
  </si>
  <si>
    <t>ООО Грамин</t>
  </si>
  <si>
    <t>САНТЕХПРОМ</t>
  </si>
  <si>
    <t>Test</t>
  </si>
  <si>
    <t>Test2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</si>
</sst>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#,##0.0"/>
    <numFmt numFmtId="166" formatCode="#,##0_р_."/>
    <numFmt numFmtId="167" formatCode="0.0000"/>
    <numFmt numFmtId="168" formatCode="#,##0.0000"/>
  </numFmts>
  <fonts count="73">
    <font>
      <sz val="10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0"/>
      <name val="Arial"/>
      <family val="2"/>
      <charset val="204"/>
    </font>
    <font>
      <b/>
      <sz val="12"/>
      <name val="Arial"/>
      <family val="2"/>
      <charset val="204"/>
    </font>
    <font>
      <b/>
      <sz val="14"/>
      <name val="Arial"/>
      <family val="2"/>
      <charset val="204"/>
    </font>
    <font>
      <sz val="10"/>
      <name val="Arial"/>
      <family val="2"/>
      <charset val="204"/>
    </font>
    <font>
      <b/>
      <sz val="14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b/>
      <u/>
      <sz val="12"/>
      <name val="Arial"/>
      <family val="2"/>
      <charset val="204"/>
    </font>
    <font>
      <b/>
      <u/>
      <sz val="12"/>
      <name val="Times New Roman"/>
      <family val="1"/>
      <charset val="204"/>
    </font>
    <font>
      <sz val="14"/>
      <name val="Times New Roman"/>
      <family val="1"/>
      <charset val="204"/>
    </font>
    <font>
      <sz val="14"/>
      <name val="Arial"/>
      <family val="2"/>
      <charset val="204"/>
    </font>
    <font>
      <b/>
      <sz val="8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12"/>
      <color rgb="FFFF0000"/>
      <name val="Arial"/>
      <family val="2"/>
      <charset val="204"/>
    </font>
    <font>
      <sz val="16"/>
      <color rgb="FFFF0000"/>
      <name val="Arial"/>
      <family val="2"/>
      <charset val="204"/>
    </font>
    <font>
      <b/>
      <sz val="14"/>
      <color rgb="FFFF0000"/>
      <name val="Times New Roman"/>
      <family val="1"/>
      <charset val="204"/>
    </font>
    <font>
      <b/>
      <sz val="10"/>
      <color rgb="FFFF0000"/>
      <name val="Arial"/>
      <family val="2"/>
      <charset val="204"/>
    </font>
    <font>
      <b/>
      <sz val="14"/>
      <color rgb="FFFF0000"/>
      <name val="Arial"/>
      <family val="2"/>
      <charset val="204"/>
    </font>
    <font>
      <b/>
      <sz val="18"/>
      <color rgb="FFFF0000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sz val="14"/>
      <color rgb="FF7030A0"/>
      <name val="Arial"/>
      <family val="2"/>
      <charset val="204"/>
    </font>
    <font>
      <b/>
      <sz val="26"/>
      <color rgb="FFFF0000"/>
      <name val="Arial"/>
      <family val="2"/>
      <charset val="204"/>
    </font>
    <font>
      <sz val="10"/>
      <color rgb="FFFF0000"/>
      <name val="Times New Roman"/>
      <family val="1"/>
      <charset val="204"/>
    </font>
    <font>
      <b/>
      <sz val="9"/>
      <color rgb="FFFF0000"/>
      <name val="Times New Roman"/>
      <family val="1"/>
      <charset val="204"/>
    </font>
    <font>
      <b/>
      <sz val="10"/>
      <color theme="1"/>
      <name val="Arial"/>
      <family val="2"/>
      <charset val="204"/>
    </font>
    <font>
      <b/>
      <sz val="12"/>
      <color rgb="FF00FFFF"/>
      <name val="Arial"/>
      <family val="2"/>
      <charset val="204"/>
    </font>
    <font>
      <sz val="12"/>
      <color rgb="FF00FFFF"/>
      <name val="Arial"/>
      <family val="2"/>
      <charset val="204"/>
    </font>
    <font>
      <b/>
      <sz val="14"/>
      <color rgb="FF00FFFF"/>
      <name val="Arial"/>
      <family val="2"/>
      <charset val="204"/>
    </font>
    <font>
      <b/>
      <sz val="12"/>
      <color rgb="FFFF0000"/>
      <name val="Times New Roman"/>
      <family val="1"/>
      <charset val="204"/>
    </font>
    <font>
      <b/>
      <sz val="10"/>
      <color rgb="FF14E2EC"/>
      <name val="Arial"/>
      <family val="2"/>
      <charset val="204"/>
    </font>
    <font>
      <b/>
      <sz val="16"/>
      <color rgb="FFFF0000"/>
      <name val="Arial"/>
      <family val="2"/>
      <charset val="204"/>
    </font>
    <font>
      <sz val="18"/>
      <color rgb="FFFF0000"/>
      <name val="Times New Roman"/>
      <family val="1"/>
      <charset val="204"/>
    </font>
    <font>
      <b/>
      <sz val="22"/>
      <color rgb="FFFF0000"/>
      <name val="Arial"/>
      <family val="2"/>
      <charset val="204"/>
    </font>
    <font>
      <sz val="10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8"/>
      <name val="Arial"/>
      <family val="2"/>
      <charset val="204"/>
    </font>
    <font>
      <b/>
      <sz val="9"/>
      <name val="Arial"/>
      <family val="2"/>
      <charset val="204"/>
    </font>
    <font>
      <b/>
      <sz val="16"/>
      <name val="Adobe Gothic Std B"/>
      <family val="2"/>
      <charset val="128"/>
    </font>
    <font>
      <b/>
      <sz val="11"/>
      <color theme="1"/>
      <name val="Calibri"/>
      <family val="2"/>
      <charset val="204"/>
      <scheme val="minor"/>
    </font>
    <font>
      <b/>
      <sz val="20"/>
      <color theme="3" tint="-0.499984740745262"/>
      <name val="Segoe Script"/>
      <family val="2"/>
      <charset val="204"/>
    </font>
    <font>
      <sz val="20"/>
      <color theme="3" tint="-0.499984740745262"/>
      <name val="Arial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20"/>
      <name val="Arial"/>
      <family val="2"/>
      <charset val="204"/>
    </font>
    <font>
      <b/>
      <sz val="10"/>
      <color theme="3" tint="0.39997558519241921"/>
      <name val="Arial"/>
      <family val="2"/>
      <charset val="204"/>
    </font>
    <font>
      <b/>
      <sz val="10"/>
      <color rgb="FF00B0F0"/>
      <name val="Arial"/>
      <family val="2"/>
      <charset val="204"/>
    </font>
    <font>
      <b/>
      <sz val="18"/>
      <name val="Arial"/>
      <family val="2"/>
      <charset val="204"/>
    </font>
    <font>
      <b/>
      <sz val="20"/>
      <color theme="3" tint="-0.499984740745262"/>
      <name val="Arial"/>
      <family val="2"/>
      <charset val="204"/>
    </font>
    <font>
      <b/>
      <sz val="16"/>
      <name val="Arial"/>
      <family val="2"/>
      <charset val="204"/>
    </font>
    <font>
      <b/>
      <sz val="20"/>
      <name val="Algerian"/>
      <family val="5"/>
    </font>
    <font>
      <sz val="9"/>
      <color theme="1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18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11"/>
      <name val="Times New Roman"/>
      <family val="1"/>
      <charset val="204"/>
    </font>
  </fonts>
  <fills count="39">
    <fill>
      <patternFill patternType="none"/>
    </fill>
    <fill>
      <patternFill patternType="gray125"/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567">
    <xf numFmtId="0" fontId="0" fillId="0" borderId="0" xfId="0"/>
    <xf numFmtId="0" fontId="3" fillId="0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0" fillId="0" borderId="0" xfId="0" applyNumberFormat="1"/>
    <xf numFmtId="0" fontId="8" fillId="0" borderId="0" xfId="0" applyFont="1"/>
    <xf numFmtId="3" fontId="3" fillId="3" borderId="3" xfId="0" applyNumberFormat="1" applyFont="1" applyFill="1" applyBorder="1" applyAlignment="1">
      <alignment horizontal="left" vertical="center" wrapText="1"/>
    </xf>
    <xf numFmtId="3" fontId="4" fillId="0" borderId="0" xfId="0" applyNumberFormat="1" applyFont="1"/>
    <xf numFmtId="0" fontId="5" fillId="0" borderId="4" xfId="0" applyFont="1" applyBorder="1"/>
    <xf numFmtId="0" fontId="5" fillId="0" borderId="0" xfId="0" applyFont="1"/>
    <xf numFmtId="0" fontId="0" fillId="4" borderId="0" xfId="0" applyFill="1"/>
    <xf numFmtId="4" fontId="0" fillId="0" borderId="0" xfId="0" applyNumberFormat="1" applyAlignment="1">
      <alignment horizontal="left"/>
    </xf>
    <xf numFmtId="0" fontId="0" fillId="5" borderId="0" xfId="0" applyFill="1"/>
    <xf numFmtId="3" fontId="5" fillId="5" borderId="0" xfId="0" applyNumberFormat="1" applyFont="1" applyFill="1"/>
    <xf numFmtId="3" fontId="0" fillId="5" borderId="0" xfId="0" applyNumberFormat="1" applyFill="1"/>
    <xf numFmtId="3" fontId="6" fillId="5" borderId="0" xfId="0" applyNumberFormat="1" applyFont="1" applyFill="1"/>
    <xf numFmtId="3" fontId="18" fillId="0" borderId="5" xfId="0" applyNumberFormat="1" applyFont="1" applyBorder="1" applyAlignment="1">
      <alignment horizontal="left"/>
    </xf>
    <xf numFmtId="3" fontId="18" fillId="5" borderId="5" xfId="0" applyNumberFormat="1" applyFont="1" applyFill="1" applyBorder="1" applyAlignment="1">
      <alignment horizontal="left"/>
    </xf>
    <xf numFmtId="3" fontId="0" fillId="0" borderId="0" xfId="0" applyNumberFormat="1" applyAlignment="1">
      <alignment horizontal="left" vertical="center"/>
    </xf>
    <xf numFmtId="3" fontId="6" fillId="0" borderId="5" xfId="0" applyNumberFormat="1" applyFont="1" applyBorder="1" applyAlignment="1">
      <alignment horizontal="left"/>
    </xf>
    <xf numFmtId="0" fontId="5" fillId="3" borderId="6" xfId="0" applyFont="1" applyFill="1" applyBorder="1" applyAlignment="1">
      <alignment horizontal="center" vertical="center" wrapText="1"/>
    </xf>
    <xf numFmtId="3" fontId="6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right" wrapText="1"/>
    </xf>
    <xf numFmtId="0" fontId="5" fillId="0" borderId="2" xfId="0" applyFont="1" applyBorder="1" applyAlignment="1">
      <alignment horizontal="left"/>
    </xf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right" wrapText="1"/>
    </xf>
    <xf numFmtId="0" fontId="5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3" fontId="5" fillId="0" borderId="9" xfId="0" applyNumberFormat="1" applyFont="1" applyBorder="1" applyAlignment="1">
      <alignment horizontal="right" wrapText="1"/>
    </xf>
    <xf numFmtId="0" fontId="5" fillId="0" borderId="9" xfId="0" applyFont="1" applyBorder="1" applyAlignment="1">
      <alignment horizontal="right" wrapText="1"/>
    </xf>
    <xf numFmtId="0" fontId="0" fillId="0" borderId="9" xfId="0" applyBorder="1" applyAlignment="1">
      <alignment horizontal="right" wrapText="1"/>
    </xf>
    <xf numFmtId="0" fontId="0" fillId="0" borderId="0" xfId="0" applyAlignment="1">
      <alignment horizontal="left"/>
    </xf>
    <xf numFmtId="3" fontId="5" fillId="0" borderId="10" xfId="0" applyNumberFormat="1" applyFont="1" applyBorder="1" applyAlignment="1">
      <alignment horizontal="right" wrapText="1"/>
    </xf>
    <xf numFmtId="3" fontId="9" fillId="6" borderId="0" xfId="0" applyNumberFormat="1" applyFont="1" applyFill="1" applyAlignment="1">
      <alignment horizontal="left"/>
    </xf>
    <xf numFmtId="49" fontId="0" fillId="7" borderId="0" xfId="0" applyNumberFormat="1" applyFill="1" applyAlignment="1">
      <alignment horizontal="left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3" fontId="4" fillId="6" borderId="0" xfId="0" applyNumberFormat="1" applyFont="1" applyFill="1" applyAlignment="1">
      <alignment horizontal="left"/>
    </xf>
    <xf numFmtId="3" fontId="0" fillId="7" borderId="0" xfId="0" applyNumberFormat="1" applyFill="1" applyAlignment="1">
      <alignment horizontal="left"/>
    </xf>
    <xf numFmtId="3" fontId="5" fillId="6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  <xf numFmtId="3" fontId="5" fillId="7" borderId="0" xfId="0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3" fontId="19" fillId="0" borderId="0" xfId="0" applyNumberFormat="1" applyFont="1"/>
    <xf numFmtId="0" fontId="5" fillId="8" borderId="0" xfId="0" applyFont="1" applyFill="1"/>
    <xf numFmtId="0" fontId="3" fillId="0" borderId="13" xfId="0" applyFont="1" applyFill="1" applyBorder="1" applyAlignment="1">
      <alignment horizontal="center" vertical="center" wrapText="1"/>
    </xf>
    <xf numFmtId="0" fontId="5" fillId="9" borderId="0" xfId="0" applyFont="1" applyFill="1"/>
    <xf numFmtId="3" fontId="5" fillId="5" borderId="4" xfId="0" applyNumberFormat="1" applyFont="1" applyFill="1" applyBorder="1" applyAlignment="1">
      <alignment horizontal="right" wrapText="1"/>
    </xf>
    <xf numFmtId="0" fontId="0" fillId="5" borderId="4" xfId="0" applyFill="1" applyBorder="1" applyAlignment="1">
      <alignment horizontal="right" wrapText="1"/>
    </xf>
    <xf numFmtId="164" fontId="0" fillId="5" borderId="4" xfId="0" applyNumberFormat="1" applyFill="1" applyBorder="1" applyAlignment="1">
      <alignment horizontal="right" wrapText="1"/>
    </xf>
    <xf numFmtId="3" fontId="4" fillId="5" borderId="4" xfId="0" applyNumberFormat="1" applyFont="1" applyFill="1" applyBorder="1" applyAlignment="1">
      <alignment horizontal="right" wrapText="1"/>
    </xf>
    <xf numFmtId="0" fontId="5" fillId="5" borderId="14" xfId="0" applyFont="1" applyFill="1" applyBorder="1" applyAlignment="1"/>
    <xf numFmtId="0" fontId="5" fillId="5" borderId="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right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49" fontId="4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0" borderId="0" xfId="0" applyFont="1" applyFill="1"/>
    <xf numFmtId="0" fontId="5" fillId="8" borderId="4" xfId="0" applyFont="1" applyFill="1" applyBorder="1"/>
    <xf numFmtId="0" fontId="5" fillId="5" borderId="9" xfId="0" applyFont="1" applyFill="1" applyBorder="1" applyAlignment="1">
      <alignment horizontal="center" vertical="center" wrapText="1"/>
    </xf>
    <xf numFmtId="0" fontId="5" fillId="11" borderId="4" xfId="0" applyFont="1" applyFill="1" applyBorder="1" applyAlignment="1">
      <alignment horizontal="center" vertical="center" wrapText="1"/>
    </xf>
    <xf numFmtId="1" fontId="10" fillId="0" borderId="5" xfId="0" applyNumberFormat="1" applyFont="1" applyBorder="1" applyAlignment="1">
      <alignment horizontal="right"/>
    </xf>
    <xf numFmtId="3" fontId="0" fillId="0" borderId="5" xfId="0" applyNumberFormat="1" applyBorder="1"/>
    <xf numFmtId="1" fontId="10" fillId="0" borderId="15" xfId="0" applyNumberFormat="1" applyFont="1" applyBorder="1" applyAlignment="1">
      <alignment horizontal="right"/>
    </xf>
    <xf numFmtId="1" fontId="10" fillId="0" borderId="16" xfId="0" applyNumberFormat="1" applyFont="1" applyBorder="1" applyAlignment="1">
      <alignment horizontal="right"/>
    </xf>
    <xf numFmtId="3" fontId="3" fillId="3" borderId="2" xfId="0" applyNumberFormat="1" applyFont="1" applyFill="1" applyBorder="1" applyAlignment="1">
      <alignment horizontal="left" vertical="center" wrapText="1"/>
    </xf>
    <xf numFmtId="0" fontId="0" fillId="0" borderId="0" xfId="0" applyBorder="1"/>
    <xf numFmtId="0" fontId="0" fillId="0" borderId="17" xfId="0" applyBorder="1"/>
    <xf numFmtId="1" fontId="10" fillId="5" borderId="18" xfId="0" applyNumberFormat="1" applyFont="1" applyFill="1" applyBorder="1" applyAlignment="1">
      <alignment horizontal="right"/>
    </xf>
    <xf numFmtId="1" fontId="10" fillId="0" borderId="18" xfId="0" applyNumberFormat="1" applyFont="1" applyBorder="1" applyAlignment="1">
      <alignment horizontal="right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3" fontId="3" fillId="3" borderId="22" xfId="0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" fontId="10" fillId="0" borderId="0" xfId="0" applyNumberFormat="1" applyFont="1" applyBorder="1" applyAlignment="1">
      <alignment horizontal="right"/>
    </xf>
    <xf numFmtId="3" fontId="3" fillId="3" borderId="23" xfId="0" applyNumberFormat="1" applyFont="1" applyFill="1" applyBorder="1" applyAlignment="1">
      <alignment horizontal="left" vertical="center" wrapText="1"/>
    </xf>
    <xf numFmtId="3" fontId="0" fillId="0" borderId="24" xfId="0" applyNumberFormat="1" applyBorder="1"/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3" fontId="0" fillId="0" borderId="22" xfId="0" applyNumberFormat="1" applyBorder="1"/>
    <xf numFmtId="3" fontId="0" fillId="0" borderId="25" xfId="0" applyNumberFormat="1" applyBorder="1"/>
    <xf numFmtId="0" fontId="12" fillId="0" borderId="16" xfId="0" applyFont="1" applyBorder="1" applyAlignment="1">
      <alignment horizontal="center" vertical="center"/>
    </xf>
    <xf numFmtId="3" fontId="20" fillId="0" borderId="22" xfId="0" applyNumberFormat="1" applyFont="1" applyBorder="1" applyAlignment="1">
      <alignment horizontal="left"/>
    </xf>
    <xf numFmtId="3" fontId="20" fillId="0" borderId="18" xfId="0" applyNumberFormat="1" applyFont="1" applyBorder="1" applyAlignment="1">
      <alignment horizontal="left"/>
    </xf>
    <xf numFmtId="1" fontId="10" fillId="5" borderId="19" xfId="0" applyNumberFormat="1" applyFont="1" applyFill="1" applyBorder="1" applyAlignment="1">
      <alignment horizontal="right"/>
    </xf>
    <xf numFmtId="1" fontId="10" fillId="5" borderId="22" xfId="0" applyNumberFormat="1" applyFont="1" applyFill="1" applyBorder="1" applyAlignment="1">
      <alignment horizontal="right"/>
    </xf>
    <xf numFmtId="3" fontId="14" fillId="5" borderId="26" xfId="0" applyNumberFormat="1" applyFont="1" applyFill="1" applyBorder="1" applyAlignment="1">
      <alignment horizontal="left" vertical="center" wrapText="1"/>
    </xf>
    <xf numFmtId="3" fontId="14" fillId="5" borderId="27" xfId="0" applyNumberFormat="1" applyFont="1" applyFill="1" applyBorder="1" applyAlignment="1">
      <alignment horizontal="left" vertical="center" wrapText="1"/>
    </xf>
    <xf numFmtId="1" fontId="10" fillId="0" borderId="19" xfId="0" applyNumberFormat="1" applyFont="1" applyBorder="1" applyAlignment="1">
      <alignment horizontal="right"/>
    </xf>
    <xf numFmtId="0" fontId="5" fillId="5" borderId="4" xfId="0" applyFont="1" applyFill="1" applyBorder="1" applyAlignment="1">
      <alignment horizontal="center" vertical="center" wrapText="1"/>
    </xf>
    <xf numFmtId="1" fontId="0" fillId="0" borderId="5" xfId="0" applyNumberFormat="1" applyBorder="1"/>
    <xf numFmtId="1" fontId="14" fillId="5" borderId="27" xfId="0" applyNumberFormat="1" applyFont="1" applyFill="1" applyBorder="1" applyAlignment="1">
      <alignment horizontal="left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1" fontId="0" fillId="0" borderId="0" xfId="0" applyNumberFormat="1"/>
    <xf numFmtId="1" fontId="3" fillId="3" borderId="0" xfId="0" applyNumberFormat="1" applyFont="1" applyFill="1" applyBorder="1" applyAlignment="1">
      <alignment horizontal="left" vertical="center" wrapText="1"/>
    </xf>
    <xf numFmtId="1" fontId="5" fillId="5" borderId="5" xfId="0" applyNumberFormat="1" applyFont="1" applyFill="1" applyBorder="1" applyAlignment="1">
      <alignment horizontal="right"/>
    </xf>
    <xf numFmtId="1" fontId="18" fillId="5" borderId="0" xfId="0" applyNumberFormat="1" applyFont="1" applyFill="1" applyBorder="1" applyAlignment="1">
      <alignment horizontal="left"/>
    </xf>
    <xf numFmtId="1" fontId="5" fillId="5" borderId="0" xfId="0" applyNumberFormat="1" applyFont="1" applyFill="1"/>
    <xf numFmtId="1" fontId="0" fillId="5" borderId="0" xfId="0" applyNumberFormat="1" applyFill="1"/>
    <xf numFmtId="1" fontId="0" fillId="5" borderId="5" xfId="0" applyNumberFormat="1" applyFill="1" applyBorder="1"/>
    <xf numFmtId="1" fontId="3" fillId="3" borderId="3" xfId="0" applyNumberFormat="1" applyFont="1" applyFill="1" applyBorder="1" applyAlignment="1">
      <alignment horizontal="left" vertical="center" wrapText="1"/>
    </xf>
    <xf numFmtId="1" fontId="6" fillId="0" borderId="28" xfId="0" applyNumberFormat="1" applyFont="1" applyBorder="1" applyAlignment="1">
      <alignment horizontal="left"/>
    </xf>
    <xf numFmtId="1" fontId="6" fillId="0" borderId="0" xfId="0" applyNumberFormat="1" applyFont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left" vertical="center"/>
    </xf>
    <xf numFmtId="1" fontId="8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21" fillId="5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5" borderId="0" xfId="0" applyFont="1" applyFill="1"/>
    <xf numFmtId="0" fontId="21" fillId="5" borderId="9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1" fontId="18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3" fontId="0" fillId="0" borderId="4" xfId="0" applyNumberFormat="1" applyBorder="1"/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12" borderId="10" xfId="0" applyFont="1" applyFill="1" applyBorder="1"/>
    <xf numFmtId="3" fontId="14" fillId="0" borderId="4" xfId="0" applyNumberFormat="1" applyFont="1" applyBorder="1" applyAlignment="1">
      <alignment horizontal="left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wrapText="1"/>
    </xf>
    <xf numFmtId="0" fontId="5" fillId="13" borderId="29" xfId="0" applyFont="1" applyFill="1" applyBorder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13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3" fontId="0" fillId="0" borderId="12" xfId="0" applyNumberFormat="1" applyBorder="1"/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3" fontId="8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right" wrapText="1"/>
    </xf>
    <xf numFmtId="0" fontId="5" fillId="5" borderId="6" xfId="0" applyFont="1" applyFill="1" applyBorder="1" applyAlignment="1">
      <alignment horizontal="center" vertical="center" wrapText="1"/>
    </xf>
    <xf numFmtId="14" fontId="5" fillId="5" borderId="9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3" fontId="5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12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3" fontId="39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3" fontId="7" fillId="0" borderId="0" xfId="0" applyNumberFormat="1" applyFont="1"/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14" fontId="0" fillId="0" borderId="0" xfId="0" applyNumberFormat="1"/>
    <xf numFmtId="3" fontId="0" fillId="3" borderId="0" xfId="0" applyNumberFormat="1" applyFill="1"/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6" fontId="0" fillId="3" borderId="0" xfId="0" applyNumberFormat="1" applyFill="1"/>
    <xf numFmtId="0" fontId="8" fillId="4" borderId="0" xfId="0" applyFont="1" applyFill="1"/>
    <xf numFmtId="0" fontId="2" fillId="0" borderId="0" xfId="1"/>
    <xf numFmtId="3" fontId="2" fillId="0" borderId="0" xfId="1" applyNumberFormat="1"/>
    <xf numFmtId="166" fontId="2" fillId="0" borderId="0" xfId="1" applyNumberFormat="1"/>
    <xf numFmtId="16" fontId="0" fillId="0" borderId="0" xfId="0" applyNumberFormat="1"/>
    <xf numFmtId="166" fontId="8" fillId="0" borderId="0" xfId="0" applyNumberFormat="1" applyFont="1"/>
    <xf numFmtId="0" fontId="2" fillId="5" borderId="0" xfId="1" applyFill="1"/>
    <xf numFmtId="0" fontId="8" fillId="21" borderId="0" xfId="0" applyFont="1" applyFill="1"/>
    <xf numFmtId="0" fontId="0" fillId="21" borderId="0" xfId="0" applyFill="1"/>
    <xf numFmtId="0" fontId="55" fillId="0" borderId="4" xfId="2" applyFont="1" applyBorder="1"/>
    <xf numFmtId="0" fontId="1" fillId="0" borderId="0" xfId="2"/>
    <xf numFmtId="0" fontId="55" fillId="0" borderId="4" xfId="2" applyFont="1" applyBorder="1" applyAlignment="1">
      <alignment horizontal="right" shrinkToFit="1"/>
    </xf>
    <xf numFmtId="14" fontId="55" fillId="0" borderId="4" xfId="2" applyNumberFormat="1" applyFont="1" applyBorder="1" applyAlignment="1">
      <alignment horizontal="right" shrinkToFit="1"/>
    </xf>
    <xf numFmtId="3" fontId="55" fillId="0" borderId="4" xfId="2" applyNumberFormat="1" applyFont="1" applyBorder="1" applyAlignment="1">
      <alignment horizontal="right" shrinkToFit="1"/>
    </xf>
    <xf numFmtId="3" fontId="1" fillId="0" borderId="0" xfId="2" applyNumberFormat="1"/>
    <xf numFmtId="0" fontId="55" fillId="5" borderId="4" xfId="2" applyFont="1" applyFill="1" applyBorder="1" applyAlignment="1">
      <alignment horizontal="right" shrinkToFit="1"/>
    </xf>
    <xf numFmtId="3" fontId="55" fillId="0" borderId="4" xfId="2" applyNumberFormat="1" applyFont="1" applyBorder="1" applyAlignment="1">
      <alignment horizontal="right"/>
    </xf>
    <xf numFmtId="0" fontId="55" fillId="5" borderId="4" xfId="2" applyFont="1" applyFill="1" applyBorder="1"/>
    <xf numFmtId="3" fontId="55" fillId="5" borderId="4" xfId="2" applyNumberFormat="1" applyFont="1" applyFill="1" applyBorder="1" applyAlignment="1">
      <alignment horizontal="right" shrinkToFit="1"/>
    </xf>
    <xf numFmtId="0" fontId="55" fillId="0" borderId="4" xfId="2" applyFont="1" applyBorder="1" applyAlignment="1">
      <alignment horizontal="right"/>
    </xf>
    <xf numFmtId="0" fontId="56" fillId="0" borderId="4" xfId="2" applyFont="1" applyBorder="1"/>
    <xf numFmtId="14" fontId="55" fillId="4" borderId="4" xfId="2" applyNumberFormat="1" applyFont="1" applyFill="1" applyBorder="1" applyAlignment="1">
      <alignment horizontal="right" shrinkToFit="1"/>
    </xf>
    <xf numFmtId="0" fontId="55" fillId="5" borderId="4" xfId="2" applyFont="1" applyFill="1" applyBorder="1" applyAlignment="1">
      <alignment horizontal="right"/>
    </xf>
    <xf numFmtId="0" fontId="55" fillId="31" borderId="4" xfId="2" applyFont="1" applyFill="1" applyBorder="1"/>
    <xf numFmtId="3" fontId="55" fillId="5" borderId="4" xfId="2" applyNumberFormat="1" applyFont="1" applyFill="1" applyBorder="1" applyAlignment="1">
      <alignment horizontal="right"/>
    </xf>
    <xf numFmtId="0" fontId="5" fillId="30" borderId="0" xfId="0" applyFont="1" applyFill="1"/>
    <xf numFmtId="0" fontId="55" fillId="4" borderId="4" xfId="2" applyFont="1" applyFill="1" applyBorder="1" applyAlignment="1">
      <alignment horizontal="right" shrinkToFit="1"/>
    </xf>
    <xf numFmtId="14" fontId="57" fillId="0" borderId="4" xfId="2" applyNumberFormat="1" applyFont="1" applyBorder="1" applyAlignment="1">
      <alignment horizontal="right" shrinkToFit="1"/>
    </xf>
    <xf numFmtId="16" fontId="0" fillId="4" borderId="0" xfId="0" applyNumberFormat="1" applyFill="1"/>
    <xf numFmtId="0" fontId="59" fillId="5" borderId="0" xfId="1" applyFont="1" applyFill="1"/>
    <xf numFmtId="166" fontId="59" fillId="5" borderId="0" xfId="1" applyNumberFormat="1" applyFont="1" applyFill="1"/>
    <xf numFmtId="0" fontId="5" fillId="5" borderId="0" xfId="0" applyFont="1" applyFill="1" applyAlignment="1">
      <alignment horizontal="center"/>
    </xf>
    <xf numFmtId="0" fontId="4" fillId="0" borderId="0" xfId="0" applyFont="1"/>
    <xf numFmtId="0" fontId="61" fillId="0" borderId="0" xfId="0" applyFont="1"/>
    <xf numFmtId="17" fontId="55" fillId="0" borderId="4" xfId="2" applyNumberFormat="1" applyFont="1" applyBorder="1" applyAlignment="1">
      <alignment horizontal="right" shrinkToFit="1"/>
    </xf>
    <xf numFmtId="0" fontId="55" fillId="0" borderId="4" xfId="2" applyNumberFormat="1" applyFont="1" applyBorder="1" applyAlignment="1">
      <alignment horizontal="right" shrinkToFit="1"/>
    </xf>
    <xf numFmtId="49" fontId="62" fillId="5" borderId="10" xfId="0" applyNumberFormat="1" applyFont="1" applyFill="1" applyBorder="1" applyAlignment="1">
      <alignment horizontal="center" vertical="center" wrapText="1"/>
    </xf>
    <xf numFmtId="49" fontId="62" fillId="5" borderId="9" xfId="0" applyNumberFormat="1" applyFont="1" applyFill="1" applyBorder="1" applyAlignment="1">
      <alignment horizontal="center" vertical="center" wrapText="1"/>
    </xf>
    <xf numFmtId="49" fontId="62" fillId="5" borderId="10" xfId="0" applyNumberFormat="1" applyFont="1" applyFill="1" applyBorder="1" applyAlignment="1">
      <alignment horizontal="center" vertical="center" wrapText="1"/>
    </xf>
    <xf numFmtId="49" fontId="62" fillId="5" borderId="9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49" fontId="0" fillId="0" borderId="0" xfId="0" applyNumberFormat="1"/>
    <xf numFmtId="49" fontId="5" fillId="5" borderId="4" xfId="0" applyNumberFormat="1" applyFont="1" applyFill="1" applyBorder="1" applyAlignment="1">
      <alignment horizontal="center" vertical="center" wrapText="1"/>
    </xf>
    <xf numFmtId="0" fontId="59" fillId="5" borderId="0" xfId="1" applyFont="1" applyFill="1" applyAlignment="1">
      <alignment vertical="center"/>
    </xf>
    <xf numFmtId="166" fontId="59" fillId="5" borderId="0" xfId="1" applyNumberFormat="1" applyFont="1" applyFill="1" applyAlignment="1">
      <alignment vertical="center"/>
    </xf>
    <xf numFmtId="2" fontId="8" fillId="0" borderId="0" xfId="0" applyNumberFormat="1" applyFont="1"/>
    <xf numFmtId="166" fontId="0" fillId="5" borderId="0" xfId="0" applyNumberFormat="1" applyFill="1"/>
    <xf numFmtId="0" fontId="55" fillId="21" borderId="4" xfId="2" applyFont="1" applyFill="1" applyBorder="1" applyAlignment="1">
      <alignment horizontal="right" shrinkToFit="1"/>
    </xf>
    <xf numFmtId="0" fontId="65" fillId="0" borderId="0" xfId="0" applyFont="1"/>
    <xf numFmtId="0" fontId="65" fillId="0" borderId="0" xfId="0" applyFont="1" applyAlignment="1">
      <alignment horizontal="center"/>
    </xf>
    <xf numFmtId="0" fontId="0" fillId="3" borderId="0" xfId="0" applyFill="1"/>
    <xf numFmtId="0" fontId="65" fillId="0" borderId="0" xfId="0" applyFont="1" applyAlignment="1">
      <alignment horizontal="right"/>
    </xf>
    <xf numFmtId="0" fontId="62" fillId="0" borderId="0" xfId="0" applyFont="1"/>
    <xf numFmtId="49" fontId="5" fillId="5" borderId="4" xfId="0" applyNumberFormat="1" applyFont="1" applyFill="1" applyBorder="1" applyAlignment="1">
      <alignment horizontal="center" vertical="center" wrapText="1"/>
    </xf>
    <xf numFmtId="0" fontId="65" fillId="0" borderId="0" xfId="0" applyFont="1" applyAlignment="1">
      <alignment vertical="center"/>
    </xf>
    <xf numFmtId="0" fontId="66" fillId="0" borderId="0" xfId="0" applyFont="1"/>
    <xf numFmtId="0" fontId="67" fillId="0" borderId="0" xfId="0" applyFont="1"/>
    <xf numFmtId="0" fontId="68" fillId="0" borderId="0" xfId="0" applyFont="1"/>
    <xf numFmtId="0" fontId="68" fillId="0" borderId="0" xfId="0" applyFont="1" applyAlignment="1">
      <alignment vertical="center"/>
    </xf>
    <xf numFmtId="0" fontId="66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71" fillId="0" borderId="0" xfId="0" applyFont="1"/>
    <xf numFmtId="0" fontId="72" fillId="0" borderId="0" xfId="0" applyFont="1"/>
    <xf numFmtId="0" fontId="67" fillId="0" borderId="0" xfId="0" applyFont="1" applyAlignment="1">
      <alignment vertical="center"/>
    </xf>
    <xf numFmtId="0" fontId="8" fillId="5" borderId="0" xfId="0" applyFont="1" applyFill="1"/>
    <xf numFmtId="0" fontId="55" fillId="35" borderId="4" xfId="2" applyFont="1" applyFill="1" applyBorder="1" applyAlignment="1">
      <alignment horizontal="right" shrinkToFit="1"/>
    </xf>
    <xf numFmtId="166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16" fontId="0" fillId="5" borderId="0" xfId="0" applyNumberFormat="1" applyFill="1"/>
    <xf numFmtId="166" fontId="8" fillId="5" borderId="0" xfId="0" applyNumberFormat="1" applyFont="1" applyFill="1"/>
    <xf numFmtId="0" fontId="16" fillId="0" borderId="0" xfId="0" applyFont="1"/>
    <xf numFmtId="0" fontId="10" fillId="0" borderId="0" xfId="0" applyFont="1" applyAlignment="1">
      <alignment horizontal="right"/>
    </xf>
    <xf numFmtId="0" fontId="62" fillId="0" borderId="0" xfId="0" applyFont="1" applyAlignment="1">
      <alignment horizontal="right"/>
    </xf>
    <xf numFmtId="16" fontId="55" fillId="0" borderId="4" xfId="2" applyNumberFormat="1" applyFont="1" applyBorder="1" applyAlignment="1">
      <alignment horizontal="right" shrinkToFit="1"/>
    </xf>
    <xf numFmtId="166" fontId="5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49" fontId="5" fillId="38" borderId="4" xfId="0" applyNumberFormat="1" applyFont="1" applyFill="1" applyBorder="1" applyAlignment="1">
      <alignment horizontal="center" vertical="center" wrapText="1"/>
    </xf>
    <xf numFmtId="14" fontId="5" fillId="5" borderId="25" xfId="0" applyNumberFormat="1" applyFont="1" applyFill="1" applyBorder="1" applyAlignment="1">
      <alignment horizontal="center" vertical="center" wrapText="1"/>
    </xf>
    <xf numFmtId="14" fontId="5" fillId="5" borderId="53" xfId="0" applyNumberFormat="1" applyFont="1" applyFill="1" applyBorder="1" applyAlignment="1">
      <alignment horizontal="center" vertical="center" wrapText="1"/>
    </xf>
    <xf numFmtId="14" fontId="5" fillId="5" borderId="29" xfId="0" applyNumberFormat="1" applyFont="1" applyFill="1" applyBorder="1" applyAlignment="1">
      <alignment horizontal="center" vertical="center" wrapText="1"/>
    </xf>
    <xf numFmtId="14" fontId="5" fillId="5" borderId="3" xfId="0" applyNumberFormat="1" applyFont="1" applyFill="1" applyBorder="1" applyAlignment="1">
      <alignment horizontal="center" vertical="center" wrapText="1"/>
    </xf>
    <xf numFmtId="14" fontId="5" fillId="5" borderId="14" xfId="0" applyNumberFormat="1" applyFont="1" applyFill="1" applyBorder="1" applyAlignment="1">
      <alignment horizontal="center" vertical="center" wrapText="1"/>
    </xf>
    <xf numFmtId="14" fontId="5" fillId="5" borderId="8" xfId="0" applyNumberFormat="1" applyFont="1" applyFill="1" applyBorder="1" applyAlignment="1">
      <alignment horizontal="center" vertical="center" wrapText="1"/>
    </xf>
    <xf numFmtId="166" fontId="5" fillId="5" borderId="4" xfId="0" applyNumberFormat="1" applyFont="1" applyFill="1" applyBorder="1" applyAlignment="1">
      <alignment horizontal="center" vertical="center" wrapText="1"/>
    </xf>
    <xf numFmtId="49" fontId="5" fillId="5" borderId="4" xfId="0" applyNumberFormat="1" applyFont="1" applyFill="1" applyBorder="1" applyAlignment="1">
      <alignment horizontal="center" vertical="center" wrapText="1"/>
    </xf>
    <xf numFmtId="49" fontId="5" fillId="5" borderId="10" xfId="0" applyNumberFormat="1" applyFont="1" applyFill="1" applyBorder="1" applyAlignment="1">
      <alignment horizontal="center" vertical="center" wrapText="1"/>
    </xf>
    <xf numFmtId="49" fontId="5" fillId="5" borderId="9" xfId="0" applyNumberFormat="1" applyFont="1" applyFill="1" applyBorder="1" applyAlignment="1">
      <alignment horizontal="center" vertical="center" wrapText="1"/>
    </xf>
    <xf numFmtId="166" fontId="5" fillId="27" borderId="29" xfId="0" applyNumberFormat="1" applyFont="1" applyFill="1" applyBorder="1" applyAlignment="1">
      <alignment horizontal="center" vertical="center" wrapText="1"/>
    </xf>
    <xf numFmtId="166" fontId="5" fillId="27" borderId="73" xfId="0" applyNumberFormat="1" applyFont="1" applyFill="1" applyBorder="1" applyAlignment="1">
      <alignment horizontal="center" vertical="center" wrapText="1"/>
    </xf>
    <xf numFmtId="166" fontId="5" fillId="27" borderId="3" xfId="0" applyNumberFormat="1" applyFont="1" applyFill="1" applyBorder="1" applyAlignment="1">
      <alignment horizontal="center" vertical="center" wrapText="1"/>
    </xf>
    <xf numFmtId="166" fontId="5" fillId="27" borderId="14" xfId="0" applyNumberFormat="1" applyFont="1" applyFill="1" applyBorder="1" applyAlignment="1">
      <alignment horizontal="center" vertical="center" wrapText="1"/>
    </xf>
    <xf numFmtId="166" fontId="5" fillId="27" borderId="61" xfId="0" applyNumberFormat="1" applyFont="1" applyFill="1" applyBorder="1" applyAlignment="1">
      <alignment horizontal="center" vertical="center" wrapText="1"/>
    </xf>
    <xf numFmtId="166" fontId="5" fillId="27" borderId="8" xfId="0" applyNumberFormat="1" applyFont="1" applyFill="1" applyBorder="1" applyAlignment="1">
      <alignment horizontal="center" vertical="center" wrapText="1"/>
    </xf>
    <xf numFmtId="49" fontId="5" fillId="22" borderId="4" xfId="0" applyNumberFormat="1" applyFont="1" applyFill="1" applyBorder="1" applyAlignment="1">
      <alignment horizontal="center" vertical="center" wrapText="1"/>
    </xf>
    <xf numFmtId="49" fontId="5" fillId="26" borderId="29" xfId="0" applyNumberFormat="1" applyFont="1" applyFill="1" applyBorder="1" applyAlignment="1">
      <alignment horizontal="center" vertical="center" wrapText="1"/>
    </xf>
    <xf numFmtId="49" fontId="5" fillId="26" borderId="73" xfId="0" applyNumberFormat="1" applyFont="1" applyFill="1" applyBorder="1" applyAlignment="1">
      <alignment horizontal="center" vertical="center" wrapText="1"/>
    </xf>
    <xf numFmtId="49" fontId="5" fillId="26" borderId="3" xfId="0" applyNumberFormat="1" applyFont="1" applyFill="1" applyBorder="1" applyAlignment="1">
      <alignment horizontal="center" vertical="center" wrapText="1"/>
    </xf>
    <xf numFmtId="49" fontId="5" fillId="26" borderId="14" xfId="0" applyNumberFormat="1" applyFont="1" applyFill="1" applyBorder="1" applyAlignment="1">
      <alignment horizontal="center" vertical="center" wrapText="1"/>
    </xf>
    <xf numFmtId="49" fontId="5" fillId="26" borderId="61" xfId="0" applyNumberFormat="1" applyFont="1" applyFill="1" applyBorder="1" applyAlignment="1">
      <alignment horizontal="center" vertical="center" wrapText="1"/>
    </xf>
    <xf numFmtId="49" fontId="5" fillId="26" borderId="8" xfId="0" applyNumberFormat="1" applyFont="1" applyFill="1" applyBorder="1" applyAlignment="1">
      <alignment horizontal="center" vertical="center" wrapText="1"/>
    </xf>
    <xf numFmtId="49" fontId="5" fillId="3" borderId="4" xfId="0" applyNumberFormat="1" applyFont="1" applyFill="1" applyBorder="1" applyAlignment="1">
      <alignment horizontal="center" vertical="center" wrapText="1"/>
    </xf>
    <xf numFmtId="49" fontId="5" fillId="22" borderId="10" xfId="0" applyNumberFormat="1" applyFont="1" applyFill="1" applyBorder="1" applyAlignment="1">
      <alignment horizontal="center" vertical="center" wrapText="1"/>
    </xf>
    <xf numFmtId="49" fontId="5" fillId="22" borderId="9" xfId="0" applyNumberFormat="1" applyFont="1" applyFill="1" applyBorder="1" applyAlignment="1">
      <alignment horizontal="center" vertical="center" wrapText="1"/>
    </xf>
    <xf numFmtId="49" fontId="5" fillId="38" borderId="4" xfId="0" applyNumberFormat="1" applyFont="1" applyFill="1" applyBorder="1" applyAlignment="1">
      <alignment horizontal="center" vertical="center" wrapText="1"/>
    </xf>
    <xf numFmtId="0" fontId="60" fillId="5" borderId="61" xfId="1" applyFont="1" applyFill="1" applyBorder="1" applyAlignment="1">
      <alignment horizontal="center" vertical="center"/>
    </xf>
    <xf numFmtId="0" fontId="41" fillId="5" borderId="10" xfId="1" applyFont="1" applyFill="1" applyBorder="1" applyAlignment="1">
      <alignment horizontal="center" vertical="center"/>
    </xf>
    <xf numFmtId="0" fontId="41" fillId="5" borderId="9" xfId="1" applyFont="1" applyFill="1" applyBorder="1" applyAlignment="1">
      <alignment horizontal="center" vertical="center"/>
    </xf>
    <xf numFmtId="168" fontId="5" fillId="5" borderId="4" xfId="0" applyNumberFormat="1" applyFont="1" applyFill="1" applyBorder="1" applyAlignment="1">
      <alignment horizontal="center" vertical="center" wrapText="1"/>
    </xf>
    <xf numFmtId="3" fontId="5" fillId="5" borderId="4" xfId="0" applyNumberFormat="1" applyFont="1" applyFill="1" applyBorder="1" applyAlignment="1">
      <alignment horizontal="center" vertical="center" wrapText="1"/>
    </xf>
    <xf numFmtId="167" fontId="41" fillId="5" borderId="10" xfId="1" applyNumberFormat="1" applyFont="1" applyFill="1" applyBorder="1" applyAlignment="1">
      <alignment horizontal="center" vertical="center" wrapText="1"/>
    </xf>
    <xf numFmtId="167" fontId="41" fillId="5" borderId="9" xfId="1" applyNumberFormat="1" applyFont="1" applyFill="1" applyBorder="1" applyAlignment="1">
      <alignment horizontal="center" vertical="center" wrapText="1"/>
    </xf>
    <xf numFmtId="167" fontId="5" fillId="5" borderId="10" xfId="1" applyNumberFormat="1" applyFont="1" applyFill="1" applyBorder="1" applyAlignment="1">
      <alignment horizontal="center" wrapText="1"/>
    </xf>
    <xf numFmtId="167" fontId="5" fillId="5" borderId="9" xfId="1" applyNumberFormat="1" applyFont="1" applyFill="1" applyBorder="1" applyAlignment="1">
      <alignment horizontal="center" wrapText="1"/>
    </xf>
    <xf numFmtId="0" fontId="5" fillId="5" borderId="10" xfId="1" applyFont="1" applyFill="1" applyBorder="1" applyAlignment="1">
      <alignment horizontal="center"/>
    </xf>
    <xf numFmtId="0" fontId="5" fillId="5" borderId="9" xfId="1" applyFont="1" applyFill="1" applyBorder="1" applyAlignment="1">
      <alignment horizontal="center"/>
    </xf>
    <xf numFmtId="49" fontId="62" fillId="5" borderId="4" xfId="0" applyNumberFormat="1" applyFont="1" applyFill="1" applyBorder="1" applyAlignment="1">
      <alignment horizontal="center" vertical="center" wrapText="1"/>
    </xf>
    <xf numFmtId="49" fontId="5" fillId="21" borderId="4" xfId="0" applyNumberFormat="1" applyFont="1" applyFill="1" applyBorder="1" applyAlignment="1">
      <alignment horizontal="center" vertical="center" wrapText="1"/>
    </xf>
    <xf numFmtId="49" fontId="5" fillId="6" borderId="4" xfId="0" applyNumberFormat="1" applyFont="1" applyFill="1" applyBorder="1" applyAlignment="1">
      <alignment horizontal="center" vertical="center" wrapText="1"/>
    </xf>
    <xf numFmtId="49" fontId="29" fillId="5" borderId="4" xfId="0" applyNumberFormat="1" applyFont="1" applyFill="1" applyBorder="1" applyAlignment="1">
      <alignment horizontal="center" vertical="center" wrapText="1"/>
    </xf>
    <xf numFmtId="49" fontId="5" fillId="28" borderId="4" xfId="0" applyNumberFormat="1" applyFont="1" applyFill="1" applyBorder="1" applyAlignment="1">
      <alignment horizontal="center" vertical="center" wrapText="1"/>
    </xf>
    <xf numFmtId="49" fontId="21" fillId="5" borderId="4" xfId="0" applyNumberFormat="1" applyFont="1" applyFill="1" applyBorder="1" applyAlignment="1">
      <alignment horizontal="center" vertical="center" wrapText="1"/>
    </xf>
    <xf numFmtId="49" fontId="5" fillId="22" borderId="29" xfId="0" applyNumberFormat="1" applyFont="1" applyFill="1" applyBorder="1" applyAlignment="1">
      <alignment horizontal="center" vertical="center" wrapText="1"/>
    </xf>
    <xf numFmtId="49" fontId="5" fillId="22" borderId="73" xfId="0" applyNumberFormat="1" applyFont="1" applyFill="1" applyBorder="1" applyAlignment="1">
      <alignment horizontal="center" vertical="center" wrapText="1"/>
    </xf>
    <xf numFmtId="49" fontId="5" fillId="22" borderId="3" xfId="0" applyNumberFormat="1" applyFont="1" applyFill="1" applyBorder="1" applyAlignment="1">
      <alignment horizontal="center" vertical="center" wrapText="1"/>
    </xf>
    <xf numFmtId="49" fontId="5" fillId="22" borderId="14" xfId="0" applyNumberFormat="1" applyFont="1" applyFill="1" applyBorder="1" applyAlignment="1">
      <alignment horizontal="center" vertical="center" wrapText="1"/>
    </xf>
    <xf numFmtId="49" fontId="5" fillId="22" borderId="61" xfId="0" applyNumberFormat="1" applyFont="1" applyFill="1" applyBorder="1" applyAlignment="1">
      <alignment horizontal="center" vertical="center" wrapText="1"/>
    </xf>
    <xf numFmtId="49" fontId="5" fillId="22" borderId="8" xfId="0" applyNumberFormat="1" applyFont="1" applyFill="1" applyBorder="1" applyAlignment="1">
      <alignment horizontal="center" vertical="center" wrapText="1"/>
    </xf>
    <xf numFmtId="49" fontId="5" fillId="18" borderId="4" xfId="0" applyNumberFormat="1" applyFont="1" applyFill="1" applyBorder="1" applyAlignment="1">
      <alignment horizontal="center" vertical="center" wrapText="1"/>
    </xf>
    <xf numFmtId="0" fontId="5" fillId="5" borderId="4" xfId="0" applyNumberFormat="1" applyFont="1" applyFill="1" applyBorder="1" applyAlignment="1">
      <alignment horizontal="center" vertical="center" wrapText="1"/>
    </xf>
    <xf numFmtId="49" fontId="5" fillId="5" borderId="29" xfId="0" applyNumberFormat="1" applyFont="1" applyFill="1" applyBorder="1" applyAlignment="1">
      <alignment horizontal="center" vertical="center" wrapText="1"/>
    </xf>
    <xf numFmtId="49" fontId="5" fillId="5" borderId="73" xfId="0" applyNumberFormat="1" applyFont="1" applyFill="1" applyBorder="1" applyAlignment="1">
      <alignment horizontal="center" vertical="center" wrapText="1"/>
    </xf>
    <xf numFmtId="49" fontId="5" fillId="5" borderId="3" xfId="0" applyNumberFormat="1" applyFont="1" applyFill="1" applyBorder="1" applyAlignment="1">
      <alignment horizontal="center" vertical="center" wrapText="1"/>
    </xf>
    <xf numFmtId="49" fontId="5" fillId="5" borderId="14" xfId="0" applyNumberFormat="1" applyFont="1" applyFill="1" applyBorder="1" applyAlignment="1">
      <alignment horizontal="center" vertical="center" wrapText="1"/>
    </xf>
    <xf numFmtId="49" fontId="5" fillId="5" borderId="61" xfId="0" applyNumberFormat="1" applyFont="1" applyFill="1" applyBorder="1" applyAlignment="1">
      <alignment horizontal="center" vertical="center" wrapText="1"/>
    </xf>
    <xf numFmtId="49" fontId="5" fillId="5" borderId="8" xfId="0" applyNumberFormat="1" applyFont="1" applyFill="1" applyBorder="1" applyAlignment="1">
      <alignment horizontal="center" vertical="center" wrapText="1"/>
    </xf>
    <xf numFmtId="166" fontId="41" fillId="5" borderId="4" xfId="0" applyNumberFormat="1" applyFont="1" applyFill="1" applyBorder="1" applyAlignment="1">
      <alignment horizontal="center" vertical="center" wrapText="1"/>
    </xf>
    <xf numFmtId="49" fontId="16" fillId="5" borderId="4" xfId="0" applyNumberFormat="1" applyFont="1" applyFill="1" applyBorder="1" applyAlignment="1">
      <alignment horizontal="center" vertical="center" wrapText="1"/>
    </xf>
    <xf numFmtId="49" fontId="62" fillId="5" borderId="10" xfId="0" applyNumberFormat="1" applyFont="1" applyFill="1" applyBorder="1" applyAlignment="1">
      <alignment horizontal="center" vertical="center" wrapText="1"/>
    </xf>
    <xf numFmtId="49" fontId="62" fillId="5" borderId="9" xfId="0" applyNumberFormat="1" applyFont="1" applyFill="1" applyBorder="1" applyAlignment="1">
      <alignment horizontal="center" vertical="center" wrapText="1"/>
    </xf>
    <xf numFmtId="49" fontId="62" fillId="3" borderId="4" xfId="0" applyNumberFormat="1" applyFont="1" applyFill="1" applyBorder="1" applyAlignment="1">
      <alignment horizontal="center" vertical="center" wrapText="1"/>
    </xf>
    <xf numFmtId="49" fontId="62" fillId="5" borderId="29" xfId="0" applyNumberFormat="1" applyFont="1" applyFill="1" applyBorder="1" applyAlignment="1">
      <alignment horizontal="center" vertical="center" wrapText="1"/>
    </xf>
    <xf numFmtId="49" fontId="62" fillId="5" borderId="73" xfId="0" applyNumberFormat="1" applyFont="1" applyFill="1" applyBorder="1" applyAlignment="1">
      <alignment horizontal="center" vertical="center" wrapText="1"/>
    </xf>
    <xf numFmtId="49" fontId="62" fillId="5" borderId="3" xfId="0" applyNumberFormat="1" applyFont="1" applyFill="1" applyBorder="1" applyAlignment="1">
      <alignment horizontal="center" vertical="center" wrapText="1"/>
    </xf>
    <xf numFmtId="49" fontId="62" fillId="5" borderId="14" xfId="0" applyNumberFormat="1" applyFont="1" applyFill="1" applyBorder="1" applyAlignment="1">
      <alignment horizontal="center" vertical="center" wrapText="1"/>
    </xf>
    <xf numFmtId="49" fontId="62" fillId="5" borderId="61" xfId="0" applyNumberFormat="1" applyFont="1" applyFill="1" applyBorder="1" applyAlignment="1">
      <alignment horizontal="center" vertical="center" wrapText="1"/>
    </xf>
    <xf numFmtId="49" fontId="62" fillId="5" borderId="8" xfId="0" applyNumberFormat="1" applyFont="1" applyFill="1" applyBorder="1" applyAlignment="1">
      <alignment horizontal="center" vertical="center" wrapText="1"/>
    </xf>
    <xf numFmtId="0" fontId="62" fillId="5" borderId="4" xfId="0" applyNumberFormat="1" applyFont="1" applyFill="1" applyBorder="1" applyAlignment="1">
      <alignment horizontal="center" vertical="center" wrapText="1"/>
    </xf>
    <xf numFmtId="49" fontId="9" fillId="26" borderId="29" xfId="0" applyNumberFormat="1" applyFont="1" applyFill="1" applyBorder="1" applyAlignment="1">
      <alignment horizontal="center" vertical="center" wrapText="1"/>
    </xf>
    <xf numFmtId="49" fontId="9" fillId="26" borderId="73" xfId="0" applyNumberFormat="1" applyFont="1" applyFill="1" applyBorder="1" applyAlignment="1">
      <alignment horizontal="center" vertical="center" wrapText="1"/>
    </xf>
    <xf numFmtId="49" fontId="9" fillId="26" borderId="3" xfId="0" applyNumberFormat="1" applyFont="1" applyFill="1" applyBorder="1" applyAlignment="1">
      <alignment horizontal="center" vertical="center" wrapText="1"/>
    </xf>
    <xf numFmtId="49" fontId="9" fillId="26" borderId="14" xfId="0" applyNumberFormat="1" applyFont="1" applyFill="1" applyBorder="1" applyAlignment="1">
      <alignment horizontal="center" vertical="center" wrapText="1"/>
    </xf>
    <xf numFmtId="49" fontId="9" fillId="26" borderId="61" xfId="0" applyNumberFormat="1" applyFont="1" applyFill="1" applyBorder="1" applyAlignment="1">
      <alignment horizontal="center" vertical="center" wrapText="1"/>
    </xf>
    <xf numFmtId="49" fontId="9" fillId="26" borderId="8" xfId="0" applyNumberFormat="1" applyFont="1" applyFill="1" applyBorder="1" applyAlignment="1">
      <alignment horizontal="center" vertical="center" wrapText="1"/>
    </xf>
    <xf numFmtId="1" fontId="62" fillId="5" borderId="4" xfId="0" applyNumberFormat="1" applyFont="1" applyFill="1" applyBorder="1" applyAlignment="1">
      <alignment horizontal="center" vertical="center" wrapText="1"/>
    </xf>
    <xf numFmtId="49" fontId="62" fillId="32" borderId="4" xfId="0" applyNumberFormat="1" applyFont="1" applyFill="1" applyBorder="1" applyAlignment="1">
      <alignment horizontal="center" vertical="center" wrapText="1"/>
    </xf>
    <xf numFmtId="49" fontId="5" fillId="0" borderId="4" xfId="0" applyNumberFormat="1" applyFont="1" applyFill="1" applyBorder="1" applyAlignment="1">
      <alignment horizontal="center" vertical="center" wrapText="1"/>
    </xf>
    <xf numFmtId="166" fontId="5" fillId="13" borderId="4" xfId="0" applyNumberFormat="1" applyFont="1" applyFill="1" applyBorder="1" applyAlignment="1">
      <alignment horizontal="center" vertical="center" wrapText="1"/>
    </xf>
    <xf numFmtId="49" fontId="5" fillId="3" borderId="10" xfId="0" applyNumberFormat="1" applyFont="1" applyFill="1" applyBorder="1" applyAlignment="1">
      <alignment horizontal="center" vertical="center" wrapText="1"/>
    </xf>
    <xf numFmtId="49" fontId="5" fillId="3" borderId="9" xfId="0" applyNumberFormat="1" applyFont="1" applyFill="1" applyBorder="1" applyAlignment="1">
      <alignment horizontal="center" vertical="center" wrapText="1"/>
    </xf>
    <xf numFmtId="49" fontId="40" fillId="5" borderId="10" xfId="0" applyNumberFormat="1" applyFont="1" applyFill="1" applyBorder="1" applyAlignment="1">
      <alignment horizontal="center" vertical="center" wrapText="1"/>
    </xf>
    <xf numFmtId="49" fontId="40" fillId="5" borderId="9" xfId="0" applyNumberFormat="1" applyFont="1" applyFill="1" applyBorder="1" applyAlignment="1">
      <alignment horizontal="center" vertical="center" wrapText="1"/>
    </xf>
    <xf numFmtId="49" fontId="41" fillId="5" borderId="4" xfId="0" applyNumberFormat="1" applyFont="1" applyFill="1" applyBorder="1" applyAlignment="1">
      <alignment horizontal="center" vertical="center" wrapText="1"/>
    </xf>
    <xf numFmtId="49" fontId="41" fillId="5" borderId="10" xfId="0" applyNumberFormat="1" applyFont="1" applyFill="1" applyBorder="1" applyAlignment="1">
      <alignment horizontal="center" vertical="center" wrapText="1"/>
    </xf>
    <xf numFmtId="49" fontId="41" fillId="5" borderId="9" xfId="0" applyNumberFormat="1" applyFont="1" applyFill="1" applyBorder="1" applyAlignment="1">
      <alignment horizontal="center" vertical="center" wrapText="1"/>
    </xf>
    <xf numFmtId="14" fontId="41" fillId="5" borderId="29" xfId="0" applyNumberFormat="1" applyFont="1" applyFill="1" applyBorder="1" applyAlignment="1">
      <alignment horizontal="center" vertical="center" wrapText="1"/>
    </xf>
    <xf numFmtId="14" fontId="41" fillId="5" borderId="3" xfId="0" applyNumberFormat="1" applyFont="1" applyFill="1" applyBorder="1" applyAlignment="1">
      <alignment horizontal="center" vertical="center" wrapText="1"/>
    </xf>
    <xf numFmtId="14" fontId="41" fillId="5" borderId="14" xfId="0" applyNumberFormat="1" applyFont="1" applyFill="1" applyBorder="1" applyAlignment="1">
      <alignment horizontal="center" vertical="center" wrapText="1"/>
    </xf>
    <xf numFmtId="14" fontId="41" fillId="5" borderId="8" xfId="0" applyNumberFormat="1" applyFont="1" applyFill="1" applyBorder="1" applyAlignment="1">
      <alignment horizontal="center" vertical="center" wrapText="1"/>
    </xf>
    <xf numFmtId="49" fontId="5" fillId="4" borderId="4" xfId="0" applyNumberFormat="1" applyFont="1" applyFill="1" applyBorder="1" applyAlignment="1">
      <alignment horizontal="center" vertical="center" wrapText="1"/>
    </xf>
    <xf numFmtId="49" fontId="63" fillId="5" borderId="10" xfId="0" applyNumberFormat="1" applyFont="1" applyFill="1" applyBorder="1" applyAlignment="1">
      <alignment horizontal="center" vertical="center" wrapText="1"/>
    </xf>
    <xf numFmtId="49" fontId="63" fillId="5" borderId="9" xfId="0" applyNumberFormat="1" applyFont="1" applyFill="1" applyBorder="1" applyAlignment="1">
      <alignment horizontal="center" vertical="center" wrapText="1"/>
    </xf>
    <xf numFmtId="49" fontId="62" fillId="4" borderId="4" xfId="0" applyNumberFormat="1" applyFont="1" applyFill="1" applyBorder="1" applyAlignment="1">
      <alignment horizontal="center" vertical="center" wrapText="1"/>
    </xf>
    <xf numFmtId="2" fontId="62" fillId="5" borderId="4" xfId="0" applyNumberFormat="1" applyFont="1" applyFill="1" applyBorder="1" applyAlignment="1">
      <alignment horizontal="center" vertical="center" wrapText="1"/>
    </xf>
    <xf numFmtId="166" fontId="62" fillId="5" borderId="4" xfId="0" applyNumberFormat="1" applyFont="1" applyFill="1" applyBorder="1" applyAlignment="1">
      <alignment horizontal="center" vertical="center" wrapText="1"/>
    </xf>
    <xf numFmtId="14" fontId="62" fillId="5" borderId="29" xfId="0" applyNumberFormat="1" applyFont="1" applyFill="1" applyBorder="1" applyAlignment="1">
      <alignment horizontal="center" vertical="center" wrapText="1"/>
    </xf>
    <xf numFmtId="14" fontId="62" fillId="5" borderId="3" xfId="0" applyNumberFormat="1" applyFont="1" applyFill="1" applyBorder="1" applyAlignment="1">
      <alignment horizontal="center" vertical="center" wrapText="1"/>
    </xf>
    <xf numFmtId="14" fontId="62" fillId="5" borderId="14" xfId="0" applyNumberFormat="1" applyFont="1" applyFill="1" applyBorder="1" applyAlignment="1">
      <alignment horizontal="center" vertical="center" wrapText="1"/>
    </xf>
    <xf numFmtId="14" fontId="62" fillId="5" borderId="8" xfId="0" applyNumberFormat="1" applyFont="1" applyFill="1" applyBorder="1" applyAlignment="1">
      <alignment horizontal="center" vertical="center" wrapText="1"/>
    </xf>
    <xf numFmtId="166" fontId="62" fillId="4" borderId="4" xfId="0" applyNumberFormat="1" applyFont="1" applyFill="1" applyBorder="1" applyAlignment="1">
      <alignment horizontal="center" vertical="center" wrapText="1"/>
    </xf>
    <xf numFmtId="166" fontId="7" fillId="5" borderId="29" xfId="0" applyNumberFormat="1" applyFont="1" applyFill="1" applyBorder="1" applyAlignment="1">
      <alignment horizontal="center" vertical="center" wrapText="1"/>
    </xf>
    <xf numFmtId="0" fontId="15" fillId="0" borderId="73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61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49" fontId="7" fillId="33" borderId="29" xfId="0" applyNumberFormat="1" applyFont="1" applyFill="1" applyBorder="1" applyAlignment="1">
      <alignment horizontal="center" vertical="center" wrapText="1"/>
    </xf>
    <xf numFmtId="49" fontId="5" fillId="33" borderId="73" xfId="0" applyNumberFormat="1" applyFont="1" applyFill="1" applyBorder="1" applyAlignment="1">
      <alignment horizontal="center" vertical="center" wrapText="1"/>
    </xf>
    <xf numFmtId="49" fontId="5" fillId="33" borderId="3" xfId="0" applyNumberFormat="1" applyFont="1" applyFill="1" applyBorder="1" applyAlignment="1">
      <alignment horizontal="center" vertical="center" wrapText="1"/>
    </xf>
    <xf numFmtId="49" fontId="5" fillId="33" borderId="13" xfId="0" applyNumberFormat="1" applyFont="1" applyFill="1" applyBorder="1" applyAlignment="1">
      <alignment horizontal="center" vertical="center" wrapText="1"/>
    </xf>
    <xf numFmtId="49" fontId="5" fillId="33" borderId="0" xfId="0" applyNumberFormat="1" applyFont="1" applyFill="1" applyBorder="1" applyAlignment="1">
      <alignment horizontal="center" vertical="center" wrapText="1"/>
    </xf>
    <xf numFmtId="49" fontId="5" fillId="33" borderId="2" xfId="0" applyNumberFormat="1" applyFont="1" applyFill="1" applyBorder="1" applyAlignment="1">
      <alignment horizontal="center" vertical="center" wrapText="1"/>
    </xf>
    <xf numFmtId="49" fontId="5" fillId="29" borderId="29" xfId="0" applyNumberFormat="1" applyFont="1" applyFill="1" applyBorder="1" applyAlignment="1">
      <alignment horizontal="center" vertical="center" wrapText="1"/>
    </xf>
    <xf numFmtId="49" fontId="5" fillId="29" borderId="73" xfId="0" applyNumberFormat="1" applyFont="1" applyFill="1" applyBorder="1" applyAlignment="1">
      <alignment horizontal="center" vertical="center" wrapText="1"/>
    </xf>
    <xf numFmtId="49" fontId="5" fillId="29" borderId="3" xfId="0" applyNumberFormat="1" applyFont="1" applyFill="1" applyBorder="1" applyAlignment="1">
      <alignment horizontal="center" vertical="center" wrapText="1"/>
    </xf>
    <xf numFmtId="49" fontId="5" fillId="29" borderId="14" xfId="0" applyNumberFormat="1" applyFont="1" applyFill="1" applyBorder="1" applyAlignment="1">
      <alignment horizontal="center" vertical="center" wrapText="1"/>
    </xf>
    <xf numFmtId="49" fontId="5" fillId="29" borderId="61" xfId="0" applyNumberFormat="1" applyFont="1" applyFill="1" applyBorder="1" applyAlignment="1">
      <alignment horizontal="center" vertical="center" wrapText="1"/>
    </xf>
    <xf numFmtId="49" fontId="5" fillId="29" borderId="8" xfId="0" applyNumberFormat="1" applyFont="1" applyFill="1" applyBorder="1" applyAlignment="1">
      <alignment horizontal="center" vertical="center" wrapText="1"/>
    </xf>
    <xf numFmtId="166" fontId="5" fillId="34" borderId="29" xfId="0" applyNumberFormat="1" applyFont="1" applyFill="1" applyBorder="1" applyAlignment="1">
      <alignment horizontal="center" vertical="center" wrapText="1"/>
    </xf>
    <xf numFmtId="166" fontId="5" fillId="34" borderId="73" xfId="0" applyNumberFormat="1" applyFont="1" applyFill="1" applyBorder="1" applyAlignment="1">
      <alignment horizontal="center" vertical="center" wrapText="1"/>
    </xf>
    <xf numFmtId="166" fontId="5" fillId="34" borderId="3" xfId="0" applyNumberFormat="1" applyFont="1" applyFill="1" applyBorder="1" applyAlignment="1">
      <alignment horizontal="center" vertical="center" wrapText="1"/>
    </xf>
    <xf numFmtId="166" fontId="5" fillId="34" borderId="14" xfId="0" applyNumberFormat="1" applyFont="1" applyFill="1" applyBorder="1" applyAlignment="1">
      <alignment horizontal="center" vertical="center" wrapText="1"/>
    </xf>
    <xf numFmtId="166" fontId="5" fillId="34" borderId="61" xfId="0" applyNumberFormat="1" applyFont="1" applyFill="1" applyBorder="1" applyAlignment="1">
      <alignment horizontal="center" vertical="center" wrapText="1"/>
    </xf>
    <xf numFmtId="166" fontId="5" fillId="34" borderId="8" xfId="0" applyNumberFormat="1" applyFont="1" applyFill="1" applyBorder="1" applyAlignment="1">
      <alignment horizontal="center" vertical="center" wrapText="1"/>
    </xf>
    <xf numFmtId="14" fontId="5" fillId="3" borderId="29" xfId="0" applyNumberFormat="1" applyFont="1" applyFill="1" applyBorder="1" applyAlignment="1">
      <alignment horizontal="center" vertical="center" wrapText="1"/>
    </xf>
    <xf numFmtId="14" fontId="5" fillId="3" borderId="3" xfId="0" applyNumberFormat="1" applyFont="1" applyFill="1" applyBorder="1" applyAlignment="1">
      <alignment horizontal="center" vertical="center" wrapText="1"/>
    </xf>
    <xf numFmtId="14" fontId="5" fillId="3" borderId="14" xfId="0" applyNumberFormat="1" applyFont="1" applyFill="1" applyBorder="1" applyAlignment="1">
      <alignment horizontal="center" vertical="center" wrapText="1"/>
    </xf>
    <xf numFmtId="14" fontId="5" fillId="3" borderId="8" xfId="0" applyNumberFormat="1" applyFont="1" applyFill="1" applyBorder="1" applyAlignment="1">
      <alignment horizontal="center" vertical="center" wrapText="1"/>
    </xf>
    <xf numFmtId="166" fontId="5" fillId="3" borderId="4" xfId="0" applyNumberFormat="1" applyFont="1" applyFill="1" applyBorder="1" applyAlignment="1">
      <alignment horizontal="center" vertical="center" wrapText="1"/>
    </xf>
    <xf numFmtId="166" fontId="5" fillId="36" borderId="29" xfId="0" applyNumberFormat="1" applyFont="1" applyFill="1" applyBorder="1" applyAlignment="1">
      <alignment horizontal="center" vertical="center" wrapText="1"/>
    </xf>
    <xf numFmtId="0" fontId="0" fillId="36" borderId="73" xfId="0" applyFill="1" applyBorder="1" applyAlignment="1">
      <alignment horizontal="center" vertical="center" wrapText="1"/>
    </xf>
    <xf numFmtId="0" fontId="0" fillId="36" borderId="3" xfId="0" applyFill="1" applyBorder="1" applyAlignment="1">
      <alignment horizontal="center" vertical="center" wrapText="1"/>
    </xf>
    <xf numFmtId="0" fontId="0" fillId="36" borderId="14" xfId="0" applyFill="1" applyBorder="1" applyAlignment="1">
      <alignment horizontal="center" vertical="center" wrapText="1"/>
    </xf>
    <xf numFmtId="0" fontId="0" fillId="36" borderId="61" xfId="0" applyFill="1" applyBorder="1" applyAlignment="1">
      <alignment horizontal="center" vertical="center" wrapText="1"/>
    </xf>
    <xf numFmtId="0" fontId="0" fillId="36" borderId="8" xfId="0" applyFill="1" applyBorder="1" applyAlignment="1">
      <alignment horizontal="center" vertical="center" wrapText="1"/>
    </xf>
    <xf numFmtId="49" fontId="5" fillId="37" borderId="29" xfId="0" applyNumberFormat="1" applyFont="1" applyFill="1" applyBorder="1" applyAlignment="1">
      <alignment horizontal="center" vertical="center" wrapText="1"/>
    </xf>
    <xf numFmtId="49" fontId="5" fillId="37" borderId="73" xfId="0" applyNumberFormat="1" applyFont="1" applyFill="1" applyBorder="1" applyAlignment="1">
      <alignment horizontal="center" vertical="center" wrapText="1"/>
    </xf>
    <xf numFmtId="49" fontId="5" fillId="37" borderId="3" xfId="0" applyNumberFormat="1" applyFont="1" applyFill="1" applyBorder="1" applyAlignment="1">
      <alignment horizontal="center" vertical="center" wrapText="1"/>
    </xf>
    <xf numFmtId="49" fontId="5" fillId="37" borderId="14" xfId="0" applyNumberFormat="1" applyFont="1" applyFill="1" applyBorder="1" applyAlignment="1">
      <alignment horizontal="center" vertical="center" wrapText="1"/>
    </xf>
    <xf numFmtId="49" fontId="5" fillId="37" borderId="61" xfId="0" applyNumberFormat="1" applyFont="1" applyFill="1" applyBorder="1" applyAlignment="1">
      <alignment horizontal="center" vertical="center" wrapText="1"/>
    </xf>
    <xf numFmtId="49" fontId="5" fillId="37" borderId="8" xfId="0" applyNumberFormat="1" applyFont="1" applyFill="1" applyBorder="1" applyAlignment="1">
      <alignment horizontal="center" vertical="center" wrapText="1"/>
    </xf>
    <xf numFmtId="166" fontId="5" fillId="5" borderId="29" xfId="0" applyNumberFormat="1" applyFont="1" applyFill="1" applyBorder="1" applyAlignment="1">
      <alignment horizontal="center" vertical="center" wrapText="1"/>
    </xf>
    <xf numFmtId="166" fontId="5" fillId="5" borderId="73" xfId="0" applyNumberFormat="1" applyFont="1" applyFill="1" applyBorder="1" applyAlignment="1">
      <alignment horizontal="center" vertical="center" wrapText="1"/>
    </xf>
    <xf numFmtId="166" fontId="5" fillId="5" borderId="3" xfId="0" applyNumberFormat="1" applyFont="1" applyFill="1" applyBorder="1" applyAlignment="1">
      <alignment horizontal="center" vertical="center" wrapText="1"/>
    </xf>
    <xf numFmtId="166" fontId="5" fillId="5" borderId="14" xfId="0" applyNumberFormat="1" applyFont="1" applyFill="1" applyBorder="1" applyAlignment="1">
      <alignment horizontal="center" vertical="center" wrapText="1"/>
    </xf>
    <xf numFmtId="166" fontId="5" fillId="5" borderId="61" xfId="0" applyNumberFormat="1" applyFont="1" applyFill="1" applyBorder="1" applyAlignment="1">
      <alignment horizontal="center" vertical="center" wrapText="1"/>
    </xf>
    <xf numFmtId="166" fontId="5" fillId="5" borderId="8" xfId="0" applyNumberFormat="1" applyFont="1" applyFill="1" applyBorder="1" applyAlignment="1">
      <alignment horizontal="center" vertical="center" wrapText="1"/>
    </xf>
    <xf numFmtId="167" fontId="41" fillId="5" borderId="4" xfId="1" applyNumberFormat="1" applyFont="1" applyFill="1" applyBorder="1" applyAlignment="1">
      <alignment horizontal="center" vertical="center" wrapText="1"/>
    </xf>
    <xf numFmtId="167" fontId="64" fillId="5" borderId="4" xfId="1" applyNumberFormat="1" applyFont="1" applyFill="1" applyBorder="1" applyAlignment="1">
      <alignment horizontal="center" vertical="center" wrapText="1"/>
    </xf>
    <xf numFmtId="0" fontId="60" fillId="5" borderId="61" xfId="1" applyFont="1" applyFill="1" applyBorder="1" applyAlignment="1">
      <alignment horizontal="center"/>
    </xf>
    <xf numFmtId="167" fontId="5" fillId="5" borderId="4" xfId="1" applyNumberFormat="1" applyFont="1" applyFill="1" applyBorder="1" applyAlignment="1">
      <alignment horizontal="center" vertical="center" wrapText="1"/>
    </xf>
    <xf numFmtId="167" fontId="59" fillId="5" borderId="4" xfId="1" applyNumberFormat="1" applyFont="1" applyFill="1" applyBorder="1" applyAlignment="1">
      <alignment horizontal="center" vertical="center" wrapText="1"/>
    </xf>
    <xf numFmtId="166" fontId="5" fillId="5" borderId="10" xfId="0" applyNumberFormat="1" applyFont="1" applyFill="1" applyBorder="1" applyAlignment="1">
      <alignment horizontal="center" vertical="center" wrapText="1"/>
    </xf>
    <xf numFmtId="166" fontId="5" fillId="5" borderId="9" xfId="0" applyNumberFormat="1" applyFont="1" applyFill="1" applyBorder="1" applyAlignment="1">
      <alignment horizontal="center" vertical="center" wrapText="1"/>
    </xf>
    <xf numFmtId="167" fontId="5" fillId="5" borderId="4" xfId="1" applyNumberFormat="1" applyFont="1" applyFill="1" applyBorder="1" applyAlignment="1">
      <alignment horizontal="right" wrapText="1"/>
    </xf>
    <xf numFmtId="167" fontId="59" fillId="5" borderId="4" xfId="1" applyNumberFormat="1" applyFont="1" applyFill="1" applyBorder="1" applyAlignment="1">
      <alignment horizontal="right" wrapText="1"/>
    </xf>
    <xf numFmtId="49" fontId="53" fillId="5" borderId="29" xfId="0" applyNumberFormat="1" applyFont="1" applyFill="1" applyBorder="1" applyAlignment="1">
      <alignment horizontal="center" vertical="center" wrapText="1"/>
    </xf>
    <xf numFmtId="0" fontId="0" fillId="5" borderId="73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 wrapText="1"/>
    </xf>
    <xf numFmtId="0" fontId="0" fillId="5" borderId="61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49" fontId="51" fillId="5" borderId="29" xfId="0" applyNumberFormat="1" applyFont="1" applyFill="1" applyBorder="1" applyAlignment="1">
      <alignment horizontal="center" vertical="center" wrapText="1"/>
    </xf>
    <xf numFmtId="0" fontId="0" fillId="5" borderId="10" xfId="0" applyFill="1" applyBorder="1" applyAlignment="1"/>
    <xf numFmtId="0" fontId="0" fillId="5" borderId="9" xfId="0" applyFill="1" applyBorder="1" applyAlignment="1"/>
    <xf numFmtId="0" fontId="0" fillId="0" borderId="10" xfId="0" applyBorder="1" applyAlignment="1"/>
    <xf numFmtId="0" fontId="0" fillId="0" borderId="9" xfId="0" applyBorder="1" applyAlignment="1"/>
    <xf numFmtId="0" fontId="0" fillId="5" borderId="73" xfId="0" applyFill="1" applyBorder="1" applyAlignment="1"/>
    <xf numFmtId="0" fontId="0" fillId="5" borderId="3" xfId="0" applyFill="1" applyBorder="1" applyAlignment="1"/>
    <xf numFmtId="0" fontId="0" fillId="5" borderId="14" xfId="0" applyFill="1" applyBorder="1" applyAlignment="1"/>
    <xf numFmtId="0" fontId="0" fillId="5" borderId="61" xfId="0" applyFill="1" applyBorder="1" applyAlignment="1"/>
    <xf numFmtId="0" fontId="0" fillId="5" borderId="8" xfId="0" applyFill="1" applyBorder="1" applyAlignment="1"/>
    <xf numFmtId="49" fontId="5" fillId="0" borderId="9" xfId="0" applyNumberFormat="1" applyFont="1" applyFill="1" applyBorder="1" applyAlignment="1">
      <alignment horizontal="center" vertical="center" wrapText="1"/>
    </xf>
    <xf numFmtId="49" fontId="53" fillId="27" borderId="0" xfId="0" applyNumberFormat="1" applyFont="1" applyFill="1" applyBorder="1" applyAlignment="1">
      <alignment horizontal="center" vertical="center" wrapText="1"/>
    </xf>
    <xf numFmtId="0" fontId="0" fillId="27" borderId="0" xfId="0" applyFill="1" applyBorder="1" applyAlignment="1">
      <alignment horizontal="center" vertical="center" wrapText="1"/>
    </xf>
    <xf numFmtId="14" fontId="5" fillId="5" borderId="13" xfId="0" applyNumberFormat="1" applyFont="1" applyFill="1" applyBorder="1" applyAlignment="1">
      <alignment horizontal="center" vertical="center" wrapText="1"/>
    </xf>
    <xf numFmtId="14" fontId="5" fillId="5" borderId="2" xfId="0" applyNumberFormat="1" applyFont="1" applyFill="1" applyBorder="1" applyAlignment="1">
      <alignment horizontal="center" vertical="center" wrapText="1"/>
    </xf>
    <xf numFmtId="166" fontId="51" fillId="27" borderId="29" xfId="0" applyNumberFormat="1" applyFont="1" applyFill="1" applyBorder="1" applyAlignment="1">
      <alignment horizontal="center" vertical="center" wrapText="1"/>
    </xf>
    <xf numFmtId="0" fontId="0" fillId="27" borderId="73" xfId="0" applyFill="1" applyBorder="1" applyAlignment="1">
      <alignment horizontal="center" vertical="center" wrapText="1"/>
    </xf>
    <xf numFmtId="0" fontId="0" fillId="27" borderId="3" xfId="0" applyFill="1" applyBorder="1" applyAlignment="1">
      <alignment horizontal="center" vertical="center" wrapText="1"/>
    </xf>
    <xf numFmtId="0" fontId="0" fillId="27" borderId="14" xfId="0" applyFill="1" applyBorder="1" applyAlignment="1">
      <alignment horizontal="center" vertical="center" wrapText="1"/>
    </xf>
    <xf numFmtId="0" fontId="0" fillId="27" borderId="61" xfId="0" applyFill="1" applyBorder="1" applyAlignment="1">
      <alignment horizontal="center" vertical="center" wrapText="1"/>
    </xf>
    <xf numFmtId="0" fontId="0" fillId="27" borderId="8" xfId="0" applyFill="1" applyBorder="1" applyAlignment="1">
      <alignment horizontal="center" vertical="center" wrapText="1"/>
    </xf>
    <xf numFmtId="49" fontId="54" fillId="5" borderId="29" xfId="0" applyNumberFormat="1" applyFont="1" applyFill="1" applyBorder="1" applyAlignment="1">
      <alignment horizontal="center" vertical="center" wrapText="1"/>
    </xf>
    <xf numFmtId="14" fontId="0" fillId="5" borderId="10" xfId="0" applyNumberFormat="1" applyFill="1" applyBorder="1" applyAlignment="1"/>
    <xf numFmtId="49" fontId="51" fillId="5" borderId="73" xfId="0" applyNumberFormat="1" applyFont="1" applyFill="1" applyBorder="1" applyAlignment="1">
      <alignment horizontal="center" vertical="center" wrapText="1"/>
    </xf>
    <xf numFmtId="49" fontId="51" fillId="5" borderId="3" xfId="0" applyNumberFormat="1" applyFont="1" applyFill="1" applyBorder="1" applyAlignment="1">
      <alignment horizontal="center" vertical="center" wrapText="1"/>
    </xf>
    <xf numFmtId="49" fontId="51" fillId="5" borderId="14" xfId="0" applyNumberFormat="1" applyFont="1" applyFill="1" applyBorder="1" applyAlignment="1">
      <alignment horizontal="center" vertical="center" wrapText="1"/>
    </xf>
    <xf numFmtId="49" fontId="51" fillId="5" borderId="61" xfId="0" applyNumberFormat="1" applyFont="1" applyFill="1" applyBorder="1" applyAlignment="1">
      <alignment horizontal="center" vertical="center" wrapText="1"/>
    </xf>
    <xf numFmtId="49" fontId="51" fillId="5" borderId="8" xfId="0" applyNumberFormat="1" applyFont="1" applyFill="1" applyBorder="1" applyAlignment="1">
      <alignment horizontal="center" vertical="center" wrapText="1"/>
    </xf>
    <xf numFmtId="0" fontId="58" fillId="5" borderId="73" xfId="0" applyFont="1" applyFill="1" applyBorder="1" applyAlignment="1">
      <alignment horizontal="center" vertical="center" wrapText="1"/>
    </xf>
    <xf numFmtId="0" fontId="58" fillId="5" borderId="3" xfId="0" applyFont="1" applyFill="1" applyBorder="1" applyAlignment="1">
      <alignment horizontal="center" vertical="center" wrapText="1"/>
    </xf>
    <xf numFmtId="0" fontId="58" fillId="5" borderId="14" xfId="0" applyFont="1" applyFill="1" applyBorder="1" applyAlignment="1">
      <alignment horizontal="center" vertical="center" wrapText="1"/>
    </xf>
    <xf numFmtId="0" fontId="58" fillId="5" borderId="61" xfId="0" applyFont="1" applyFill="1" applyBorder="1" applyAlignment="1">
      <alignment horizontal="center" vertical="center" wrapText="1"/>
    </xf>
    <xf numFmtId="0" fontId="58" fillId="5" borderId="8" xfId="0" applyFont="1" applyFill="1" applyBorder="1" applyAlignment="1">
      <alignment horizontal="center" vertical="center" wrapText="1"/>
    </xf>
    <xf numFmtId="166" fontId="52" fillId="26" borderId="29" xfId="0" applyNumberFormat="1" applyFont="1" applyFill="1" applyBorder="1" applyAlignment="1">
      <alignment horizontal="center" vertical="center" wrapText="1"/>
    </xf>
    <xf numFmtId="166" fontId="5" fillId="26" borderId="73" xfId="0" applyNumberFormat="1" applyFont="1" applyFill="1" applyBorder="1" applyAlignment="1">
      <alignment horizontal="center" vertical="center" wrapText="1"/>
    </xf>
    <xf numFmtId="166" fontId="5" fillId="26" borderId="3" xfId="0" applyNumberFormat="1" applyFont="1" applyFill="1" applyBorder="1" applyAlignment="1">
      <alignment horizontal="center" vertical="center" wrapText="1"/>
    </xf>
    <xf numFmtId="166" fontId="5" fillId="26" borderId="14" xfId="0" applyNumberFormat="1" applyFont="1" applyFill="1" applyBorder="1" applyAlignment="1">
      <alignment horizontal="center" vertical="center" wrapText="1"/>
    </xf>
    <xf numFmtId="166" fontId="5" fillId="26" borderId="61" xfId="0" applyNumberFormat="1" applyFont="1" applyFill="1" applyBorder="1" applyAlignment="1">
      <alignment horizontal="center" vertical="center" wrapText="1"/>
    </xf>
    <xf numFmtId="166" fontId="5" fillId="26" borderId="8" xfId="0" applyNumberFormat="1" applyFont="1" applyFill="1" applyBorder="1" applyAlignment="1">
      <alignment horizontal="center" vertical="center" wrapText="1"/>
    </xf>
    <xf numFmtId="49" fontId="50" fillId="5" borderId="4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49" fontId="49" fillId="5" borderId="4" xfId="0" applyNumberFormat="1" applyFont="1" applyFill="1" applyBorder="1" applyAlignment="1">
      <alignment horizontal="center" vertical="center" wrapText="1"/>
    </xf>
    <xf numFmtId="166" fontId="5" fillId="20" borderId="4" xfId="0" applyNumberFormat="1" applyFont="1" applyFill="1" applyBorder="1" applyAlignment="1">
      <alignment horizontal="center" vertical="center" wrapText="1"/>
    </xf>
    <xf numFmtId="166" fontId="5" fillId="21" borderId="4" xfId="0" applyNumberFormat="1" applyFont="1" applyFill="1" applyBorder="1" applyAlignment="1">
      <alignment horizontal="center" vertical="center" wrapText="1"/>
    </xf>
    <xf numFmtId="49" fontId="48" fillId="24" borderId="29" xfId="0" applyNumberFormat="1" applyFont="1" applyFill="1" applyBorder="1" applyAlignment="1">
      <alignment horizontal="center" vertical="center" wrapText="1"/>
    </xf>
    <xf numFmtId="0" fontId="0" fillId="24" borderId="73" xfId="0" applyFill="1" applyBorder="1" applyAlignment="1">
      <alignment horizontal="center" vertical="center" wrapText="1"/>
    </xf>
    <xf numFmtId="0" fontId="0" fillId="24" borderId="3" xfId="0" applyFill="1" applyBorder="1" applyAlignment="1">
      <alignment horizontal="center" vertical="center" wrapText="1"/>
    </xf>
    <xf numFmtId="0" fontId="0" fillId="24" borderId="14" xfId="0" applyFill="1" applyBorder="1" applyAlignment="1">
      <alignment horizontal="center" vertical="center" wrapText="1"/>
    </xf>
    <xf numFmtId="0" fontId="0" fillId="24" borderId="61" xfId="0" applyFill="1" applyBorder="1" applyAlignment="1">
      <alignment horizontal="center" vertical="center" wrapText="1"/>
    </xf>
    <xf numFmtId="0" fontId="0" fillId="24" borderId="8" xfId="0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/>
    <xf numFmtId="0" fontId="5" fillId="5" borderId="9" xfId="0" applyFont="1" applyFill="1" applyBorder="1" applyAlignment="1"/>
    <xf numFmtId="49" fontId="44" fillId="10" borderId="29" xfId="0" applyNumberFormat="1" applyFont="1" applyFill="1" applyBorder="1" applyAlignment="1">
      <alignment horizontal="center" vertical="center" wrapText="1"/>
    </xf>
    <xf numFmtId="0" fontId="45" fillId="10" borderId="73" xfId="0" applyFont="1" applyFill="1" applyBorder="1" applyAlignment="1">
      <alignment horizontal="center" vertical="center" wrapText="1"/>
    </xf>
    <xf numFmtId="0" fontId="45" fillId="10" borderId="3" xfId="0" applyFont="1" applyFill="1" applyBorder="1" applyAlignment="1">
      <alignment horizontal="center" vertical="center" wrapText="1"/>
    </xf>
    <xf numFmtId="0" fontId="45" fillId="10" borderId="14" xfId="0" applyFont="1" applyFill="1" applyBorder="1" applyAlignment="1">
      <alignment horizontal="center" vertical="center" wrapText="1"/>
    </xf>
    <xf numFmtId="0" fontId="45" fillId="10" borderId="61" xfId="0" applyFont="1" applyFill="1" applyBorder="1" applyAlignment="1">
      <alignment horizontal="center" vertical="center" wrapText="1"/>
    </xf>
    <xf numFmtId="0" fontId="45" fillId="10" borderId="8" xfId="0" applyFont="1" applyFill="1" applyBorder="1" applyAlignment="1">
      <alignment horizontal="center" vertical="center" wrapText="1"/>
    </xf>
    <xf numFmtId="3" fontId="5" fillId="5" borderId="29" xfId="0" applyNumberFormat="1" applyFont="1" applyFill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5" borderId="14" xfId="0" applyFill="1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0" fillId="5" borderId="29" xfId="0" applyFill="1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49" fontId="5" fillId="23" borderId="29" xfId="0" applyNumberFormat="1" applyFont="1" applyFill="1" applyBorder="1" applyAlignment="1">
      <alignment horizontal="center" vertical="center" wrapText="1"/>
    </xf>
    <xf numFmtId="0" fontId="0" fillId="23" borderId="73" xfId="0" applyFill="1" applyBorder="1" applyAlignment="1">
      <alignment horizontal="center" vertical="center" wrapText="1"/>
    </xf>
    <xf numFmtId="0" fontId="0" fillId="23" borderId="3" xfId="0" applyFill="1" applyBorder="1" applyAlignment="1">
      <alignment horizontal="center" vertical="center" wrapText="1"/>
    </xf>
    <xf numFmtId="0" fontId="0" fillId="23" borderId="14" xfId="0" applyFill="1" applyBorder="1" applyAlignment="1">
      <alignment horizontal="center" vertical="center" wrapText="1"/>
    </xf>
    <xf numFmtId="0" fontId="0" fillId="23" borderId="61" xfId="0" applyFill="1" applyBorder="1" applyAlignment="1">
      <alignment horizontal="center" vertical="center" wrapText="1"/>
    </xf>
    <xf numFmtId="0" fontId="0" fillId="23" borderId="8" xfId="0" applyFill="1" applyBorder="1" applyAlignment="1">
      <alignment horizontal="center" vertical="center" wrapText="1"/>
    </xf>
    <xf numFmtId="1" fontId="5" fillId="5" borderId="10" xfId="0" applyNumberFormat="1" applyFont="1" applyFill="1" applyBorder="1" applyAlignment="1">
      <alignment horizontal="right" vertical="center" wrapText="1"/>
    </xf>
    <xf numFmtId="1" fontId="5" fillId="5" borderId="9" xfId="0" applyNumberFormat="1" applyFont="1" applyFill="1" applyBorder="1" applyAlignment="1">
      <alignment horizontal="right" vertical="center" wrapText="1"/>
    </xf>
    <xf numFmtId="0" fontId="5" fillId="5" borderId="10" xfId="0" applyNumberFormat="1" applyFont="1" applyFill="1" applyBorder="1" applyAlignment="1">
      <alignment horizontal="center" vertical="center" wrapText="1"/>
    </xf>
    <xf numFmtId="0" fontId="5" fillId="5" borderId="9" xfId="0" applyNumberFormat="1" applyFont="1" applyFill="1" applyBorder="1" applyAlignment="1">
      <alignment horizontal="center" vertical="center" wrapText="1"/>
    </xf>
    <xf numFmtId="0" fontId="5" fillId="5" borderId="10" xfId="0" applyNumberFormat="1" applyFont="1" applyFill="1" applyBorder="1" applyAlignment="1">
      <alignment horizontal="right" vertical="center" wrapText="1"/>
    </xf>
    <xf numFmtId="0" fontId="5" fillId="5" borderId="9" xfId="0" applyNumberFormat="1" applyFont="1" applyFill="1" applyBorder="1" applyAlignment="1">
      <alignment horizontal="right" vertical="center" wrapText="1"/>
    </xf>
    <xf numFmtId="3" fontId="5" fillId="5" borderId="10" xfId="0" applyNumberFormat="1" applyFont="1" applyFill="1" applyBorder="1" applyAlignment="1">
      <alignment horizontal="center" wrapText="1"/>
    </xf>
    <xf numFmtId="3" fontId="5" fillId="5" borderId="9" xfId="0" applyNumberFormat="1" applyFont="1" applyFill="1" applyBorder="1" applyAlignment="1">
      <alignment horizontal="center" wrapText="1"/>
    </xf>
    <xf numFmtId="0" fontId="0" fillId="5" borderId="10" xfId="0" applyFill="1" applyBorder="1" applyAlignment="1">
      <alignment horizontal="center" wrapText="1"/>
    </xf>
    <xf numFmtId="0" fontId="0" fillId="5" borderId="9" xfId="0" applyFill="1" applyBorder="1" applyAlignment="1">
      <alignment horizontal="center" wrapText="1"/>
    </xf>
    <xf numFmtId="3" fontId="5" fillId="5" borderId="4" xfId="0" applyNumberFormat="1" applyFont="1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3" fontId="4" fillId="5" borderId="10" xfId="0" applyNumberFormat="1" applyFont="1" applyFill="1" applyBorder="1" applyAlignment="1">
      <alignment horizontal="right" wrapText="1"/>
    </xf>
    <xf numFmtId="3" fontId="4" fillId="5" borderId="9" xfId="0" applyNumberFormat="1" applyFont="1" applyFill="1" applyBorder="1" applyAlignment="1">
      <alignment horizontal="right" wrapText="1"/>
    </xf>
    <xf numFmtId="49" fontId="5" fillId="7" borderId="4" xfId="0" applyNumberFormat="1" applyFont="1" applyFill="1" applyBorder="1" applyAlignment="1">
      <alignment horizontal="center" vertical="center" wrapText="1"/>
    </xf>
    <xf numFmtId="3" fontId="4" fillId="5" borderId="4" xfId="0" applyNumberFormat="1" applyFont="1" applyFill="1" applyBorder="1" applyAlignment="1">
      <alignment horizontal="right" wrapText="1"/>
    </xf>
    <xf numFmtId="49" fontId="4" fillId="5" borderId="4" xfId="0" applyNumberFormat="1" applyFont="1" applyFill="1" applyBorder="1" applyAlignment="1">
      <alignment horizontal="center" vertical="center" wrapText="1"/>
    </xf>
    <xf numFmtId="3" fontId="5" fillId="5" borderId="4" xfId="0" applyNumberFormat="1" applyFont="1" applyFill="1" applyBorder="1" applyAlignment="1">
      <alignment horizontal="right" wrapText="1"/>
    </xf>
    <xf numFmtId="0" fontId="0" fillId="5" borderId="4" xfId="0" applyFill="1" applyBorder="1" applyAlignment="1">
      <alignment horizontal="right" wrapText="1"/>
    </xf>
    <xf numFmtId="3" fontId="5" fillId="4" borderId="4" xfId="0" applyNumberFormat="1" applyFont="1" applyFill="1" applyBorder="1" applyAlignment="1">
      <alignment horizontal="right" wrapText="1"/>
    </xf>
    <xf numFmtId="0" fontId="0" fillId="4" borderId="4" xfId="0" applyFill="1" applyBorder="1" applyAlignment="1">
      <alignment horizontal="right" wrapText="1"/>
    </xf>
    <xf numFmtId="164" fontId="5" fillId="5" borderId="4" xfId="0" applyNumberFormat="1" applyFont="1" applyFill="1" applyBorder="1" applyAlignment="1">
      <alignment horizontal="right" wrapText="1"/>
    </xf>
    <xf numFmtId="164" fontId="0" fillId="5" borderId="4" xfId="0" applyNumberFormat="1" applyFill="1" applyBorder="1" applyAlignment="1">
      <alignment horizontal="right" wrapText="1"/>
    </xf>
    <xf numFmtId="0" fontId="5" fillId="5" borderId="4" xfId="0" applyFont="1" applyFill="1" applyBorder="1" applyAlignment="1">
      <alignment horizontal="right" wrapText="1"/>
    </xf>
    <xf numFmtId="49" fontId="4" fillId="20" borderId="4" xfId="0" applyNumberFormat="1" applyFont="1" applyFill="1" applyBorder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center" vertical="center" wrapText="1"/>
    </xf>
    <xf numFmtId="49" fontId="4" fillId="5" borderId="9" xfId="0" applyNumberFormat="1" applyFont="1" applyFill="1" applyBorder="1" applyAlignment="1">
      <alignment horizontal="center" vertical="center" wrapText="1"/>
    </xf>
    <xf numFmtId="3" fontId="5" fillId="5" borderId="10" xfId="0" applyNumberFormat="1" applyFont="1" applyFill="1" applyBorder="1" applyAlignment="1">
      <alignment horizontal="right" wrapText="1"/>
    </xf>
    <xf numFmtId="3" fontId="5" fillId="5" borderId="9" xfId="0" applyNumberFormat="1" applyFont="1" applyFill="1" applyBorder="1" applyAlignment="1">
      <alignment horizontal="right" wrapText="1"/>
    </xf>
    <xf numFmtId="164" fontId="0" fillId="5" borderId="10" xfId="0" applyNumberFormat="1" applyFill="1" applyBorder="1" applyAlignment="1">
      <alignment horizontal="right" wrapText="1"/>
    </xf>
    <xf numFmtId="164" fontId="0" fillId="5" borderId="9" xfId="0" applyNumberFormat="1" applyFill="1" applyBorder="1" applyAlignment="1">
      <alignment horizontal="right" wrapText="1"/>
    </xf>
    <xf numFmtId="0" fontId="5" fillId="5" borderId="10" xfId="0" applyFont="1" applyFill="1" applyBorder="1" applyAlignment="1">
      <alignment horizontal="right" wrapText="1"/>
    </xf>
    <xf numFmtId="0" fontId="5" fillId="5" borderId="9" xfId="0" applyFont="1" applyFill="1" applyBorder="1" applyAlignment="1">
      <alignment horizontal="right" wrapText="1"/>
    </xf>
    <xf numFmtId="0" fontId="5" fillId="19" borderId="4" xfId="0" applyFont="1" applyFill="1" applyBorder="1" applyAlignment="1">
      <alignment horizontal="right" wrapText="1"/>
    </xf>
    <xf numFmtId="3" fontId="4" fillId="19" borderId="4" xfId="0" applyNumberFormat="1" applyFont="1" applyFill="1" applyBorder="1" applyAlignment="1">
      <alignment horizontal="right" wrapText="1"/>
    </xf>
    <xf numFmtId="1" fontId="5" fillId="5" borderId="4" xfId="0" applyNumberFormat="1" applyFont="1" applyFill="1" applyBorder="1" applyAlignment="1">
      <alignment horizontal="right" vertical="center" wrapText="1"/>
    </xf>
    <xf numFmtId="0" fontId="5" fillId="5" borderId="4" xfId="0" applyFont="1" applyFill="1" applyBorder="1" applyAlignment="1"/>
    <xf numFmtId="0" fontId="5" fillId="19" borderId="4" xfId="0" applyFont="1" applyFill="1" applyBorder="1" applyAlignment="1">
      <alignment horizontal="center" vertical="center" wrapText="1"/>
    </xf>
    <xf numFmtId="49" fontId="4" fillId="19" borderId="4" xfId="0" applyNumberFormat="1" applyFont="1" applyFill="1" applyBorder="1" applyAlignment="1">
      <alignment horizontal="center" vertical="center" wrapText="1"/>
    </xf>
    <xf numFmtId="49" fontId="5" fillId="19" borderId="4" xfId="0" applyNumberFormat="1" applyFont="1" applyFill="1" applyBorder="1" applyAlignment="1">
      <alignment horizontal="center" vertical="center" wrapText="1"/>
    </xf>
    <xf numFmtId="14" fontId="42" fillId="19" borderId="29" xfId="0" applyNumberFormat="1" applyFont="1" applyFill="1" applyBorder="1" applyAlignment="1">
      <alignment horizontal="center" vertical="center" wrapText="1"/>
    </xf>
    <xf numFmtId="14" fontId="5" fillId="19" borderId="3" xfId="0" applyNumberFormat="1" applyFont="1" applyFill="1" applyBorder="1" applyAlignment="1">
      <alignment horizontal="center" vertical="center" wrapText="1"/>
    </xf>
    <xf numFmtId="14" fontId="5" fillId="19" borderId="14" xfId="0" applyNumberFormat="1" applyFont="1" applyFill="1" applyBorder="1" applyAlignment="1">
      <alignment horizontal="center" vertical="center" wrapText="1"/>
    </xf>
    <xf numFmtId="14" fontId="5" fillId="19" borderId="8" xfId="0" applyNumberFormat="1" applyFont="1" applyFill="1" applyBorder="1" applyAlignment="1">
      <alignment horizontal="center" vertical="center" wrapText="1"/>
    </xf>
    <xf numFmtId="3" fontId="5" fillId="19" borderId="4" xfId="0" applyNumberFormat="1" applyFont="1" applyFill="1" applyBorder="1" applyAlignment="1">
      <alignment horizontal="right" wrapText="1"/>
    </xf>
    <xf numFmtId="0" fontId="0" fillId="19" borderId="4" xfId="0" applyFill="1" applyBorder="1" applyAlignment="1">
      <alignment horizontal="right" wrapText="1"/>
    </xf>
    <xf numFmtId="164" fontId="5" fillId="19" borderId="4" xfId="0" applyNumberFormat="1" applyFont="1" applyFill="1" applyBorder="1" applyAlignment="1">
      <alignment horizontal="right" wrapText="1"/>
    </xf>
    <xf numFmtId="164" fontId="0" fillId="19" borderId="4" xfId="0" applyNumberFormat="1" applyFill="1" applyBorder="1" applyAlignment="1">
      <alignment horizontal="right" wrapText="1"/>
    </xf>
    <xf numFmtId="0" fontId="0" fillId="0" borderId="0" xfId="0" applyAlignment="1">
      <alignment horizontal="center"/>
    </xf>
    <xf numFmtId="0" fontId="5" fillId="5" borderId="11" xfId="0" applyFont="1" applyFill="1" applyBorder="1" applyAlignment="1">
      <alignment horizontal="center" vertical="center" wrapText="1"/>
    </xf>
    <xf numFmtId="49" fontId="4" fillId="5" borderId="11" xfId="0" applyNumberFormat="1" applyFont="1" applyFill="1" applyBorder="1" applyAlignment="1">
      <alignment horizontal="center" vertical="center" wrapText="1"/>
    </xf>
    <xf numFmtId="49" fontId="5" fillId="5" borderId="11" xfId="0" applyNumberFormat="1" applyFont="1" applyFill="1" applyBorder="1" applyAlignment="1">
      <alignment horizontal="center" vertical="center" wrapText="1"/>
    </xf>
    <xf numFmtId="14" fontId="5" fillId="5" borderId="4" xfId="0" applyNumberFormat="1" applyFont="1" applyFill="1" applyBorder="1" applyAlignment="1">
      <alignment horizontal="center" vertical="center" wrapText="1"/>
    </xf>
    <xf numFmtId="14" fontId="5" fillId="5" borderId="11" xfId="0" applyNumberFormat="1" applyFont="1" applyFill="1" applyBorder="1" applyAlignment="1">
      <alignment horizontal="center" vertical="center" wrapText="1"/>
    </xf>
    <xf numFmtId="3" fontId="5" fillId="5" borderId="11" xfId="0" applyNumberFormat="1" applyFont="1" applyFill="1" applyBorder="1" applyAlignment="1">
      <alignment horizontal="right" wrapText="1"/>
    </xf>
    <xf numFmtId="0" fontId="0" fillId="5" borderId="11" xfId="0" applyFill="1" applyBorder="1" applyAlignment="1">
      <alignment horizontal="right" wrapText="1"/>
    </xf>
    <xf numFmtId="164" fontId="0" fillId="5" borderId="11" xfId="0" applyNumberFormat="1" applyFill="1" applyBorder="1" applyAlignment="1">
      <alignment horizontal="right" wrapText="1"/>
    </xf>
    <xf numFmtId="0" fontId="5" fillId="5" borderId="11" xfId="0" applyFont="1" applyFill="1" applyBorder="1" applyAlignment="1">
      <alignment horizontal="right" wrapText="1"/>
    </xf>
    <xf numFmtId="3" fontId="4" fillId="5" borderId="33" xfId="0" applyNumberFormat="1" applyFont="1" applyFill="1" applyBorder="1" applyAlignment="1">
      <alignment horizontal="right" wrapText="1"/>
    </xf>
    <xf numFmtId="3" fontId="4" fillId="5" borderId="35" xfId="0" applyNumberFormat="1" applyFont="1" applyFill="1" applyBorder="1" applyAlignment="1">
      <alignment horizontal="right" wrapText="1"/>
    </xf>
    <xf numFmtId="164" fontId="5" fillId="5" borderId="10" xfId="0" applyNumberFormat="1" applyFont="1" applyFill="1" applyBorder="1" applyAlignment="1">
      <alignment horizontal="right" wrapText="1"/>
    </xf>
    <xf numFmtId="164" fontId="5" fillId="5" borderId="9" xfId="0" applyNumberFormat="1" applyFont="1" applyFill="1" applyBorder="1" applyAlignment="1">
      <alignment horizontal="right" wrapText="1"/>
    </xf>
    <xf numFmtId="3" fontId="4" fillId="5" borderId="40" xfId="0" applyNumberFormat="1" applyFont="1" applyFill="1" applyBorder="1" applyAlignment="1">
      <alignment horizontal="right" wrapText="1"/>
    </xf>
    <xf numFmtId="3" fontId="4" fillId="5" borderId="32" xfId="0" applyNumberFormat="1" applyFont="1" applyFill="1" applyBorder="1" applyAlignment="1">
      <alignment horizontal="right" wrapText="1"/>
    </xf>
    <xf numFmtId="17" fontId="3" fillId="8" borderId="54" xfId="0" applyNumberFormat="1" applyFont="1" applyFill="1" applyBorder="1" applyAlignment="1">
      <alignment horizontal="center" vertical="center" wrapText="1"/>
    </xf>
    <xf numFmtId="17" fontId="3" fillId="8" borderId="55" xfId="0" applyNumberFormat="1" applyFont="1" applyFill="1" applyBorder="1" applyAlignment="1">
      <alignment horizontal="center" vertical="center" wrapText="1"/>
    </xf>
    <xf numFmtId="17" fontId="3" fillId="8" borderId="28" xfId="0" applyNumberFormat="1" applyFont="1" applyFill="1" applyBorder="1" applyAlignment="1">
      <alignment horizontal="center" vertical="center" wrapText="1"/>
    </xf>
    <xf numFmtId="0" fontId="23" fillId="5" borderId="4" xfId="0" applyFont="1" applyFill="1" applyBorder="1" applyAlignment="1">
      <alignment horizontal="center" vertical="center" wrapText="1"/>
    </xf>
    <xf numFmtId="0" fontId="23" fillId="5" borderId="10" xfId="0" applyFont="1" applyFill="1" applyBorder="1" applyAlignment="1">
      <alignment horizontal="center" vertical="center" wrapText="1"/>
    </xf>
    <xf numFmtId="0" fontId="23" fillId="5" borderId="9" xfId="0" applyFont="1" applyFill="1" applyBorder="1" applyAlignment="1">
      <alignment horizontal="center" vertical="center" wrapText="1"/>
    </xf>
    <xf numFmtId="49" fontId="33" fillId="5" borderId="10" xfId="0" applyNumberFormat="1" applyFont="1" applyFill="1" applyBorder="1" applyAlignment="1">
      <alignment horizontal="center" vertical="center" wrapText="1"/>
    </xf>
    <xf numFmtId="0" fontId="43" fillId="5" borderId="4" xfId="0" applyFont="1" applyFill="1" applyBorder="1" applyAlignment="1">
      <alignment horizontal="center" wrapText="1"/>
    </xf>
    <xf numFmtId="49" fontId="5" fillId="4" borderId="10" xfId="0" applyNumberFormat="1" applyFont="1" applyFill="1" applyBorder="1" applyAlignment="1">
      <alignment horizontal="center" vertical="center" wrapText="1"/>
    </xf>
    <xf numFmtId="49" fontId="5" fillId="4" borderId="9" xfId="0" applyNumberFormat="1" applyFont="1" applyFill="1" applyBorder="1" applyAlignment="1">
      <alignment horizontal="center" vertical="center" wrapText="1"/>
    </xf>
    <xf numFmtId="0" fontId="23" fillId="5" borderId="11" xfId="0" applyFont="1" applyFill="1" applyBorder="1" applyAlignment="1">
      <alignment horizontal="center" vertical="center" wrapText="1"/>
    </xf>
    <xf numFmtId="49" fontId="5" fillId="3" borderId="11" xfId="0" applyNumberFormat="1" applyFont="1" applyFill="1" applyBorder="1" applyAlignment="1">
      <alignment horizontal="center" vertical="center" wrapText="1"/>
    </xf>
    <xf numFmtId="14" fontId="5" fillId="5" borderId="46" xfId="0" applyNumberFormat="1" applyFont="1" applyFill="1" applyBorder="1" applyAlignment="1">
      <alignment horizontal="center" vertical="center" wrapText="1"/>
    </xf>
    <xf numFmtId="14" fontId="5" fillId="5" borderId="70" xfId="0" applyNumberFormat="1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right" wrapText="1"/>
    </xf>
    <xf numFmtId="3" fontId="4" fillId="5" borderId="38" xfId="0" applyNumberFormat="1" applyFont="1" applyFill="1" applyBorder="1" applyAlignment="1">
      <alignment horizontal="right" wrapText="1"/>
    </xf>
    <xf numFmtId="0" fontId="5" fillId="5" borderId="12" xfId="0" applyFont="1" applyFill="1" applyBorder="1" applyAlignment="1">
      <alignment horizontal="center" vertical="center" wrapText="1"/>
    </xf>
    <xf numFmtId="49" fontId="4" fillId="5" borderId="12" xfId="0" applyNumberFormat="1" applyFont="1" applyFill="1" applyBorder="1" applyAlignment="1">
      <alignment horizontal="center" vertical="center" wrapText="1"/>
    </xf>
    <xf numFmtId="49" fontId="5" fillId="5" borderId="12" xfId="0" applyNumberFormat="1" applyFont="1" applyFill="1" applyBorder="1" applyAlignment="1">
      <alignment horizontal="center" vertical="center" wrapText="1"/>
    </xf>
    <xf numFmtId="14" fontId="5" fillId="5" borderId="74" xfId="0" applyNumberFormat="1" applyFont="1" applyFill="1" applyBorder="1" applyAlignment="1">
      <alignment horizontal="center" vertical="center" wrapText="1"/>
    </xf>
    <xf numFmtId="14" fontId="5" fillId="5" borderId="75" xfId="0" applyNumberFormat="1" applyFont="1" applyFill="1" applyBorder="1" applyAlignment="1">
      <alignment horizontal="center" vertical="center" wrapText="1"/>
    </xf>
    <xf numFmtId="3" fontId="5" fillId="5" borderId="12" xfId="0" applyNumberFormat="1" applyFont="1" applyFill="1" applyBorder="1" applyAlignment="1">
      <alignment horizontal="right" wrapText="1"/>
    </xf>
    <xf numFmtId="164" fontId="5" fillId="5" borderId="12" xfId="0" applyNumberFormat="1" applyFont="1" applyFill="1" applyBorder="1" applyAlignment="1">
      <alignment horizontal="right" wrapText="1"/>
    </xf>
    <xf numFmtId="0" fontId="5" fillId="5" borderId="26" xfId="0" applyFont="1" applyFill="1" applyBorder="1" applyAlignment="1">
      <alignment horizontal="center" vertical="center" wrapText="1"/>
    </xf>
    <xf numFmtId="0" fontId="5" fillId="5" borderId="27" xfId="0" applyFont="1" applyFill="1" applyBorder="1" applyAlignment="1">
      <alignment horizontal="center" vertical="center" wrapText="1"/>
    </xf>
    <xf numFmtId="0" fontId="5" fillId="5" borderId="36" xfId="0" applyFont="1" applyFill="1" applyBorder="1" applyAlignment="1">
      <alignment horizontal="center" vertical="center" wrapText="1"/>
    </xf>
    <xf numFmtId="14" fontId="5" fillId="3" borderId="46" xfId="0" applyNumberFormat="1" applyFont="1" applyFill="1" applyBorder="1" applyAlignment="1">
      <alignment horizontal="center" vertical="center" wrapText="1"/>
    </xf>
    <xf numFmtId="14" fontId="5" fillId="3" borderId="70" xfId="0" applyNumberFormat="1" applyFont="1" applyFill="1" applyBorder="1" applyAlignment="1">
      <alignment horizontal="center" vertical="center" wrapText="1"/>
    </xf>
    <xf numFmtId="0" fontId="23" fillId="5" borderId="27" xfId="0" applyFont="1" applyFill="1" applyBorder="1" applyAlignment="1">
      <alignment horizontal="center" vertical="center" wrapText="1"/>
    </xf>
    <xf numFmtId="0" fontId="23" fillId="5" borderId="39" xfId="0" applyFont="1" applyFill="1" applyBorder="1" applyAlignment="1">
      <alignment horizontal="center" vertical="center" wrapText="1"/>
    </xf>
    <xf numFmtId="0" fontId="0" fillId="5" borderId="10" xfId="0" applyFill="1" applyBorder="1" applyAlignment="1">
      <alignment horizontal="right" wrapText="1"/>
    </xf>
    <xf numFmtId="0" fontId="5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wrapText="1"/>
    </xf>
    <xf numFmtId="3" fontId="4" fillId="5" borderId="64" xfId="0" applyNumberFormat="1" applyFont="1" applyFill="1" applyBorder="1" applyAlignment="1">
      <alignment horizontal="right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right" wrapText="1"/>
    </xf>
    <xf numFmtId="164" fontId="5" fillId="5" borderId="1" xfId="0" applyNumberFormat="1" applyFont="1" applyFill="1" applyBorder="1" applyAlignment="1">
      <alignment horizontal="right" wrapText="1"/>
    </xf>
    <xf numFmtId="0" fontId="40" fillId="5" borderId="4" xfId="0" applyFont="1" applyFill="1" applyBorder="1" applyAlignment="1">
      <alignment horizontal="center" vertical="center" wrapText="1"/>
    </xf>
    <xf numFmtId="0" fontId="5" fillId="5" borderId="26" xfId="0" applyFont="1" applyFill="1" applyBorder="1" applyAlignment="1"/>
    <xf numFmtId="0" fontId="5" fillId="5" borderId="27" xfId="0" applyFont="1" applyFill="1" applyBorder="1" applyAlignment="1"/>
    <xf numFmtId="49" fontId="5" fillId="3" borderId="12" xfId="0" applyNumberFormat="1" applyFont="1" applyFill="1" applyBorder="1" applyAlignment="1">
      <alignment horizontal="center" vertical="center" wrapText="1"/>
    </xf>
    <xf numFmtId="0" fontId="5" fillId="5" borderId="36" xfId="0" applyFont="1" applyFill="1" applyBorder="1" applyAlignment="1"/>
    <xf numFmtId="0" fontId="23" fillId="5" borderId="74" xfId="0" applyFont="1" applyFill="1" applyBorder="1" applyAlignment="1">
      <alignment horizontal="center" vertical="center" wrapText="1"/>
    </xf>
    <xf numFmtId="0" fontId="23" fillId="5" borderId="75" xfId="0" applyFont="1" applyFill="1" applyBorder="1" applyAlignment="1">
      <alignment horizontal="center" vertical="center" wrapText="1"/>
    </xf>
    <xf numFmtId="0" fontId="23" fillId="5" borderId="46" xfId="0" applyFont="1" applyFill="1" applyBorder="1" applyAlignment="1">
      <alignment horizontal="center" vertical="center" wrapText="1"/>
    </xf>
    <xf numFmtId="0" fontId="23" fillId="5" borderId="70" xfId="0" applyFont="1" applyFill="1" applyBorder="1" applyAlignment="1">
      <alignment horizontal="center" vertical="center" wrapText="1"/>
    </xf>
    <xf numFmtId="3" fontId="5" fillId="5" borderId="37" xfId="0" applyNumberFormat="1" applyFont="1" applyFill="1" applyBorder="1" applyAlignment="1">
      <alignment horizontal="right" wrapText="1"/>
    </xf>
    <xf numFmtId="164" fontId="5" fillId="5" borderId="37" xfId="0" applyNumberFormat="1" applyFont="1" applyFill="1" applyBorder="1" applyAlignment="1">
      <alignment horizontal="right" wrapText="1"/>
    </xf>
    <xf numFmtId="0" fontId="5" fillId="5" borderId="37" xfId="0" applyFont="1" applyFill="1" applyBorder="1" applyAlignment="1">
      <alignment horizontal="right" wrapText="1"/>
    </xf>
    <xf numFmtId="3" fontId="4" fillId="5" borderId="47" xfId="0" applyNumberFormat="1" applyFont="1" applyFill="1" applyBorder="1" applyAlignment="1">
      <alignment horizontal="right" wrapText="1"/>
    </xf>
    <xf numFmtId="0" fontId="41" fillId="5" borderId="4" xfId="0" applyFont="1" applyFill="1" applyBorder="1" applyAlignment="1">
      <alignment horizontal="center" vertical="center" wrapText="1"/>
    </xf>
    <xf numFmtId="0" fontId="41" fillId="5" borderId="11" xfId="0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5" fillId="5" borderId="29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5" fillId="5" borderId="74" xfId="0" applyFont="1" applyFill="1" applyBorder="1" applyAlignment="1">
      <alignment horizontal="center" vertical="center" wrapText="1"/>
    </xf>
    <xf numFmtId="0" fontId="5" fillId="5" borderId="75" xfId="0" applyFont="1" applyFill="1" applyBorder="1" applyAlignment="1">
      <alignment horizontal="center" vertical="center" wrapText="1"/>
    </xf>
    <xf numFmtId="17" fontId="3" fillId="8" borderId="73" xfId="0" applyNumberFormat="1" applyFont="1" applyFill="1" applyBorder="1" applyAlignment="1">
      <alignment horizontal="center" vertical="center" wrapText="1"/>
    </xf>
    <xf numFmtId="17" fontId="3" fillId="8" borderId="3" xfId="0" applyNumberFormat="1" applyFont="1" applyFill="1" applyBorder="1" applyAlignment="1">
      <alignment horizontal="center" vertical="center" wrapText="1"/>
    </xf>
    <xf numFmtId="17" fontId="3" fillId="18" borderId="0" xfId="0" applyNumberFormat="1" applyFont="1" applyFill="1" applyBorder="1" applyAlignment="1">
      <alignment horizontal="center" vertical="center" wrapText="1"/>
    </xf>
    <xf numFmtId="17" fontId="3" fillId="18" borderId="2" xfId="0" applyNumberFormat="1" applyFont="1" applyFill="1" applyBorder="1" applyAlignment="1">
      <alignment horizontal="center" vertical="center" wrapText="1"/>
    </xf>
    <xf numFmtId="0" fontId="5" fillId="5" borderId="37" xfId="0" applyFont="1" applyFill="1" applyBorder="1" applyAlignment="1">
      <alignment horizontal="center" vertical="center" wrapText="1"/>
    </xf>
    <xf numFmtId="49" fontId="4" fillId="5" borderId="37" xfId="0" applyNumberFormat="1" applyFont="1" applyFill="1" applyBorder="1" applyAlignment="1">
      <alignment horizontal="center" vertical="center" wrapText="1"/>
    </xf>
    <xf numFmtId="49" fontId="5" fillId="5" borderId="37" xfId="0" applyNumberFormat="1" applyFont="1" applyFill="1" applyBorder="1" applyAlignment="1">
      <alignment horizontal="center" vertical="center" wrapText="1"/>
    </xf>
    <xf numFmtId="14" fontId="5" fillId="5" borderId="12" xfId="0" applyNumberFormat="1" applyFont="1" applyFill="1" applyBorder="1" applyAlignment="1">
      <alignment horizontal="center" vertical="center" wrapText="1"/>
    </xf>
    <xf numFmtId="1" fontId="27" fillId="5" borderId="4" xfId="0" applyNumberFormat="1" applyFont="1" applyFill="1" applyBorder="1" applyAlignment="1">
      <alignment horizontal="center" wrapText="1"/>
    </xf>
    <xf numFmtId="1" fontId="5" fillId="5" borderId="12" xfId="0" applyNumberFormat="1" applyFont="1" applyFill="1" applyBorder="1" applyAlignment="1">
      <alignment horizontal="center" vertical="center" wrapText="1"/>
    </xf>
    <xf numFmtId="1" fontId="5" fillId="5" borderId="4" xfId="0" applyNumberFormat="1" applyFont="1" applyFill="1" applyBorder="1" applyAlignment="1">
      <alignment horizontal="center" vertical="center" wrapText="1"/>
    </xf>
    <xf numFmtId="17" fontId="3" fillId="8" borderId="0" xfId="0" applyNumberFormat="1" applyFont="1" applyFill="1" applyBorder="1" applyAlignment="1">
      <alignment horizontal="center" vertical="center" wrapText="1"/>
    </xf>
    <xf numFmtId="17" fontId="3" fillId="8" borderId="2" xfId="0" applyNumberFormat="1" applyFont="1" applyFill="1" applyBorder="1" applyAlignment="1">
      <alignment horizontal="center" vertical="center" wrapText="1"/>
    </xf>
    <xf numFmtId="0" fontId="29" fillId="5" borderId="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8" fillId="0" borderId="29" xfId="0" applyFont="1" applyBorder="1" applyAlignment="1"/>
    <xf numFmtId="0" fontId="0" fillId="0" borderId="3" xfId="0" applyBorder="1" applyAlignment="1"/>
    <xf numFmtId="0" fontId="0" fillId="0" borderId="14" xfId="0" applyBorder="1" applyAlignment="1"/>
    <xf numFmtId="0" fontId="0" fillId="0" borderId="8" xfId="0" applyBorder="1" applyAlignment="1"/>
    <xf numFmtId="49" fontId="51" fillId="25" borderId="29" xfId="0" applyNumberFormat="1" applyFont="1" applyFill="1" applyBorder="1" applyAlignment="1">
      <alignment horizontal="center" vertical="center" wrapText="1"/>
    </xf>
    <xf numFmtId="0" fontId="0" fillId="25" borderId="73" xfId="0" applyFill="1" applyBorder="1" applyAlignment="1">
      <alignment horizontal="center" vertical="center" wrapText="1"/>
    </xf>
    <xf numFmtId="0" fontId="0" fillId="25" borderId="3" xfId="0" applyFill="1" applyBorder="1" applyAlignment="1">
      <alignment horizontal="center" vertical="center" wrapText="1"/>
    </xf>
    <xf numFmtId="0" fontId="0" fillId="25" borderId="14" xfId="0" applyFill="1" applyBorder="1" applyAlignment="1">
      <alignment horizontal="center" vertical="center" wrapText="1"/>
    </xf>
    <xf numFmtId="0" fontId="0" fillId="25" borderId="61" xfId="0" applyFill="1" applyBorder="1" applyAlignment="1">
      <alignment horizontal="center" vertical="center" wrapText="1"/>
    </xf>
    <xf numFmtId="0" fontId="0" fillId="25" borderId="8" xfId="0" applyFill="1" applyBorder="1" applyAlignment="1">
      <alignment horizontal="center" vertical="center" wrapText="1"/>
    </xf>
    <xf numFmtId="0" fontId="22" fillId="5" borderId="4" xfId="0" applyFont="1" applyFill="1" applyBorder="1" applyAlignment="1">
      <alignment horizontal="center" vertical="center" wrapText="1"/>
    </xf>
    <xf numFmtId="0" fontId="22" fillId="5" borderId="11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right" wrapText="1"/>
    </xf>
    <xf numFmtId="0" fontId="22" fillId="5" borderId="10" xfId="0" applyFont="1" applyFill="1" applyBorder="1" applyAlignment="1">
      <alignment horizontal="center" vertical="center" wrapText="1"/>
    </xf>
    <xf numFmtId="0" fontId="29" fillId="5" borderId="12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center" vertical="center" wrapText="1"/>
    </xf>
    <xf numFmtId="0" fontId="5" fillId="12" borderId="11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right" wrapText="1"/>
    </xf>
    <xf numFmtId="3" fontId="5" fillId="12" borderId="11" xfId="0" applyNumberFormat="1" applyFont="1" applyFill="1" applyBorder="1" applyAlignment="1">
      <alignment horizontal="right" wrapText="1"/>
    </xf>
    <xf numFmtId="3" fontId="5" fillId="12" borderId="9" xfId="0" applyNumberFormat="1" applyFont="1" applyFill="1" applyBorder="1" applyAlignment="1">
      <alignment horizontal="right" wrapText="1"/>
    </xf>
    <xf numFmtId="0" fontId="0" fillId="12" borderId="11" xfId="0" applyFill="1" applyBorder="1" applyAlignment="1">
      <alignment horizontal="right" wrapText="1"/>
    </xf>
    <xf numFmtId="164" fontId="5" fillId="12" borderId="4" xfId="0" applyNumberFormat="1" applyFont="1" applyFill="1" applyBorder="1" applyAlignment="1">
      <alignment horizontal="right" wrapText="1"/>
    </xf>
    <xf numFmtId="164" fontId="0" fillId="12" borderId="11" xfId="0" applyNumberFormat="1" applyFill="1" applyBorder="1" applyAlignment="1">
      <alignment horizontal="right" wrapText="1"/>
    </xf>
    <xf numFmtId="0" fontId="5" fillId="12" borderId="10" xfId="0" applyFont="1" applyFill="1" applyBorder="1" applyAlignment="1">
      <alignment horizontal="right" wrapText="1"/>
    </xf>
    <xf numFmtId="0" fontId="5" fillId="12" borderId="6" xfId="0" applyFont="1" applyFill="1" applyBorder="1" applyAlignment="1">
      <alignment horizontal="right" wrapText="1"/>
    </xf>
    <xf numFmtId="3" fontId="4" fillId="12" borderId="32" xfId="0" applyNumberFormat="1" applyFont="1" applyFill="1" applyBorder="1" applyAlignment="1">
      <alignment horizontal="right" wrapText="1"/>
    </xf>
    <xf numFmtId="3" fontId="4" fillId="12" borderId="35" xfId="0" applyNumberFormat="1" applyFont="1" applyFill="1" applyBorder="1" applyAlignment="1">
      <alignment horizontal="right" wrapText="1"/>
    </xf>
    <xf numFmtId="0" fontId="22" fillId="5" borderId="9" xfId="0" applyFont="1" applyFill="1" applyBorder="1" applyAlignment="1">
      <alignment horizontal="center" vertical="center" wrapText="1"/>
    </xf>
    <xf numFmtId="0" fontId="5" fillId="5" borderId="57" xfId="0" applyFont="1" applyFill="1" applyBorder="1" applyAlignment="1"/>
    <xf numFmtId="0" fontId="5" fillId="5" borderId="23" xfId="0" applyFont="1" applyFill="1" applyBorder="1" applyAlignment="1"/>
    <xf numFmtId="0" fontId="5" fillId="5" borderId="58" xfId="0" applyFont="1" applyFill="1" applyBorder="1" applyAlignment="1"/>
    <xf numFmtId="0" fontId="29" fillId="5" borderId="26" xfId="0" applyFont="1" applyFill="1" applyBorder="1" applyAlignment="1">
      <alignment horizontal="center" vertical="center" wrapText="1"/>
    </xf>
    <xf numFmtId="0" fontId="29" fillId="5" borderId="27" xfId="0" applyFont="1" applyFill="1" applyBorder="1" applyAlignment="1">
      <alignment horizontal="center" vertical="center" wrapText="1"/>
    </xf>
    <xf numFmtId="0" fontId="5" fillId="5" borderId="49" xfId="0" applyFont="1" applyFill="1" applyBorder="1" applyAlignment="1"/>
    <xf numFmtId="0" fontId="5" fillId="5" borderId="42" xfId="0" applyFont="1" applyFill="1" applyBorder="1" applyAlignment="1"/>
    <xf numFmtId="0" fontId="5" fillId="5" borderId="25" xfId="0" applyFont="1" applyFill="1" applyBorder="1" applyAlignment="1"/>
    <xf numFmtId="0" fontId="5" fillId="5" borderId="29" xfId="0" applyFont="1" applyFill="1" applyBorder="1" applyAlignment="1"/>
    <xf numFmtId="0" fontId="22" fillId="13" borderId="22" xfId="0" applyFont="1" applyFill="1" applyBorder="1" applyAlignment="1">
      <alignment horizontal="center" vertical="center" wrapText="1"/>
    </xf>
    <xf numFmtId="0" fontId="22" fillId="13" borderId="24" xfId="0" applyFont="1" applyFill="1" applyBorder="1" applyAlignment="1">
      <alignment horizontal="center" vertical="center" wrapText="1"/>
    </xf>
    <xf numFmtId="0" fontId="22" fillId="13" borderId="56" xfId="0" applyFont="1" applyFill="1" applyBorder="1" applyAlignment="1">
      <alignment horizontal="center" vertical="center" wrapText="1"/>
    </xf>
    <xf numFmtId="0" fontId="22" fillId="13" borderId="18" xfId="0" applyFont="1" applyFill="1" applyBorder="1" applyAlignment="1">
      <alignment horizontal="center" vertical="center" wrapText="1"/>
    </xf>
    <xf numFmtId="0" fontId="22" fillId="13" borderId="0" xfId="0" applyFont="1" applyFill="1" applyBorder="1" applyAlignment="1">
      <alignment horizontal="center" vertical="center" wrapText="1"/>
    </xf>
    <xf numFmtId="0" fontId="22" fillId="13" borderId="17" xfId="0" applyFont="1" applyFill="1" applyBorder="1" applyAlignment="1">
      <alignment horizontal="center" vertical="center" wrapText="1"/>
    </xf>
    <xf numFmtId="0" fontId="5" fillId="5" borderId="41" xfId="0" applyFont="1" applyFill="1" applyBorder="1" applyAlignment="1"/>
    <xf numFmtId="3" fontId="6" fillId="0" borderId="18" xfId="0" applyNumberFormat="1" applyFont="1" applyBorder="1" applyAlignment="1">
      <alignment horizontal="center"/>
    </xf>
    <xf numFmtId="3" fontId="4" fillId="5" borderId="1" xfId="0" applyNumberFormat="1" applyFont="1" applyFill="1" applyBorder="1" applyAlignment="1">
      <alignment horizontal="right" wrapText="1"/>
    </xf>
    <xf numFmtId="0" fontId="5" fillId="5" borderId="39" xfId="0" applyFont="1" applyFill="1" applyBorder="1" applyAlignment="1"/>
    <xf numFmtId="0" fontId="23" fillId="5" borderId="41" xfId="0" applyFont="1" applyFill="1" applyBorder="1" applyAlignment="1">
      <alignment horizontal="center" vertical="center" wrapText="1"/>
    </xf>
    <xf numFmtId="0" fontId="22" fillId="5" borderId="27" xfId="0" applyFont="1" applyFill="1" applyBorder="1" applyAlignment="1">
      <alignment horizontal="center" vertical="center" wrapText="1"/>
    </xf>
    <xf numFmtId="0" fontId="22" fillId="5" borderId="36" xfId="0" applyFont="1" applyFill="1" applyBorder="1" applyAlignment="1">
      <alignment horizontal="center" vertical="center" wrapText="1"/>
    </xf>
    <xf numFmtId="0" fontId="5" fillId="5" borderId="34" xfId="0" applyFont="1" applyFill="1" applyBorder="1" applyAlignment="1"/>
    <xf numFmtId="0" fontId="23" fillId="5" borderId="42" xfId="0" applyFont="1" applyFill="1" applyBorder="1" applyAlignment="1">
      <alignment horizontal="center" vertical="center" wrapText="1"/>
    </xf>
    <xf numFmtId="3" fontId="4" fillId="12" borderId="9" xfId="0" applyNumberFormat="1" applyFont="1" applyFill="1" applyBorder="1" applyAlignment="1">
      <alignment horizontal="right" wrapText="1"/>
    </xf>
    <xf numFmtId="3" fontId="4" fillId="12" borderId="4" xfId="0" applyNumberFormat="1" applyFont="1" applyFill="1" applyBorder="1" applyAlignment="1">
      <alignment horizontal="right" wrapText="1"/>
    </xf>
    <xf numFmtId="0" fontId="22" fillId="13" borderId="19" xfId="0" applyFont="1" applyFill="1" applyBorder="1" applyAlignment="1">
      <alignment horizontal="center" vertical="center" wrapText="1"/>
    </xf>
    <xf numFmtId="0" fontId="22" fillId="13" borderId="20" xfId="0" applyFont="1" applyFill="1" applyBorder="1" applyAlignment="1">
      <alignment horizontal="center" vertical="center" wrapText="1"/>
    </xf>
    <xf numFmtId="0" fontId="22" fillId="13" borderId="21" xfId="0" applyFont="1" applyFill="1" applyBorder="1" applyAlignment="1">
      <alignment horizontal="center" vertical="center" wrapText="1"/>
    </xf>
    <xf numFmtId="0" fontId="0" fillId="12" borderId="4" xfId="0" applyFill="1" applyBorder="1" applyAlignment="1">
      <alignment horizontal="right" wrapText="1"/>
    </xf>
    <xf numFmtId="164" fontId="0" fillId="12" borderId="4" xfId="0" applyNumberFormat="1" applyFill="1" applyBorder="1" applyAlignment="1">
      <alignment horizontal="right" wrapText="1"/>
    </xf>
    <xf numFmtId="0" fontId="5" fillId="12" borderId="9" xfId="0" applyFont="1" applyFill="1" applyBorder="1" applyAlignment="1">
      <alignment horizontal="right" wrapText="1"/>
    </xf>
    <xf numFmtId="3" fontId="5" fillId="5" borderId="6" xfId="0" applyNumberFormat="1" applyFont="1" applyFill="1" applyBorder="1" applyAlignment="1">
      <alignment horizontal="right" wrapText="1"/>
    </xf>
    <xf numFmtId="0" fontId="23" fillId="5" borderId="34" xfId="0" applyFont="1" applyFill="1" applyBorder="1" applyAlignment="1">
      <alignment horizontal="center" vertical="center" wrapText="1"/>
    </xf>
    <xf numFmtId="3" fontId="21" fillId="5" borderId="4" xfId="0" applyNumberFormat="1" applyFont="1" applyFill="1" applyBorder="1" applyAlignment="1">
      <alignment horizontal="right" wrapText="1"/>
    </xf>
    <xf numFmtId="0" fontId="38" fillId="5" borderId="11" xfId="0" applyFont="1" applyFill="1" applyBorder="1" applyAlignment="1">
      <alignment horizontal="right" wrapText="1"/>
    </xf>
    <xf numFmtId="3" fontId="4" fillId="3" borderId="38" xfId="0" applyNumberFormat="1" applyFont="1" applyFill="1" applyBorder="1" applyAlignment="1">
      <alignment horizontal="right" wrapText="1"/>
    </xf>
    <xf numFmtId="3" fontId="4" fillId="3" borderId="33" xfId="0" applyNumberFormat="1" applyFont="1" applyFill="1" applyBorder="1" applyAlignment="1">
      <alignment horizontal="right" wrapText="1"/>
    </xf>
    <xf numFmtId="164" fontId="5" fillId="13" borderId="4" xfId="0" applyNumberFormat="1" applyFont="1" applyFill="1" applyBorder="1" applyAlignment="1">
      <alignment horizontal="right" wrapText="1"/>
    </xf>
    <xf numFmtId="164" fontId="0" fillId="13" borderId="11" xfId="0" applyNumberFormat="1" applyFill="1" applyBorder="1" applyAlignment="1">
      <alignment horizontal="right" wrapText="1"/>
    </xf>
    <xf numFmtId="0" fontId="5" fillId="13" borderId="4" xfId="0" applyFont="1" applyFill="1" applyBorder="1" applyAlignment="1">
      <alignment horizontal="right" wrapText="1"/>
    </xf>
    <xf numFmtId="0" fontId="5" fillId="13" borderId="11" xfId="0" applyFont="1" applyFill="1" applyBorder="1" applyAlignment="1">
      <alignment horizontal="right" wrapText="1"/>
    </xf>
    <xf numFmtId="0" fontId="23" fillId="13" borderId="39" xfId="0" applyFont="1" applyFill="1" applyBorder="1" applyAlignment="1">
      <alignment horizontal="center" vertical="center" wrapText="1"/>
    </xf>
    <xf numFmtId="0" fontId="23" fillId="13" borderId="42" xfId="0" applyFont="1" applyFill="1" applyBorder="1" applyAlignment="1">
      <alignment horizontal="center" vertical="center" wrapText="1"/>
    </xf>
    <xf numFmtId="49" fontId="4" fillId="13" borderId="4" xfId="0" applyNumberFormat="1" applyFont="1" applyFill="1" applyBorder="1" applyAlignment="1">
      <alignment horizontal="center" vertical="center" wrapText="1"/>
    </xf>
    <xf numFmtId="49" fontId="4" fillId="13" borderId="11" xfId="0" applyNumberFormat="1" applyFont="1" applyFill="1" applyBorder="1" applyAlignment="1">
      <alignment horizontal="center" vertical="center" wrapText="1"/>
    </xf>
    <xf numFmtId="3" fontId="5" fillId="13" borderId="4" xfId="0" applyNumberFormat="1" applyFont="1" applyFill="1" applyBorder="1" applyAlignment="1">
      <alignment horizontal="right" wrapText="1"/>
    </xf>
    <xf numFmtId="3" fontId="5" fillId="13" borderId="11" xfId="0" applyNumberFormat="1" applyFont="1" applyFill="1" applyBorder="1" applyAlignment="1">
      <alignment horizontal="right" wrapText="1"/>
    </xf>
    <xf numFmtId="0" fontId="0" fillId="13" borderId="11" xfId="0" applyFill="1" applyBorder="1" applyAlignment="1">
      <alignment horizontal="right" wrapText="1"/>
    </xf>
    <xf numFmtId="3" fontId="4" fillId="13" borderId="33" xfId="0" applyNumberFormat="1" applyFont="1" applyFill="1" applyBorder="1" applyAlignment="1">
      <alignment horizontal="right" wrapText="1"/>
    </xf>
    <xf numFmtId="3" fontId="4" fillId="13" borderId="35" xfId="0" applyNumberFormat="1" applyFont="1" applyFill="1" applyBorder="1" applyAlignment="1">
      <alignment horizontal="right" wrapText="1"/>
    </xf>
    <xf numFmtId="0" fontId="5" fillId="13" borderId="4" xfId="0" applyFont="1" applyFill="1" applyBorder="1" applyAlignment="1">
      <alignment horizontal="center" vertical="center" wrapText="1"/>
    </xf>
    <xf numFmtId="0" fontId="5" fillId="13" borderId="11" xfId="0" applyFont="1" applyFill="1" applyBorder="1" applyAlignment="1">
      <alignment horizontal="center" vertical="center" wrapText="1"/>
    </xf>
    <xf numFmtId="0" fontId="25" fillId="5" borderId="39" xfId="0" applyFont="1" applyFill="1" applyBorder="1" applyAlignment="1">
      <alignment horizontal="center" vertical="center" wrapText="1"/>
    </xf>
    <xf numFmtId="0" fontId="25" fillId="5" borderId="42" xfId="0" applyFont="1" applyFill="1" applyBorder="1" applyAlignment="1">
      <alignment horizontal="center" vertical="center" wrapText="1"/>
    </xf>
    <xf numFmtId="0" fontId="22" fillId="5" borderId="39" xfId="0" applyFont="1" applyFill="1" applyBorder="1" applyAlignment="1">
      <alignment horizontal="center" vertical="center" wrapText="1"/>
    </xf>
    <xf numFmtId="0" fontId="22" fillId="5" borderId="42" xfId="0" applyFont="1" applyFill="1" applyBorder="1" applyAlignment="1">
      <alignment horizontal="center" vertical="center" wrapText="1"/>
    </xf>
    <xf numFmtId="0" fontId="22" fillId="5" borderId="34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wrapText="1"/>
    </xf>
    <xf numFmtId="0" fontId="5" fillId="5" borderId="9" xfId="0" applyFont="1" applyFill="1" applyBorder="1" applyAlignment="1">
      <alignment wrapText="1"/>
    </xf>
    <xf numFmtId="0" fontId="5" fillId="5" borderId="40" xfId="0" applyFont="1" applyFill="1" applyBorder="1" applyAlignment="1"/>
    <xf numFmtId="0" fontId="5" fillId="5" borderId="32" xfId="0" applyFont="1" applyFill="1" applyBorder="1" applyAlignment="1"/>
    <xf numFmtId="0" fontId="5" fillId="5" borderId="49" xfId="0" applyFont="1" applyFill="1" applyBorder="1" applyAlignment="1">
      <alignment horizontal="center" vertical="center" wrapText="1"/>
    </xf>
    <xf numFmtId="0" fontId="5" fillId="5" borderId="34" xfId="0" applyFont="1" applyFill="1" applyBorder="1" applyAlignment="1">
      <alignment horizontal="center" vertical="center" wrapText="1"/>
    </xf>
    <xf numFmtId="14" fontId="5" fillId="5" borderId="10" xfId="0" applyNumberFormat="1" applyFont="1" applyFill="1" applyBorder="1" applyAlignment="1">
      <alignment horizontal="center" vertical="center" wrapText="1"/>
    </xf>
    <xf numFmtId="14" fontId="5" fillId="5" borderId="6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right" wrapText="1"/>
    </xf>
    <xf numFmtId="49" fontId="5" fillId="3" borderId="6" xfId="0" applyNumberFormat="1" applyFont="1" applyFill="1" applyBorder="1" applyAlignment="1">
      <alignment horizontal="center" vertical="center" wrapText="1"/>
    </xf>
    <xf numFmtId="49" fontId="10" fillId="5" borderId="9" xfId="0" applyNumberFormat="1" applyFont="1" applyFill="1" applyBorder="1" applyAlignment="1">
      <alignment horizontal="center" vertical="center" wrapText="1"/>
    </xf>
    <xf numFmtId="49" fontId="10" fillId="5" borderId="10" xfId="0" applyNumberFormat="1" applyFont="1" applyFill="1" applyBorder="1" applyAlignment="1">
      <alignment horizontal="center" vertical="center" wrapText="1"/>
    </xf>
    <xf numFmtId="3" fontId="4" fillId="5" borderId="50" xfId="0" applyNumberFormat="1" applyFont="1" applyFill="1" applyBorder="1" applyAlignment="1">
      <alignment horizontal="right" wrapText="1"/>
    </xf>
    <xf numFmtId="3" fontId="4" fillId="5" borderId="25" xfId="0" applyNumberFormat="1" applyFont="1" applyFill="1" applyBorder="1" applyAlignment="1">
      <alignment horizontal="right" wrapText="1"/>
    </xf>
    <xf numFmtId="3" fontId="5" fillId="0" borderId="10" xfId="0" applyNumberFormat="1" applyFont="1" applyFill="1" applyBorder="1" applyAlignment="1">
      <alignment horizontal="right" wrapText="1"/>
    </xf>
    <xf numFmtId="3" fontId="5" fillId="0" borderId="6" xfId="0" applyNumberFormat="1" applyFont="1" applyFill="1" applyBorder="1" applyAlignment="1">
      <alignment horizontal="right" wrapText="1"/>
    </xf>
    <xf numFmtId="0" fontId="5" fillId="0" borderId="49" xfId="0" applyFont="1" applyFill="1" applyBorder="1" applyAlignment="1">
      <alignment horizontal="center" vertical="center" wrapText="1"/>
    </xf>
    <xf numFmtId="0" fontId="5" fillId="0" borderId="34" xfId="0" applyFont="1" applyFill="1" applyBorder="1" applyAlignment="1">
      <alignment horizontal="center" vertical="center" wrapText="1"/>
    </xf>
    <xf numFmtId="49" fontId="4" fillId="0" borderId="37" xfId="0" applyNumberFormat="1" applyFont="1" applyFill="1" applyBorder="1" applyAlignment="1">
      <alignment horizontal="center" vertical="center" wrapText="1"/>
    </xf>
    <xf numFmtId="49" fontId="4" fillId="0" borderId="9" xfId="0" applyNumberFormat="1" applyFont="1" applyFill="1" applyBorder="1" applyAlignment="1">
      <alignment horizontal="center" vertical="center" wrapText="1"/>
    </xf>
    <xf numFmtId="3" fontId="4" fillId="5" borderId="29" xfId="0" applyNumberFormat="1" applyFont="1" applyFill="1" applyBorder="1" applyAlignment="1">
      <alignment horizontal="right" wrapText="1"/>
    </xf>
    <xf numFmtId="3" fontId="4" fillId="5" borderId="51" xfId="0" applyNumberFormat="1" applyFont="1" applyFill="1" applyBorder="1" applyAlignment="1">
      <alignment horizontal="right" wrapText="1"/>
    </xf>
    <xf numFmtId="0" fontId="5" fillId="5" borderId="37" xfId="0" applyFont="1" applyFill="1" applyBorder="1" applyAlignment="1">
      <alignment wrapText="1"/>
    </xf>
    <xf numFmtId="17" fontId="3" fillId="8" borderId="10" xfId="0" applyNumberFormat="1" applyFont="1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/>
    </xf>
    <xf numFmtId="3" fontId="4" fillId="5" borderId="14" xfId="0" applyNumberFormat="1" applyFont="1" applyFill="1" applyBorder="1" applyAlignment="1">
      <alignment horizontal="right" wrapText="1"/>
    </xf>
    <xf numFmtId="0" fontId="23" fillId="5" borderId="36" xfId="0" applyFont="1" applyFill="1" applyBorder="1" applyAlignment="1">
      <alignment horizontal="center" vertical="center" wrapText="1"/>
    </xf>
    <xf numFmtId="17" fontId="3" fillId="10" borderId="13" xfId="0" applyNumberFormat="1" applyFont="1" applyFill="1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/>
    </xf>
    <xf numFmtId="17" fontId="3" fillId="16" borderId="10" xfId="0" applyNumberFormat="1" applyFont="1" applyFill="1" applyBorder="1" applyAlignment="1">
      <alignment horizontal="center" vertical="center" wrapText="1"/>
    </xf>
    <xf numFmtId="0" fontId="0" fillId="16" borderId="10" xfId="0" applyFill="1" applyBorder="1" applyAlignment="1">
      <alignment horizontal="center" vertical="center"/>
    </xf>
    <xf numFmtId="164" fontId="5" fillId="5" borderId="6" xfId="0" applyNumberFormat="1" applyFont="1" applyFill="1" applyBorder="1" applyAlignment="1">
      <alignment horizontal="right" wrapText="1"/>
    </xf>
    <xf numFmtId="3" fontId="4" fillId="5" borderId="48" xfId="0" applyNumberFormat="1" applyFont="1" applyFill="1" applyBorder="1" applyAlignment="1">
      <alignment horizontal="right" wrapText="1"/>
    </xf>
    <xf numFmtId="0" fontId="5" fillId="5" borderId="10" xfId="0" applyFont="1" applyFill="1" applyBorder="1" applyAlignment="1">
      <alignment horizontal="center" wrapText="1"/>
    </xf>
    <xf numFmtId="0" fontId="5" fillId="5" borderId="9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wrapText="1"/>
    </xf>
    <xf numFmtId="49" fontId="16" fillId="5" borderId="12" xfId="0" applyNumberFormat="1" applyFont="1" applyFill="1" applyBorder="1" applyAlignment="1">
      <alignment horizontal="center" vertical="center" wrapText="1"/>
    </xf>
    <xf numFmtId="49" fontId="16" fillId="5" borderId="11" xfId="0" applyNumberFormat="1" applyFont="1" applyFill="1" applyBorder="1" applyAlignment="1">
      <alignment horizontal="center" vertical="center" wrapText="1"/>
    </xf>
    <xf numFmtId="3" fontId="11" fillId="5" borderId="9" xfId="0" applyNumberFormat="1" applyFont="1" applyFill="1" applyBorder="1" applyAlignment="1">
      <alignment horizontal="right" wrapText="1"/>
    </xf>
    <xf numFmtId="3" fontId="11" fillId="5" borderId="10" xfId="0" applyNumberFormat="1" applyFont="1" applyFill="1" applyBorder="1" applyAlignment="1">
      <alignment horizontal="right" wrapText="1"/>
    </xf>
    <xf numFmtId="1" fontId="30" fillId="5" borderId="9" xfId="0" applyNumberFormat="1" applyFont="1" applyFill="1" applyBorder="1" applyAlignment="1">
      <alignment horizontal="right" wrapText="1"/>
    </xf>
    <xf numFmtId="1" fontId="31" fillId="5" borderId="10" xfId="0" applyNumberFormat="1" applyFont="1" applyFill="1" applyBorder="1" applyAlignment="1">
      <alignment horizontal="right" wrapText="1"/>
    </xf>
    <xf numFmtId="0" fontId="5" fillId="5" borderId="39" xfId="0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right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3" fontId="5" fillId="15" borderId="12" xfId="0" applyNumberFormat="1" applyFont="1" applyFill="1" applyBorder="1" applyAlignment="1">
      <alignment horizontal="right" wrapText="1"/>
    </xf>
    <xf numFmtId="3" fontId="5" fillId="15" borderId="11" xfId="0" applyNumberFormat="1" applyFont="1" applyFill="1" applyBorder="1" applyAlignment="1">
      <alignment horizontal="right" wrapText="1"/>
    </xf>
    <xf numFmtId="164" fontId="8" fillId="5" borderId="4" xfId="0" applyNumberFormat="1" applyFont="1" applyFill="1" applyBorder="1" applyAlignment="1">
      <alignment horizontal="right" wrapText="1"/>
    </xf>
    <xf numFmtId="0" fontId="8" fillId="5" borderId="10" xfId="0" applyFont="1" applyFill="1" applyBorder="1" applyAlignment="1">
      <alignment horizontal="right" wrapText="1"/>
    </xf>
    <xf numFmtId="164" fontId="8" fillId="5" borderId="10" xfId="0" applyNumberFormat="1" applyFont="1" applyFill="1" applyBorder="1" applyAlignment="1">
      <alignment horizontal="right" wrapText="1"/>
    </xf>
    <xf numFmtId="0" fontId="8" fillId="5" borderId="11" xfId="0" applyFont="1" applyFill="1" applyBorder="1" applyAlignment="1">
      <alignment horizontal="right" wrapText="1"/>
    </xf>
    <xf numFmtId="164" fontId="8" fillId="5" borderId="11" xfId="0" applyNumberFormat="1" applyFont="1" applyFill="1" applyBorder="1" applyAlignment="1">
      <alignment horizontal="right" wrapText="1"/>
    </xf>
    <xf numFmtId="0" fontId="21" fillId="5" borderId="12" xfId="0" applyFont="1" applyFill="1" applyBorder="1" applyAlignment="1">
      <alignment horizontal="center" vertical="center" wrapText="1"/>
    </xf>
    <xf numFmtId="0" fontId="21" fillId="5" borderId="4" xfId="0" applyFont="1" applyFill="1" applyBorder="1" applyAlignment="1">
      <alignment horizontal="center" vertical="center" wrapText="1"/>
    </xf>
    <xf numFmtId="0" fontId="28" fillId="5" borderId="12" xfId="0" applyFont="1" applyFill="1" applyBorder="1" applyAlignment="1">
      <alignment horizontal="center" vertical="center" wrapText="1"/>
    </xf>
    <xf numFmtId="0" fontId="28" fillId="5" borderId="4" xfId="0" applyFont="1" applyFill="1" applyBorder="1" applyAlignment="1">
      <alignment horizontal="center" vertical="center" wrapText="1"/>
    </xf>
    <xf numFmtId="49" fontId="21" fillId="5" borderId="12" xfId="0" applyNumberFormat="1" applyFont="1" applyFill="1" applyBorder="1" applyAlignment="1">
      <alignment horizontal="center" vertical="center" wrapText="1"/>
    </xf>
    <xf numFmtId="17" fontId="3" fillId="13" borderId="43" xfId="0" applyNumberFormat="1" applyFont="1" applyFill="1" applyBorder="1" applyAlignment="1">
      <alignment horizontal="center" vertical="center" wrapText="1"/>
    </xf>
    <xf numFmtId="0" fontId="0" fillId="13" borderId="44" xfId="0" applyFill="1" applyBorder="1" applyAlignment="1">
      <alignment horizontal="center" vertical="center"/>
    </xf>
    <xf numFmtId="0" fontId="0" fillId="13" borderId="45" xfId="0" applyFill="1" applyBorder="1" applyAlignment="1">
      <alignment horizontal="center" vertical="center"/>
    </xf>
    <xf numFmtId="3" fontId="4" fillId="5" borderId="11" xfId="0" applyNumberFormat="1" applyFont="1" applyFill="1" applyBorder="1" applyAlignment="1">
      <alignment horizontal="right" wrapText="1"/>
    </xf>
    <xf numFmtId="49" fontId="33" fillId="5" borderId="4" xfId="0" applyNumberFormat="1" applyFont="1" applyFill="1" applyBorder="1" applyAlignment="1">
      <alignment horizontal="center" vertical="center" wrapText="1"/>
    </xf>
    <xf numFmtId="49" fontId="33" fillId="5" borderId="11" xfId="0" applyNumberFormat="1" applyFont="1" applyFill="1" applyBorder="1" applyAlignment="1">
      <alignment horizontal="center" vertical="center" wrapText="1"/>
    </xf>
    <xf numFmtId="49" fontId="5" fillId="13" borderId="4" xfId="0" applyNumberFormat="1" applyFont="1" applyFill="1" applyBorder="1" applyAlignment="1">
      <alignment horizontal="center" vertical="center" wrapText="1"/>
    </xf>
    <xf numFmtId="49" fontId="5" fillId="13" borderId="11" xfId="0" applyNumberFormat="1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horizontal="center" vertical="center" wrapText="1"/>
    </xf>
    <xf numFmtId="164" fontId="5" fillId="12" borderId="9" xfId="0" applyNumberFormat="1" applyFont="1" applyFill="1" applyBorder="1" applyAlignment="1">
      <alignment horizontal="right" wrapText="1"/>
    </xf>
    <xf numFmtId="0" fontId="7" fillId="5" borderId="36" xfId="0" applyFont="1" applyFill="1" applyBorder="1" applyAlignment="1">
      <alignment horizontal="center" vertical="center" wrapText="1"/>
    </xf>
    <xf numFmtId="0" fontId="7" fillId="5" borderId="10" xfId="0" applyFont="1" applyFill="1" applyBorder="1" applyAlignment="1">
      <alignment horizontal="center" vertical="center" wrapText="1"/>
    </xf>
    <xf numFmtId="0" fontId="21" fillId="5" borderId="26" xfId="0" applyFont="1" applyFill="1" applyBorder="1" applyAlignment="1">
      <alignment horizontal="center" vertical="center" wrapText="1"/>
    </xf>
    <xf numFmtId="0" fontId="21" fillId="5" borderId="36" xfId="0" applyFont="1" applyFill="1" applyBorder="1" applyAlignment="1">
      <alignment horizontal="center" vertical="center" wrapText="1"/>
    </xf>
    <xf numFmtId="3" fontId="4" fillId="5" borderId="12" xfId="0" applyNumberFormat="1" applyFont="1" applyFill="1" applyBorder="1" applyAlignment="1">
      <alignment horizontal="right" wrapText="1"/>
    </xf>
    <xf numFmtId="0" fontId="7" fillId="5" borderId="11" xfId="0" applyFont="1" applyFill="1" applyBorder="1" applyAlignment="1">
      <alignment horizontal="center" vertical="center" wrapText="1"/>
    </xf>
    <xf numFmtId="17" fontId="3" fillId="8" borderId="4" xfId="0" applyNumberFormat="1" applyFont="1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/>
    </xf>
    <xf numFmtId="14" fontId="5" fillId="5" borderId="37" xfId="0" applyNumberFormat="1" applyFont="1" applyFill="1" applyBorder="1" applyAlignment="1">
      <alignment horizontal="center" vertical="center" wrapText="1"/>
    </xf>
    <xf numFmtId="14" fontId="5" fillId="5" borderId="9" xfId="0" applyNumberFormat="1" applyFont="1" applyFill="1" applyBorder="1" applyAlignment="1">
      <alignment horizontal="center" vertical="center" wrapText="1"/>
    </xf>
    <xf numFmtId="3" fontId="4" fillId="5" borderId="37" xfId="0" applyNumberFormat="1" applyFont="1" applyFill="1" applyBorder="1" applyAlignment="1">
      <alignment horizontal="right" wrapText="1"/>
    </xf>
    <xf numFmtId="49" fontId="5" fillId="5" borderId="6" xfId="0" applyNumberFormat="1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3" fontId="4" fillId="0" borderId="47" xfId="0" applyNumberFormat="1" applyFont="1" applyFill="1" applyBorder="1" applyAlignment="1">
      <alignment horizontal="right" wrapText="1"/>
    </xf>
    <xf numFmtId="3" fontId="4" fillId="0" borderId="32" xfId="0" applyNumberFormat="1" applyFont="1" applyFill="1" applyBorder="1" applyAlignment="1">
      <alignment horizontal="right" wrapText="1"/>
    </xf>
    <xf numFmtId="3" fontId="4" fillId="0" borderId="40" xfId="0" applyNumberFormat="1" applyFont="1" applyFill="1" applyBorder="1" applyAlignment="1">
      <alignment horizontal="right" wrapText="1"/>
    </xf>
    <xf numFmtId="3" fontId="4" fillId="0" borderId="48" xfId="0" applyNumberFormat="1" applyFont="1" applyFill="1" applyBorder="1" applyAlignment="1">
      <alignment horizontal="right" wrapText="1"/>
    </xf>
    <xf numFmtId="49" fontId="4" fillId="0" borderId="10" xfId="0" applyNumberFormat="1" applyFont="1" applyFill="1" applyBorder="1" applyAlignment="1">
      <alignment horizontal="center" vertical="center" wrapText="1"/>
    </xf>
    <xf numFmtId="49" fontId="4" fillId="0" borderId="6" xfId="0" applyNumberFormat="1" applyFont="1" applyFill="1" applyBorder="1" applyAlignment="1">
      <alignment horizontal="center" vertical="center" wrapText="1"/>
    </xf>
    <xf numFmtId="49" fontId="5" fillId="0" borderId="10" xfId="0" applyNumberFormat="1" applyFont="1" applyFill="1" applyBorder="1" applyAlignment="1">
      <alignment horizontal="center" vertical="center" wrapText="1"/>
    </xf>
    <xf numFmtId="49" fontId="5" fillId="0" borderId="6" xfId="0" applyNumberFormat="1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164" fontId="5" fillId="0" borderId="10" xfId="0" applyNumberFormat="1" applyFont="1" applyFill="1" applyBorder="1" applyAlignment="1">
      <alignment horizontal="right" wrapText="1"/>
    </xf>
    <xf numFmtId="164" fontId="5" fillId="0" borderId="6" xfId="0" applyNumberFormat="1" applyFont="1" applyFill="1" applyBorder="1" applyAlignment="1">
      <alignment horizontal="right" wrapText="1"/>
    </xf>
    <xf numFmtId="0" fontId="5" fillId="0" borderId="37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3" fontId="5" fillId="0" borderId="37" xfId="0" applyNumberFormat="1" applyFont="1" applyFill="1" applyBorder="1" applyAlignment="1">
      <alignment horizontal="right" wrapText="1"/>
    </xf>
    <xf numFmtId="3" fontId="5" fillId="0" borderId="9" xfId="0" applyNumberFormat="1" applyFont="1" applyFill="1" applyBorder="1" applyAlignment="1">
      <alignment horizontal="right" wrapText="1"/>
    </xf>
    <xf numFmtId="164" fontId="5" fillId="0" borderId="37" xfId="0" applyNumberFormat="1" applyFont="1" applyFill="1" applyBorder="1" applyAlignment="1">
      <alignment horizontal="right" wrapText="1"/>
    </xf>
    <xf numFmtId="164" fontId="5" fillId="0" borderId="9" xfId="0" applyNumberFormat="1" applyFont="1" applyFill="1" applyBorder="1" applyAlignment="1">
      <alignment horizontal="right" wrapText="1"/>
    </xf>
    <xf numFmtId="0" fontId="5" fillId="0" borderId="37" xfId="0" applyFont="1" applyFill="1" applyBorder="1" applyAlignment="1">
      <alignment horizontal="right" wrapText="1"/>
    </xf>
    <xf numFmtId="0" fontId="5" fillId="0" borderId="9" xfId="0" applyFont="1" applyFill="1" applyBorder="1" applyAlignment="1">
      <alignment horizontal="right" wrapText="1"/>
    </xf>
    <xf numFmtId="0" fontId="5" fillId="0" borderId="10" xfId="0" applyFont="1" applyFill="1" applyBorder="1" applyAlignment="1">
      <alignment horizontal="right" wrapText="1"/>
    </xf>
    <xf numFmtId="0" fontId="5" fillId="0" borderId="6" xfId="0" applyFont="1" applyFill="1" applyBorder="1" applyAlignment="1">
      <alignment horizontal="right" wrapText="1"/>
    </xf>
    <xf numFmtId="3" fontId="5" fillId="3" borderId="10" xfId="0" applyNumberFormat="1" applyFont="1" applyFill="1" applyBorder="1" applyAlignment="1">
      <alignment horizontal="right" wrapText="1"/>
    </xf>
    <xf numFmtId="3" fontId="5" fillId="3" borderId="9" xfId="0" applyNumberFormat="1" applyFont="1" applyFill="1" applyBorder="1" applyAlignment="1">
      <alignment horizontal="right" wrapText="1"/>
    </xf>
    <xf numFmtId="0" fontId="22" fillId="0" borderId="39" xfId="0" applyFont="1" applyFill="1" applyBorder="1" applyAlignment="1">
      <alignment horizontal="center" vertical="center" wrapText="1"/>
    </xf>
    <xf numFmtId="0" fontId="22" fillId="0" borderId="42" xfId="0" applyFont="1" applyFill="1" applyBorder="1" applyAlignment="1">
      <alignment horizontal="center" vertical="center" wrapText="1"/>
    </xf>
    <xf numFmtId="49" fontId="5" fillId="0" borderId="37" xfId="0" applyNumberFormat="1" applyFont="1" applyFill="1" applyBorder="1" applyAlignment="1">
      <alignment horizontal="center" vertical="center" wrapText="1"/>
    </xf>
    <xf numFmtId="0" fontId="26" fillId="5" borderId="27" xfId="0" applyFont="1" applyFill="1" applyBorder="1" applyAlignment="1">
      <alignment horizontal="center" vertical="center" wrapText="1"/>
    </xf>
    <xf numFmtId="0" fontId="26" fillId="5" borderId="36" xfId="0" applyFont="1" applyFill="1" applyBorder="1" applyAlignment="1">
      <alignment horizontal="center" vertical="center" wrapText="1"/>
    </xf>
    <xf numFmtId="1" fontId="5" fillId="5" borderId="27" xfId="0" applyNumberFormat="1" applyFont="1" applyFill="1" applyBorder="1" applyAlignment="1">
      <alignment horizontal="center" vertical="center" wrapText="1"/>
    </xf>
    <xf numFmtId="1" fontId="5" fillId="5" borderId="36" xfId="0" applyNumberFormat="1" applyFont="1" applyFill="1" applyBorder="1" applyAlignment="1">
      <alignment horizontal="center" vertical="center" wrapText="1"/>
    </xf>
    <xf numFmtId="1" fontId="5" fillId="5" borderId="11" xfId="0" applyNumberFormat="1" applyFont="1" applyFill="1" applyBorder="1" applyAlignment="1">
      <alignment horizontal="center" vertical="center" wrapText="1"/>
    </xf>
    <xf numFmtId="0" fontId="5" fillId="5" borderId="42" xfId="0" applyFont="1" applyFill="1" applyBorder="1" applyAlignment="1">
      <alignment horizontal="center" vertical="center" wrapText="1"/>
    </xf>
    <xf numFmtId="0" fontId="5" fillId="11" borderId="27" xfId="0" applyFont="1" applyFill="1" applyBorder="1" applyAlignment="1">
      <alignment horizontal="center" vertical="center" wrapText="1"/>
    </xf>
    <xf numFmtId="49" fontId="4" fillId="11" borderId="4" xfId="0" applyNumberFormat="1" applyFont="1" applyFill="1" applyBorder="1" applyAlignment="1">
      <alignment horizontal="center" vertical="center" wrapText="1"/>
    </xf>
    <xf numFmtId="49" fontId="5" fillId="11" borderId="4" xfId="0" applyNumberFormat="1" applyFont="1" applyFill="1" applyBorder="1" applyAlignment="1">
      <alignment horizontal="center" vertical="center" wrapText="1"/>
    </xf>
    <xf numFmtId="1" fontId="27" fillId="5" borderId="39" xfId="0" applyNumberFormat="1" applyFont="1" applyFill="1" applyBorder="1" applyAlignment="1">
      <alignment horizontal="center" wrapText="1"/>
    </xf>
    <xf numFmtId="1" fontId="27" fillId="5" borderId="42" xfId="0" applyNumberFormat="1" applyFont="1" applyFill="1" applyBorder="1" applyAlignment="1">
      <alignment horizontal="center" wrapText="1"/>
    </xf>
    <xf numFmtId="3" fontId="5" fillId="5" borderId="10" xfId="0" applyNumberFormat="1" applyFont="1" applyFill="1" applyBorder="1" applyAlignment="1">
      <alignment wrapText="1"/>
    </xf>
    <xf numFmtId="3" fontId="5" fillId="5" borderId="9" xfId="0" applyNumberFormat="1" applyFont="1" applyFill="1" applyBorder="1" applyAlignment="1">
      <alignment wrapText="1"/>
    </xf>
    <xf numFmtId="3" fontId="4" fillId="11" borderId="25" xfId="0" applyNumberFormat="1" applyFont="1" applyFill="1" applyBorder="1" applyAlignment="1">
      <alignment horizontal="right" wrapText="1"/>
    </xf>
    <xf numFmtId="0" fontId="5" fillId="11" borderId="4" xfId="0" applyFont="1" applyFill="1" applyBorder="1" applyAlignment="1">
      <alignment horizontal="center" vertical="center" wrapText="1"/>
    </xf>
    <xf numFmtId="3" fontId="5" fillId="11" borderId="4" xfId="0" applyNumberFormat="1" applyFont="1" applyFill="1" applyBorder="1" applyAlignment="1">
      <alignment horizontal="right" wrapText="1"/>
    </xf>
    <xf numFmtId="0" fontId="5" fillId="5" borderId="6" xfId="0" applyFont="1" applyFill="1" applyBorder="1" applyAlignment="1">
      <alignment wrapText="1"/>
    </xf>
    <xf numFmtId="0" fontId="5" fillId="11" borderId="10" xfId="0" applyFont="1" applyFill="1" applyBorder="1" applyAlignment="1">
      <alignment horizontal="right" wrapText="1"/>
    </xf>
    <xf numFmtId="0" fontId="5" fillId="11" borderId="9" xfId="0" applyFont="1" applyFill="1" applyBorder="1" applyAlignment="1">
      <alignment horizontal="right" wrapText="1"/>
    </xf>
    <xf numFmtId="0" fontId="0" fillId="11" borderId="4" xfId="0" applyFill="1" applyBorder="1" applyAlignment="1">
      <alignment horizontal="right" wrapText="1"/>
    </xf>
    <xf numFmtId="164" fontId="5" fillId="11" borderId="4" xfId="0" applyNumberFormat="1" applyFont="1" applyFill="1" applyBorder="1" applyAlignment="1">
      <alignment horizontal="right" wrapText="1"/>
    </xf>
    <xf numFmtId="164" fontId="0" fillId="11" borderId="4" xfId="0" applyNumberFormat="1" applyFill="1" applyBorder="1" applyAlignment="1">
      <alignment horizontal="right" wrapText="1"/>
    </xf>
    <xf numFmtId="0" fontId="0" fillId="5" borderId="4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/>
    </xf>
    <xf numFmtId="49" fontId="4" fillId="5" borderId="6" xfId="0" applyNumberFormat="1" applyFont="1" applyFill="1" applyBorder="1" applyAlignment="1">
      <alignment horizontal="center" vertical="center" wrapText="1"/>
    </xf>
    <xf numFmtId="0" fontId="22" fillId="5" borderId="6" xfId="0" applyFont="1" applyFill="1" applyBorder="1" applyAlignment="1">
      <alignment horizontal="center" vertical="center" wrapText="1"/>
    </xf>
    <xf numFmtId="0" fontId="24" fillId="5" borderId="37" xfId="0" applyFont="1" applyFill="1" applyBorder="1" applyAlignment="1">
      <alignment horizontal="center" vertical="center" wrapText="1"/>
    </xf>
    <xf numFmtId="0" fontId="24" fillId="5" borderId="6" xfId="0" applyFont="1" applyFill="1" applyBorder="1" applyAlignment="1">
      <alignment horizontal="center" vertical="center" wrapText="1"/>
    </xf>
    <xf numFmtId="0" fontId="11" fillId="5" borderId="9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22" fillId="5" borderId="41" xfId="0" applyFont="1" applyFill="1" applyBorder="1" applyAlignment="1">
      <alignment horizontal="center" vertical="center" wrapText="1"/>
    </xf>
    <xf numFmtId="0" fontId="32" fillId="5" borderId="9" xfId="0" applyFont="1" applyFill="1" applyBorder="1" applyAlignment="1">
      <alignment horizontal="center" vertical="center" wrapText="1"/>
    </xf>
    <xf numFmtId="0" fontId="32" fillId="5" borderId="10" xfId="0" applyFont="1" applyFill="1" applyBorder="1" applyAlignment="1">
      <alignment horizontal="center" vertical="center" wrapText="1"/>
    </xf>
    <xf numFmtId="49" fontId="9" fillId="5" borderId="9" xfId="0" applyNumberFormat="1" applyFont="1" applyFill="1" applyBorder="1" applyAlignment="1">
      <alignment horizontal="center" vertical="center" wrapText="1"/>
    </xf>
    <xf numFmtId="49" fontId="9" fillId="5" borderId="10" xfId="0" applyNumberFormat="1" applyFont="1" applyFill="1" applyBorder="1" applyAlignment="1">
      <alignment horizontal="center" vertical="center" wrapText="1"/>
    </xf>
    <xf numFmtId="0" fontId="21" fillId="12" borderId="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wrapText="1"/>
    </xf>
    <xf numFmtId="49" fontId="4" fillId="12" borderId="9" xfId="0" applyNumberFormat="1" applyFont="1" applyFill="1" applyBorder="1" applyAlignment="1">
      <alignment horizontal="center" vertical="center" wrapText="1"/>
    </xf>
    <xf numFmtId="49" fontId="4" fillId="12" borderId="4" xfId="0" applyNumberFormat="1" applyFont="1" applyFill="1" applyBorder="1" applyAlignment="1">
      <alignment horizontal="center" vertical="center" wrapText="1"/>
    </xf>
    <xf numFmtId="49" fontId="5" fillId="12" borderId="9" xfId="0" applyNumberFormat="1" applyFont="1" applyFill="1" applyBorder="1" applyAlignment="1">
      <alignment horizontal="center" vertical="center" wrapText="1"/>
    </xf>
    <xf numFmtId="49" fontId="5" fillId="12" borderId="4" xfId="0" applyNumberFormat="1" applyFont="1" applyFill="1" applyBorder="1" applyAlignment="1">
      <alignment horizontal="center" vertical="center" wrapText="1"/>
    </xf>
    <xf numFmtId="3" fontId="9" fillId="0" borderId="25" xfId="0" applyNumberFormat="1" applyFont="1" applyBorder="1" applyAlignment="1">
      <alignment horizontal="center"/>
    </xf>
    <xf numFmtId="3" fontId="15" fillId="0" borderId="52" xfId="0" applyNumberFormat="1" applyFont="1" applyBorder="1" applyAlignment="1">
      <alignment horizontal="center"/>
    </xf>
    <xf numFmtId="3" fontId="15" fillId="0" borderId="53" xfId="0" applyNumberFormat="1" applyFont="1" applyBorder="1" applyAlignment="1">
      <alignment horizontal="center"/>
    </xf>
    <xf numFmtId="3" fontId="4" fillId="5" borderId="46" xfId="0" applyNumberFormat="1" applyFont="1" applyFill="1" applyBorder="1" applyAlignment="1">
      <alignment horizontal="right" wrapText="1"/>
    </xf>
    <xf numFmtId="14" fontId="5" fillId="0" borderId="10" xfId="0" applyNumberFormat="1" applyFont="1" applyFill="1" applyBorder="1" applyAlignment="1">
      <alignment horizontal="center" vertical="center" wrapText="1"/>
    </xf>
    <xf numFmtId="14" fontId="5" fillId="0" borderId="6" xfId="0" applyNumberFormat="1" applyFont="1" applyFill="1" applyBorder="1" applyAlignment="1">
      <alignment horizontal="center" vertical="center" wrapText="1"/>
    </xf>
    <xf numFmtId="0" fontId="5" fillId="12" borderId="4" xfId="0" applyFont="1" applyFill="1" applyBorder="1" applyAlignment="1">
      <alignment horizontal="right" wrapText="1"/>
    </xf>
    <xf numFmtId="0" fontId="25" fillId="5" borderId="4" xfId="0" applyFont="1" applyFill="1" applyBorder="1" applyAlignment="1">
      <alignment horizontal="center" vertical="center" wrapText="1"/>
    </xf>
    <xf numFmtId="0" fontId="24" fillId="5" borderId="12" xfId="0" applyFont="1" applyFill="1" applyBorder="1" applyAlignment="1">
      <alignment horizontal="center" vertical="center" wrapText="1"/>
    </xf>
    <xf numFmtId="0" fontId="24" fillId="5" borderId="11" xfId="0" applyFont="1" applyFill="1" applyBorder="1" applyAlignment="1">
      <alignment horizontal="center" vertical="center" wrapText="1"/>
    </xf>
    <xf numFmtId="0" fontId="25" fillId="5" borderId="11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49" fontId="21" fillId="5" borderId="9" xfId="0" applyNumberFormat="1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 wrapText="1"/>
    </xf>
    <xf numFmtId="3" fontId="4" fillId="12" borderId="33" xfId="0" applyNumberFormat="1" applyFont="1" applyFill="1" applyBorder="1" applyAlignment="1">
      <alignment horizontal="right" wrapText="1"/>
    </xf>
    <xf numFmtId="49" fontId="17" fillId="5" borderId="12" xfId="0" applyNumberFormat="1" applyFont="1" applyFill="1" applyBorder="1" applyAlignment="1">
      <alignment horizontal="center" vertical="center" wrapText="1"/>
    </xf>
    <xf numFmtId="49" fontId="17" fillId="5" borderId="11" xfId="0" applyNumberFormat="1" applyFont="1" applyFill="1" applyBorder="1" applyAlignment="1">
      <alignment horizontal="center" vertical="center" wrapText="1"/>
    </xf>
    <xf numFmtId="49" fontId="4" fillId="15" borderId="12" xfId="0" applyNumberFormat="1" applyFont="1" applyFill="1" applyBorder="1" applyAlignment="1">
      <alignment horizontal="center" vertical="center" wrapText="1"/>
    </xf>
    <xf numFmtId="49" fontId="4" fillId="15" borderId="11" xfId="0" applyNumberFormat="1" applyFont="1" applyFill="1" applyBorder="1" applyAlignment="1">
      <alignment horizontal="center" vertical="center" wrapText="1"/>
    </xf>
    <xf numFmtId="49" fontId="5" fillId="15" borderId="12" xfId="0" applyNumberFormat="1" applyFont="1" applyFill="1" applyBorder="1" applyAlignment="1">
      <alignment horizontal="center" vertical="center" wrapText="1"/>
    </xf>
    <xf numFmtId="49" fontId="5" fillId="15" borderId="11" xfId="0" applyNumberFormat="1" applyFont="1" applyFill="1" applyBorder="1" applyAlignment="1">
      <alignment horizontal="center" vertical="center" wrapText="1"/>
    </xf>
    <xf numFmtId="0" fontId="0" fillId="15" borderId="11" xfId="0" applyFill="1" applyBorder="1" applyAlignment="1">
      <alignment horizontal="right" wrapText="1"/>
    </xf>
    <xf numFmtId="164" fontId="5" fillId="15" borderId="12" xfId="0" applyNumberFormat="1" applyFont="1" applyFill="1" applyBorder="1" applyAlignment="1">
      <alignment horizontal="right" wrapText="1"/>
    </xf>
    <xf numFmtId="164" fontId="0" fillId="15" borderId="11" xfId="0" applyNumberFormat="1" applyFill="1" applyBorder="1" applyAlignment="1">
      <alignment horizontal="right" wrapText="1"/>
    </xf>
    <xf numFmtId="0" fontId="5" fillId="15" borderId="37" xfId="0" applyFont="1" applyFill="1" applyBorder="1" applyAlignment="1">
      <alignment horizontal="right" wrapText="1"/>
    </xf>
    <xf numFmtId="0" fontId="5" fillId="15" borderId="6" xfId="0" applyFont="1" applyFill="1" applyBorder="1" applyAlignment="1">
      <alignment horizontal="right" wrapText="1"/>
    </xf>
    <xf numFmtId="3" fontId="4" fillId="15" borderId="38" xfId="0" applyNumberFormat="1" applyFont="1" applyFill="1" applyBorder="1" applyAlignment="1">
      <alignment horizontal="right" wrapText="1"/>
    </xf>
    <xf numFmtId="3" fontId="4" fillId="15" borderId="35" xfId="0" applyNumberFormat="1" applyFont="1" applyFill="1" applyBorder="1" applyAlignment="1">
      <alignment horizontal="right" wrapText="1"/>
    </xf>
    <xf numFmtId="3" fontId="4" fillId="3" borderId="4" xfId="0" applyNumberFormat="1" applyFont="1" applyFill="1" applyBorder="1" applyAlignment="1">
      <alignment horizontal="right" wrapText="1"/>
    </xf>
    <xf numFmtId="3" fontId="4" fillId="3" borderId="10" xfId="0" applyNumberFormat="1" applyFont="1" applyFill="1" applyBorder="1" applyAlignment="1">
      <alignment horizontal="right" wrapText="1"/>
    </xf>
    <xf numFmtId="49" fontId="21" fillId="5" borderId="11" xfId="0" applyNumberFormat="1" applyFont="1" applyFill="1" applyBorder="1" applyAlignment="1">
      <alignment horizontal="center" vertical="center" wrapText="1"/>
    </xf>
    <xf numFmtId="0" fontId="21" fillId="5" borderId="11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center" vertical="center" wrapText="1"/>
    </xf>
    <xf numFmtId="0" fontId="5" fillId="5" borderId="41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/>
    <xf numFmtId="0" fontId="5" fillId="17" borderId="14" xfId="0" applyFont="1" applyFill="1" applyBorder="1" applyAlignment="1"/>
    <xf numFmtId="0" fontId="5" fillId="17" borderId="25" xfId="0" applyFont="1" applyFill="1" applyBorder="1" applyAlignment="1"/>
    <xf numFmtId="0" fontId="21" fillId="5" borderId="1" xfId="0" applyFont="1" applyFill="1" applyBorder="1" applyAlignment="1">
      <alignment horizontal="center" vertical="center" wrapText="1"/>
    </xf>
    <xf numFmtId="0" fontId="21" fillId="5" borderId="6" xfId="0" applyFont="1" applyFill="1" applyBorder="1" applyAlignment="1">
      <alignment horizontal="center" vertical="center" wrapText="1"/>
    </xf>
    <xf numFmtId="0" fontId="5" fillId="14" borderId="9" xfId="0" applyFont="1" applyFill="1" applyBorder="1" applyAlignment="1"/>
    <xf numFmtId="0" fontId="5" fillId="14" borderId="4" xfId="0" applyFont="1" applyFill="1" applyBorder="1" applyAlignment="1"/>
    <xf numFmtId="3" fontId="4" fillId="5" borderId="6" xfId="0" applyNumberFormat="1" applyFont="1" applyFill="1" applyBorder="1" applyAlignment="1">
      <alignment horizontal="right" wrapText="1"/>
    </xf>
    <xf numFmtId="0" fontId="22" fillId="5" borderId="1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7" fontId="3" fillId="8" borderId="65" xfId="0" applyNumberFormat="1" applyFont="1" applyFill="1" applyBorder="1" applyAlignment="1">
      <alignment horizontal="center" vertical="center" wrapText="1"/>
    </xf>
    <xf numFmtId="0" fontId="0" fillId="8" borderId="66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49" fontId="4" fillId="3" borderId="10" xfId="0" applyNumberFormat="1" applyFont="1" applyFill="1" applyBorder="1" applyAlignment="1">
      <alignment horizontal="center" vertical="center" wrapText="1"/>
    </xf>
    <xf numFmtId="49" fontId="4" fillId="3" borderId="6" xfId="0" applyNumberFormat="1" applyFont="1" applyFill="1" applyBorder="1" applyAlignment="1">
      <alignment horizontal="center" vertical="center" wrapText="1"/>
    </xf>
    <xf numFmtId="49" fontId="5" fillId="3" borderId="13" xfId="0" applyNumberFormat="1" applyFont="1" applyFill="1" applyBorder="1" applyAlignment="1">
      <alignment horizontal="center" vertical="center" wrapText="1"/>
    </xf>
    <xf numFmtId="49" fontId="5" fillId="3" borderId="14" xfId="0" applyNumberFormat="1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horizontal="center" vertical="center" wrapText="1"/>
    </xf>
    <xf numFmtId="0" fontId="7" fillId="3" borderId="69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70" xfId="0" applyFont="1" applyFill="1" applyBorder="1" applyAlignment="1">
      <alignment horizontal="center" vertical="center" wrapText="1"/>
    </xf>
    <xf numFmtId="3" fontId="5" fillId="3" borderId="6" xfId="0" applyNumberFormat="1" applyFont="1" applyFill="1" applyBorder="1" applyAlignment="1">
      <alignment horizontal="right" wrapText="1"/>
    </xf>
    <xf numFmtId="0" fontId="8" fillId="3" borderId="4" xfId="0" applyFont="1" applyFill="1" applyBorder="1" applyAlignment="1">
      <alignment horizontal="right" wrapText="1"/>
    </xf>
    <xf numFmtId="164" fontId="5" fillId="3" borderId="4" xfId="0" applyNumberFormat="1" applyFont="1" applyFill="1" applyBorder="1" applyAlignment="1">
      <alignment horizontal="right" wrapText="1"/>
    </xf>
    <xf numFmtId="164" fontId="8" fillId="3" borderId="11" xfId="0" applyNumberFormat="1" applyFont="1" applyFill="1" applyBorder="1" applyAlignment="1">
      <alignment horizontal="right" wrapText="1"/>
    </xf>
    <xf numFmtId="0" fontId="5" fillId="3" borderId="10" xfId="0" applyFont="1" applyFill="1" applyBorder="1" applyAlignment="1">
      <alignment horizontal="right" wrapText="1"/>
    </xf>
    <xf numFmtId="0" fontId="5" fillId="3" borderId="6" xfId="0" applyFont="1" applyFill="1" applyBorder="1" applyAlignment="1">
      <alignment horizontal="right" wrapText="1"/>
    </xf>
    <xf numFmtId="3" fontId="4" fillId="3" borderId="6" xfId="0" applyNumberFormat="1" applyFont="1" applyFill="1" applyBorder="1" applyAlignment="1">
      <alignment horizontal="right" wrapText="1"/>
    </xf>
    <xf numFmtId="0" fontId="23" fillId="5" borderId="6" xfId="0" applyFont="1" applyFill="1" applyBorder="1" applyAlignment="1">
      <alignment horizontal="center" vertical="center" wrapText="1"/>
    </xf>
    <xf numFmtId="17" fontId="3" fillId="5" borderId="54" xfId="0" applyNumberFormat="1" applyFont="1" applyFill="1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center" vertical="center" wrapText="1"/>
    </xf>
    <xf numFmtId="0" fontId="26" fillId="5" borderId="1" xfId="0" applyFont="1" applyFill="1" applyBorder="1" applyAlignment="1">
      <alignment horizontal="center" vertical="center" wrapText="1"/>
    </xf>
    <xf numFmtId="0" fontId="26" fillId="5" borderId="9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37" fillId="5" borderId="9" xfId="0" applyFont="1" applyFill="1" applyBorder="1" applyAlignment="1">
      <alignment horizontal="center" vertical="center" wrapText="1"/>
    </xf>
    <xf numFmtId="0" fontId="36" fillId="5" borderId="10" xfId="0" applyFont="1" applyFill="1" applyBorder="1" applyAlignment="1">
      <alignment horizontal="center" vertical="top" wrapText="1"/>
    </xf>
    <xf numFmtId="0" fontId="36" fillId="5" borderId="6" xfId="0" applyFont="1" applyFill="1" applyBorder="1" applyAlignment="1">
      <alignment horizontal="center" vertical="top" wrapText="1"/>
    </xf>
    <xf numFmtId="0" fontId="35" fillId="5" borderId="10" xfId="0" applyFont="1" applyFill="1" applyBorder="1" applyAlignment="1">
      <alignment horizontal="center" vertical="center" wrapText="1"/>
    </xf>
    <xf numFmtId="0" fontId="35" fillId="5" borderId="9" xfId="0" applyFont="1" applyFill="1" applyBorder="1" applyAlignment="1">
      <alignment horizontal="center" vertical="center" wrapText="1"/>
    </xf>
    <xf numFmtId="17" fontId="3" fillId="5" borderId="65" xfId="0" applyNumberFormat="1" applyFont="1" applyFill="1" applyBorder="1" applyAlignment="1">
      <alignment horizontal="center" vertical="center" wrapText="1"/>
    </xf>
    <xf numFmtId="0" fontId="0" fillId="5" borderId="66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3" fontId="4" fillId="5" borderId="13" xfId="0" applyNumberFormat="1" applyFont="1" applyFill="1" applyBorder="1" applyAlignment="1">
      <alignment horizontal="right" wrapText="1"/>
    </xf>
    <xf numFmtId="0" fontId="21" fillId="5" borderId="9" xfId="0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49" fontId="33" fillId="5" borderId="1" xfId="0" applyNumberFormat="1" applyFont="1" applyFill="1" applyBorder="1" applyAlignment="1">
      <alignment horizontal="center" vertical="center" wrapText="1"/>
    </xf>
    <xf numFmtId="49" fontId="33" fillId="5" borderId="9" xfId="0" applyNumberFormat="1" applyFont="1" applyFill="1" applyBorder="1" applyAlignment="1">
      <alignment horizontal="center" vertical="center" wrapText="1"/>
    </xf>
    <xf numFmtId="3" fontId="33" fillId="5" borderId="10" xfId="0" applyNumberFormat="1" applyFont="1" applyFill="1" applyBorder="1" applyAlignment="1">
      <alignment horizontal="right" wrapText="1"/>
    </xf>
    <xf numFmtId="3" fontId="33" fillId="5" borderId="6" xfId="0" applyNumberFormat="1" applyFont="1" applyFill="1" applyBorder="1" applyAlignment="1">
      <alignment horizontal="right" wrapText="1"/>
    </xf>
    <xf numFmtId="0" fontId="34" fillId="5" borderId="1" xfId="0" applyFont="1" applyFill="1" applyBorder="1" applyAlignment="1">
      <alignment horizontal="center" vertical="center" wrapText="1"/>
    </xf>
    <xf numFmtId="0" fontId="34" fillId="5" borderId="9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5" borderId="39" xfId="0" applyFont="1" applyFill="1" applyBorder="1" applyAlignment="1">
      <alignment horizontal="center" vertical="center" wrapText="1"/>
    </xf>
    <xf numFmtId="0" fontId="7" fillId="5" borderId="42" xfId="0" applyFont="1" applyFill="1" applyBorder="1" applyAlignment="1">
      <alignment horizontal="center" vertical="center" wrapText="1"/>
    </xf>
    <xf numFmtId="17" fontId="3" fillId="8" borderId="30" xfId="0" applyNumberFormat="1" applyFont="1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/>
    </xf>
    <xf numFmtId="0" fontId="0" fillId="8" borderId="68" xfId="0" applyFill="1" applyBorder="1" applyAlignment="1">
      <alignment horizontal="center" vertical="center"/>
    </xf>
    <xf numFmtId="3" fontId="0" fillId="5" borderId="4" xfId="0" applyNumberFormat="1" applyFill="1" applyBorder="1" applyAlignment="1">
      <alignment horizontal="right" wrapText="1"/>
    </xf>
    <xf numFmtId="17" fontId="3" fillId="5" borderId="62" xfId="0" applyNumberFormat="1" applyFont="1" applyFill="1" applyBorder="1" applyAlignment="1">
      <alignment horizontal="center" vertical="center" wrapText="1"/>
    </xf>
    <xf numFmtId="17" fontId="3" fillId="5" borderId="24" xfId="0" applyNumberFormat="1" applyFont="1" applyFill="1" applyBorder="1" applyAlignment="1">
      <alignment horizontal="center" vertical="center" wrapText="1"/>
    </xf>
    <xf numFmtId="17" fontId="3" fillId="5" borderId="63" xfId="0" applyNumberFormat="1" applyFont="1" applyFill="1" applyBorder="1" applyAlignment="1">
      <alignment horizontal="center" vertical="center" wrapText="1"/>
    </xf>
    <xf numFmtId="0" fontId="21" fillId="7" borderId="14" xfId="0" applyFont="1" applyFill="1" applyBorder="1" applyAlignment="1"/>
    <xf numFmtId="0" fontId="21" fillId="7" borderId="25" xfId="0" applyFont="1" applyFill="1" applyBorder="1" applyAlignment="1"/>
    <xf numFmtId="0" fontId="7" fillId="5" borderId="34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right" wrapText="1"/>
    </xf>
    <xf numFmtId="0" fontId="9" fillId="5" borderId="9" xfId="0" applyFont="1" applyFill="1" applyBorder="1" applyAlignment="1">
      <alignment horizontal="right" wrapText="1"/>
    </xf>
    <xf numFmtId="3" fontId="9" fillId="5" borderId="1" xfId="0" applyNumberFormat="1" applyFont="1" applyFill="1" applyBorder="1" applyAlignment="1">
      <alignment horizontal="right" wrapText="1"/>
    </xf>
    <xf numFmtId="3" fontId="9" fillId="5" borderId="9" xfId="0" applyNumberFormat="1" applyFont="1" applyFill="1" applyBorder="1" applyAlignment="1">
      <alignment horizontal="right" wrapText="1"/>
    </xf>
    <xf numFmtId="0" fontId="9" fillId="5" borderId="4" xfId="0" applyFont="1" applyFill="1" applyBorder="1" applyAlignment="1">
      <alignment horizontal="right" wrapText="1"/>
    </xf>
    <xf numFmtId="1" fontId="9" fillId="5" borderId="4" xfId="0" applyNumberFormat="1" applyFont="1" applyFill="1" applyBorder="1" applyAlignment="1">
      <alignment horizontal="right" wrapText="1"/>
    </xf>
    <xf numFmtId="16" fontId="5" fillId="5" borderId="37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right" wrapText="1"/>
    </xf>
    <xf numFmtId="0" fontId="8" fillId="3" borderId="11" xfId="0" applyFont="1" applyFill="1" applyBorder="1" applyAlignment="1">
      <alignment horizontal="right" wrapText="1"/>
    </xf>
    <xf numFmtId="0" fontId="5" fillId="3" borderId="1" xfId="0" applyFont="1" applyFill="1" applyBorder="1" applyAlignment="1">
      <alignment horizontal="right" wrapText="1"/>
    </xf>
    <xf numFmtId="3" fontId="4" fillId="3" borderId="64" xfId="0" applyNumberFormat="1" applyFont="1" applyFill="1" applyBorder="1" applyAlignment="1">
      <alignment horizontal="right" wrapText="1"/>
    </xf>
    <xf numFmtId="3" fontId="4" fillId="3" borderId="48" xfId="0" applyNumberFormat="1" applyFont="1" applyFill="1" applyBorder="1" applyAlignment="1">
      <alignment horizontal="right" wrapText="1"/>
    </xf>
    <xf numFmtId="0" fontId="5" fillId="3" borderId="41" xfId="0" applyFont="1" applyFill="1" applyBorder="1" applyAlignment="1">
      <alignment horizontal="center" vertical="center" wrapText="1"/>
    </xf>
    <xf numFmtId="0" fontId="5" fillId="3" borderId="42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17" fontId="3" fillId="8" borderId="62" xfId="0" applyNumberFormat="1" applyFont="1" applyFill="1" applyBorder="1" applyAlignment="1">
      <alignment horizontal="center" vertical="center" wrapText="1"/>
    </xf>
    <xf numFmtId="17" fontId="3" fillId="8" borderId="24" xfId="0" applyNumberFormat="1" applyFont="1" applyFill="1" applyBorder="1" applyAlignment="1">
      <alignment horizontal="center" vertical="center" wrapText="1"/>
    </xf>
    <xf numFmtId="17" fontId="3" fillId="8" borderId="63" xfId="0" applyNumberFormat="1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right" wrapText="1"/>
    </xf>
    <xf numFmtId="164" fontId="0" fillId="3" borderId="11" xfId="0" applyNumberFormat="1" applyFill="1" applyBorder="1" applyAlignment="1">
      <alignment horizontal="right" wrapText="1"/>
    </xf>
    <xf numFmtId="0" fontId="22" fillId="3" borderId="27" xfId="0" applyFont="1" applyFill="1" applyBorder="1" applyAlignment="1">
      <alignment horizontal="center" vertical="center" wrapText="1"/>
    </xf>
    <xf numFmtId="0" fontId="22" fillId="3" borderId="36" xfId="0" applyFont="1" applyFill="1" applyBorder="1" applyAlignment="1">
      <alignment horizontal="center" vertical="center" wrapText="1"/>
    </xf>
    <xf numFmtId="0" fontId="5" fillId="7" borderId="37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/>
    <xf numFmtId="0" fontId="5" fillId="3" borderId="25" xfId="0" applyFont="1" applyFill="1" applyBorder="1" applyAlignment="1"/>
    <xf numFmtId="17" fontId="3" fillId="5" borderId="14" xfId="0" applyNumberFormat="1" applyFont="1" applyFill="1" applyBorder="1" applyAlignment="1">
      <alignment horizontal="center" vertical="center" wrapText="1"/>
    </xf>
    <xf numFmtId="0" fontId="0" fillId="5" borderId="6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17" fontId="3" fillId="9" borderId="14" xfId="0" applyNumberFormat="1" applyFont="1" applyFill="1" applyBorder="1" applyAlignment="1">
      <alignment horizontal="center" vertical="center" wrapText="1"/>
    </xf>
    <xf numFmtId="0" fontId="0" fillId="9" borderId="6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5" fillId="5" borderId="59" xfId="0" applyFont="1" applyFill="1" applyBorder="1" applyAlignment="1"/>
    <xf numFmtId="0" fontId="5" fillId="5" borderId="60" xfId="0" applyFont="1" applyFill="1" applyBorder="1" applyAlignment="1"/>
    <xf numFmtId="0" fontId="3" fillId="2" borderId="66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7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right" wrapText="1"/>
    </xf>
    <xf numFmtId="0" fontId="4" fillId="0" borderId="7" xfId="0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3" fontId="4" fillId="0" borderId="31" xfId="0" applyNumberFormat="1" applyFont="1" applyBorder="1" applyAlignment="1">
      <alignment horizontal="right" wrapText="1"/>
    </xf>
    <xf numFmtId="3" fontId="4" fillId="0" borderId="7" xfId="0" applyNumberFormat="1" applyFont="1" applyBorder="1" applyAlignment="1">
      <alignment horizontal="right" wrapText="1"/>
    </xf>
    <xf numFmtId="0" fontId="5" fillId="0" borderId="4" xfId="0" applyFont="1" applyFill="1" applyBorder="1" applyAlignment="1">
      <alignment horizontal="center" vertical="center" wrapText="1"/>
    </xf>
    <xf numFmtId="14" fontId="5" fillId="0" borderId="9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right" wrapText="1"/>
    </xf>
    <xf numFmtId="3" fontId="5" fillId="0" borderId="9" xfId="0" applyNumberFormat="1" applyFont="1" applyBorder="1" applyAlignment="1">
      <alignment horizontal="right" wrapText="1"/>
    </xf>
    <xf numFmtId="3" fontId="5" fillId="0" borderId="10" xfId="0" applyNumberFormat="1" applyFont="1" applyBorder="1" applyAlignment="1">
      <alignment horizontal="right" wrapText="1"/>
    </xf>
    <xf numFmtId="0" fontId="0" fillId="0" borderId="9" xfId="0" applyBorder="1" applyAlignment="1">
      <alignment horizontal="right" wrapText="1"/>
    </xf>
    <xf numFmtId="49" fontId="5" fillId="0" borderId="10" xfId="0" applyNumberFormat="1" applyFont="1" applyBorder="1" applyAlignment="1">
      <alignment horizontal="right" wrapText="1"/>
    </xf>
    <xf numFmtId="49" fontId="0" fillId="0" borderId="9" xfId="0" applyNumberFormat="1" applyBorder="1" applyAlignment="1">
      <alignment horizontal="right" wrapText="1"/>
    </xf>
    <xf numFmtId="3" fontId="4" fillId="0" borderId="10" xfId="0" applyNumberFormat="1" applyFont="1" applyBorder="1" applyAlignment="1">
      <alignment horizontal="right" wrapText="1"/>
    </xf>
    <xf numFmtId="3" fontId="4" fillId="0" borderId="9" xfId="0" applyNumberFormat="1" applyFont="1" applyBorder="1" applyAlignment="1">
      <alignment horizontal="right" wrapText="1"/>
    </xf>
    <xf numFmtId="0" fontId="5" fillId="0" borderId="4" xfId="0" applyFont="1" applyBorder="1" applyAlignment="1"/>
    <xf numFmtId="0" fontId="5" fillId="0" borderId="53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14" fontId="5" fillId="0" borderId="10" xfId="0" applyNumberFormat="1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right" wrapText="1"/>
    </xf>
    <xf numFmtId="0" fontId="5" fillId="0" borderId="9" xfId="0" applyFont="1" applyBorder="1" applyAlignment="1">
      <alignment horizontal="right" wrapText="1"/>
    </xf>
    <xf numFmtId="0" fontId="5" fillId="0" borderId="1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right" wrapText="1"/>
    </xf>
    <xf numFmtId="0" fontId="0" fillId="0" borderId="4" xfId="0" applyBorder="1" applyAlignment="1">
      <alignment horizontal="right" wrapText="1"/>
    </xf>
    <xf numFmtId="0" fontId="4" fillId="0" borderId="1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wrapText="1"/>
    </xf>
    <xf numFmtId="14" fontId="5" fillId="0" borderId="1" xfId="0" applyNumberFormat="1" applyFont="1" applyBorder="1" applyAlignment="1">
      <alignment horizontal="center" vertical="center" wrapText="1"/>
    </xf>
    <xf numFmtId="0" fontId="5" fillId="0" borderId="53" xfId="0" applyFont="1" applyBorder="1" applyAlignment="1">
      <alignment horizontal="center" vertical="center" wrapText="1"/>
    </xf>
    <xf numFmtId="0" fontId="5" fillId="0" borderId="71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4" fontId="5" fillId="0" borderId="4" xfId="0" applyNumberFormat="1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right" wrapText="1"/>
    </xf>
    <xf numFmtId="3" fontId="4" fillId="0" borderId="1" xfId="0" applyNumberFormat="1" applyFont="1" applyFill="1" applyBorder="1" applyAlignment="1">
      <alignment horizontal="right" wrapText="1"/>
    </xf>
    <xf numFmtId="3" fontId="4" fillId="0" borderId="9" xfId="0" applyNumberFormat="1" applyFont="1" applyFill="1" applyBorder="1" applyAlignment="1">
      <alignment horizontal="right" wrapText="1"/>
    </xf>
    <xf numFmtId="0" fontId="5" fillId="0" borderId="11" xfId="0" applyFont="1" applyFill="1" applyBorder="1" applyAlignment="1">
      <alignment horizontal="center" vertical="center" wrapText="1"/>
    </xf>
    <xf numFmtId="3" fontId="5" fillId="0" borderId="6" xfId="0" applyNumberFormat="1" applyFont="1" applyBorder="1" applyAlignment="1">
      <alignment horizontal="right" wrapText="1"/>
    </xf>
    <xf numFmtId="0" fontId="0" fillId="0" borderId="6" xfId="0" applyBorder="1" applyAlignment="1">
      <alignment horizontal="right" wrapText="1"/>
    </xf>
    <xf numFmtId="49" fontId="0" fillId="0" borderId="6" xfId="0" applyNumberFormat="1" applyBorder="1" applyAlignment="1">
      <alignment horizontal="right" wrapText="1"/>
    </xf>
    <xf numFmtId="0" fontId="5" fillId="0" borderId="6" xfId="0" applyFont="1" applyBorder="1" applyAlignment="1">
      <alignment horizontal="right" wrapText="1"/>
    </xf>
    <xf numFmtId="0" fontId="5" fillId="0" borderId="3" xfId="0" applyFont="1" applyBorder="1" applyAlignment="1"/>
    <xf numFmtId="0" fontId="5" fillId="0" borderId="2" xfId="0" applyFont="1" applyBorder="1" applyAlignment="1"/>
    <xf numFmtId="0" fontId="5" fillId="0" borderId="4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49" fontId="4" fillId="0" borderId="9" xfId="0" applyNumberFormat="1" applyFont="1" applyBorder="1" applyAlignment="1">
      <alignment horizontal="center" vertical="center" wrapText="1"/>
    </xf>
    <xf numFmtId="14" fontId="5" fillId="0" borderId="9" xfId="0" applyNumberFormat="1" applyFont="1" applyBorder="1" applyAlignment="1">
      <alignment horizontal="center" vertical="center" wrapText="1"/>
    </xf>
    <xf numFmtId="3" fontId="5" fillId="0" borderId="31" xfId="0" applyNumberFormat="1" applyFont="1" applyBorder="1" applyAlignment="1">
      <alignment horizontal="right" wrapText="1"/>
    </xf>
    <xf numFmtId="0" fontId="0" fillId="0" borderId="1" xfId="0" applyBorder="1" applyAlignment="1">
      <alignment horizontal="right" wrapText="1"/>
    </xf>
    <xf numFmtId="0" fontId="0" fillId="0" borderId="11" xfId="0" applyBorder="1" applyAlignment="1">
      <alignment horizontal="right" wrapText="1"/>
    </xf>
    <xf numFmtId="3" fontId="4" fillId="0" borderId="10" xfId="0" applyNumberFormat="1" applyFont="1" applyFill="1" applyBorder="1" applyAlignment="1">
      <alignment horizontal="right" wrapText="1"/>
    </xf>
    <xf numFmtId="14" fontId="5" fillId="0" borderId="6" xfId="0" applyNumberFormat="1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3" fontId="5" fillId="0" borderId="7" xfId="0" applyNumberFormat="1" applyFont="1" applyBorder="1" applyAlignment="1">
      <alignment horizontal="right" wrapText="1"/>
    </xf>
    <xf numFmtId="165" fontId="5" fillId="0" borderId="1" xfId="0" applyNumberFormat="1" applyFont="1" applyBorder="1" applyAlignment="1">
      <alignment horizontal="right" wrapText="1"/>
    </xf>
    <xf numFmtId="165" fontId="5" fillId="0" borderId="7" xfId="0" applyNumberFormat="1" applyFont="1" applyBorder="1" applyAlignment="1">
      <alignment horizontal="right" wrapText="1"/>
    </xf>
    <xf numFmtId="0" fontId="3" fillId="2" borderId="65" xfId="0" applyFont="1" applyFill="1" applyBorder="1" applyAlignment="1">
      <alignment horizontal="center" vertical="center" wrapText="1"/>
    </xf>
    <xf numFmtId="164" fontId="5" fillId="0" borderId="4" xfId="0" applyNumberFormat="1" applyFont="1" applyBorder="1" applyAlignment="1">
      <alignment horizontal="right" wrapText="1"/>
    </xf>
    <xf numFmtId="164" fontId="0" fillId="0" borderId="4" xfId="0" applyNumberFormat="1" applyBorder="1" applyAlignment="1">
      <alignment horizontal="right" wrapText="1"/>
    </xf>
    <xf numFmtId="164" fontId="5" fillId="0" borderId="9" xfId="0" applyNumberFormat="1" applyFont="1" applyBorder="1" applyAlignment="1">
      <alignment horizontal="right" wrapText="1"/>
    </xf>
    <xf numFmtId="0" fontId="0" fillId="0" borderId="9" xfId="0" applyBorder="1" applyAlignment="1">
      <alignment horizontal="center" vertical="center" wrapText="1"/>
    </xf>
    <xf numFmtId="49" fontId="4" fillId="0" borderId="10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164" fontId="0" fillId="0" borderId="11" xfId="0" applyNumberFormat="1" applyBorder="1" applyAlignment="1">
      <alignment horizontal="right" wrapText="1"/>
    </xf>
    <xf numFmtId="3" fontId="5" fillId="0" borderId="11" xfId="0" applyNumberFormat="1" applyFont="1" applyBorder="1" applyAlignment="1">
      <alignment horizontal="right" wrapText="1"/>
    </xf>
    <xf numFmtId="0" fontId="5" fillId="0" borderId="11" xfId="0" applyFont="1" applyBorder="1" applyAlignment="1">
      <alignment horizontal="right" wrapText="1"/>
    </xf>
    <xf numFmtId="3" fontId="4" fillId="0" borderId="6" xfId="0" applyNumberFormat="1" applyFont="1" applyFill="1" applyBorder="1" applyAlignment="1">
      <alignment horizontal="right" wrapText="1"/>
    </xf>
    <xf numFmtId="0" fontId="5" fillId="0" borderId="11" xfId="0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49" fontId="4" fillId="0" borderId="11" xfId="0" applyNumberFormat="1" applyFont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center" vertical="center" wrapText="1"/>
    </xf>
    <xf numFmtId="3" fontId="5" fillId="0" borderId="37" xfId="0" applyNumberFormat="1" applyFont="1" applyBorder="1" applyAlignment="1">
      <alignment horizontal="right" wrapText="1"/>
    </xf>
    <xf numFmtId="0" fontId="5" fillId="0" borderId="37" xfId="0" applyFont="1" applyBorder="1" applyAlignment="1">
      <alignment horizontal="right" wrapText="1"/>
    </xf>
    <xf numFmtId="0" fontId="5" fillId="0" borderId="37" xfId="0" applyFont="1" applyBorder="1" applyAlignment="1">
      <alignment horizontal="center" vertical="center" wrapText="1"/>
    </xf>
    <xf numFmtId="49" fontId="4" fillId="0" borderId="37" xfId="0" applyNumberFormat="1" applyFont="1" applyBorder="1" applyAlignment="1">
      <alignment horizontal="center" vertical="center" wrapText="1"/>
    </xf>
    <xf numFmtId="14" fontId="5" fillId="0" borderId="37" xfId="0" applyNumberFormat="1" applyFont="1" applyBorder="1" applyAlignment="1">
      <alignment horizontal="center" vertical="center" wrapText="1"/>
    </xf>
    <xf numFmtId="164" fontId="5" fillId="0" borderId="12" xfId="0" applyNumberFormat="1" applyFont="1" applyBorder="1" applyAlignment="1">
      <alignment horizontal="right" wrapText="1"/>
    </xf>
    <xf numFmtId="0" fontId="5" fillId="0" borderId="49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 wrapText="1"/>
    </xf>
    <xf numFmtId="3" fontId="5" fillId="0" borderId="12" xfId="0" applyNumberFormat="1" applyFont="1" applyBorder="1" applyAlignment="1">
      <alignment horizontal="right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wrapText="1"/>
    </xf>
    <xf numFmtId="3" fontId="4" fillId="4" borderId="9" xfId="0" applyNumberFormat="1" applyFont="1" applyFill="1" applyBorder="1" applyAlignment="1">
      <alignment horizontal="right" wrapText="1"/>
    </xf>
    <xf numFmtId="0" fontId="5" fillId="4" borderId="10" xfId="0" applyFont="1" applyFill="1" applyBorder="1" applyAlignment="1">
      <alignment horizontal="center" vertical="center" wrapText="1"/>
    </xf>
    <xf numFmtId="164" fontId="5" fillId="3" borderId="9" xfId="0" applyNumberFormat="1" applyFont="1" applyFill="1" applyBorder="1" applyAlignment="1">
      <alignment horizontal="right" wrapText="1"/>
    </xf>
    <xf numFmtId="3" fontId="4" fillId="3" borderId="1" xfId="0" applyNumberFormat="1" applyFont="1" applyFill="1" applyBorder="1" applyAlignment="1">
      <alignment horizontal="right" wrapText="1"/>
    </xf>
    <xf numFmtId="0" fontId="5" fillId="3" borderId="9" xfId="0" applyFont="1" applyFill="1" applyBorder="1" applyAlignment="1">
      <alignment horizontal="center" vertical="center" wrapText="1"/>
    </xf>
    <xf numFmtId="49" fontId="4" fillId="3" borderId="9" xfId="0" applyNumberFormat="1" applyFont="1" applyFill="1" applyBorder="1" applyAlignment="1">
      <alignment horizontal="center" vertical="center" wrapText="1"/>
    </xf>
    <xf numFmtId="14" fontId="5" fillId="3" borderId="1" xfId="0" applyNumberFormat="1" applyFont="1" applyFill="1" applyBorder="1" applyAlignment="1">
      <alignment horizontal="center" vertical="center" wrapText="1"/>
    </xf>
    <xf numFmtId="3" fontId="4" fillId="3" borderId="9" xfId="0" applyNumberFormat="1" applyFont="1" applyFill="1" applyBorder="1" applyAlignment="1">
      <alignment horizontal="right" wrapText="1"/>
    </xf>
    <xf numFmtId="0" fontId="0" fillId="3" borderId="4" xfId="0" applyFill="1" applyBorder="1" applyAlignment="1">
      <alignment horizontal="right" wrapText="1"/>
    </xf>
    <xf numFmtId="164" fontId="0" fillId="3" borderId="4" xfId="0" applyNumberFormat="1" applyFill="1" applyBorder="1" applyAlignment="1">
      <alignment horizontal="right" wrapText="1"/>
    </xf>
    <xf numFmtId="0" fontId="5" fillId="3" borderId="9" xfId="0" applyFont="1" applyFill="1" applyBorder="1" applyAlignment="1">
      <alignment horizontal="right" wrapText="1"/>
    </xf>
    <xf numFmtId="166" fontId="62" fillId="5" borderId="10" xfId="0" applyNumberFormat="1" applyFont="1" applyFill="1" applyBorder="1" applyAlignment="1">
      <alignment horizontal="center" vertical="center" wrapText="1"/>
    </xf>
    <xf numFmtId="166" fontId="62" fillId="5" borderId="9" xfId="0" applyNumberFormat="1" applyFont="1" applyFill="1" applyBorder="1" applyAlignment="1">
      <alignment horizontal="center" vertical="center" wrapText="1"/>
    </xf>
    <xf numFmtId="2" fontId="62" fillId="5" borderId="10" xfId="0" applyNumberFormat="1" applyFont="1" applyFill="1" applyBorder="1" applyAlignment="1">
      <alignment horizontal="center" vertical="center" wrapText="1"/>
    </xf>
    <xf numFmtId="2" fontId="62" fillId="5" borderId="9" xfId="0" applyNumberFormat="1" applyFont="1" applyFill="1" applyBorder="1" applyAlignment="1">
      <alignment horizontal="center" vertical="center" wrapText="1"/>
    </xf>
    <xf numFmtId="0" fontId="62" fillId="5" borderId="10" xfId="0" applyNumberFormat="1" applyFont="1" applyFill="1" applyBorder="1" applyAlignment="1">
      <alignment horizontal="center" vertical="center" wrapText="1"/>
    </xf>
    <xf numFmtId="49" fontId="16" fillId="5" borderId="10" xfId="0" applyNumberFormat="1" applyFont="1" applyFill="1" applyBorder="1" applyAlignment="1">
      <alignment horizontal="center" vertical="center" wrapText="1"/>
    </xf>
    <xf numFmtId="49" fontId="16" fillId="5" borderId="9" xfId="0" applyNumberFormat="1" applyFont="1" applyFill="1" applyBorder="1" applyAlignment="1">
      <alignment horizontal="center" vertical="center" wrapText="1"/>
    </xf>
    <xf numFmtId="166" fontId="10" fillId="5" borderId="10" xfId="0" applyNumberFormat="1" applyFont="1" applyFill="1" applyBorder="1" applyAlignment="1">
      <alignment horizontal="center" vertical="center" wrapText="1"/>
    </xf>
    <xf numFmtId="166" fontId="10" fillId="5" borderId="9" xfId="0" applyNumberFormat="1" applyFont="1" applyFill="1" applyBorder="1" applyAlignment="1">
      <alignment horizontal="center" vertical="center" wrapText="1"/>
    </xf>
    <xf numFmtId="164" fontId="5" fillId="5" borderId="4" xfId="1" applyNumberFormat="1" applyFont="1" applyFill="1" applyBorder="1" applyAlignment="1">
      <alignment horizontal="center" wrapText="1"/>
    </xf>
    <xf numFmtId="164" fontId="59" fillId="5" borderId="4" xfId="1" applyNumberFormat="1" applyFont="1" applyFill="1" applyBorder="1" applyAlignment="1">
      <alignment horizontal="center" wrapText="1"/>
    </xf>
    <xf numFmtId="164" fontId="5" fillId="5" borderId="4" xfId="1" applyNumberFormat="1" applyFont="1" applyFill="1" applyBorder="1" applyAlignment="1">
      <alignment horizontal="center" vertical="center" wrapText="1"/>
    </xf>
    <xf numFmtId="164" fontId="59" fillId="5" borderId="4" xfId="1" applyNumberFormat="1" applyFont="1" applyFill="1" applyBorder="1" applyAlignment="1">
      <alignment horizontal="center" vertical="center" wrapText="1"/>
    </xf>
    <xf numFmtId="167" fontId="2" fillId="5" borderId="4" xfId="1" applyNumberFormat="1" applyFill="1" applyBorder="1" applyAlignment="1">
      <alignment horizontal="right" wrapText="1"/>
    </xf>
    <xf numFmtId="0" fontId="5" fillId="5" borderId="4" xfId="1" applyFont="1" applyFill="1" applyBorder="1" applyAlignment="1">
      <alignment horizontal="center"/>
    </xf>
    <xf numFmtId="0" fontId="5" fillId="5" borderId="4" xfId="1" applyFont="1" applyFill="1" applyBorder="1" applyAlignment="1"/>
    <xf numFmtId="167" fontId="5" fillId="5" borderId="4" xfId="1" applyNumberFormat="1" applyFont="1" applyFill="1" applyBorder="1" applyAlignment="1">
      <alignment horizontal="center" wrapText="1"/>
    </xf>
    <xf numFmtId="167" fontId="2" fillId="5" borderId="4" xfId="1" applyNumberFormat="1" applyFill="1" applyBorder="1" applyAlignment="1">
      <alignment horizontal="center" wrapText="1"/>
    </xf>
    <xf numFmtId="164" fontId="2" fillId="5" borderId="4" xfId="1" applyNumberFormat="1" applyFill="1" applyBorder="1" applyAlignment="1">
      <alignment horizontal="center" wrapText="1"/>
    </xf>
    <xf numFmtId="0" fontId="43" fillId="0" borderId="61" xfId="1" applyFont="1" applyBorder="1" applyAlignment="1">
      <alignment horizontal="center"/>
    </xf>
    <xf numFmtId="164" fontId="5" fillId="5" borderId="4" xfId="1" applyNumberFormat="1" applyFont="1" applyFill="1" applyBorder="1" applyAlignment="1">
      <alignment horizontal="right" wrapText="1"/>
    </xf>
    <xf numFmtId="164" fontId="2" fillId="5" borderId="4" xfId="1" applyNumberFormat="1" applyFill="1" applyBorder="1" applyAlignment="1">
      <alignment horizontal="right" wrapText="1"/>
    </xf>
    <xf numFmtId="0" fontId="43" fillId="5" borderId="61" xfId="1" applyFont="1" applyFill="1" applyBorder="1" applyAlignment="1">
      <alignment horizontal="center"/>
    </xf>
    <xf numFmtId="2" fontId="5" fillId="5" borderId="4" xfId="1" applyNumberFormat="1" applyFont="1" applyFill="1" applyBorder="1" applyAlignment="1">
      <alignment horizontal="right" wrapText="1"/>
    </xf>
    <xf numFmtId="2" fontId="2" fillId="5" borderId="4" xfId="1" applyNumberFormat="1" applyFill="1" applyBorder="1" applyAlignment="1">
      <alignment horizontal="right" wrapText="1"/>
    </xf>
    <xf numFmtId="164" fontId="5" fillId="5" borderId="10" xfId="1" applyNumberFormat="1" applyFont="1" applyFill="1" applyBorder="1" applyAlignment="1">
      <alignment horizontal="right" wrapText="1"/>
    </xf>
    <xf numFmtId="164" fontId="5" fillId="5" borderId="9" xfId="1" applyNumberFormat="1" applyFont="1" applyFill="1" applyBorder="1" applyAlignment="1">
      <alignment horizontal="right" wrapText="1"/>
    </xf>
    <xf numFmtId="166" fontId="5" fillId="5" borderId="4" xfId="1" applyNumberFormat="1" applyFont="1" applyFill="1" applyBorder="1" applyAlignment="1">
      <alignment horizontal="center" vertical="center" wrapText="1"/>
    </xf>
    <xf numFmtId="49" fontId="5" fillId="5" borderId="4" xfId="1" applyNumberFormat="1" applyFont="1" applyFill="1" applyBorder="1" applyAlignment="1">
      <alignment horizontal="center" vertical="center" wrapText="1"/>
    </xf>
    <xf numFmtId="0" fontId="2" fillId="0" borderId="4" xfId="1" applyBorder="1" applyAlignment="1"/>
    <xf numFmtId="3" fontId="5" fillId="5" borderId="12" xfId="1" applyNumberFormat="1" applyFont="1" applyFill="1" applyBorder="1" applyAlignment="1">
      <alignment horizontal="right" wrapText="1"/>
    </xf>
    <xf numFmtId="3" fontId="5" fillId="5" borderId="4" xfId="1" applyNumberFormat="1" applyFont="1" applyFill="1" applyBorder="1" applyAlignment="1">
      <alignment horizontal="right" wrapText="1"/>
    </xf>
    <xf numFmtId="0" fontId="2" fillId="5" borderId="4" xfId="1" applyFill="1" applyBorder="1" applyAlignment="1">
      <alignment horizontal="right" wrapText="1"/>
    </xf>
    <xf numFmtId="164" fontId="5" fillId="5" borderId="12" xfId="1" applyNumberFormat="1" applyFont="1" applyFill="1" applyBorder="1" applyAlignment="1">
      <alignment horizontal="right" wrapText="1"/>
    </xf>
    <xf numFmtId="49" fontId="4" fillId="5" borderId="12" xfId="1" applyNumberFormat="1" applyFont="1" applyFill="1" applyBorder="1" applyAlignment="1">
      <alignment horizontal="center" vertical="center" wrapText="1"/>
    </xf>
    <xf numFmtId="49" fontId="4" fillId="5" borderId="4" xfId="1" applyNumberFormat="1" applyFont="1" applyFill="1" applyBorder="1" applyAlignment="1">
      <alignment horizontal="center" vertical="center" wrapText="1"/>
    </xf>
    <xf numFmtId="49" fontId="5" fillId="5" borderId="12" xfId="1" applyNumberFormat="1" applyFont="1" applyFill="1" applyBorder="1" applyAlignment="1">
      <alignment horizontal="center" vertical="center" wrapText="1"/>
    </xf>
    <xf numFmtId="0" fontId="5" fillId="5" borderId="12" xfId="1" applyFont="1" applyFill="1" applyBorder="1" applyAlignment="1">
      <alignment horizontal="center" vertical="center" wrapText="1"/>
    </xf>
    <xf numFmtId="0" fontId="5" fillId="5" borderId="4" xfId="1" applyFont="1" applyFill="1" applyBorder="1" applyAlignment="1">
      <alignment horizontal="center" vertical="center" wrapText="1"/>
    </xf>
    <xf numFmtId="3" fontId="5" fillId="5" borderId="11" xfId="1" applyNumberFormat="1" applyFont="1" applyFill="1" applyBorder="1" applyAlignment="1">
      <alignment horizontal="right" wrapText="1"/>
    </xf>
    <xf numFmtId="0" fontId="2" fillId="5" borderId="11" xfId="1" applyFill="1" applyBorder="1" applyAlignment="1">
      <alignment horizontal="right" wrapText="1"/>
    </xf>
    <xf numFmtId="164" fontId="2" fillId="5" borderId="11" xfId="1" applyNumberFormat="1" applyFill="1" applyBorder="1" applyAlignment="1">
      <alignment horizontal="right" wrapText="1"/>
    </xf>
    <xf numFmtId="49" fontId="5" fillId="5" borderId="11" xfId="1" applyNumberFormat="1" applyFont="1" applyFill="1" applyBorder="1" applyAlignment="1">
      <alignment horizontal="center" vertical="center" wrapText="1"/>
    </xf>
    <xf numFmtId="49" fontId="4" fillId="5" borderId="11" xfId="1" applyNumberFormat="1" applyFont="1" applyFill="1" applyBorder="1" applyAlignment="1">
      <alignment horizontal="center" vertical="center" wrapText="1"/>
    </xf>
    <xf numFmtId="0" fontId="5" fillId="5" borderId="11" xfId="1" applyFont="1" applyFill="1" applyBorder="1" applyAlignment="1">
      <alignment horizontal="center" vertical="center" wrapText="1"/>
    </xf>
    <xf numFmtId="49" fontId="5" fillId="30" borderId="4" xfId="1" applyNumberFormat="1" applyFont="1" applyFill="1" applyBorder="1" applyAlignment="1">
      <alignment horizontal="center" vertical="center" wrapText="1"/>
    </xf>
    <xf numFmtId="166" fontId="5" fillId="30" borderId="4" xfId="1" applyNumberFormat="1" applyFont="1" applyFill="1" applyBorder="1" applyAlignment="1">
      <alignment horizontal="center" vertical="center" wrapText="1"/>
    </xf>
    <xf numFmtId="164" fontId="2" fillId="5" borderId="10" xfId="1" applyNumberFormat="1" applyFill="1" applyBorder="1" applyAlignment="1">
      <alignment horizontal="right" wrapText="1"/>
    </xf>
    <xf numFmtId="1" fontId="5" fillId="5" borderId="12" xfId="1" applyNumberFormat="1" applyFont="1" applyFill="1" applyBorder="1" applyAlignment="1">
      <alignment horizontal="right" wrapText="1"/>
    </xf>
    <xf numFmtId="1" fontId="2" fillId="5" borderId="11" xfId="1" applyNumberFormat="1" applyFill="1" applyBorder="1" applyAlignment="1">
      <alignment horizontal="right" wrapText="1"/>
    </xf>
  </cellXfs>
  <cellStyles count="3">
    <cellStyle name="Обычный" xfId="0" builtinId="0"/>
    <cellStyle name="Обычный 2" xfId="1"/>
    <cellStyle name="Обычный 3" xfId="2"/>
  </cellStyles>
  <dxfs count="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1016</xdr:row>
      <xdr:rowOff>0</xdr:rowOff>
    </xdr:from>
    <xdr:to>
      <xdr:col>13</xdr:col>
      <xdr:colOff>514350</xdr:colOff>
      <xdr:row>1029</xdr:row>
      <xdr:rowOff>142875</xdr:rowOff>
    </xdr:to>
    <xdr:cxnSp macro="">
      <xdr:nvCxnSpPr>
        <xdr:cNvPr id="3" name="Прямая соединительная линия 2"/>
        <xdr:cNvCxnSpPr/>
      </xdr:nvCxnSpPr>
      <xdr:spPr>
        <a:xfrm>
          <a:off x="9953625" y="166135050"/>
          <a:ext cx="1190625" cy="192405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1016</xdr:row>
      <xdr:rowOff>114301</xdr:rowOff>
    </xdr:from>
    <xdr:to>
      <xdr:col>13</xdr:col>
      <xdr:colOff>1038225</xdr:colOff>
      <xdr:row>1025</xdr:row>
      <xdr:rowOff>66675</xdr:rowOff>
    </xdr:to>
    <xdr:cxnSp macro="">
      <xdr:nvCxnSpPr>
        <xdr:cNvPr id="5" name="Прямая соединительная линия 4"/>
        <xdr:cNvCxnSpPr/>
      </xdr:nvCxnSpPr>
      <xdr:spPr>
        <a:xfrm flipV="1">
          <a:off x="9820275" y="166249351"/>
          <a:ext cx="1847850" cy="1409699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1021</xdr:row>
      <xdr:rowOff>0</xdr:rowOff>
    </xdr:from>
    <xdr:to>
      <xdr:col>14</xdr:col>
      <xdr:colOff>28575</xdr:colOff>
      <xdr:row>1022</xdr:row>
      <xdr:rowOff>133350</xdr:rowOff>
    </xdr:to>
    <xdr:cxnSp macro="">
      <xdr:nvCxnSpPr>
        <xdr:cNvPr id="7" name="Прямая соединительная линия 6"/>
        <xdr:cNvCxnSpPr/>
      </xdr:nvCxnSpPr>
      <xdr:spPr>
        <a:xfrm>
          <a:off x="9496425" y="166944675"/>
          <a:ext cx="2209800" cy="295275"/>
        </a:xfrm>
        <a:prstGeom prst="line">
          <a:avLst/>
        </a:prstGeom>
        <a:ln w="317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609600</xdr:colOff>
      <xdr:row>1013</xdr:row>
      <xdr:rowOff>142875</xdr:rowOff>
    </xdr:from>
    <xdr:to>
      <xdr:col>13</xdr:col>
      <xdr:colOff>152400</xdr:colOff>
      <xdr:row>1030</xdr:row>
      <xdr:rowOff>76200</xdr:rowOff>
    </xdr:to>
    <xdr:cxnSp macro="">
      <xdr:nvCxnSpPr>
        <xdr:cNvPr id="9" name="Прямая соединительная линия 8"/>
        <xdr:cNvCxnSpPr/>
      </xdr:nvCxnSpPr>
      <xdr:spPr>
        <a:xfrm flipH="1">
          <a:off x="10363200" y="165792150"/>
          <a:ext cx="419100" cy="2362200"/>
        </a:xfrm>
        <a:prstGeom prst="line">
          <a:avLst/>
        </a:prstGeom>
        <a:ln w="28575">
          <a:solidFill>
            <a:schemeClr val="accent5">
              <a:shade val="95000"/>
              <a:satMod val="105000"/>
            </a:schemeClr>
          </a:solidFill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695325</xdr:colOff>
      <xdr:row>1014</xdr:row>
      <xdr:rowOff>95250</xdr:rowOff>
    </xdr:from>
    <xdr:to>
      <xdr:col>13</xdr:col>
      <xdr:colOff>47625</xdr:colOff>
      <xdr:row>1017</xdr:row>
      <xdr:rowOff>95250</xdr:rowOff>
    </xdr:to>
    <xdr:cxnSp macro="">
      <xdr:nvCxnSpPr>
        <xdr:cNvPr id="11" name="Прямая соединительная линия 10"/>
        <xdr:cNvCxnSpPr/>
      </xdr:nvCxnSpPr>
      <xdr:spPr>
        <a:xfrm>
          <a:off x="10448925" y="165906450"/>
          <a:ext cx="228600" cy="4857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1015</xdr:row>
      <xdr:rowOff>28575</xdr:rowOff>
    </xdr:from>
    <xdr:to>
      <xdr:col>13</xdr:col>
      <xdr:colOff>571500</xdr:colOff>
      <xdr:row>1017</xdr:row>
      <xdr:rowOff>104775</xdr:rowOff>
    </xdr:to>
    <xdr:cxnSp macro="">
      <xdr:nvCxnSpPr>
        <xdr:cNvPr id="13" name="Прямая соединительная линия 12"/>
        <xdr:cNvCxnSpPr/>
      </xdr:nvCxnSpPr>
      <xdr:spPr>
        <a:xfrm flipV="1">
          <a:off x="10677525" y="166001700"/>
          <a:ext cx="523875" cy="400050"/>
        </a:xfrm>
        <a:prstGeom prst="line">
          <a:avLst/>
        </a:prstGeom>
        <a:ln w="158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466725</xdr:colOff>
      <xdr:row>1016</xdr:row>
      <xdr:rowOff>85725</xdr:rowOff>
    </xdr:from>
    <xdr:to>
      <xdr:col>13</xdr:col>
      <xdr:colOff>571500</xdr:colOff>
      <xdr:row>1019</xdr:row>
      <xdr:rowOff>76200</xdr:rowOff>
    </xdr:to>
    <xdr:cxnSp macro="">
      <xdr:nvCxnSpPr>
        <xdr:cNvPr id="15" name="Прямая соединительная линия 14"/>
        <xdr:cNvCxnSpPr/>
      </xdr:nvCxnSpPr>
      <xdr:spPr>
        <a:xfrm flipH="1">
          <a:off x="11096625" y="166220775"/>
          <a:ext cx="104775" cy="4762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1019</xdr:row>
      <xdr:rowOff>95250</xdr:rowOff>
    </xdr:from>
    <xdr:to>
      <xdr:col>13</xdr:col>
      <xdr:colOff>895350</xdr:colOff>
      <xdr:row>1020</xdr:row>
      <xdr:rowOff>47625</xdr:rowOff>
    </xdr:to>
    <xdr:cxnSp macro="">
      <xdr:nvCxnSpPr>
        <xdr:cNvPr id="17" name="Прямая соединительная линия 16"/>
        <xdr:cNvCxnSpPr/>
      </xdr:nvCxnSpPr>
      <xdr:spPr>
        <a:xfrm>
          <a:off x="11068050" y="166716075"/>
          <a:ext cx="457200" cy="1143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1025</xdr:row>
      <xdr:rowOff>19050</xdr:rowOff>
    </xdr:from>
    <xdr:to>
      <xdr:col>13</xdr:col>
      <xdr:colOff>238125</xdr:colOff>
      <xdr:row>1029</xdr:row>
      <xdr:rowOff>95250</xdr:rowOff>
    </xdr:to>
    <xdr:cxnSp macro="">
      <xdr:nvCxnSpPr>
        <xdr:cNvPr id="23" name="Прямая соединительная линия 22"/>
        <xdr:cNvCxnSpPr/>
      </xdr:nvCxnSpPr>
      <xdr:spPr>
        <a:xfrm flipH="1">
          <a:off x="10839450" y="167611425"/>
          <a:ext cx="28575" cy="4000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1025</xdr:row>
      <xdr:rowOff>19050</xdr:rowOff>
    </xdr:from>
    <xdr:to>
      <xdr:col>13</xdr:col>
      <xdr:colOff>781050</xdr:colOff>
      <xdr:row>1025</xdr:row>
      <xdr:rowOff>142875</xdr:rowOff>
    </xdr:to>
    <xdr:cxnSp macro="">
      <xdr:nvCxnSpPr>
        <xdr:cNvPr id="25" name="Прямая соединительная линия 24"/>
        <xdr:cNvCxnSpPr/>
      </xdr:nvCxnSpPr>
      <xdr:spPr>
        <a:xfrm>
          <a:off x="10877550" y="167611425"/>
          <a:ext cx="533400" cy="1238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285750</xdr:colOff>
      <xdr:row>1028</xdr:row>
      <xdr:rowOff>57150</xdr:rowOff>
    </xdr:from>
    <xdr:to>
      <xdr:col>12</xdr:col>
      <xdr:colOff>657226</xdr:colOff>
      <xdr:row>1029</xdr:row>
      <xdr:rowOff>66675</xdr:rowOff>
    </xdr:to>
    <xdr:cxnSp macro="">
      <xdr:nvCxnSpPr>
        <xdr:cNvPr id="27" name="Прямая соединительная линия 26"/>
        <xdr:cNvCxnSpPr/>
      </xdr:nvCxnSpPr>
      <xdr:spPr>
        <a:xfrm flipH="1">
          <a:off x="10039350" y="167811450"/>
          <a:ext cx="371476" cy="1714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676275</xdr:colOff>
      <xdr:row>1028</xdr:row>
      <xdr:rowOff>57150</xdr:rowOff>
    </xdr:from>
    <xdr:to>
      <xdr:col>13</xdr:col>
      <xdr:colOff>47625</xdr:colOff>
      <xdr:row>1030</xdr:row>
      <xdr:rowOff>95250</xdr:rowOff>
    </xdr:to>
    <xdr:cxnSp macro="">
      <xdr:nvCxnSpPr>
        <xdr:cNvPr id="29" name="Прямая соединительная линия 28"/>
        <xdr:cNvCxnSpPr/>
      </xdr:nvCxnSpPr>
      <xdr:spPr>
        <a:xfrm>
          <a:off x="10429875" y="167811450"/>
          <a:ext cx="247650" cy="36195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1016</xdr:row>
      <xdr:rowOff>66675</xdr:rowOff>
    </xdr:from>
    <xdr:to>
      <xdr:col>12</xdr:col>
      <xdr:colOff>552450</xdr:colOff>
      <xdr:row>1019</xdr:row>
      <xdr:rowOff>0</xdr:rowOff>
    </xdr:to>
    <xdr:cxnSp macro="">
      <xdr:nvCxnSpPr>
        <xdr:cNvPr id="31" name="Прямая соединительная линия 30"/>
        <xdr:cNvCxnSpPr/>
      </xdr:nvCxnSpPr>
      <xdr:spPr>
        <a:xfrm flipH="1">
          <a:off x="10258425" y="166201725"/>
          <a:ext cx="47625" cy="419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</xdr:colOff>
      <xdr:row>1019</xdr:row>
      <xdr:rowOff>19050</xdr:rowOff>
    </xdr:from>
    <xdr:to>
      <xdr:col>12</xdr:col>
      <xdr:colOff>523875</xdr:colOff>
      <xdr:row>1019</xdr:row>
      <xdr:rowOff>38100</xdr:rowOff>
    </xdr:to>
    <xdr:cxnSp macro="">
      <xdr:nvCxnSpPr>
        <xdr:cNvPr id="33" name="Прямая соединительная линия 32"/>
        <xdr:cNvCxnSpPr/>
      </xdr:nvCxnSpPr>
      <xdr:spPr>
        <a:xfrm flipV="1">
          <a:off x="9801225" y="166639875"/>
          <a:ext cx="47625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752475</xdr:colOff>
      <xdr:row>1021</xdr:row>
      <xdr:rowOff>57150</xdr:rowOff>
    </xdr:from>
    <xdr:to>
      <xdr:col>12</xdr:col>
      <xdr:colOff>238125</xdr:colOff>
      <xdr:row>1024</xdr:row>
      <xdr:rowOff>19050</xdr:rowOff>
    </xdr:to>
    <xdr:cxnSp macro="">
      <xdr:nvCxnSpPr>
        <xdr:cNvPr id="35" name="Прямая соединительная линия 34"/>
        <xdr:cNvCxnSpPr/>
      </xdr:nvCxnSpPr>
      <xdr:spPr>
        <a:xfrm flipV="1">
          <a:off x="9705975" y="167001825"/>
          <a:ext cx="285750" cy="4476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771525</xdr:colOff>
      <xdr:row>1018</xdr:row>
      <xdr:rowOff>142875</xdr:rowOff>
    </xdr:from>
    <xdr:to>
      <xdr:col>12</xdr:col>
      <xdr:colOff>247650</xdr:colOff>
      <xdr:row>1021</xdr:row>
      <xdr:rowOff>66675</xdr:rowOff>
    </xdr:to>
    <xdr:cxnSp macro="">
      <xdr:nvCxnSpPr>
        <xdr:cNvPr id="37" name="Прямая соединительная линия 36"/>
        <xdr:cNvCxnSpPr/>
      </xdr:nvCxnSpPr>
      <xdr:spPr>
        <a:xfrm>
          <a:off x="9725025" y="166601775"/>
          <a:ext cx="276225" cy="4095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866775</xdr:colOff>
      <xdr:row>1023</xdr:row>
      <xdr:rowOff>66675</xdr:rowOff>
    </xdr:from>
    <xdr:to>
      <xdr:col>13</xdr:col>
      <xdr:colOff>66675</xdr:colOff>
      <xdr:row>1024</xdr:row>
      <xdr:rowOff>47625</xdr:rowOff>
    </xdr:to>
    <xdr:cxnSp macro="">
      <xdr:nvCxnSpPr>
        <xdr:cNvPr id="39" name="Прямая соединительная линия 38"/>
        <xdr:cNvCxnSpPr/>
      </xdr:nvCxnSpPr>
      <xdr:spPr>
        <a:xfrm flipH="1">
          <a:off x="10620375" y="167335200"/>
          <a:ext cx="7620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1023</xdr:row>
      <xdr:rowOff>76200</xdr:rowOff>
    </xdr:from>
    <xdr:to>
      <xdr:col>13</xdr:col>
      <xdr:colOff>247650</xdr:colOff>
      <xdr:row>1023</xdr:row>
      <xdr:rowOff>95250</xdr:rowOff>
    </xdr:to>
    <xdr:cxnSp macro="">
      <xdr:nvCxnSpPr>
        <xdr:cNvPr id="41" name="Прямая соединительная линия 40"/>
        <xdr:cNvCxnSpPr/>
      </xdr:nvCxnSpPr>
      <xdr:spPr>
        <a:xfrm>
          <a:off x="10706100" y="167344725"/>
          <a:ext cx="17145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180975</xdr:colOff>
      <xdr:row>1019</xdr:row>
      <xdr:rowOff>114300</xdr:rowOff>
    </xdr:from>
    <xdr:to>
      <xdr:col>13</xdr:col>
      <xdr:colOff>200025</xdr:colOff>
      <xdr:row>1020</xdr:row>
      <xdr:rowOff>104775</xdr:rowOff>
    </xdr:to>
    <xdr:cxnSp macro="">
      <xdr:nvCxnSpPr>
        <xdr:cNvPr id="43" name="Прямая соединительная линия 42"/>
        <xdr:cNvCxnSpPr/>
      </xdr:nvCxnSpPr>
      <xdr:spPr>
        <a:xfrm>
          <a:off x="10810875" y="166735125"/>
          <a:ext cx="19050" cy="152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1020</xdr:row>
      <xdr:rowOff>104775</xdr:rowOff>
    </xdr:from>
    <xdr:to>
      <xdr:col>13</xdr:col>
      <xdr:colOff>352425</xdr:colOff>
      <xdr:row>1020</xdr:row>
      <xdr:rowOff>114300</xdr:rowOff>
    </xdr:to>
    <xdr:cxnSp macro="">
      <xdr:nvCxnSpPr>
        <xdr:cNvPr id="45" name="Прямая соединительная линия 44"/>
        <xdr:cNvCxnSpPr/>
      </xdr:nvCxnSpPr>
      <xdr:spPr>
        <a:xfrm>
          <a:off x="10820400" y="166887525"/>
          <a:ext cx="1619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619125</xdr:colOff>
      <xdr:row>1019</xdr:row>
      <xdr:rowOff>66675</xdr:rowOff>
    </xdr:from>
    <xdr:to>
      <xdr:col>12</xdr:col>
      <xdr:colOff>666750</xdr:colOff>
      <xdr:row>1020</xdr:row>
      <xdr:rowOff>28575</xdr:rowOff>
    </xdr:to>
    <xdr:cxnSp macro="">
      <xdr:nvCxnSpPr>
        <xdr:cNvPr id="47" name="Прямая соединительная линия 46"/>
        <xdr:cNvCxnSpPr/>
      </xdr:nvCxnSpPr>
      <xdr:spPr>
        <a:xfrm flipH="1">
          <a:off x="10372725" y="166687500"/>
          <a:ext cx="47625" cy="123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428625</xdr:colOff>
      <xdr:row>1020</xdr:row>
      <xdr:rowOff>19050</xdr:rowOff>
    </xdr:from>
    <xdr:to>
      <xdr:col>12</xdr:col>
      <xdr:colOff>628650</xdr:colOff>
      <xdr:row>1020</xdr:row>
      <xdr:rowOff>28575</xdr:rowOff>
    </xdr:to>
    <xdr:cxnSp macro="">
      <xdr:nvCxnSpPr>
        <xdr:cNvPr id="49" name="Прямая соединительная линия 48"/>
        <xdr:cNvCxnSpPr/>
      </xdr:nvCxnSpPr>
      <xdr:spPr>
        <a:xfrm>
          <a:off x="10182225" y="166801800"/>
          <a:ext cx="20002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1021</xdr:row>
      <xdr:rowOff>66675</xdr:rowOff>
    </xdr:from>
    <xdr:to>
      <xdr:col>13</xdr:col>
      <xdr:colOff>438150</xdr:colOff>
      <xdr:row>1022</xdr:row>
      <xdr:rowOff>9525</xdr:rowOff>
    </xdr:to>
    <xdr:cxnSp macro="">
      <xdr:nvCxnSpPr>
        <xdr:cNvPr id="51" name="Прямая соединительная линия 50"/>
        <xdr:cNvCxnSpPr/>
      </xdr:nvCxnSpPr>
      <xdr:spPr>
        <a:xfrm flipH="1">
          <a:off x="10801350" y="167011350"/>
          <a:ext cx="266700" cy="1047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1022</xdr:row>
      <xdr:rowOff>28575</xdr:rowOff>
    </xdr:from>
    <xdr:to>
      <xdr:col>13</xdr:col>
      <xdr:colOff>200025</xdr:colOff>
      <xdr:row>1023</xdr:row>
      <xdr:rowOff>66675</xdr:rowOff>
    </xdr:to>
    <xdr:cxnSp macro="">
      <xdr:nvCxnSpPr>
        <xdr:cNvPr id="53" name="Прямая соединительная линия 52"/>
        <xdr:cNvCxnSpPr/>
      </xdr:nvCxnSpPr>
      <xdr:spPr>
        <a:xfrm flipH="1" flipV="1">
          <a:off x="10801350" y="167135175"/>
          <a:ext cx="28575" cy="20002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352425</xdr:colOff>
      <xdr:row>1022</xdr:row>
      <xdr:rowOff>142875</xdr:rowOff>
    </xdr:from>
    <xdr:to>
      <xdr:col>12</xdr:col>
      <xdr:colOff>466725</xdr:colOff>
      <xdr:row>1023</xdr:row>
      <xdr:rowOff>85725</xdr:rowOff>
    </xdr:to>
    <xdr:cxnSp macro="">
      <xdr:nvCxnSpPr>
        <xdr:cNvPr id="55" name="Прямая соединительная линия 54"/>
        <xdr:cNvCxnSpPr/>
      </xdr:nvCxnSpPr>
      <xdr:spPr>
        <a:xfrm>
          <a:off x="10106025" y="167249475"/>
          <a:ext cx="11430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1023</xdr:row>
      <xdr:rowOff>104775</xdr:rowOff>
    </xdr:from>
    <xdr:to>
      <xdr:col>12</xdr:col>
      <xdr:colOff>466725</xdr:colOff>
      <xdr:row>1024</xdr:row>
      <xdr:rowOff>114300</xdr:rowOff>
    </xdr:to>
    <xdr:cxnSp macro="">
      <xdr:nvCxnSpPr>
        <xdr:cNvPr id="57" name="Прямая соединительная линия 56"/>
        <xdr:cNvCxnSpPr/>
      </xdr:nvCxnSpPr>
      <xdr:spPr>
        <a:xfrm flipV="1">
          <a:off x="10191750" y="167373300"/>
          <a:ext cx="28575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781050</xdr:colOff>
      <xdr:row>1018</xdr:row>
      <xdr:rowOff>142875</xdr:rowOff>
    </xdr:from>
    <xdr:to>
      <xdr:col>12</xdr:col>
      <xdr:colOff>847725</xdr:colOff>
      <xdr:row>1019</xdr:row>
      <xdr:rowOff>123825</xdr:rowOff>
    </xdr:to>
    <xdr:cxnSp macro="">
      <xdr:nvCxnSpPr>
        <xdr:cNvPr id="59" name="Прямая соединительная линия 58"/>
        <xdr:cNvCxnSpPr/>
      </xdr:nvCxnSpPr>
      <xdr:spPr>
        <a:xfrm>
          <a:off x="10534650" y="166601775"/>
          <a:ext cx="66675" cy="142875"/>
        </a:xfrm>
        <a:prstGeom prst="line">
          <a:avLst/>
        </a:prstGeom>
        <a:ln w="158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866775</xdr:colOff>
      <xdr:row>1019</xdr:row>
      <xdr:rowOff>47625</xdr:rowOff>
    </xdr:from>
    <xdr:to>
      <xdr:col>13</xdr:col>
      <xdr:colOff>190500</xdr:colOff>
      <xdr:row>1019</xdr:row>
      <xdr:rowOff>133350</xdr:rowOff>
    </xdr:to>
    <xdr:cxnSp macro="">
      <xdr:nvCxnSpPr>
        <xdr:cNvPr id="61" name="Прямая соединительная линия 60"/>
        <xdr:cNvCxnSpPr/>
      </xdr:nvCxnSpPr>
      <xdr:spPr>
        <a:xfrm flipV="1">
          <a:off x="10620375" y="166668450"/>
          <a:ext cx="200025" cy="85725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581025</xdr:colOff>
      <xdr:row>1023</xdr:row>
      <xdr:rowOff>104775</xdr:rowOff>
    </xdr:from>
    <xdr:to>
      <xdr:col>12</xdr:col>
      <xdr:colOff>742950</xdr:colOff>
      <xdr:row>1025</xdr:row>
      <xdr:rowOff>19050</xdr:rowOff>
    </xdr:to>
    <xdr:cxnSp macro="">
      <xdr:nvCxnSpPr>
        <xdr:cNvPr id="63" name="Прямая соединительная линия 62"/>
        <xdr:cNvCxnSpPr/>
      </xdr:nvCxnSpPr>
      <xdr:spPr>
        <a:xfrm flipH="1">
          <a:off x="10334625" y="167373300"/>
          <a:ext cx="161925" cy="238125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752475</xdr:colOff>
      <xdr:row>1023</xdr:row>
      <xdr:rowOff>114300</xdr:rowOff>
    </xdr:from>
    <xdr:to>
      <xdr:col>12</xdr:col>
      <xdr:colOff>866775</xdr:colOff>
      <xdr:row>1025</xdr:row>
      <xdr:rowOff>19050</xdr:rowOff>
    </xdr:to>
    <xdr:cxnSp macro="">
      <xdr:nvCxnSpPr>
        <xdr:cNvPr id="65" name="Прямая соединительная линия 64"/>
        <xdr:cNvCxnSpPr/>
      </xdr:nvCxnSpPr>
      <xdr:spPr>
        <a:xfrm>
          <a:off x="10506075" y="167382825"/>
          <a:ext cx="114300" cy="2286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1022</xdr:row>
      <xdr:rowOff>47625</xdr:rowOff>
    </xdr:from>
    <xdr:to>
      <xdr:col>13</xdr:col>
      <xdr:colOff>609600</xdr:colOff>
      <xdr:row>1025</xdr:row>
      <xdr:rowOff>95250</xdr:rowOff>
    </xdr:to>
    <xdr:cxnSp macro="">
      <xdr:nvCxnSpPr>
        <xdr:cNvPr id="67" name="Прямая соединительная линия 66"/>
        <xdr:cNvCxnSpPr/>
      </xdr:nvCxnSpPr>
      <xdr:spPr>
        <a:xfrm>
          <a:off x="11068050" y="167154225"/>
          <a:ext cx="171450" cy="533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523875</xdr:colOff>
      <xdr:row>1021</xdr:row>
      <xdr:rowOff>38100</xdr:rowOff>
    </xdr:from>
    <xdr:to>
      <xdr:col>13</xdr:col>
      <xdr:colOff>866775</xdr:colOff>
      <xdr:row>1022</xdr:row>
      <xdr:rowOff>38100</xdr:rowOff>
    </xdr:to>
    <xdr:cxnSp macro="">
      <xdr:nvCxnSpPr>
        <xdr:cNvPr id="69" name="Прямая соединительная линия 68"/>
        <xdr:cNvCxnSpPr/>
      </xdr:nvCxnSpPr>
      <xdr:spPr>
        <a:xfrm flipV="1">
          <a:off x="11153775" y="166982775"/>
          <a:ext cx="34290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Tw Cen MT">
      <a:majorFont>
        <a:latin typeface="Tw Cen MT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/>
        <a:ea typeface=""/>
        <a:cs typeface=""/>
        <a:font script="Grek" typeface="Calibri"/>
        <a:font script="Cyrl" typeface="Calibri"/>
        <a:font script="Jpan" typeface="HGPｺﾞｼｯｸE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"/>
  <sheetViews>
    <sheetView tabSelected="1" topLeftCell="A184" workbookViewId="0">
      <selection activeCell="E215" sqref="E215:E216"/>
    </sheetView>
  </sheetViews>
  <sheetFormatPr defaultRowHeight="12.75"/>
  <cols>
    <col min="1" max="1" width="6.85546875" customWidth="1"/>
    <col min="2" max="2" width="12" customWidth="1"/>
    <col min="3" max="3" width="12.85546875" customWidth="1"/>
    <col min="4" max="4" width="13.28515625" customWidth="1"/>
    <col min="5" max="5" width="28.5703125" customWidth="1"/>
    <col min="7" max="7" width="2" customWidth="1"/>
  </cols>
  <sheetData>
    <row r="1" spans="1:14">
      <c r="A1" s="661" t="s">
        <v>2807</v>
      </c>
      <c r="B1" s="662"/>
      <c r="C1" s="662"/>
      <c r="D1" s="662"/>
      <c r="E1" s="662"/>
      <c r="F1" s="662"/>
      <c r="G1" s="662"/>
      <c r="H1" s="662"/>
      <c r="I1" s="662"/>
      <c r="J1" s="662"/>
      <c r="K1" s="662"/>
      <c r="L1" s="663"/>
    </row>
    <row r="2" spans="1:14" ht="21" customHeight="1">
      <c r="A2" s="664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6"/>
    </row>
    <row r="3" spans="1:14">
      <c r="A3" s="658" t="s">
        <v>39</v>
      </c>
      <c r="B3" s="658" t="s">
        <v>3298</v>
      </c>
      <c r="C3" s="658" t="s">
        <v>4329</v>
      </c>
      <c r="D3" s="658" t="s">
        <v>4328</v>
      </c>
      <c r="E3" s="659" t="s">
        <v>239</v>
      </c>
      <c r="F3" s="653"/>
      <c r="G3" s="654"/>
      <c r="H3" s="657">
        <v>1470</v>
      </c>
      <c r="I3" s="657">
        <f t="shared" ref="I3" si="0">H3</f>
        <v>1470</v>
      </c>
      <c r="J3" s="657"/>
      <c r="K3" s="657">
        <v>1470</v>
      </c>
      <c r="L3" s="657">
        <f t="shared" ref="L3" si="1">K3-I3</f>
        <v>0</v>
      </c>
      <c r="M3" s="6" t="s">
        <v>2503</v>
      </c>
      <c r="N3" s="572">
        <f>SUM(I3:I82,I85,I93)</f>
        <v>30228</v>
      </c>
    </row>
    <row r="4" spans="1:14">
      <c r="A4" s="658"/>
      <c r="B4" s="658"/>
      <c r="C4" s="658"/>
      <c r="D4" s="658"/>
      <c r="E4" s="660"/>
      <c r="F4" s="655"/>
      <c r="G4" s="656"/>
      <c r="H4" s="657"/>
      <c r="I4" s="657"/>
      <c r="J4" s="657"/>
      <c r="K4" s="657"/>
      <c r="L4" s="657"/>
      <c r="M4" s="6" t="s">
        <v>4401</v>
      </c>
    </row>
    <row r="5" spans="1:14">
      <c r="A5" s="658"/>
      <c r="B5" s="658"/>
      <c r="C5" s="658" t="s">
        <v>39</v>
      </c>
      <c r="D5" s="658" t="s">
        <v>4325</v>
      </c>
      <c r="E5" s="667" t="s">
        <v>4344</v>
      </c>
      <c r="F5" s="653"/>
      <c r="G5" s="654"/>
      <c r="H5" s="657">
        <v>40</v>
      </c>
      <c r="I5" s="657">
        <f t="shared" ref="I5" si="2">H5</f>
        <v>40</v>
      </c>
      <c r="J5" s="657"/>
      <c r="K5" s="657">
        <v>0</v>
      </c>
      <c r="L5" s="657">
        <f t="shared" ref="L5" si="3">K5-I5</f>
        <v>-40</v>
      </c>
    </row>
    <row r="6" spans="1:14">
      <c r="A6" s="658"/>
      <c r="B6" s="658"/>
      <c r="C6" s="658"/>
      <c r="D6" s="658"/>
      <c r="E6" s="667"/>
      <c r="F6" s="655"/>
      <c r="G6" s="656"/>
      <c r="H6" s="657"/>
      <c r="I6" s="657"/>
      <c r="J6" s="657"/>
      <c r="K6" s="657"/>
      <c r="L6" s="657"/>
    </row>
    <row r="7" spans="1:14">
      <c r="A7" s="658"/>
      <c r="B7" s="658"/>
      <c r="C7" s="658" t="s">
        <v>43</v>
      </c>
      <c r="D7" s="658" t="s">
        <v>4326</v>
      </c>
      <c r="E7" s="667" t="s">
        <v>3309</v>
      </c>
      <c r="F7" s="653"/>
      <c r="G7" s="654"/>
      <c r="H7" s="657">
        <v>500</v>
      </c>
      <c r="I7" s="657">
        <f t="shared" ref="I7" si="4">H7</f>
        <v>500</v>
      </c>
      <c r="J7" s="657"/>
      <c r="K7" s="657">
        <v>0</v>
      </c>
      <c r="L7" s="657">
        <f t="shared" ref="L7" si="5">K7-I7</f>
        <v>-500</v>
      </c>
    </row>
    <row r="8" spans="1:14">
      <c r="A8" s="658"/>
      <c r="B8" s="658"/>
      <c r="C8" s="658"/>
      <c r="D8" s="658"/>
      <c r="E8" s="667"/>
      <c r="F8" s="655"/>
      <c r="G8" s="656"/>
      <c r="H8" s="657"/>
      <c r="I8" s="657"/>
      <c r="J8" s="657"/>
      <c r="K8" s="657"/>
      <c r="L8" s="657"/>
    </row>
    <row r="9" spans="1:14">
      <c r="A9" s="658"/>
      <c r="B9" s="658"/>
      <c r="C9" s="658" t="s">
        <v>44</v>
      </c>
      <c r="D9" s="658" t="s">
        <v>4326</v>
      </c>
      <c r="E9" s="667" t="s">
        <v>4343</v>
      </c>
      <c r="F9" s="653"/>
      <c r="G9" s="654"/>
      <c r="H9" s="657">
        <v>450</v>
      </c>
      <c r="I9" s="657">
        <f t="shared" ref="I9" si="6">H9</f>
        <v>450</v>
      </c>
      <c r="J9" s="657"/>
      <c r="K9" s="657">
        <v>0</v>
      </c>
      <c r="L9" s="657">
        <f t="shared" ref="L9" si="7">K9-I9</f>
        <v>-450</v>
      </c>
    </row>
    <row r="10" spans="1:14">
      <c r="A10" s="658"/>
      <c r="B10" s="658"/>
      <c r="C10" s="658"/>
      <c r="D10" s="658"/>
      <c r="E10" s="667"/>
      <c r="F10" s="655"/>
      <c r="G10" s="656"/>
      <c r="H10" s="657"/>
      <c r="I10" s="657"/>
      <c r="J10" s="657"/>
      <c r="K10" s="657"/>
      <c r="L10" s="657"/>
    </row>
    <row r="11" spans="1:14">
      <c r="A11" s="658" t="s">
        <v>43</v>
      </c>
      <c r="B11" s="658" t="s">
        <v>3008</v>
      </c>
      <c r="C11" s="658" t="s">
        <v>4330</v>
      </c>
      <c r="D11" s="658" t="s">
        <v>4328</v>
      </c>
      <c r="E11" s="659" t="s">
        <v>239</v>
      </c>
      <c r="F11" s="653"/>
      <c r="G11" s="654"/>
      <c r="H11" s="657">
        <v>1470</v>
      </c>
      <c r="I11" s="657">
        <v>1470</v>
      </c>
      <c r="J11" s="657"/>
      <c r="K11" s="657">
        <v>1470</v>
      </c>
      <c r="L11" s="657">
        <f t="shared" ref="L11" si="8">K11-I11</f>
        <v>0</v>
      </c>
    </row>
    <row r="12" spans="1:14">
      <c r="A12" s="658"/>
      <c r="B12" s="658"/>
      <c r="C12" s="658"/>
      <c r="D12" s="658"/>
      <c r="E12" s="660"/>
      <c r="F12" s="655"/>
      <c r="G12" s="656"/>
      <c r="H12" s="657"/>
      <c r="I12" s="657"/>
      <c r="J12" s="657"/>
      <c r="K12" s="657"/>
      <c r="L12" s="657"/>
    </row>
    <row r="13" spans="1:14">
      <c r="A13" s="658"/>
      <c r="B13" s="658"/>
      <c r="C13" s="658" t="s">
        <v>45</v>
      </c>
      <c r="D13" s="658" t="s">
        <v>4333</v>
      </c>
      <c r="E13" s="667" t="s">
        <v>2780</v>
      </c>
      <c r="F13" s="653"/>
      <c r="G13" s="654"/>
      <c r="H13" s="657">
        <v>380</v>
      </c>
      <c r="I13" s="657">
        <f t="shared" ref="I13" si="9">H13</f>
        <v>380</v>
      </c>
      <c r="J13" s="657"/>
      <c r="K13" s="657">
        <v>0</v>
      </c>
      <c r="L13" s="657">
        <f t="shared" ref="L13" si="10">K13-I13</f>
        <v>-380</v>
      </c>
    </row>
    <row r="14" spans="1:14">
      <c r="A14" s="658"/>
      <c r="B14" s="658"/>
      <c r="C14" s="658"/>
      <c r="D14" s="658"/>
      <c r="E14" s="667"/>
      <c r="F14" s="655"/>
      <c r="G14" s="656"/>
      <c r="H14" s="657"/>
      <c r="I14" s="657"/>
      <c r="J14" s="657"/>
      <c r="K14" s="657"/>
      <c r="L14" s="657"/>
    </row>
    <row r="15" spans="1:14">
      <c r="A15" s="658"/>
      <c r="B15" s="658"/>
      <c r="C15" s="658" t="s">
        <v>46</v>
      </c>
      <c r="D15" s="658" t="s">
        <v>4333</v>
      </c>
      <c r="E15" s="667" t="s">
        <v>3860</v>
      </c>
      <c r="F15" s="653"/>
      <c r="G15" s="654"/>
      <c r="H15" s="657">
        <v>700</v>
      </c>
      <c r="I15" s="657">
        <f t="shared" ref="I15" si="11">H15</f>
        <v>700</v>
      </c>
      <c r="J15" s="657"/>
      <c r="K15" s="657">
        <v>0</v>
      </c>
      <c r="L15" s="657">
        <f t="shared" ref="L15" si="12">K15-I15</f>
        <v>-700</v>
      </c>
    </row>
    <row r="16" spans="1:14">
      <c r="A16" s="658"/>
      <c r="B16" s="658"/>
      <c r="C16" s="658"/>
      <c r="D16" s="658"/>
      <c r="E16" s="667"/>
      <c r="F16" s="655"/>
      <c r="G16" s="656"/>
      <c r="H16" s="657"/>
      <c r="I16" s="657"/>
      <c r="J16" s="657"/>
      <c r="K16" s="657"/>
      <c r="L16" s="657"/>
    </row>
    <row r="17" spans="1:12">
      <c r="A17" s="658" t="s">
        <v>44</v>
      </c>
      <c r="B17" s="658" t="s">
        <v>4037</v>
      </c>
      <c r="C17" s="658" t="s">
        <v>4332</v>
      </c>
      <c r="D17" s="658" t="s">
        <v>4331</v>
      </c>
      <c r="E17" s="659" t="s">
        <v>239</v>
      </c>
      <c r="F17" s="653"/>
      <c r="G17" s="654"/>
      <c r="H17" s="657">
        <v>41723</v>
      </c>
      <c r="I17" s="657">
        <v>1470</v>
      </c>
      <c r="J17" s="657"/>
      <c r="K17" s="657">
        <v>1470</v>
      </c>
      <c r="L17" s="657">
        <f>K17-I17</f>
        <v>0</v>
      </c>
    </row>
    <row r="18" spans="1:12">
      <c r="A18" s="658"/>
      <c r="B18" s="658"/>
      <c r="C18" s="658"/>
      <c r="D18" s="658"/>
      <c r="E18" s="660"/>
      <c r="F18" s="655"/>
      <c r="G18" s="656"/>
      <c r="H18" s="657"/>
      <c r="I18" s="657"/>
      <c r="J18" s="657"/>
      <c r="K18" s="657"/>
      <c r="L18" s="657"/>
    </row>
    <row r="19" spans="1:12">
      <c r="A19" s="658"/>
      <c r="B19" s="658"/>
      <c r="C19" s="658" t="s">
        <v>50</v>
      </c>
      <c r="D19" s="658" t="s">
        <v>4326</v>
      </c>
      <c r="E19" s="667" t="s">
        <v>4327</v>
      </c>
      <c r="F19" s="653"/>
      <c r="G19" s="654"/>
      <c r="H19" s="657">
        <v>300</v>
      </c>
      <c r="I19" s="657">
        <f t="shared" ref="I19" si="13">H19</f>
        <v>300</v>
      </c>
      <c r="J19" s="657"/>
      <c r="K19" s="657">
        <v>0</v>
      </c>
      <c r="L19" s="657">
        <f t="shared" ref="L19" si="14">K19-I19</f>
        <v>-300</v>
      </c>
    </row>
    <row r="20" spans="1:12">
      <c r="A20" s="658"/>
      <c r="B20" s="658"/>
      <c r="C20" s="658"/>
      <c r="D20" s="658"/>
      <c r="E20" s="667"/>
      <c r="F20" s="655"/>
      <c r="G20" s="656"/>
      <c r="H20" s="657"/>
      <c r="I20" s="657"/>
      <c r="J20" s="657"/>
      <c r="K20" s="657"/>
      <c r="L20" s="657"/>
    </row>
    <row r="21" spans="1:12">
      <c r="A21" s="658"/>
      <c r="B21" s="658"/>
      <c r="C21" s="658" t="s">
        <v>51</v>
      </c>
      <c r="D21" s="658" t="s">
        <v>4326</v>
      </c>
      <c r="E21" s="667" t="s">
        <v>3025</v>
      </c>
      <c r="F21" s="653"/>
      <c r="G21" s="654"/>
      <c r="H21" s="657">
        <v>100</v>
      </c>
      <c r="I21" s="657">
        <f t="shared" ref="I21" si="15">H21</f>
        <v>100</v>
      </c>
      <c r="J21" s="657"/>
      <c r="K21" s="657">
        <v>0</v>
      </c>
      <c r="L21" s="657">
        <f t="shared" ref="L21" si="16">K21-I21</f>
        <v>-100</v>
      </c>
    </row>
    <row r="22" spans="1:12">
      <c r="A22" s="658"/>
      <c r="B22" s="658"/>
      <c r="C22" s="658"/>
      <c r="D22" s="658"/>
      <c r="E22" s="667"/>
      <c r="F22" s="655"/>
      <c r="G22" s="656"/>
      <c r="H22" s="657"/>
      <c r="I22" s="657"/>
      <c r="J22" s="657"/>
      <c r="K22" s="657"/>
      <c r="L22" s="657"/>
    </row>
    <row r="23" spans="1:12">
      <c r="A23" s="658" t="s">
        <v>45</v>
      </c>
      <c r="B23" s="658" t="s">
        <v>3281</v>
      </c>
      <c r="C23" s="658" t="s">
        <v>4346</v>
      </c>
      <c r="D23" s="658" t="s">
        <v>4326</v>
      </c>
      <c r="E23" s="659" t="s">
        <v>239</v>
      </c>
      <c r="F23" s="653"/>
      <c r="G23" s="654"/>
      <c r="H23" s="657">
        <v>41547</v>
      </c>
      <c r="I23" s="657">
        <v>1470</v>
      </c>
      <c r="J23" s="657"/>
      <c r="K23" s="657">
        <v>1470</v>
      </c>
      <c r="L23" s="657">
        <f t="shared" ref="L23" si="17">K23-I23</f>
        <v>0</v>
      </c>
    </row>
    <row r="24" spans="1:12">
      <c r="A24" s="658"/>
      <c r="B24" s="658"/>
      <c r="C24" s="658"/>
      <c r="D24" s="658"/>
      <c r="E24" s="660"/>
      <c r="F24" s="655"/>
      <c r="G24" s="656"/>
      <c r="H24" s="657"/>
      <c r="I24" s="657"/>
      <c r="J24" s="657"/>
      <c r="K24" s="657"/>
      <c r="L24" s="657"/>
    </row>
    <row r="25" spans="1:12">
      <c r="A25" s="658"/>
      <c r="B25" s="658"/>
      <c r="C25" s="658" t="s">
        <v>53</v>
      </c>
      <c r="D25" s="658" t="s">
        <v>4345</v>
      </c>
      <c r="E25" s="658" t="s">
        <v>1140</v>
      </c>
      <c r="F25" s="653"/>
      <c r="G25" s="654"/>
      <c r="H25" s="657">
        <v>650</v>
      </c>
      <c r="I25" s="657">
        <f t="shared" ref="I25" si="18">H25</f>
        <v>650</v>
      </c>
      <c r="J25" s="657"/>
      <c r="K25" s="657">
        <v>650</v>
      </c>
      <c r="L25" s="657">
        <f t="shared" ref="L25" si="19">K25-I25</f>
        <v>0</v>
      </c>
    </row>
    <row r="26" spans="1:12">
      <c r="A26" s="658"/>
      <c r="B26" s="658"/>
      <c r="C26" s="658"/>
      <c r="D26" s="658"/>
      <c r="E26" s="658"/>
      <c r="F26" s="655"/>
      <c r="G26" s="656"/>
      <c r="H26" s="657"/>
      <c r="I26" s="657"/>
      <c r="J26" s="657"/>
      <c r="K26" s="657"/>
      <c r="L26" s="657"/>
    </row>
    <row r="27" spans="1:12">
      <c r="A27" s="658"/>
      <c r="B27" s="658"/>
      <c r="C27" s="658" t="s">
        <v>54</v>
      </c>
      <c r="D27" s="658" t="s">
        <v>4345</v>
      </c>
      <c r="E27" s="667" t="s">
        <v>3309</v>
      </c>
      <c r="F27" s="653"/>
      <c r="G27" s="654"/>
      <c r="H27" s="657">
        <v>480</v>
      </c>
      <c r="I27" s="657">
        <f t="shared" ref="I27" si="20">H27</f>
        <v>480</v>
      </c>
      <c r="J27" s="657"/>
      <c r="K27" s="657">
        <v>0</v>
      </c>
      <c r="L27" s="657">
        <f t="shared" ref="L27" si="21">K27-I27</f>
        <v>-480</v>
      </c>
    </row>
    <row r="28" spans="1:12">
      <c r="A28" s="658"/>
      <c r="B28" s="658"/>
      <c r="C28" s="658"/>
      <c r="D28" s="658"/>
      <c r="E28" s="667"/>
      <c r="F28" s="655"/>
      <c r="G28" s="656"/>
      <c r="H28" s="657"/>
      <c r="I28" s="657"/>
      <c r="J28" s="657"/>
      <c r="K28" s="657"/>
      <c r="L28" s="657"/>
    </row>
    <row r="29" spans="1:12">
      <c r="A29" s="658" t="s">
        <v>50</v>
      </c>
      <c r="B29" s="658" t="s">
        <v>3008</v>
      </c>
      <c r="C29" s="658" t="s">
        <v>4355</v>
      </c>
      <c r="D29" s="658" t="s">
        <v>4354</v>
      </c>
      <c r="E29" s="667" t="s">
        <v>239</v>
      </c>
      <c r="F29" s="653"/>
      <c r="G29" s="654"/>
      <c r="H29" s="657">
        <v>43217</v>
      </c>
      <c r="I29" s="657">
        <v>1530</v>
      </c>
      <c r="J29" s="657"/>
      <c r="K29" s="657">
        <v>0</v>
      </c>
      <c r="L29" s="657">
        <f t="shared" ref="L29" si="22">K29-I29</f>
        <v>-1530</v>
      </c>
    </row>
    <row r="30" spans="1:12">
      <c r="A30" s="658"/>
      <c r="B30" s="658"/>
      <c r="C30" s="658"/>
      <c r="D30" s="658"/>
      <c r="E30" s="667"/>
      <c r="F30" s="655"/>
      <c r="G30" s="656"/>
      <c r="H30" s="657"/>
      <c r="I30" s="657"/>
      <c r="J30" s="657"/>
      <c r="K30" s="657"/>
      <c r="L30" s="657"/>
    </row>
    <row r="31" spans="1:12">
      <c r="A31" s="658"/>
      <c r="B31" s="658"/>
      <c r="C31" s="658" t="s">
        <v>56</v>
      </c>
      <c r="D31" s="658" t="s">
        <v>4347</v>
      </c>
      <c r="E31" s="667" t="s">
        <v>2723</v>
      </c>
      <c r="F31" s="653"/>
      <c r="G31" s="654"/>
      <c r="H31" s="657">
        <v>580</v>
      </c>
      <c r="I31" s="657">
        <f t="shared" ref="I31" si="23">H31</f>
        <v>580</v>
      </c>
      <c r="J31" s="657"/>
      <c r="K31" s="657">
        <v>0</v>
      </c>
      <c r="L31" s="657">
        <f t="shared" ref="L31" si="24">K31-I31</f>
        <v>-580</v>
      </c>
    </row>
    <row r="32" spans="1:12">
      <c r="A32" s="658"/>
      <c r="B32" s="658"/>
      <c r="C32" s="658"/>
      <c r="D32" s="658"/>
      <c r="E32" s="667"/>
      <c r="F32" s="655"/>
      <c r="G32" s="656"/>
      <c r="H32" s="657"/>
      <c r="I32" s="657"/>
      <c r="J32" s="657"/>
      <c r="K32" s="657"/>
      <c r="L32" s="657"/>
    </row>
    <row r="33" spans="1:12">
      <c r="A33" s="658"/>
      <c r="B33" s="658"/>
      <c r="C33" s="658" t="s">
        <v>66</v>
      </c>
      <c r="D33" s="658" t="s">
        <v>4347</v>
      </c>
      <c r="E33" s="667" t="s">
        <v>2723</v>
      </c>
      <c r="F33" s="653"/>
      <c r="G33" s="654"/>
      <c r="H33" s="657">
        <v>50</v>
      </c>
      <c r="I33" s="657">
        <f t="shared" ref="I33" si="25">H33</f>
        <v>50</v>
      </c>
      <c r="J33" s="657"/>
      <c r="K33" s="657">
        <v>0</v>
      </c>
      <c r="L33" s="657">
        <f t="shared" ref="L33" si="26">K33-I33</f>
        <v>-50</v>
      </c>
    </row>
    <row r="34" spans="1:12">
      <c r="A34" s="658"/>
      <c r="B34" s="658"/>
      <c r="C34" s="658"/>
      <c r="D34" s="658"/>
      <c r="E34" s="667"/>
      <c r="F34" s="655"/>
      <c r="G34" s="656"/>
      <c r="H34" s="657"/>
      <c r="I34" s="657"/>
      <c r="J34" s="657"/>
      <c r="K34" s="657"/>
      <c r="L34" s="657"/>
    </row>
    <row r="35" spans="1:12">
      <c r="A35" s="658"/>
      <c r="B35" s="658"/>
      <c r="C35" s="658" t="s">
        <v>67</v>
      </c>
      <c r="D35" s="658" t="s">
        <v>4347</v>
      </c>
      <c r="E35" s="667" t="s">
        <v>3017</v>
      </c>
      <c r="F35" s="653"/>
      <c r="G35" s="654"/>
      <c r="H35" s="657">
        <v>300</v>
      </c>
      <c r="I35" s="657">
        <f t="shared" ref="I35" si="27">H35</f>
        <v>300</v>
      </c>
      <c r="J35" s="657"/>
      <c r="K35" s="657">
        <v>0</v>
      </c>
      <c r="L35" s="657">
        <f t="shared" ref="L35" si="28">K35-I35</f>
        <v>-300</v>
      </c>
    </row>
    <row r="36" spans="1:12">
      <c r="A36" s="658"/>
      <c r="B36" s="658"/>
      <c r="C36" s="658"/>
      <c r="D36" s="658"/>
      <c r="E36" s="667"/>
      <c r="F36" s="655"/>
      <c r="G36" s="656"/>
      <c r="H36" s="657"/>
      <c r="I36" s="657"/>
      <c r="J36" s="657"/>
      <c r="K36" s="657"/>
      <c r="L36" s="657"/>
    </row>
    <row r="37" spans="1:12">
      <c r="A37" s="658"/>
      <c r="B37" s="658"/>
      <c r="C37" s="658" t="s">
        <v>70</v>
      </c>
      <c r="D37" s="658" t="s">
        <v>4347</v>
      </c>
      <c r="E37" s="667" t="s">
        <v>2517</v>
      </c>
      <c r="F37" s="653"/>
      <c r="G37" s="654"/>
      <c r="H37" s="657">
        <v>500</v>
      </c>
      <c r="I37" s="657">
        <f t="shared" ref="I37" si="29">H37</f>
        <v>500</v>
      </c>
      <c r="J37" s="657"/>
      <c r="K37" s="657">
        <v>0</v>
      </c>
      <c r="L37" s="657">
        <f t="shared" ref="L37" si="30">K37-I37</f>
        <v>-500</v>
      </c>
    </row>
    <row r="38" spans="1:12">
      <c r="A38" s="658"/>
      <c r="B38" s="658"/>
      <c r="C38" s="658"/>
      <c r="D38" s="658"/>
      <c r="E38" s="667"/>
      <c r="F38" s="655"/>
      <c r="G38" s="656"/>
      <c r="H38" s="657"/>
      <c r="I38" s="657"/>
      <c r="J38" s="657"/>
      <c r="K38" s="657"/>
      <c r="L38" s="657"/>
    </row>
    <row r="39" spans="1:12">
      <c r="A39" s="658" t="s">
        <v>51</v>
      </c>
      <c r="B39" s="658" t="s">
        <v>3298</v>
      </c>
      <c r="C39" s="658" t="s">
        <v>4352</v>
      </c>
      <c r="D39" s="658" t="s">
        <v>4345</v>
      </c>
      <c r="E39" s="667" t="s">
        <v>239</v>
      </c>
      <c r="F39" s="653"/>
      <c r="G39" s="654"/>
      <c r="H39" s="657">
        <v>1470</v>
      </c>
      <c r="I39" s="657">
        <f t="shared" ref="I39" si="31">H39</f>
        <v>1470</v>
      </c>
      <c r="J39" s="657"/>
      <c r="K39" s="657">
        <v>0</v>
      </c>
      <c r="L39" s="657">
        <f t="shared" ref="L39" si="32">K39-I39</f>
        <v>-1470</v>
      </c>
    </row>
    <row r="40" spans="1:12">
      <c r="A40" s="658"/>
      <c r="B40" s="658"/>
      <c r="C40" s="658"/>
      <c r="D40" s="658"/>
      <c r="E40" s="667"/>
      <c r="F40" s="655"/>
      <c r="G40" s="656"/>
      <c r="H40" s="657"/>
      <c r="I40" s="657"/>
      <c r="J40" s="657"/>
      <c r="K40" s="657"/>
      <c r="L40" s="657"/>
    </row>
    <row r="41" spans="1:12">
      <c r="A41" s="658"/>
      <c r="B41" s="658"/>
      <c r="C41" s="658" t="s">
        <v>71</v>
      </c>
      <c r="D41" s="658" t="s">
        <v>4349</v>
      </c>
      <c r="E41" s="667" t="s">
        <v>4348</v>
      </c>
      <c r="F41" s="653"/>
      <c r="G41" s="654"/>
      <c r="H41" s="657">
        <v>400</v>
      </c>
      <c r="I41" s="657">
        <f t="shared" ref="I41" si="33">H41</f>
        <v>400</v>
      </c>
      <c r="J41" s="657"/>
      <c r="K41" s="657">
        <v>0</v>
      </c>
      <c r="L41" s="657">
        <f t="shared" ref="L41" si="34">K41-I41</f>
        <v>-400</v>
      </c>
    </row>
    <row r="42" spans="1:12">
      <c r="A42" s="658"/>
      <c r="B42" s="658"/>
      <c r="C42" s="658"/>
      <c r="D42" s="658"/>
      <c r="E42" s="667"/>
      <c r="F42" s="655"/>
      <c r="G42" s="656"/>
      <c r="H42" s="657"/>
      <c r="I42" s="657"/>
      <c r="J42" s="657"/>
      <c r="K42" s="657"/>
      <c r="L42" s="657"/>
    </row>
    <row r="43" spans="1:12">
      <c r="A43" s="658"/>
      <c r="B43" s="658"/>
      <c r="C43" s="658" t="s">
        <v>75</v>
      </c>
      <c r="D43" s="658" t="s">
        <v>4349</v>
      </c>
      <c r="E43" s="667" t="s">
        <v>3025</v>
      </c>
      <c r="F43" s="653"/>
      <c r="G43" s="654"/>
      <c r="H43" s="657">
        <v>99</v>
      </c>
      <c r="I43" s="657">
        <f t="shared" ref="I43" si="35">H43</f>
        <v>99</v>
      </c>
      <c r="J43" s="657"/>
      <c r="K43" s="657">
        <v>0</v>
      </c>
      <c r="L43" s="657">
        <f t="shared" ref="L43" si="36">K43-I43</f>
        <v>-99</v>
      </c>
    </row>
    <row r="44" spans="1:12">
      <c r="A44" s="658"/>
      <c r="B44" s="658"/>
      <c r="C44" s="658"/>
      <c r="D44" s="658"/>
      <c r="E44" s="667"/>
      <c r="F44" s="655"/>
      <c r="G44" s="656"/>
      <c r="H44" s="657"/>
      <c r="I44" s="657"/>
      <c r="J44" s="657"/>
      <c r="K44" s="657"/>
      <c r="L44" s="657"/>
    </row>
    <row r="45" spans="1:12">
      <c r="A45" s="658" t="s">
        <v>53</v>
      </c>
      <c r="B45" s="658" t="s">
        <v>4037</v>
      </c>
      <c r="C45" s="658" t="s">
        <v>4353</v>
      </c>
      <c r="D45" s="658" t="s">
        <v>4345</v>
      </c>
      <c r="E45" s="667" t="s">
        <v>239</v>
      </c>
      <c r="F45" s="653"/>
      <c r="G45" s="654"/>
      <c r="H45" s="657">
        <v>1470</v>
      </c>
      <c r="I45" s="657">
        <f t="shared" ref="I45" si="37">H45</f>
        <v>1470</v>
      </c>
      <c r="J45" s="657"/>
      <c r="K45" s="657">
        <v>0</v>
      </c>
      <c r="L45" s="657">
        <f t="shared" ref="L45" si="38">K45-I45</f>
        <v>-1470</v>
      </c>
    </row>
    <row r="46" spans="1:12">
      <c r="A46" s="658"/>
      <c r="B46" s="658"/>
      <c r="C46" s="658"/>
      <c r="D46" s="658"/>
      <c r="E46" s="667"/>
      <c r="F46" s="655"/>
      <c r="G46" s="656"/>
      <c r="H46" s="657"/>
      <c r="I46" s="657"/>
      <c r="J46" s="657"/>
      <c r="K46" s="657"/>
      <c r="L46" s="657"/>
    </row>
    <row r="47" spans="1:12">
      <c r="A47" s="658"/>
      <c r="B47" s="658"/>
      <c r="C47" s="658" t="s">
        <v>76</v>
      </c>
      <c r="D47" s="658" t="s">
        <v>4349</v>
      </c>
      <c r="E47" s="658" t="s">
        <v>2376</v>
      </c>
      <c r="F47" s="653"/>
      <c r="G47" s="654"/>
      <c r="H47" s="657">
        <v>50</v>
      </c>
      <c r="I47" s="657">
        <f t="shared" ref="I47" si="39">H47</f>
        <v>50</v>
      </c>
      <c r="J47" s="657"/>
      <c r="K47" s="657">
        <v>50</v>
      </c>
      <c r="L47" s="657">
        <f t="shared" ref="L47" si="40">K47-I47</f>
        <v>0</v>
      </c>
    </row>
    <row r="48" spans="1:12">
      <c r="A48" s="658"/>
      <c r="B48" s="658"/>
      <c r="C48" s="658"/>
      <c r="D48" s="658"/>
      <c r="E48" s="658"/>
      <c r="F48" s="655"/>
      <c r="G48" s="656"/>
      <c r="H48" s="657"/>
      <c r="I48" s="657"/>
      <c r="J48" s="657"/>
      <c r="K48" s="657"/>
      <c r="L48" s="657"/>
    </row>
    <row r="49" spans="1:12">
      <c r="A49" s="658"/>
      <c r="B49" s="658"/>
      <c r="C49" s="658" t="s">
        <v>77</v>
      </c>
      <c r="D49" s="658" t="s">
        <v>4351</v>
      </c>
      <c r="E49" s="658" t="s">
        <v>4350</v>
      </c>
      <c r="F49" s="653"/>
      <c r="G49" s="654"/>
      <c r="H49" s="657">
        <v>70</v>
      </c>
      <c r="I49" s="657">
        <f t="shared" ref="I49" si="41">H49</f>
        <v>70</v>
      </c>
      <c r="J49" s="657"/>
      <c r="K49" s="657">
        <v>70</v>
      </c>
      <c r="L49" s="657">
        <f t="shared" ref="L49" si="42">K49-I49</f>
        <v>0</v>
      </c>
    </row>
    <row r="50" spans="1:12">
      <c r="A50" s="658"/>
      <c r="B50" s="658"/>
      <c r="C50" s="658"/>
      <c r="D50" s="658"/>
      <c r="E50" s="658"/>
      <c r="F50" s="655"/>
      <c r="G50" s="656"/>
      <c r="H50" s="657"/>
      <c r="I50" s="657"/>
      <c r="J50" s="657"/>
      <c r="K50" s="657"/>
      <c r="L50" s="657"/>
    </row>
    <row r="51" spans="1:12">
      <c r="A51" s="658"/>
      <c r="B51" s="658"/>
      <c r="C51" s="658" t="s">
        <v>78</v>
      </c>
      <c r="D51" s="658" t="s">
        <v>4349</v>
      </c>
      <c r="E51" s="658" t="s">
        <v>1601</v>
      </c>
      <c r="F51" s="653"/>
      <c r="G51" s="654"/>
      <c r="H51" s="657">
        <v>950</v>
      </c>
      <c r="I51" s="657">
        <f t="shared" ref="I51" si="43">H51</f>
        <v>950</v>
      </c>
      <c r="J51" s="657"/>
      <c r="K51" s="657">
        <v>950</v>
      </c>
      <c r="L51" s="657">
        <f t="shared" ref="L51" si="44">K51-I51</f>
        <v>0</v>
      </c>
    </row>
    <row r="52" spans="1:12">
      <c r="A52" s="658"/>
      <c r="B52" s="658"/>
      <c r="C52" s="658"/>
      <c r="D52" s="658"/>
      <c r="E52" s="658"/>
      <c r="F52" s="655"/>
      <c r="G52" s="656"/>
      <c r="H52" s="657"/>
      <c r="I52" s="657"/>
      <c r="J52" s="657"/>
      <c r="K52" s="657"/>
      <c r="L52" s="657"/>
    </row>
    <row r="53" spans="1:12">
      <c r="A53" s="658" t="s">
        <v>54</v>
      </c>
      <c r="B53" s="658" t="s">
        <v>3281</v>
      </c>
      <c r="C53" s="658" t="s">
        <v>4367</v>
      </c>
      <c r="D53" s="658" t="s">
        <v>4349</v>
      </c>
      <c r="E53" s="667" t="s">
        <v>239</v>
      </c>
      <c r="F53" s="653"/>
      <c r="G53" s="654"/>
      <c r="H53" s="657">
        <v>42212</v>
      </c>
      <c r="I53" s="657">
        <v>1470</v>
      </c>
      <c r="J53" s="657"/>
      <c r="K53" s="657">
        <v>0</v>
      </c>
      <c r="L53" s="657">
        <f t="shared" ref="L53" si="45">K53-I53</f>
        <v>-1470</v>
      </c>
    </row>
    <row r="54" spans="1:12">
      <c r="A54" s="658"/>
      <c r="B54" s="658"/>
      <c r="C54" s="658"/>
      <c r="D54" s="658"/>
      <c r="E54" s="667"/>
      <c r="F54" s="655"/>
      <c r="G54" s="656"/>
      <c r="H54" s="657"/>
      <c r="I54" s="657"/>
      <c r="J54" s="657"/>
      <c r="K54" s="657"/>
      <c r="L54" s="657"/>
    </row>
    <row r="55" spans="1:12">
      <c r="A55" s="658"/>
      <c r="B55" s="658"/>
      <c r="C55" s="658" t="s">
        <v>79</v>
      </c>
      <c r="D55" s="658" t="s">
        <v>4360</v>
      </c>
      <c r="E55" s="667" t="s">
        <v>4356</v>
      </c>
      <c r="F55" s="653"/>
      <c r="G55" s="654"/>
      <c r="H55" s="657">
        <v>370</v>
      </c>
      <c r="I55" s="657">
        <f t="shared" ref="I55" si="46">H55</f>
        <v>370</v>
      </c>
      <c r="J55" s="657"/>
      <c r="K55" s="657">
        <v>0</v>
      </c>
      <c r="L55" s="657">
        <f t="shared" ref="L55" si="47">K55-I55</f>
        <v>-370</v>
      </c>
    </row>
    <row r="56" spans="1:12">
      <c r="A56" s="658"/>
      <c r="B56" s="658"/>
      <c r="C56" s="658"/>
      <c r="D56" s="658"/>
      <c r="E56" s="667"/>
      <c r="F56" s="655"/>
      <c r="G56" s="656"/>
      <c r="H56" s="657"/>
      <c r="I56" s="657"/>
      <c r="J56" s="657"/>
      <c r="K56" s="657"/>
      <c r="L56" s="657"/>
    </row>
    <row r="57" spans="1:12">
      <c r="A57" s="658"/>
      <c r="B57" s="658"/>
      <c r="C57" s="658" t="s">
        <v>80</v>
      </c>
      <c r="D57" s="658" t="s">
        <v>4360</v>
      </c>
      <c r="E57" s="667" t="s">
        <v>4356</v>
      </c>
      <c r="F57" s="653"/>
      <c r="G57" s="654"/>
      <c r="H57" s="657">
        <v>390</v>
      </c>
      <c r="I57" s="657">
        <f t="shared" ref="I57" si="48">H57</f>
        <v>390</v>
      </c>
      <c r="J57" s="657"/>
      <c r="K57" s="657">
        <v>0</v>
      </c>
      <c r="L57" s="657">
        <f t="shared" ref="L57" si="49">K57-I57</f>
        <v>-390</v>
      </c>
    </row>
    <row r="58" spans="1:12">
      <c r="A58" s="658"/>
      <c r="B58" s="658"/>
      <c r="C58" s="658"/>
      <c r="D58" s="658"/>
      <c r="E58" s="667"/>
      <c r="F58" s="655"/>
      <c r="G58" s="656"/>
      <c r="H58" s="657"/>
      <c r="I58" s="657"/>
      <c r="J58" s="657"/>
      <c r="K58" s="657"/>
      <c r="L58" s="657"/>
    </row>
    <row r="59" spans="1:12">
      <c r="A59" s="658"/>
      <c r="B59" s="658"/>
      <c r="C59" s="658" t="s">
        <v>81</v>
      </c>
      <c r="D59" s="658" t="s">
        <v>4360</v>
      </c>
      <c r="E59" s="667" t="s">
        <v>4357</v>
      </c>
      <c r="F59" s="653"/>
      <c r="G59" s="654"/>
      <c r="H59" s="657">
        <v>400</v>
      </c>
      <c r="I59" s="657">
        <f t="shared" ref="I59" si="50">H59</f>
        <v>400</v>
      </c>
      <c r="J59" s="657"/>
      <c r="K59" s="657">
        <v>0</v>
      </c>
      <c r="L59" s="657">
        <f t="shared" ref="L59" si="51">K59-I59</f>
        <v>-400</v>
      </c>
    </row>
    <row r="60" spans="1:12">
      <c r="A60" s="658"/>
      <c r="B60" s="658"/>
      <c r="C60" s="658"/>
      <c r="D60" s="658"/>
      <c r="E60" s="667"/>
      <c r="F60" s="655"/>
      <c r="G60" s="656"/>
      <c r="H60" s="657"/>
      <c r="I60" s="657"/>
      <c r="J60" s="657"/>
      <c r="K60" s="657"/>
      <c r="L60" s="657"/>
    </row>
    <row r="61" spans="1:12">
      <c r="A61" s="658" t="s">
        <v>56</v>
      </c>
      <c r="B61" s="658" t="s">
        <v>3008</v>
      </c>
      <c r="C61" s="658" t="s">
        <v>4371</v>
      </c>
      <c r="D61" s="658" t="s">
        <v>4351</v>
      </c>
      <c r="E61" s="667" t="s">
        <v>239</v>
      </c>
      <c r="F61" s="653"/>
      <c r="G61" s="654"/>
      <c r="H61" s="657">
        <v>42087</v>
      </c>
      <c r="I61" s="657">
        <v>1470</v>
      </c>
      <c r="J61" s="657"/>
      <c r="K61" s="657">
        <v>0</v>
      </c>
      <c r="L61" s="657">
        <f t="shared" ref="L61" si="52">K61-I61</f>
        <v>-1470</v>
      </c>
    </row>
    <row r="62" spans="1:12">
      <c r="A62" s="658"/>
      <c r="B62" s="658"/>
      <c r="C62" s="658"/>
      <c r="D62" s="658"/>
      <c r="E62" s="667"/>
      <c r="F62" s="655"/>
      <c r="G62" s="656"/>
      <c r="H62" s="657"/>
      <c r="I62" s="657"/>
      <c r="J62" s="657"/>
      <c r="K62" s="657"/>
      <c r="L62" s="657"/>
    </row>
    <row r="63" spans="1:12">
      <c r="A63" s="658"/>
      <c r="B63" s="658"/>
      <c r="C63" s="658" t="s">
        <v>82</v>
      </c>
      <c r="D63" s="658" t="s">
        <v>4361</v>
      </c>
      <c r="E63" s="658" t="s">
        <v>4358</v>
      </c>
      <c r="F63" s="653"/>
      <c r="G63" s="654"/>
      <c r="H63" s="657">
        <v>460</v>
      </c>
      <c r="I63" s="657">
        <f t="shared" ref="I63" si="53">H63</f>
        <v>460</v>
      </c>
      <c r="J63" s="657"/>
      <c r="K63" s="657">
        <v>460</v>
      </c>
      <c r="L63" s="657">
        <f t="shared" ref="L63" si="54">K63-I63</f>
        <v>0</v>
      </c>
    </row>
    <row r="64" spans="1:12">
      <c r="A64" s="658"/>
      <c r="B64" s="658"/>
      <c r="C64" s="658"/>
      <c r="D64" s="658"/>
      <c r="E64" s="658"/>
      <c r="F64" s="655"/>
      <c r="G64" s="656"/>
      <c r="H64" s="657"/>
      <c r="I64" s="657"/>
      <c r="J64" s="657"/>
      <c r="K64" s="657"/>
      <c r="L64" s="657"/>
    </row>
    <row r="65" spans="1:12">
      <c r="A65" s="658"/>
      <c r="B65" s="658"/>
      <c r="C65" s="658" t="s">
        <v>84</v>
      </c>
      <c r="D65" s="658" t="s">
        <v>4361</v>
      </c>
      <c r="E65" s="667" t="s">
        <v>4359</v>
      </c>
      <c r="F65" s="653"/>
      <c r="G65" s="654"/>
      <c r="H65" s="657">
        <v>600</v>
      </c>
      <c r="I65" s="657">
        <f t="shared" ref="I65" si="55">H65</f>
        <v>600</v>
      </c>
      <c r="J65" s="657"/>
      <c r="K65" s="657">
        <v>0</v>
      </c>
      <c r="L65" s="657">
        <f t="shared" ref="L65" si="56">K65-I65</f>
        <v>-600</v>
      </c>
    </row>
    <row r="66" spans="1:12">
      <c r="A66" s="658"/>
      <c r="B66" s="658"/>
      <c r="C66" s="658"/>
      <c r="D66" s="658"/>
      <c r="E66" s="667"/>
      <c r="F66" s="655"/>
      <c r="G66" s="656"/>
      <c r="H66" s="657"/>
      <c r="I66" s="657"/>
      <c r="J66" s="657"/>
      <c r="K66" s="657"/>
      <c r="L66" s="657"/>
    </row>
    <row r="67" spans="1:12">
      <c r="A67" s="658"/>
      <c r="B67" s="658"/>
      <c r="C67" s="658" t="s">
        <v>85</v>
      </c>
      <c r="D67" s="658" t="s">
        <v>4361</v>
      </c>
      <c r="E67" s="667" t="s">
        <v>2723</v>
      </c>
      <c r="F67" s="653"/>
      <c r="G67" s="654"/>
      <c r="H67" s="657">
        <v>270</v>
      </c>
      <c r="I67" s="657">
        <f t="shared" ref="I67" si="57">H67</f>
        <v>270</v>
      </c>
      <c r="J67" s="657"/>
      <c r="K67" s="657">
        <v>0</v>
      </c>
      <c r="L67" s="657">
        <f t="shared" ref="L67" si="58">K67-I67</f>
        <v>-270</v>
      </c>
    </row>
    <row r="68" spans="1:12">
      <c r="A68" s="658"/>
      <c r="B68" s="658"/>
      <c r="C68" s="658"/>
      <c r="D68" s="658"/>
      <c r="E68" s="667"/>
      <c r="F68" s="655"/>
      <c r="G68" s="656"/>
      <c r="H68" s="657"/>
      <c r="I68" s="657"/>
      <c r="J68" s="657"/>
      <c r="K68" s="657"/>
      <c r="L68" s="657"/>
    </row>
    <row r="69" spans="1:12">
      <c r="A69" s="658" t="s">
        <v>66</v>
      </c>
      <c r="B69" s="658" t="s">
        <v>4037</v>
      </c>
      <c r="C69" s="658" t="s">
        <v>4369</v>
      </c>
      <c r="D69" s="658" t="s">
        <v>4368</v>
      </c>
      <c r="E69" s="667" t="s">
        <v>239</v>
      </c>
      <c r="F69" s="653"/>
      <c r="G69" s="654"/>
      <c r="H69" s="657">
        <v>1470</v>
      </c>
      <c r="I69" s="657">
        <v>1470</v>
      </c>
      <c r="J69" s="657"/>
      <c r="K69" s="657">
        <v>0</v>
      </c>
      <c r="L69" s="657">
        <f t="shared" ref="L69" si="59">K69-I69</f>
        <v>-1470</v>
      </c>
    </row>
    <row r="70" spans="1:12">
      <c r="A70" s="658"/>
      <c r="B70" s="658"/>
      <c r="C70" s="658"/>
      <c r="D70" s="658"/>
      <c r="E70" s="667"/>
      <c r="F70" s="655"/>
      <c r="G70" s="656"/>
      <c r="H70" s="657"/>
      <c r="I70" s="657"/>
      <c r="J70" s="657"/>
      <c r="K70" s="657"/>
      <c r="L70" s="657"/>
    </row>
    <row r="71" spans="1:12">
      <c r="A71" s="658"/>
      <c r="B71" s="658"/>
      <c r="C71" s="658" t="s">
        <v>86</v>
      </c>
      <c r="D71" s="658" t="s">
        <v>4362</v>
      </c>
      <c r="E71" s="667" t="s">
        <v>4365</v>
      </c>
      <c r="F71" s="653"/>
      <c r="G71" s="654"/>
      <c r="H71" s="657">
        <v>300</v>
      </c>
      <c r="I71" s="657">
        <f t="shared" ref="I71" si="60">H71</f>
        <v>300</v>
      </c>
      <c r="J71" s="657"/>
      <c r="K71" s="657">
        <v>0</v>
      </c>
      <c r="L71" s="657">
        <f t="shared" ref="L71" si="61">K71-I71</f>
        <v>-300</v>
      </c>
    </row>
    <row r="72" spans="1:12">
      <c r="A72" s="658"/>
      <c r="B72" s="658"/>
      <c r="C72" s="658"/>
      <c r="D72" s="658"/>
      <c r="E72" s="667"/>
      <c r="F72" s="655"/>
      <c r="G72" s="656"/>
      <c r="H72" s="657"/>
      <c r="I72" s="657"/>
      <c r="J72" s="657"/>
      <c r="K72" s="657"/>
      <c r="L72" s="657"/>
    </row>
    <row r="73" spans="1:12">
      <c r="A73" s="658"/>
      <c r="B73" s="658"/>
      <c r="C73" s="658" t="s">
        <v>87</v>
      </c>
      <c r="D73" s="658" t="s">
        <v>4362</v>
      </c>
      <c r="E73" s="667" t="s">
        <v>1601</v>
      </c>
      <c r="F73" s="653"/>
      <c r="G73" s="654"/>
      <c r="H73" s="657">
        <v>370</v>
      </c>
      <c r="I73" s="657">
        <f t="shared" ref="I73" si="62">H73</f>
        <v>370</v>
      </c>
      <c r="J73" s="657"/>
      <c r="K73" s="657">
        <v>0</v>
      </c>
      <c r="L73" s="657">
        <f t="shared" ref="L73" si="63">K73-I73</f>
        <v>-370</v>
      </c>
    </row>
    <row r="74" spans="1:12">
      <c r="A74" s="658"/>
      <c r="B74" s="658"/>
      <c r="C74" s="658"/>
      <c r="D74" s="658"/>
      <c r="E74" s="667"/>
      <c r="F74" s="655"/>
      <c r="G74" s="656"/>
      <c r="H74" s="657"/>
      <c r="I74" s="657"/>
      <c r="J74" s="657"/>
      <c r="K74" s="657"/>
      <c r="L74" s="657"/>
    </row>
    <row r="75" spans="1:12">
      <c r="A75" s="658"/>
      <c r="B75" s="658"/>
      <c r="C75" s="658" t="s">
        <v>95</v>
      </c>
      <c r="D75" s="658" t="s">
        <v>4363</v>
      </c>
      <c r="E75" s="667" t="s">
        <v>4364</v>
      </c>
      <c r="F75" s="653"/>
      <c r="G75" s="654"/>
      <c r="H75" s="657">
        <v>600</v>
      </c>
      <c r="I75" s="657">
        <f t="shared" ref="I75" si="64">H75</f>
        <v>600</v>
      </c>
      <c r="J75" s="657"/>
      <c r="K75" s="657">
        <v>0</v>
      </c>
      <c r="L75" s="657">
        <f t="shared" ref="L75" si="65">K75-I75</f>
        <v>-600</v>
      </c>
    </row>
    <row r="76" spans="1:12">
      <c r="A76" s="658"/>
      <c r="B76" s="658"/>
      <c r="C76" s="658"/>
      <c r="D76" s="658"/>
      <c r="E76" s="667"/>
      <c r="F76" s="655"/>
      <c r="G76" s="656"/>
      <c r="H76" s="657"/>
      <c r="I76" s="657"/>
      <c r="J76" s="657"/>
      <c r="K76" s="657"/>
      <c r="L76" s="657"/>
    </row>
    <row r="77" spans="1:12">
      <c r="A77" s="658" t="s">
        <v>67</v>
      </c>
      <c r="B77" s="658" t="s">
        <v>3298</v>
      </c>
      <c r="C77" s="658" t="s">
        <v>4370</v>
      </c>
      <c r="D77" s="658" t="s">
        <v>4360</v>
      </c>
      <c r="E77" s="667" t="s">
        <v>239</v>
      </c>
      <c r="F77" s="653"/>
      <c r="G77" s="654"/>
      <c r="H77" s="657">
        <v>1470</v>
      </c>
      <c r="I77" s="657">
        <v>1470</v>
      </c>
      <c r="J77" s="657"/>
      <c r="K77" s="657">
        <v>0</v>
      </c>
      <c r="L77" s="657">
        <f t="shared" ref="L77" si="66">K77-I77</f>
        <v>-1470</v>
      </c>
    </row>
    <row r="78" spans="1:12">
      <c r="A78" s="658"/>
      <c r="B78" s="658"/>
      <c r="C78" s="658"/>
      <c r="D78" s="658"/>
      <c r="E78" s="667"/>
      <c r="F78" s="655"/>
      <c r="G78" s="656"/>
      <c r="H78" s="657"/>
      <c r="I78" s="657"/>
      <c r="J78" s="657"/>
      <c r="K78" s="657"/>
      <c r="L78" s="657"/>
    </row>
    <row r="79" spans="1:12">
      <c r="A79" s="658"/>
      <c r="B79" s="658"/>
      <c r="C79" s="658" t="s">
        <v>102</v>
      </c>
      <c r="D79" s="658" t="s">
        <v>4362</v>
      </c>
      <c r="E79" s="667" t="s">
        <v>2582</v>
      </c>
      <c r="F79" s="653"/>
      <c r="G79" s="654"/>
      <c r="H79" s="657">
        <v>420</v>
      </c>
      <c r="I79" s="657">
        <f t="shared" ref="I79" si="67">H79</f>
        <v>420</v>
      </c>
      <c r="J79" s="657"/>
      <c r="K79" s="657">
        <v>0</v>
      </c>
      <c r="L79" s="657">
        <f t="shared" ref="L79" si="68">K79-I79</f>
        <v>-420</v>
      </c>
    </row>
    <row r="80" spans="1:12">
      <c r="A80" s="658"/>
      <c r="B80" s="658"/>
      <c r="C80" s="658"/>
      <c r="D80" s="658"/>
      <c r="E80" s="667"/>
      <c r="F80" s="655"/>
      <c r="G80" s="656"/>
      <c r="H80" s="657"/>
      <c r="I80" s="657"/>
      <c r="J80" s="657"/>
      <c r="K80" s="657"/>
      <c r="L80" s="657"/>
    </row>
    <row r="81" spans="1:12">
      <c r="A81" s="658"/>
      <c r="B81" s="658"/>
      <c r="C81" s="658" t="s">
        <v>118</v>
      </c>
      <c r="D81" s="658" t="s">
        <v>4362</v>
      </c>
      <c r="E81" s="667" t="s">
        <v>3025</v>
      </c>
      <c r="F81" s="653"/>
      <c r="G81" s="654"/>
      <c r="H81" s="657">
        <v>99</v>
      </c>
      <c r="I81" s="657">
        <f t="shared" ref="I81" si="69">H81</f>
        <v>99</v>
      </c>
      <c r="J81" s="657"/>
      <c r="K81" s="657">
        <v>0</v>
      </c>
      <c r="L81" s="657">
        <f t="shared" ref="L81" si="70">K81-I81</f>
        <v>-99</v>
      </c>
    </row>
    <row r="82" spans="1:12">
      <c r="A82" s="658"/>
      <c r="B82" s="658"/>
      <c r="C82" s="658"/>
      <c r="D82" s="658"/>
      <c r="E82" s="667"/>
      <c r="F82" s="655"/>
      <c r="G82" s="656"/>
      <c r="H82" s="657"/>
      <c r="I82" s="657"/>
      <c r="J82" s="657"/>
      <c r="K82" s="657"/>
      <c r="L82" s="657"/>
    </row>
    <row r="83" spans="1:12">
      <c r="A83" s="658"/>
      <c r="B83" s="658" t="s">
        <v>1470</v>
      </c>
      <c r="C83" s="658" t="s">
        <v>103</v>
      </c>
      <c r="D83" s="658" t="s">
        <v>4361</v>
      </c>
      <c r="E83" s="658" t="s">
        <v>1516</v>
      </c>
      <c r="F83" s="653"/>
      <c r="G83" s="654"/>
      <c r="H83" s="657">
        <v>350</v>
      </c>
      <c r="I83" s="657">
        <v>300</v>
      </c>
      <c r="J83" s="657"/>
      <c r="K83" s="657">
        <v>350</v>
      </c>
      <c r="L83" s="657">
        <f t="shared" ref="L83" si="71">K83-I83</f>
        <v>50</v>
      </c>
    </row>
    <row r="84" spans="1:12">
      <c r="A84" s="658"/>
      <c r="B84" s="658"/>
      <c r="C84" s="658"/>
      <c r="D84" s="658"/>
      <c r="E84" s="658"/>
      <c r="F84" s="655"/>
      <c r="G84" s="656"/>
      <c r="H84" s="657"/>
      <c r="I84" s="657"/>
      <c r="J84" s="657"/>
      <c r="K84" s="657"/>
      <c r="L84" s="657"/>
    </row>
    <row r="85" spans="1:12">
      <c r="A85" s="658" t="s">
        <v>70</v>
      </c>
      <c r="B85" s="658" t="s">
        <v>3281</v>
      </c>
      <c r="C85" s="658" t="s">
        <v>4374</v>
      </c>
      <c r="D85" s="658" t="s">
        <v>4373</v>
      </c>
      <c r="E85" s="667" t="s">
        <v>239</v>
      </c>
      <c r="F85" s="653"/>
      <c r="G85" s="654"/>
      <c r="H85" s="657">
        <v>45105</v>
      </c>
      <c r="I85" s="657">
        <v>1590</v>
      </c>
      <c r="J85" s="657"/>
      <c r="K85" s="657">
        <v>0</v>
      </c>
      <c r="L85" s="657">
        <f t="shared" ref="L85" si="72">K85-I85</f>
        <v>-1590</v>
      </c>
    </row>
    <row r="86" spans="1:12">
      <c r="A86" s="658"/>
      <c r="B86" s="658"/>
      <c r="C86" s="658"/>
      <c r="D86" s="658"/>
      <c r="E86" s="667"/>
      <c r="F86" s="655"/>
      <c r="G86" s="656"/>
      <c r="H86" s="657"/>
      <c r="I86" s="657"/>
      <c r="J86" s="657"/>
      <c r="K86" s="657"/>
      <c r="L86" s="657"/>
    </row>
    <row r="87" spans="1:12">
      <c r="A87" s="668" t="s">
        <v>4380</v>
      </c>
      <c r="B87" s="669"/>
      <c r="C87" s="669"/>
      <c r="D87" s="669"/>
      <c r="E87" s="669"/>
      <c r="F87" s="669"/>
      <c r="G87" s="669"/>
      <c r="H87" s="669"/>
      <c r="I87" s="669"/>
      <c r="J87" s="669"/>
      <c r="K87" s="669"/>
      <c r="L87" s="670"/>
    </row>
    <row r="88" spans="1:12">
      <c r="A88" s="671"/>
      <c r="B88" s="672"/>
      <c r="C88" s="672"/>
      <c r="D88" s="672"/>
      <c r="E88" s="672"/>
      <c r="F88" s="672"/>
      <c r="G88" s="672"/>
      <c r="H88" s="672"/>
      <c r="I88" s="672"/>
      <c r="J88" s="672"/>
      <c r="K88" s="672"/>
      <c r="L88" s="673"/>
    </row>
    <row r="89" spans="1:12">
      <c r="A89" s="658"/>
      <c r="B89" s="658"/>
      <c r="C89" s="658" t="s">
        <v>119</v>
      </c>
      <c r="D89" s="658" t="s">
        <v>4375</v>
      </c>
      <c r="E89" s="667" t="s">
        <v>4322</v>
      </c>
      <c r="F89" s="653"/>
      <c r="G89" s="654"/>
      <c r="H89" s="657">
        <v>550</v>
      </c>
      <c r="I89" s="657">
        <f t="shared" ref="I89" si="73">H89</f>
        <v>550</v>
      </c>
      <c r="J89" s="657"/>
      <c r="K89" s="657">
        <v>0</v>
      </c>
      <c r="L89" s="657">
        <f t="shared" ref="L89" si="74">K89-I89</f>
        <v>-550</v>
      </c>
    </row>
    <row r="90" spans="1:12">
      <c r="A90" s="658"/>
      <c r="B90" s="658"/>
      <c r="C90" s="658"/>
      <c r="D90" s="658"/>
      <c r="E90" s="667"/>
      <c r="F90" s="655"/>
      <c r="G90" s="656"/>
      <c r="H90" s="657"/>
      <c r="I90" s="657"/>
      <c r="J90" s="657"/>
      <c r="K90" s="657"/>
      <c r="L90" s="657"/>
    </row>
    <row r="91" spans="1:12">
      <c r="A91" s="658"/>
      <c r="B91" s="658"/>
      <c r="C91" s="658" t="s">
        <v>137</v>
      </c>
      <c r="D91" s="658" t="s">
        <v>4376</v>
      </c>
      <c r="E91" s="667" t="s">
        <v>4372</v>
      </c>
      <c r="F91" s="653"/>
      <c r="G91" s="654"/>
      <c r="H91" s="657">
        <v>200</v>
      </c>
      <c r="I91" s="657">
        <f t="shared" ref="I91" si="75">H91</f>
        <v>200</v>
      </c>
      <c r="J91" s="657"/>
      <c r="K91" s="657">
        <v>0</v>
      </c>
      <c r="L91" s="657">
        <f t="shared" ref="L91" si="76">K91-I91</f>
        <v>-200</v>
      </c>
    </row>
    <row r="92" spans="1:12">
      <c r="A92" s="658"/>
      <c r="B92" s="658"/>
      <c r="C92" s="658"/>
      <c r="D92" s="658"/>
      <c r="E92" s="667"/>
      <c r="F92" s="655"/>
      <c r="G92" s="656"/>
      <c r="H92" s="657"/>
      <c r="I92" s="657"/>
      <c r="J92" s="657"/>
      <c r="K92" s="657"/>
      <c r="L92" s="657"/>
    </row>
    <row r="93" spans="1:12">
      <c r="A93" s="658" t="s">
        <v>71</v>
      </c>
      <c r="B93" s="658" t="s">
        <v>3298</v>
      </c>
      <c r="C93" s="658" t="s">
        <v>4377</v>
      </c>
      <c r="D93" s="674" t="s">
        <v>4373</v>
      </c>
      <c r="E93" s="667" t="s">
        <v>239</v>
      </c>
      <c r="F93" s="653"/>
      <c r="G93" s="654"/>
      <c r="H93" s="657">
        <v>43403</v>
      </c>
      <c r="I93" s="657">
        <v>1530</v>
      </c>
      <c r="J93" s="657"/>
      <c r="K93" s="657">
        <v>0</v>
      </c>
      <c r="L93" s="657">
        <f t="shared" ref="L93" si="77">K93-I93</f>
        <v>-1530</v>
      </c>
    </row>
    <row r="94" spans="1:12">
      <c r="A94" s="658"/>
      <c r="B94" s="658"/>
      <c r="C94" s="658"/>
      <c r="D94" s="674"/>
      <c r="E94" s="667"/>
      <c r="F94" s="655"/>
      <c r="G94" s="656"/>
      <c r="H94" s="657"/>
      <c r="I94" s="657"/>
      <c r="J94" s="657"/>
      <c r="K94" s="657"/>
      <c r="L94" s="657"/>
    </row>
    <row r="95" spans="1:12">
      <c r="A95" s="658"/>
      <c r="B95" s="658"/>
      <c r="C95" s="658" t="s">
        <v>140</v>
      </c>
      <c r="D95" s="658" t="s">
        <v>4375</v>
      </c>
      <c r="E95" s="667" t="s">
        <v>1601</v>
      </c>
      <c r="F95" s="653"/>
      <c r="G95" s="654"/>
      <c r="H95" s="657">
        <v>1150</v>
      </c>
      <c r="I95" s="657">
        <f t="shared" ref="I95" si="78">H95</f>
        <v>1150</v>
      </c>
      <c r="J95" s="657"/>
      <c r="K95" s="657">
        <v>0</v>
      </c>
      <c r="L95" s="657">
        <f t="shared" ref="L95" si="79">K95-I95</f>
        <v>-1150</v>
      </c>
    </row>
    <row r="96" spans="1:12">
      <c r="A96" s="658"/>
      <c r="B96" s="658"/>
      <c r="C96" s="658"/>
      <c r="D96" s="658"/>
      <c r="E96" s="667"/>
      <c r="F96" s="655"/>
      <c r="G96" s="656"/>
      <c r="H96" s="657"/>
      <c r="I96" s="657"/>
      <c r="J96" s="657"/>
      <c r="K96" s="657"/>
      <c r="L96" s="657"/>
    </row>
    <row r="97" spans="1:13">
      <c r="A97" s="658" t="s">
        <v>75</v>
      </c>
      <c r="B97" s="658" t="s">
        <v>4037</v>
      </c>
      <c r="C97" s="658" t="s">
        <v>4378</v>
      </c>
      <c r="D97" s="658" t="s">
        <v>4379</v>
      </c>
      <c r="E97" s="667" t="s">
        <v>239</v>
      </c>
      <c r="F97" s="653"/>
      <c r="G97" s="654"/>
      <c r="H97" s="657">
        <v>1470</v>
      </c>
      <c r="I97" s="657">
        <f t="shared" ref="I97" si="80">H97</f>
        <v>1470</v>
      </c>
      <c r="J97" s="657"/>
      <c r="K97" s="657">
        <v>0</v>
      </c>
      <c r="L97" s="657">
        <f t="shared" ref="L97" si="81">K97-I97</f>
        <v>-1470</v>
      </c>
    </row>
    <row r="98" spans="1:13">
      <c r="A98" s="658"/>
      <c r="B98" s="658"/>
      <c r="C98" s="658"/>
      <c r="D98" s="658"/>
      <c r="E98" s="667"/>
      <c r="F98" s="655"/>
      <c r="G98" s="656"/>
      <c r="H98" s="657"/>
      <c r="I98" s="657"/>
      <c r="J98" s="657"/>
      <c r="K98" s="657"/>
      <c r="L98" s="657"/>
    </row>
    <row r="99" spans="1:13">
      <c r="A99" s="658"/>
      <c r="B99" s="658"/>
      <c r="C99" s="658" t="s">
        <v>141</v>
      </c>
      <c r="D99" s="658" t="s">
        <v>4375</v>
      </c>
      <c r="E99" s="667" t="s">
        <v>2723</v>
      </c>
      <c r="F99" s="653"/>
      <c r="G99" s="654"/>
      <c r="H99" s="657">
        <v>450</v>
      </c>
      <c r="I99" s="657">
        <f t="shared" ref="I99" si="82">H99</f>
        <v>450</v>
      </c>
      <c r="J99" s="657"/>
      <c r="K99" s="657">
        <v>0</v>
      </c>
      <c r="L99" s="657">
        <f t="shared" ref="L99" si="83">K99-I99</f>
        <v>-450</v>
      </c>
      <c r="M99" t="s">
        <v>4390</v>
      </c>
    </row>
    <row r="100" spans="1:13">
      <c r="A100" s="658"/>
      <c r="B100" s="658"/>
      <c r="C100" s="658"/>
      <c r="D100" s="658"/>
      <c r="E100" s="667"/>
      <c r="F100" s="655"/>
      <c r="G100" s="656"/>
      <c r="H100" s="657"/>
      <c r="I100" s="657"/>
      <c r="J100" s="657"/>
      <c r="K100" s="657"/>
      <c r="L100" s="657"/>
    </row>
    <row r="101" spans="1:13">
      <c r="A101" s="658"/>
      <c r="B101" s="658"/>
      <c r="C101" s="658" t="s">
        <v>144</v>
      </c>
      <c r="D101" s="658" t="s">
        <v>4375</v>
      </c>
      <c r="E101" s="667" t="s">
        <v>3025</v>
      </c>
      <c r="F101" s="653"/>
      <c r="G101" s="654"/>
      <c r="H101" s="657">
        <v>99</v>
      </c>
      <c r="I101" s="657">
        <f t="shared" ref="I101" si="84">H101</f>
        <v>99</v>
      </c>
      <c r="J101" s="657"/>
      <c r="K101" s="657">
        <v>0</v>
      </c>
      <c r="L101" s="657">
        <f t="shared" ref="L101" si="85">K101-I101</f>
        <v>-99</v>
      </c>
    </row>
    <row r="102" spans="1:13">
      <c r="A102" s="658"/>
      <c r="B102" s="658"/>
      <c r="C102" s="658"/>
      <c r="D102" s="658"/>
      <c r="E102" s="667"/>
      <c r="F102" s="655"/>
      <c r="G102" s="656"/>
      <c r="H102" s="657"/>
      <c r="I102" s="657"/>
      <c r="J102" s="657"/>
      <c r="K102" s="657"/>
      <c r="L102" s="657"/>
    </row>
    <row r="103" spans="1:13">
      <c r="A103" s="658" t="s">
        <v>77</v>
      </c>
      <c r="B103" s="658" t="s">
        <v>3008</v>
      </c>
      <c r="C103" s="658" t="s">
        <v>4393</v>
      </c>
      <c r="D103" s="658" t="s">
        <v>4375</v>
      </c>
      <c r="E103" s="667" t="s">
        <v>239</v>
      </c>
      <c r="F103" s="653"/>
      <c r="G103" s="654"/>
      <c r="H103" s="657">
        <v>1470</v>
      </c>
      <c r="I103" s="657">
        <f t="shared" ref="I103" si="86">H103</f>
        <v>1470</v>
      </c>
      <c r="J103" s="657"/>
      <c r="K103" s="657">
        <v>0</v>
      </c>
      <c r="L103" s="657">
        <f t="shared" ref="L103" si="87">K103-I103</f>
        <v>-1470</v>
      </c>
    </row>
    <row r="104" spans="1:13">
      <c r="A104" s="658"/>
      <c r="B104" s="658"/>
      <c r="C104" s="658"/>
      <c r="D104" s="658"/>
      <c r="E104" s="667"/>
      <c r="F104" s="655"/>
      <c r="G104" s="656"/>
      <c r="H104" s="657"/>
      <c r="I104" s="657"/>
      <c r="J104" s="657"/>
      <c r="K104" s="657"/>
      <c r="L104" s="657"/>
    </row>
    <row r="105" spans="1:13">
      <c r="A105" s="658"/>
      <c r="B105" s="658"/>
      <c r="C105" s="658" t="s">
        <v>145</v>
      </c>
      <c r="D105" s="658" t="s">
        <v>4392</v>
      </c>
      <c r="E105" s="675" t="s">
        <v>4391</v>
      </c>
      <c r="F105" s="653"/>
      <c r="G105" s="654"/>
      <c r="H105" s="657">
        <v>260</v>
      </c>
      <c r="I105" s="657">
        <f t="shared" ref="I105" si="88">H105</f>
        <v>260</v>
      </c>
      <c r="J105" s="657"/>
      <c r="K105" s="657">
        <v>0</v>
      </c>
      <c r="L105" s="657">
        <f t="shared" ref="L105" si="89">K105-I105</f>
        <v>-260</v>
      </c>
    </row>
    <row r="106" spans="1:13">
      <c r="A106" s="658"/>
      <c r="B106" s="658"/>
      <c r="C106" s="658"/>
      <c r="D106" s="658"/>
      <c r="E106" s="676"/>
      <c r="F106" s="655"/>
      <c r="G106" s="656"/>
      <c r="H106" s="657"/>
      <c r="I106" s="657"/>
      <c r="J106" s="657"/>
      <c r="K106" s="657"/>
      <c r="L106" s="657"/>
    </row>
    <row r="107" spans="1:13">
      <c r="A107" s="658"/>
      <c r="B107" s="658"/>
      <c r="C107" s="658" t="s">
        <v>146</v>
      </c>
      <c r="D107" s="658" t="s">
        <v>4392</v>
      </c>
      <c r="E107" s="667" t="s">
        <v>3860</v>
      </c>
      <c r="F107" s="653"/>
      <c r="G107" s="654"/>
      <c r="H107" s="657">
        <v>700</v>
      </c>
      <c r="I107" s="657">
        <f t="shared" ref="I107" si="90">H107</f>
        <v>700</v>
      </c>
      <c r="J107" s="657"/>
      <c r="K107" s="657">
        <v>0</v>
      </c>
      <c r="L107" s="657">
        <f t="shared" ref="L107" si="91">K107-I107</f>
        <v>-700</v>
      </c>
    </row>
    <row r="108" spans="1:13">
      <c r="A108" s="658"/>
      <c r="B108" s="658"/>
      <c r="C108" s="658"/>
      <c r="D108" s="658"/>
      <c r="E108" s="667"/>
      <c r="F108" s="655"/>
      <c r="G108" s="656"/>
      <c r="H108" s="657"/>
      <c r="I108" s="657"/>
      <c r="J108" s="657"/>
      <c r="K108" s="657"/>
      <c r="L108" s="657"/>
    </row>
    <row r="109" spans="1:13">
      <c r="A109" s="658" t="s">
        <v>78</v>
      </c>
      <c r="B109" s="658" t="s">
        <v>3298</v>
      </c>
      <c r="C109" s="658" t="s">
        <v>4398</v>
      </c>
      <c r="D109" s="658" t="s">
        <v>4397</v>
      </c>
      <c r="E109" s="667" t="s">
        <v>239</v>
      </c>
      <c r="F109" s="653"/>
      <c r="G109" s="654"/>
      <c r="H109" s="657">
        <v>1470</v>
      </c>
      <c r="I109" s="657">
        <f t="shared" ref="I109" si="92">H109</f>
        <v>1470</v>
      </c>
      <c r="J109" s="657"/>
      <c r="K109" s="657">
        <v>0</v>
      </c>
      <c r="L109" s="657">
        <f t="shared" ref="L109" si="93">K109-I109</f>
        <v>-1470</v>
      </c>
    </row>
    <row r="110" spans="1:13">
      <c r="A110" s="658"/>
      <c r="B110" s="658"/>
      <c r="C110" s="658"/>
      <c r="D110" s="658"/>
      <c r="E110" s="667"/>
      <c r="F110" s="655"/>
      <c r="G110" s="656"/>
      <c r="H110" s="657"/>
      <c r="I110" s="657"/>
      <c r="J110" s="657"/>
      <c r="K110" s="657"/>
      <c r="L110" s="657"/>
    </row>
    <row r="111" spans="1:13">
      <c r="A111" s="658"/>
      <c r="B111" s="658"/>
      <c r="C111" s="658" t="s">
        <v>158</v>
      </c>
      <c r="D111" s="658" t="s">
        <v>4396</v>
      </c>
      <c r="E111" s="667" t="s">
        <v>4394</v>
      </c>
      <c r="F111" s="653"/>
      <c r="G111" s="654"/>
      <c r="H111" s="657">
        <v>180</v>
      </c>
      <c r="I111" s="657">
        <f t="shared" ref="I111" si="94">H111</f>
        <v>180</v>
      </c>
      <c r="J111" s="657"/>
      <c r="K111" s="657">
        <v>0</v>
      </c>
      <c r="L111" s="657">
        <f t="shared" ref="L111" si="95">K111-I111</f>
        <v>-180</v>
      </c>
    </row>
    <row r="112" spans="1:13">
      <c r="A112" s="658"/>
      <c r="B112" s="658"/>
      <c r="C112" s="658"/>
      <c r="D112" s="658"/>
      <c r="E112" s="667"/>
      <c r="F112" s="655"/>
      <c r="G112" s="656"/>
      <c r="H112" s="657"/>
      <c r="I112" s="657"/>
      <c r="J112" s="657"/>
      <c r="K112" s="657"/>
      <c r="L112" s="657"/>
    </row>
    <row r="113" spans="1:12">
      <c r="A113" s="658"/>
      <c r="B113" s="658"/>
      <c r="C113" s="658" t="s">
        <v>159</v>
      </c>
      <c r="D113" s="658" t="s">
        <v>4396</v>
      </c>
      <c r="E113" s="667" t="s">
        <v>1661</v>
      </c>
      <c r="F113" s="653"/>
      <c r="G113" s="654"/>
      <c r="H113" s="657">
        <v>620</v>
      </c>
      <c r="I113" s="657">
        <f t="shared" ref="I113" si="96">H113</f>
        <v>620</v>
      </c>
      <c r="J113" s="657"/>
      <c r="K113" s="657">
        <v>0</v>
      </c>
      <c r="L113" s="657">
        <f t="shared" ref="L113" si="97">K113-I113</f>
        <v>-620</v>
      </c>
    </row>
    <row r="114" spans="1:12">
      <c r="A114" s="658"/>
      <c r="B114" s="658"/>
      <c r="C114" s="658"/>
      <c r="D114" s="658"/>
      <c r="E114" s="667"/>
      <c r="F114" s="655"/>
      <c r="G114" s="656"/>
      <c r="H114" s="657"/>
      <c r="I114" s="657"/>
      <c r="J114" s="657"/>
      <c r="K114" s="657"/>
      <c r="L114" s="657"/>
    </row>
    <row r="115" spans="1:12">
      <c r="A115" s="658"/>
      <c r="B115" s="658"/>
      <c r="C115" s="658" t="s">
        <v>162</v>
      </c>
      <c r="D115" s="658" t="s">
        <v>4400</v>
      </c>
      <c r="E115" s="667" t="s">
        <v>2288</v>
      </c>
      <c r="F115" s="653"/>
      <c r="G115" s="654"/>
      <c r="H115" s="657">
        <v>200</v>
      </c>
      <c r="I115" s="657">
        <f t="shared" ref="I115" si="98">H115</f>
        <v>200</v>
      </c>
      <c r="J115" s="657"/>
      <c r="K115" s="657">
        <v>0</v>
      </c>
      <c r="L115" s="657">
        <f t="shared" ref="L115" si="99">K115-I115</f>
        <v>-200</v>
      </c>
    </row>
    <row r="116" spans="1:12">
      <c r="A116" s="658"/>
      <c r="B116" s="658"/>
      <c r="C116" s="658"/>
      <c r="D116" s="658"/>
      <c r="E116" s="667"/>
      <c r="F116" s="655"/>
      <c r="G116" s="656"/>
      <c r="H116" s="657"/>
      <c r="I116" s="657"/>
      <c r="J116" s="657"/>
      <c r="K116" s="657"/>
      <c r="L116" s="657"/>
    </row>
    <row r="117" spans="1:12">
      <c r="A117" s="658"/>
      <c r="B117" s="658"/>
      <c r="C117" s="658" t="s">
        <v>163</v>
      </c>
      <c r="D117" s="658" t="s">
        <v>4396</v>
      </c>
      <c r="E117" s="667" t="s">
        <v>4395</v>
      </c>
      <c r="F117" s="653"/>
      <c r="G117" s="654"/>
      <c r="H117" s="657">
        <v>400</v>
      </c>
      <c r="I117" s="657">
        <f t="shared" ref="I117" si="100">H117</f>
        <v>400</v>
      </c>
      <c r="J117" s="657"/>
      <c r="K117" s="657">
        <v>0</v>
      </c>
      <c r="L117" s="657">
        <f t="shared" ref="L117" si="101">K117-I117</f>
        <v>-400</v>
      </c>
    </row>
    <row r="118" spans="1:12">
      <c r="A118" s="658"/>
      <c r="B118" s="658"/>
      <c r="C118" s="658"/>
      <c r="D118" s="658"/>
      <c r="E118" s="667"/>
      <c r="F118" s="655"/>
      <c r="G118" s="656"/>
      <c r="H118" s="657"/>
      <c r="I118" s="657"/>
      <c r="J118" s="657"/>
      <c r="K118" s="657"/>
      <c r="L118" s="657"/>
    </row>
    <row r="119" spans="1:12">
      <c r="A119" s="658" t="s">
        <v>79</v>
      </c>
      <c r="B119" s="658" t="s">
        <v>4037</v>
      </c>
      <c r="C119" s="658" t="s">
        <v>4403</v>
      </c>
      <c r="D119" s="658" t="s">
        <v>4404</v>
      </c>
      <c r="E119" s="667" t="s">
        <v>239</v>
      </c>
      <c r="F119" s="653"/>
      <c r="G119" s="654"/>
      <c r="H119" s="657">
        <v>41994</v>
      </c>
      <c r="I119" s="657">
        <v>1470</v>
      </c>
      <c r="J119" s="657"/>
      <c r="K119" s="657">
        <v>0</v>
      </c>
      <c r="L119" s="657">
        <f t="shared" ref="L119" si="102">K119-I119</f>
        <v>-1470</v>
      </c>
    </row>
    <row r="120" spans="1:12">
      <c r="A120" s="658"/>
      <c r="B120" s="658"/>
      <c r="C120" s="658"/>
      <c r="D120" s="658"/>
      <c r="E120" s="667"/>
      <c r="F120" s="655"/>
      <c r="G120" s="656"/>
      <c r="H120" s="657"/>
      <c r="I120" s="657"/>
      <c r="J120" s="657"/>
      <c r="K120" s="657"/>
      <c r="L120" s="657"/>
    </row>
    <row r="121" spans="1:12">
      <c r="A121" s="658"/>
      <c r="B121" s="658"/>
      <c r="C121" s="658" t="s">
        <v>23</v>
      </c>
      <c r="D121" s="658" t="s">
        <v>4396</v>
      </c>
      <c r="E121" s="667" t="s">
        <v>4399</v>
      </c>
      <c r="F121" s="653"/>
      <c r="G121" s="654"/>
      <c r="H121" s="657">
        <v>450</v>
      </c>
      <c r="I121" s="657">
        <f t="shared" ref="I121" si="103">H121</f>
        <v>450</v>
      </c>
      <c r="J121" s="657"/>
      <c r="K121" s="657">
        <v>0</v>
      </c>
      <c r="L121" s="657">
        <f t="shared" ref="L121" si="104">K121-I121</f>
        <v>-450</v>
      </c>
    </row>
    <row r="122" spans="1:12">
      <c r="A122" s="658"/>
      <c r="B122" s="658"/>
      <c r="C122" s="658"/>
      <c r="D122" s="658"/>
      <c r="E122" s="667"/>
      <c r="F122" s="655"/>
      <c r="G122" s="656"/>
      <c r="H122" s="657"/>
      <c r="I122" s="657"/>
      <c r="J122" s="657"/>
      <c r="K122" s="657"/>
      <c r="L122" s="657"/>
    </row>
    <row r="123" spans="1:12">
      <c r="A123" s="658"/>
      <c r="B123" s="658"/>
      <c r="C123" s="658" t="s">
        <v>164</v>
      </c>
      <c r="D123" s="658" t="s">
        <v>4400</v>
      </c>
      <c r="E123" s="667"/>
      <c r="F123" s="653"/>
      <c r="G123" s="654"/>
      <c r="H123" s="657">
        <v>580</v>
      </c>
      <c r="I123" s="657">
        <f t="shared" ref="I123" si="105">H123</f>
        <v>580</v>
      </c>
      <c r="J123" s="657"/>
      <c r="K123" s="657">
        <v>0</v>
      </c>
      <c r="L123" s="657">
        <f t="shared" ref="L123" si="106">K123-I123</f>
        <v>-580</v>
      </c>
    </row>
    <row r="124" spans="1:12">
      <c r="A124" s="658"/>
      <c r="B124" s="658"/>
      <c r="C124" s="658"/>
      <c r="D124" s="658"/>
      <c r="E124" s="667"/>
      <c r="F124" s="655"/>
      <c r="G124" s="656"/>
      <c r="H124" s="657"/>
      <c r="I124" s="657"/>
      <c r="J124" s="657"/>
      <c r="K124" s="657"/>
      <c r="L124" s="657"/>
    </row>
    <row r="125" spans="1:12">
      <c r="A125" s="658"/>
      <c r="B125" s="658"/>
      <c r="C125" s="658" t="s">
        <v>165</v>
      </c>
      <c r="D125" s="658" t="s">
        <v>4400</v>
      </c>
      <c r="E125" s="667" t="s">
        <v>2723</v>
      </c>
      <c r="F125" s="653"/>
      <c r="G125" s="654"/>
      <c r="H125" s="657">
        <v>50</v>
      </c>
      <c r="I125" s="657">
        <f t="shared" ref="I125" si="107">H125</f>
        <v>50</v>
      </c>
      <c r="J125" s="657"/>
      <c r="K125" s="657">
        <v>0</v>
      </c>
      <c r="L125" s="657">
        <f t="shared" ref="L125" si="108">K125-I125</f>
        <v>-50</v>
      </c>
    </row>
    <row r="126" spans="1:12">
      <c r="A126" s="658"/>
      <c r="B126" s="658"/>
      <c r="C126" s="658"/>
      <c r="D126" s="658"/>
      <c r="E126" s="667"/>
      <c r="F126" s="655"/>
      <c r="G126" s="656"/>
      <c r="H126" s="657"/>
      <c r="I126" s="657"/>
      <c r="J126" s="657"/>
      <c r="K126" s="657"/>
      <c r="L126" s="657"/>
    </row>
    <row r="127" spans="1:12">
      <c r="A127" s="658" t="s">
        <v>80</v>
      </c>
      <c r="B127" s="658" t="s">
        <v>3281</v>
      </c>
      <c r="C127" s="658" t="s">
        <v>4402</v>
      </c>
      <c r="D127" s="658" t="s">
        <v>4392</v>
      </c>
      <c r="E127" s="667" t="s">
        <v>239</v>
      </c>
      <c r="F127" s="653"/>
      <c r="G127" s="654"/>
      <c r="H127" s="657">
        <v>42145</v>
      </c>
      <c r="I127" s="657">
        <f t="shared" ref="I127" si="109">H127</f>
        <v>42145</v>
      </c>
      <c r="J127" s="657"/>
      <c r="K127" s="657">
        <v>0</v>
      </c>
      <c r="L127" s="657">
        <f t="shared" ref="L127" si="110">K127-I127</f>
        <v>-42145</v>
      </c>
    </row>
    <row r="128" spans="1:12">
      <c r="A128" s="658"/>
      <c r="B128" s="658"/>
      <c r="C128" s="658"/>
      <c r="D128" s="658"/>
      <c r="E128" s="667"/>
      <c r="F128" s="655"/>
      <c r="G128" s="656"/>
      <c r="H128" s="657"/>
      <c r="I128" s="657"/>
      <c r="J128" s="657"/>
      <c r="K128" s="657"/>
      <c r="L128" s="657"/>
    </row>
    <row r="129" spans="1:12">
      <c r="A129" s="658"/>
      <c r="B129" s="658"/>
      <c r="C129" s="658" t="s">
        <v>166</v>
      </c>
      <c r="D129" s="658" t="s">
        <v>4400</v>
      </c>
      <c r="E129" s="667" t="s">
        <v>3309</v>
      </c>
      <c r="F129" s="653"/>
      <c r="G129" s="654"/>
      <c r="H129" s="657">
        <v>550</v>
      </c>
      <c r="I129" s="657">
        <f t="shared" ref="I129" si="111">H129</f>
        <v>550</v>
      </c>
      <c r="J129" s="657"/>
      <c r="K129" s="657">
        <v>0</v>
      </c>
      <c r="L129" s="657">
        <f t="shared" ref="L129" si="112">K129-I129</f>
        <v>-550</v>
      </c>
    </row>
    <row r="130" spans="1:12">
      <c r="A130" s="658"/>
      <c r="B130" s="658"/>
      <c r="C130" s="658"/>
      <c r="D130" s="658"/>
      <c r="E130" s="667"/>
      <c r="F130" s="655"/>
      <c r="G130" s="656"/>
      <c r="H130" s="657"/>
      <c r="I130" s="657"/>
      <c r="J130" s="657"/>
      <c r="K130" s="657"/>
      <c r="L130" s="657"/>
    </row>
    <row r="131" spans="1:12">
      <c r="A131" s="658"/>
      <c r="B131" s="658"/>
      <c r="C131" s="658" t="s">
        <v>183</v>
      </c>
      <c r="D131" s="658" t="s">
        <v>4400</v>
      </c>
      <c r="E131" s="677" t="s">
        <v>3025</v>
      </c>
      <c r="F131" s="653"/>
      <c r="G131" s="654"/>
      <c r="H131" s="657">
        <v>0</v>
      </c>
      <c r="I131" s="657">
        <f t="shared" ref="I131" si="113">H131</f>
        <v>0</v>
      </c>
      <c r="J131" s="657"/>
      <c r="K131" s="657">
        <v>0</v>
      </c>
      <c r="L131" s="657">
        <f t="shared" ref="L131" si="114">K131-I131</f>
        <v>0</v>
      </c>
    </row>
    <row r="132" spans="1:12">
      <c r="A132" s="658"/>
      <c r="B132" s="658"/>
      <c r="C132" s="658"/>
      <c r="D132" s="658"/>
      <c r="E132" s="677"/>
      <c r="F132" s="655"/>
      <c r="G132" s="656"/>
      <c r="H132" s="657"/>
      <c r="I132" s="657"/>
      <c r="J132" s="657"/>
      <c r="K132" s="657"/>
      <c r="L132" s="657"/>
    </row>
    <row r="133" spans="1:12">
      <c r="A133" s="658" t="s">
        <v>82</v>
      </c>
      <c r="B133" s="658" t="s">
        <v>3008</v>
      </c>
      <c r="C133" s="658" t="s">
        <v>4406</v>
      </c>
      <c r="D133" s="658" t="s">
        <v>4400</v>
      </c>
      <c r="E133" s="677" t="s">
        <v>239</v>
      </c>
      <c r="F133" s="653"/>
      <c r="G133" s="654"/>
      <c r="H133" s="657">
        <v>1470</v>
      </c>
      <c r="I133" s="657">
        <f>H133</f>
        <v>1470</v>
      </c>
      <c r="J133" s="657"/>
      <c r="K133" s="657">
        <v>0</v>
      </c>
      <c r="L133" s="657">
        <f t="shared" ref="L133" si="115">K133-I133</f>
        <v>-1470</v>
      </c>
    </row>
    <row r="134" spans="1:12">
      <c r="A134" s="658"/>
      <c r="B134" s="658"/>
      <c r="C134" s="658"/>
      <c r="D134" s="658"/>
      <c r="E134" s="677"/>
      <c r="F134" s="655"/>
      <c r="G134" s="656"/>
      <c r="H134" s="657"/>
      <c r="I134" s="657"/>
      <c r="J134" s="657"/>
      <c r="K134" s="657"/>
      <c r="L134" s="657"/>
    </row>
    <row r="135" spans="1:12">
      <c r="A135" s="658"/>
      <c r="B135" s="658"/>
      <c r="C135" s="658" t="s">
        <v>184</v>
      </c>
      <c r="D135" s="658" t="s">
        <v>4405</v>
      </c>
      <c r="E135" s="677" t="s">
        <v>2723</v>
      </c>
      <c r="F135" s="653"/>
      <c r="G135" s="654"/>
      <c r="H135" s="657">
        <v>370</v>
      </c>
      <c r="I135" s="657">
        <f t="shared" ref="I135" si="116">H135</f>
        <v>370</v>
      </c>
      <c r="J135" s="657"/>
      <c r="K135" s="657">
        <v>0</v>
      </c>
      <c r="L135" s="657">
        <f t="shared" ref="L135" si="117">K135-I135</f>
        <v>-370</v>
      </c>
    </row>
    <row r="136" spans="1:12">
      <c r="A136" s="658"/>
      <c r="B136" s="658"/>
      <c r="C136" s="658"/>
      <c r="D136" s="658"/>
      <c r="E136" s="677"/>
      <c r="F136" s="655"/>
      <c r="G136" s="656"/>
      <c r="H136" s="657"/>
      <c r="I136" s="657"/>
      <c r="J136" s="657"/>
      <c r="K136" s="657"/>
      <c r="L136" s="657"/>
    </row>
    <row r="137" spans="1:12">
      <c r="A137" s="658"/>
      <c r="B137" s="658"/>
      <c r="C137" s="658" t="s">
        <v>188</v>
      </c>
      <c r="D137" s="658" t="s">
        <v>4405</v>
      </c>
      <c r="E137" s="677" t="s">
        <v>2780</v>
      </c>
      <c r="F137" s="653"/>
      <c r="G137" s="654"/>
      <c r="H137" s="657">
        <v>500</v>
      </c>
      <c r="I137" s="657">
        <f t="shared" ref="I137" si="118">H137</f>
        <v>500</v>
      </c>
      <c r="J137" s="657"/>
      <c r="K137" s="657">
        <v>0</v>
      </c>
      <c r="L137" s="657">
        <f t="shared" ref="L137" si="119">K137-I137</f>
        <v>-500</v>
      </c>
    </row>
    <row r="138" spans="1:12">
      <c r="A138" s="658"/>
      <c r="B138" s="658"/>
      <c r="C138" s="658"/>
      <c r="D138" s="658"/>
      <c r="E138" s="677"/>
      <c r="F138" s="655"/>
      <c r="G138" s="656"/>
      <c r="H138" s="657"/>
      <c r="I138" s="657"/>
      <c r="J138" s="657"/>
      <c r="K138" s="657"/>
      <c r="L138" s="657"/>
    </row>
    <row r="139" spans="1:12">
      <c r="A139" s="658"/>
      <c r="B139" s="658"/>
      <c r="C139" s="658" t="s">
        <v>190</v>
      </c>
      <c r="D139" s="658" t="s">
        <v>4405</v>
      </c>
      <c r="E139" s="677" t="s">
        <v>4407</v>
      </c>
      <c r="F139" s="653"/>
      <c r="G139" s="654"/>
      <c r="H139" s="657">
        <v>30</v>
      </c>
      <c r="I139" s="657">
        <f t="shared" ref="I139" si="120">H139</f>
        <v>30</v>
      </c>
      <c r="J139" s="657"/>
      <c r="K139" s="657">
        <v>0</v>
      </c>
      <c r="L139" s="657">
        <f t="shared" ref="L139" si="121">K139-I139</f>
        <v>-30</v>
      </c>
    </row>
    <row r="140" spans="1:12">
      <c r="A140" s="658"/>
      <c r="B140" s="658"/>
      <c r="C140" s="658"/>
      <c r="D140" s="658"/>
      <c r="E140" s="677"/>
      <c r="F140" s="655"/>
      <c r="G140" s="656"/>
      <c r="H140" s="657"/>
      <c r="I140" s="657"/>
      <c r="J140" s="657"/>
      <c r="K140" s="657"/>
      <c r="L140" s="657"/>
    </row>
    <row r="141" spans="1:12">
      <c r="A141" s="658" t="s">
        <v>84</v>
      </c>
      <c r="B141" s="658" t="s">
        <v>4037</v>
      </c>
      <c r="C141" s="658" t="s">
        <v>4408</v>
      </c>
      <c r="D141" s="658" t="s">
        <v>4409</v>
      </c>
      <c r="E141" s="677" t="s">
        <v>239</v>
      </c>
      <c r="F141" s="653"/>
      <c r="G141" s="654"/>
      <c r="H141" s="657">
        <v>1470</v>
      </c>
      <c r="I141" s="657">
        <f t="shared" ref="I141" si="122">H141</f>
        <v>1470</v>
      </c>
      <c r="J141" s="657"/>
      <c r="K141" s="657">
        <v>0</v>
      </c>
      <c r="L141" s="657">
        <f t="shared" ref="L141" si="123">K141-I141</f>
        <v>-1470</v>
      </c>
    </row>
    <row r="142" spans="1:12">
      <c r="A142" s="658"/>
      <c r="B142" s="658"/>
      <c r="C142" s="658"/>
      <c r="D142" s="658"/>
      <c r="E142" s="677"/>
      <c r="F142" s="655"/>
      <c r="G142" s="656"/>
      <c r="H142" s="657"/>
      <c r="I142" s="657"/>
      <c r="J142" s="657"/>
      <c r="K142" s="657"/>
      <c r="L142" s="657"/>
    </row>
    <row r="143" spans="1:12">
      <c r="A143" s="658"/>
      <c r="B143" s="658"/>
      <c r="C143" s="658" t="s">
        <v>192</v>
      </c>
      <c r="D143" s="658"/>
      <c r="E143" s="677" t="s">
        <v>1601</v>
      </c>
      <c r="F143" s="653"/>
      <c r="G143" s="654"/>
      <c r="H143" s="657">
        <v>1100</v>
      </c>
      <c r="I143" s="657">
        <f t="shared" ref="I143" si="124">H143</f>
        <v>1100</v>
      </c>
      <c r="J143" s="657"/>
      <c r="K143" s="657">
        <v>0</v>
      </c>
      <c r="L143" s="657">
        <f>K143-I143</f>
        <v>-1100</v>
      </c>
    </row>
    <row r="144" spans="1:12">
      <c r="A144" s="658"/>
      <c r="B144" s="658"/>
      <c r="C144" s="658"/>
      <c r="D144" s="658"/>
      <c r="E144" s="677"/>
      <c r="F144" s="655"/>
      <c r="G144" s="656"/>
      <c r="H144" s="657"/>
      <c r="I144" s="657"/>
      <c r="J144" s="657"/>
      <c r="K144" s="657"/>
      <c r="L144" s="657"/>
    </row>
    <row r="145" spans="1:12">
      <c r="A145" s="658"/>
      <c r="B145" s="658"/>
      <c r="C145" s="658"/>
      <c r="D145" s="658"/>
      <c r="E145" s="677"/>
      <c r="F145" s="653"/>
      <c r="G145" s="654"/>
      <c r="H145" s="657"/>
      <c r="I145" s="657">
        <f t="shared" ref="I145" si="125">H145</f>
        <v>0</v>
      </c>
      <c r="J145" s="657"/>
      <c r="K145" s="657">
        <v>0</v>
      </c>
      <c r="L145" s="657">
        <f t="shared" ref="L145" si="126">K145-I145</f>
        <v>0</v>
      </c>
    </row>
    <row r="146" spans="1:12">
      <c r="A146" s="658"/>
      <c r="B146" s="658"/>
      <c r="C146" s="658"/>
      <c r="D146" s="658"/>
      <c r="E146" s="677"/>
      <c r="F146" s="655"/>
      <c r="G146" s="656"/>
      <c r="H146" s="657"/>
      <c r="I146" s="657"/>
      <c r="J146" s="657"/>
      <c r="K146" s="657"/>
      <c r="L146" s="657"/>
    </row>
    <row r="147" spans="1:12">
      <c r="A147" s="658" t="s">
        <v>85</v>
      </c>
      <c r="B147" s="658" t="s">
        <v>3298</v>
      </c>
      <c r="C147" s="658" t="s">
        <v>4412</v>
      </c>
      <c r="D147" s="658" t="s">
        <v>4413</v>
      </c>
      <c r="E147" s="677" t="s">
        <v>4411</v>
      </c>
      <c r="F147" s="653"/>
      <c r="G147" s="654"/>
      <c r="H147" s="657">
        <v>1470</v>
      </c>
      <c r="I147" s="657">
        <f>H147</f>
        <v>1470</v>
      </c>
      <c r="J147" s="657"/>
      <c r="K147" s="657">
        <v>0</v>
      </c>
      <c r="L147" s="657">
        <f>K147-I147</f>
        <v>-1470</v>
      </c>
    </row>
    <row r="148" spans="1:12">
      <c r="A148" s="658"/>
      <c r="B148" s="658"/>
      <c r="C148" s="658"/>
      <c r="D148" s="658"/>
      <c r="E148" s="677"/>
      <c r="F148" s="655"/>
      <c r="G148" s="656"/>
      <c r="H148" s="657"/>
      <c r="I148" s="657"/>
      <c r="J148" s="657"/>
      <c r="K148" s="657"/>
      <c r="L148" s="657"/>
    </row>
    <row r="149" spans="1:12">
      <c r="A149" s="649"/>
      <c r="B149" s="649"/>
      <c r="C149" s="649" t="s">
        <v>194</v>
      </c>
      <c r="D149" s="649"/>
      <c r="E149" s="650" t="s">
        <v>4410</v>
      </c>
      <c r="F149" s="651"/>
      <c r="G149" s="652"/>
      <c r="H149" s="648">
        <v>1100</v>
      </c>
      <c r="I149" s="648">
        <f>H149</f>
        <v>1100</v>
      </c>
      <c r="J149" s="648"/>
      <c r="K149" s="648">
        <v>0</v>
      </c>
      <c r="L149" s="648">
        <f>K149-I149</f>
        <v>-1100</v>
      </c>
    </row>
    <row r="150" spans="1:12">
      <c r="A150" s="649"/>
      <c r="B150" s="649"/>
      <c r="C150" s="649" t="s">
        <v>201</v>
      </c>
      <c r="D150" s="649"/>
      <c r="E150" s="650" t="s">
        <v>4344</v>
      </c>
      <c r="F150" s="651"/>
      <c r="G150" s="652"/>
      <c r="H150" s="648">
        <v>30</v>
      </c>
      <c r="I150" s="648">
        <f>H150</f>
        <v>30</v>
      </c>
      <c r="J150" s="648"/>
      <c r="K150" s="648">
        <v>0</v>
      </c>
      <c r="L150" s="648">
        <f>K150-I150</f>
        <v>-30</v>
      </c>
    </row>
    <row r="151" spans="1:12">
      <c r="A151" s="658"/>
      <c r="B151" s="658"/>
      <c r="C151" s="658" t="s">
        <v>202</v>
      </c>
      <c r="D151" s="658"/>
      <c r="E151" s="677" t="s">
        <v>4417</v>
      </c>
      <c r="F151" s="653"/>
      <c r="G151" s="654"/>
      <c r="H151" s="657">
        <v>30</v>
      </c>
      <c r="I151" s="657">
        <f t="shared" ref="I151" si="127">H151</f>
        <v>30</v>
      </c>
      <c r="J151" s="657"/>
      <c r="K151" s="657">
        <v>0</v>
      </c>
      <c r="L151" s="657">
        <f t="shared" ref="L151" si="128">K151-I151</f>
        <v>-30</v>
      </c>
    </row>
    <row r="152" spans="1:12">
      <c r="A152" s="658"/>
      <c r="B152" s="658"/>
      <c r="C152" s="658"/>
      <c r="D152" s="658"/>
      <c r="E152" s="677"/>
      <c r="F152" s="655"/>
      <c r="G152" s="656"/>
      <c r="H152" s="657"/>
      <c r="I152" s="657"/>
      <c r="J152" s="657"/>
      <c r="K152" s="657"/>
      <c r="L152" s="657"/>
    </row>
    <row r="153" spans="1:12">
      <c r="A153" s="658" t="s">
        <v>86</v>
      </c>
      <c r="B153" s="658" t="s">
        <v>3176</v>
      </c>
      <c r="C153" s="658" t="s">
        <v>4414</v>
      </c>
      <c r="D153" s="658" t="s">
        <v>4405</v>
      </c>
      <c r="E153" s="677" t="s">
        <v>4411</v>
      </c>
      <c r="F153" s="653"/>
      <c r="G153" s="654"/>
      <c r="H153" s="657">
        <v>1470</v>
      </c>
      <c r="I153" s="657">
        <f t="shared" ref="I153:I155" si="129">H153</f>
        <v>1470</v>
      </c>
      <c r="J153" s="657"/>
      <c r="K153" s="657">
        <v>0</v>
      </c>
      <c r="L153" s="657">
        <f t="shared" ref="L153:L155" si="130">K153-I153</f>
        <v>-1470</v>
      </c>
    </row>
    <row r="154" spans="1:12">
      <c r="A154" s="658"/>
      <c r="B154" s="658"/>
      <c r="C154" s="658"/>
      <c r="D154" s="658"/>
      <c r="E154" s="677"/>
      <c r="F154" s="655"/>
      <c r="G154" s="656"/>
      <c r="H154" s="657"/>
      <c r="I154" s="657"/>
      <c r="J154" s="657"/>
      <c r="K154" s="657"/>
      <c r="L154" s="657"/>
    </row>
    <row r="155" spans="1:12">
      <c r="A155" s="658"/>
      <c r="B155" s="658"/>
      <c r="C155" s="658" t="s">
        <v>212</v>
      </c>
      <c r="D155" s="658" t="s">
        <v>4415</v>
      </c>
      <c r="E155" s="677" t="s">
        <v>4416</v>
      </c>
      <c r="F155" s="653"/>
      <c r="G155" s="654"/>
      <c r="H155" s="657">
        <v>50</v>
      </c>
      <c r="I155" s="657">
        <f t="shared" si="129"/>
        <v>50</v>
      </c>
      <c r="J155" s="657"/>
      <c r="K155" s="657">
        <v>0</v>
      </c>
      <c r="L155" s="657">
        <f t="shared" si="130"/>
        <v>-50</v>
      </c>
    </row>
    <row r="156" spans="1:12">
      <c r="A156" s="658"/>
      <c r="B156" s="658"/>
      <c r="C156" s="658"/>
      <c r="D156" s="658"/>
      <c r="E156" s="677"/>
      <c r="F156" s="655"/>
      <c r="G156" s="656"/>
      <c r="H156" s="657"/>
      <c r="I156" s="657"/>
      <c r="J156" s="657"/>
      <c r="K156" s="657"/>
      <c r="L156" s="657"/>
    </row>
    <row r="157" spans="1:12">
      <c r="A157" s="658"/>
      <c r="B157" s="658"/>
      <c r="C157" s="658" t="s">
        <v>214</v>
      </c>
      <c r="D157" s="658" t="s">
        <v>4415</v>
      </c>
      <c r="E157" s="677" t="s">
        <v>4418</v>
      </c>
      <c r="F157" s="653"/>
      <c r="G157" s="654"/>
      <c r="H157" s="657">
        <v>400</v>
      </c>
      <c r="I157" s="657">
        <f t="shared" ref="I157" si="131">H157</f>
        <v>400</v>
      </c>
      <c r="J157" s="657"/>
      <c r="K157" s="657">
        <v>0</v>
      </c>
      <c r="L157" s="657">
        <f t="shared" ref="L157" si="132">K157-I157</f>
        <v>-400</v>
      </c>
    </row>
    <row r="158" spans="1:12">
      <c r="A158" s="658"/>
      <c r="B158" s="658"/>
      <c r="C158" s="658"/>
      <c r="D158" s="658"/>
      <c r="E158" s="677"/>
      <c r="F158" s="655"/>
      <c r="G158" s="656"/>
      <c r="H158" s="657"/>
      <c r="I158" s="657"/>
      <c r="J158" s="657"/>
      <c r="K158" s="657"/>
      <c r="L158" s="657"/>
    </row>
    <row r="159" spans="1:12">
      <c r="A159" s="658"/>
      <c r="B159" s="658"/>
      <c r="C159" s="658" t="s">
        <v>215</v>
      </c>
      <c r="D159" s="658"/>
      <c r="E159" s="677" t="s">
        <v>4419</v>
      </c>
      <c r="F159" s="653"/>
      <c r="G159" s="654"/>
      <c r="H159" s="657">
        <v>98</v>
      </c>
      <c r="I159" s="657">
        <f t="shared" ref="I159" si="133">H159</f>
        <v>98</v>
      </c>
      <c r="J159" s="657"/>
      <c r="K159" s="657">
        <v>0</v>
      </c>
      <c r="L159" s="657">
        <f t="shared" ref="L159" si="134">K159-I159</f>
        <v>-98</v>
      </c>
    </row>
    <row r="160" spans="1:12">
      <c r="A160" s="658"/>
      <c r="B160" s="658"/>
      <c r="C160" s="658"/>
      <c r="D160" s="658"/>
      <c r="E160" s="677"/>
      <c r="F160" s="655"/>
      <c r="G160" s="656"/>
      <c r="H160" s="657"/>
      <c r="I160" s="657"/>
      <c r="J160" s="657"/>
      <c r="K160" s="657"/>
      <c r="L160" s="657"/>
    </row>
    <row r="161" spans="1:12">
      <c r="A161" s="658" t="s">
        <v>87</v>
      </c>
      <c r="B161" s="658"/>
      <c r="C161" s="658"/>
      <c r="D161" s="658"/>
      <c r="E161" s="677"/>
      <c r="F161" s="653"/>
      <c r="G161" s="654"/>
      <c r="H161" s="657">
        <v>0</v>
      </c>
      <c r="I161" s="657">
        <f t="shared" ref="I161" si="135">H161</f>
        <v>0</v>
      </c>
      <c r="J161" s="657"/>
      <c r="K161" s="657">
        <v>0</v>
      </c>
      <c r="L161" s="657">
        <f t="shared" ref="L161" si="136">K161-I161</f>
        <v>0</v>
      </c>
    </row>
    <row r="162" spans="1:12">
      <c r="A162" s="658"/>
      <c r="B162" s="658"/>
      <c r="C162" s="658"/>
      <c r="D162" s="658"/>
      <c r="E162" s="677"/>
      <c r="F162" s="655"/>
      <c r="G162" s="656"/>
      <c r="H162" s="657"/>
      <c r="I162" s="657"/>
      <c r="J162" s="657"/>
      <c r="K162" s="657"/>
      <c r="L162" s="657"/>
    </row>
    <row r="163" spans="1:12">
      <c r="A163" s="658" t="s">
        <v>95</v>
      </c>
      <c r="B163" s="658" t="s">
        <v>2983</v>
      </c>
      <c r="C163" s="658"/>
      <c r="D163" s="658"/>
      <c r="E163" s="677" t="s">
        <v>4411</v>
      </c>
      <c r="F163" s="653"/>
      <c r="G163" s="654"/>
      <c r="H163" s="657">
        <v>0</v>
      </c>
      <c r="I163" s="657">
        <f t="shared" ref="I163" si="137">H163</f>
        <v>0</v>
      </c>
      <c r="J163" s="657"/>
      <c r="K163" s="657">
        <v>0</v>
      </c>
      <c r="L163" s="657">
        <f t="shared" ref="L163" si="138">K163-I163</f>
        <v>0</v>
      </c>
    </row>
    <row r="164" spans="1:12">
      <c r="A164" s="658"/>
      <c r="B164" s="658"/>
      <c r="C164" s="658"/>
      <c r="D164" s="658"/>
      <c r="E164" s="677"/>
      <c r="F164" s="655"/>
      <c r="G164" s="656"/>
      <c r="H164" s="657"/>
      <c r="I164" s="657"/>
      <c r="J164" s="657"/>
      <c r="K164" s="657"/>
      <c r="L164" s="657"/>
    </row>
    <row r="165" spans="1:12">
      <c r="A165" s="658"/>
      <c r="B165" s="658"/>
      <c r="C165" s="658" t="s">
        <v>221</v>
      </c>
      <c r="D165" s="658"/>
      <c r="E165" s="677" t="s">
        <v>4420</v>
      </c>
      <c r="F165" s="653"/>
      <c r="G165" s="654"/>
      <c r="H165" s="657">
        <v>500</v>
      </c>
      <c r="I165" s="657">
        <f t="shared" ref="I165" si="139">H165</f>
        <v>500</v>
      </c>
      <c r="J165" s="657"/>
      <c r="K165" s="657">
        <v>0</v>
      </c>
      <c r="L165" s="657">
        <f t="shared" ref="L165" si="140">K165-I165</f>
        <v>-500</v>
      </c>
    </row>
    <row r="166" spans="1:12">
      <c r="A166" s="658"/>
      <c r="B166" s="658"/>
      <c r="C166" s="658"/>
      <c r="D166" s="658"/>
      <c r="E166" s="677"/>
      <c r="F166" s="655"/>
      <c r="G166" s="656"/>
      <c r="H166" s="657"/>
      <c r="I166" s="657"/>
      <c r="J166" s="657"/>
      <c r="K166" s="657"/>
      <c r="L166" s="657"/>
    </row>
    <row r="167" spans="1:12">
      <c r="A167" s="658"/>
      <c r="B167" s="658"/>
      <c r="C167" s="658" t="s">
        <v>222</v>
      </c>
      <c r="D167" s="658"/>
      <c r="E167" s="677" t="s">
        <v>4421</v>
      </c>
      <c r="F167" s="653"/>
      <c r="G167" s="654"/>
      <c r="H167" s="657">
        <v>75</v>
      </c>
      <c r="I167" s="657">
        <f t="shared" ref="I167" si="141">H167</f>
        <v>75</v>
      </c>
      <c r="J167" s="657"/>
      <c r="K167" s="657">
        <v>0</v>
      </c>
      <c r="L167" s="657">
        <f t="shared" ref="L167" si="142">K167-I167</f>
        <v>-75</v>
      </c>
    </row>
    <row r="168" spans="1:12">
      <c r="A168" s="658"/>
      <c r="B168" s="658"/>
      <c r="C168" s="658"/>
      <c r="D168" s="658"/>
      <c r="E168" s="677"/>
      <c r="F168" s="655"/>
      <c r="G168" s="656"/>
      <c r="H168" s="657"/>
      <c r="I168" s="657"/>
      <c r="J168" s="657"/>
      <c r="K168" s="657"/>
      <c r="L168" s="657"/>
    </row>
    <row r="169" spans="1:12">
      <c r="A169" s="658" t="s">
        <v>102</v>
      </c>
      <c r="B169" s="658" t="s">
        <v>3098</v>
      </c>
      <c r="C169" s="658"/>
      <c r="D169" s="658"/>
      <c r="E169" s="677" t="s">
        <v>4411</v>
      </c>
      <c r="F169" s="653"/>
      <c r="G169" s="654"/>
      <c r="H169" s="657">
        <v>1530</v>
      </c>
      <c r="I169" s="657">
        <f t="shared" ref="I169" si="143">H169</f>
        <v>1530</v>
      </c>
      <c r="J169" s="657"/>
      <c r="K169" s="657">
        <v>0</v>
      </c>
      <c r="L169" s="657">
        <f t="shared" ref="L169" si="144">K169-I169</f>
        <v>-1530</v>
      </c>
    </row>
    <row r="170" spans="1:12">
      <c r="A170" s="658"/>
      <c r="B170" s="658"/>
      <c r="C170" s="658"/>
      <c r="D170" s="658"/>
      <c r="E170" s="677"/>
      <c r="F170" s="655"/>
      <c r="G170" s="656"/>
      <c r="H170" s="657"/>
      <c r="I170" s="657"/>
      <c r="J170" s="657"/>
      <c r="K170" s="657"/>
      <c r="L170" s="657"/>
    </row>
    <row r="171" spans="1:12">
      <c r="A171" s="658"/>
      <c r="B171" s="658"/>
      <c r="C171" s="658" t="s">
        <v>230</v>
      </c>
      <c r="D171" s="658"/>
      <c r="E171" s="677" t="s">
        <v>4422</v>
      </c>
      <c r="F171" s="653"/>
      <c r="G171" s="654"/>
      <c r="H171" s="657">
        <v>650</v>
      </c>
      <c r="I171" s="657">
        <f t="shared" ref="I171" si="145">H171</f>
        <v>650</v>
      </c>
      <c r="J171" s="657"/>
      <c r="K171" s="657">
        <v>0</v>
      </c>
      <c r="L171" s="657">
        <f t="shared" ref="L171" si="146">K171-I171</f>
        <v>-650</v>
      </c>
    </row>
    <row r="172" spans="1:12">
      <c r="A172" s="658"/>
      <c r="B172" s="658"/>
      <c r="C172" s="658"/>
      <c r="D172" s="658"/>
      <c r="E172" s="677"/>
      <c r="F172" s="655"/>
      <c r="G172" s="656"/>
      <c r="H172" s="657"/>
      <c r="I172" s="657"/>
      <c r="J172" s="657"/>
      <c r="K172" s="657"/>
      <c r="L172" s="657"/>
    </row>
    <row r="173" spans="1:12">
      <c r="A173" s="658"/>
      <c r="B173" s="658"/>
      <c r="C173" s="658" t="s">
        <v>231</v>
      </c>
      <c r="D173" s="658"/>
      <c r="E173" s="677" t="s">
        <v>4423</v>
      </c>
      <c r="F173" s="653"/>
      <c r="G173" s="654"/>
      <c r="H173" s="657">
        <v>460</v>
      </c>
      <c r="I173" s="657">
        <f t="shared" ref="I173" si="147">H173</f>
        <v>460</v>
      </c>
      <c r="J173" s="657"/>
      <c r="K173" s="657">
        <v>0</v>
      </c>
      <c r="L173" s="657">
        <f t="shared" ref="L173" si="148">K173-I173</f>
        <v>-460</v>
      </c>
    </row>
    <row r="174" spans="1:12">
      <c r="A174" s="658"/>
      <c r="B174" s="658"/>
      <c r="C174" s="658"/>
      <c r="D174" s="658"/>
      <c r="E174" s="677"/>
      <c r="F174" s="655"/>
      <c r="G174" s="656"/>
      <c r="H174" s="657"/>
      <c r="I174" s="657"/>
      <c r="J174" s="657"/>
      <c r="K174" s="657"/>
      <c r="L174" s="657"/>
    </row>
    <row r="175" spans="1:12">
      <c r="A175" s="658" t="s">
        <v>103</v>
      </c>
      <c r="B175" s="658" t="s">
        <v>4424</v>
      </c>
      <c r="C175" s="658"/>
      <c r="D175" s="658"/>
      <c r="E175" s="677" t="s">
        <v>4411</v>
      </c>
      <c r="F175" s="653"/>
      <c r="G175" s="654"/>
      <c r="H175" s="657">
        <v>0</v>
      </c>
      <c r="I175" s="657">
        <f t="shared" ref="I175" si="149">H175</f>
        <v>0</v>
      </c>
      <c r="J175" s="657"/>
      <c r="K175" s="657">
        <v>0</v>
      </c>
      <c r="L175" s="657">
        <f t="shared" ref="L175" si="150">K175-I175</f>
        <v>0</v>
      </c>
    </row>
    <row r="176" spans="1:12">
      <c r="A176" s="658"/>
      <c r="B176" s="658"/>
      <c r="C176" s="658"/>
      <c r="D176" s="658"/>
      <c r="E176" s="677"/>
      <c r="F176" s="655"/>
      <c r="G176" s="656"/>
      <c r="H176" s="657"/>
      <c r="I176" s="657"/>
      <c r="J176" s="657"/>
      <c r="K176" s="657"/>
      <c r="L176" s="657"/>
    </row>
    <row r="177" spans="1:12">
      <c r="A177" s="658"/>
      <c r="B177" s="658"/>
      <c r="C177" s="658" t="s">
        <v>232</v>
      </c>
      <c r="D177" s="658"/>
      <c r="E177" s="677" t="s">
        <v>4425</v>
      </c>
      <c r="F177" s="653"/>
      <c r="G177" s="654"/>
      <c r="H177" s="657">
        <v>580</v>
      </c>
      <c r="I177" s="657">
        <f t="shared" ref="I177" si="151">H177</f>
        <v>580</v>
      </c>
      <c r="J177" s="657"/>
      <c r="K177" s="657">
        <v>0</v>
      </c>
      <c r="L177" s="657">
        <f t="shared" ref="L177" si="152">K177-I177</f>
        <v>-580</v>
      </c>
    </row>
    <row r="178" spans="1:12">
      <c r="A178" s="658"/>
      <c r="B178" s="658"/>
      <c r="C178" s="658"/>
      <c r="D178" s="658"/>
      <c r="E178" s="677"/>
      <c r="F178" s="655"/>
      <c r="G178" s="656"/>
      <c r="H178" s="657"/>
      <c r="I178" s="657"/>
      <c r="J178" s="657"/>
      <c r="K178" s="657"/>
      <c r="L178" s="657"/>
    </row>
    <row r="179" spans="1:12">
      <c r="A179" s="658"/>
      <c r="B179" s="658"/>
      <c r="C179" s="658" t="s">
        <v>233</v>
      </c>
      <c r="D179" s="658"/>
      <c r="E179" s="677" t="s">
        <v>4426</v>
      </c>
      <c r="F179" s="653"/>
      <c r="G179" s="654"/>
      <c r="H179" s="657">
        <v>400</v>
      </c>
      <c r="I179" s="657">
        <f t="shared" ref="I179" si="153">H179</f>
        <v>400</v>
      </c>
      <c r="J179" s="657"/>
      <c r="K179" s="657">
        <v>0</v>
      </c>
      <c r="L179" s="657">
        <f t="shared" ref="L179" si="154">K179-I179</f>
        <v>-400</v>
      </c>
    </row>
    <row r="180" spans="1:12">
      <c r="A180" s="658"/>
      <c r="B180" s="658"/>
      <c r="C180" s="658"/>
      <c r="D180" s="658"/>
      <c r="E180" s="677"/>
      <c r="F180" s="655"/>
      <c r="G180" s="656"/>
      <c r="H180" s="657"/>
      <c r="I180" s="657"/>
      <c r="J180" s="657"/>
      <c r="K180" s="657"/>
      <c r="L180" s="657"/>
    </row>
    <row r="181" spans="1:12">
      <c r="A181" s="658"/>
      <c r="B181" s="658"/>
      <c r="C181" s="658" t="s">
        <v>234</v>
      </c>
      <c r="D181" s="658"/>
      <c r="E181" s="677" t="s">
        <v>4419</v>
      </c>
      <c r="F181" s="653"/>
      <c r="G181" s="654"/>
      <c r="H181" s="657">
        <v>0</v>
      </c>
      <c r="I181" s="657">
        <f t="shared" ref="I181" si="155">H181</f>
        <v>0</v>
      </c>
      <c r="J181" s="657"/>
      <c r="K181" s="657">
        <v>0</v>
      </c>
      <c r="L181" s="657">
        <f t="shared" ref="L181" si="156">K181-I181</f>
        <v>0</v>
      </c>
    </row>
    <row r="182" spans="1:12">
      <c r="A182" s="658"/>
      <c r="B182" s="658"/>
      <c r="C182" s="658"/>
      <c r="D182" s="658"/>
      <c r="E182" s="677"/>
      <c r="F182" s="655"/>
      <c r="G182" s="656"/>
      <c r="H182" s="657"/>
      <c r="I182" s="657"/>
      <c r="J182" s="657"/>
      <c r="K182" s="657"/>
      <c r="L182" s="657"/>
    </row>
    <row r="183" spans="1:12">
      <c r="A183" s="658" t="s">
        <v>118</v>
      </c>
      <c r="B183" s="658" t="s">
        <v>3176</v>
      </c>
      <c r="C183" s="658"/>
      <c r="D183" s="658"/>
      <c r="E183" s="677" t="s">
        <v>4411</v>
      </c>
      <c r="F183" s="653"/>
      <c r="G183" s="654"/>
      <c r="H183" s="657">
        <v>1470</v>
      </c>
      <c r="I183" s="657">
        <f t="shared" ref="I183" si="157">H183</f>
        <v>1470</v>
      </c>
      <c r="J183" s="657"/>
      <c r="K183" s="657">
        <v>0</v>
      </c>
      <c r="L183" s="657">
        <f t="shared" ref="L183" si="158">K183-I183</f>
        <v>-1470</v>
      </c>
    </row>
    <row r="184" spans="1:12">
      <c r="A184" s="658"/>
      <c r="B184" s="658"/>
      <c r="C184" s="658"/>
      <c r="D184" s="658"/>
      <c r="E184" s="677"/>
      <c r="F184" s="655"/>
      <c r="G184" s="656"/>
      <c r="H184" s="657"/>
      <c r="I184" s="657"/>
      <c r="J184" s="657"/>
      <c r="K184" s="657"/>
      <c r="L184" s="657"/>
    </row>
    <row r="185" spans="1:12">
      <c r="A185" s="658"/>
      <c r="B185" s="658"/>
      <c r="C185" s="658" t="s">
        <v>254</v>
      </c>
      <c r="D185" s="658"/>
      <c r="E185" s="677" t="s">
        <v>4429</v>
      </c>
      <c r="F185" s="653"/>
      <c r="G185" s="654"/>
      <c r="H185" s="657">
        <v>400</v>
      </c>
      <c r="I185" s="657">
        <f t="shared" ref="I185" si="159">H185</f>
        <v>400</v>
      </c>
      <c r="J185" s="657"/>
      <c r="K185" s="657">
        <v>0</v>
      </c>
      <c r="L185" s="657">
        <f t="shared" ref="L185" si="160">K185-I185</f>
        <v>-400</v>
      </c>
    </row>
    <row r="186" spans="1:12">
      <c r="A186" s="658"/>
      <c r="B186" s="658"/>
      <c r="C186" s="658"/>
      <c r="D186" s="658"/>
      <c r="E186" s="677"/>
      <c r="F186" s="655"/>
      <c r="G186" s="656"/>
      <c r="H186" s="657"/>
      <c r="I186" s="657"/>
      <c r="J186" s="657"/>
      <c r="K186" s="657"/>
      <c r="L186" s="657"/>
    </row>
    <row r="187" spans="1:12">
      <c r="A187" s="658"/>
      <c r="B187" s="658"/>
      <c r="C187" s="658" t="s">
        <v>255</v>
      </c>
      <c r="D187" s="658"/>
      <c r="E187" s="677" t="s">
        <v>4430</v>
      </c>
      <c r="F187" s="653"/>
      <c r="G187" s="654"/>
      <c r="H187" s="657">
        <v>880</v>
      </c>
      <c r="I187" s="657">
        <f t="shared" ref="I187" si="161">H187</f>
        <v>880</v>
      </c>
      <c r="J187" s="657"/>
      <c r="K187" s="657">
        <v>0</v>
      </c>
      <c r="L187" s="657">
        <f t="shared" ref="L187" si="162">K187-I187</f>
        <v>-880</v>
      </c>
    </row>
    <row r="188" spans="1:12">
      <c r="A188" s="658"/>
      <c r="B188" s="658"/>
      <c r="C188" s="658"/>
      <c r="D188" s="658"/>
      <c r="E188" s="677"/>
      <c r="F188" s="655"/>
      <c r="G188" s="656"/>
      <c r="H188" s="657"/>
      <c r="I188" s="657"/>
      <c r="J188" s="657"/>
      <c r="K188" s="657"/>
      <c r="L188" s="657"/>
    </row>
    <row r="189" spans="1:12">
      <c r="A189" s="658" t="s">
        <v>119</v>
      </c>
      <c r="B189" s="658" t="s">
        <v>4427</v>
      </c>
      <c r="C189" s="658"/>
      <c r="D189" s="658"/>
      <c r="E189" s="677" t="s">
        <v>4431</v>
      </c>
      <c r="F189" s="653"/>
      <c r="G189" s="654"/>
      <c r="H189" s="657">
        <v>1530</v>
      </c>
      <c r="I189" s="657">
        <f t="shared" ref="I189" si="163">H189</f>
        <v>1530</v>
      </c>
      <c r="J189" s="657"/>
      <c r="K189" s="657">
        <v>0</v>
      </c>
      <c r="L189" s="657">
        <f t="shared" ref="L189" si="164">K189-I189</f>
        <v>-1530</v>
      </c>
    </row>
    <row r="190" spans="1:12">
      <c r="A190" s="658"/>
      <c r="B190" s="658"/>
      <c r="C190" s="658"/>
      <c r="D190" s="658"/>
      <c r="E190" s="677"/>
      <c r="F190" s="655"/>
      <c r="G190" s="656"/>
      <c r="H190" s="657"/>
      <c r="I190" s="657"/>
      <c r="J190" s="657"/>
      <c r="K190" s="657"/>
      <c r="L190" s="657"/>
    </row>
    <row r="191" spans="1:12">
      <c r="A191" s="658"/>
      <c r="B191" s="658"/>
      <c r="C191" s="658" t="s">
        <v>272</v>
      </c>
      <c r="D191" s="658"/>
      <c r="E191" s="677" t="s">
        <v>2489</v>
      </c>
      <c r="F191" s="653"/>
      <c r="G191" s="654"/>
      <c r="H191" s="657">
        <v>1150</v>
      </c>
      <c r="I191" s="657">
        <f t="shared" ref="I191" si="165">H191</f>
        <v>1150</v>
      </c>
      <c r="J191" s="657"/>
      <c r="K191" s="657">
        <v>0</v>
      </c>
      <c r="L191" s="657">
        <f t="shared" ref="L191" si="166">K191-I191</f>
        <v>-1150</v>
      </c>
    </row>
    <row r="192" spans="1:12">
      <c r="A192" s="658"/>
      <c r="B192" s="658"/>
      <c r="C192" s="658"/>
      <c r="D192" s="658"/>
      <c r="E192" s="677"/>
      <c r="F192" s="655"/>
      <c r="G192" s="656"/>
      <c r="H192" s="657"/>
      <c r="I192" s="657"/>
      <c r="J192" s="657"/>
      <c r="K192" s="657"/>
      <c r="L192" s="657"/>
    </row>
    <row r="193" spans="1:12">
      <c r="A193" s="658"/>
      <c r="B193" s="658"/>
      <c r="C193" s="658"/>
      <c r="D193" s="658"/>
      <c r="E193" s="677"/>
      <c r="F193" s="653"/>
      <c r="G193" s="654"/>
      <c r="H193" s="657">
        <v>0</v>
      </c>
      <c r="I193" s="657">
        <f t="shared" ref="I193" si="167">H193</f>
        <v>0</v>
      </c>
      <c r="J193" s="657"/>
      <c r="K193" s="657">
        <v>0</v>
      </c>
      <c r="L193" s="657">
        <f t="shared" ref="L193" si="168">K193-I193</f>
        <v>0</v>
      </c>
    </row>
    <row r="194" spans="1:12">
      <c r="A194" s="658"/>
      <c r="B194" s="658"/>
      <c r="C194" s="658"/>
      <c r="D194" s="658"/>
      <c r="E194" s="677"/>
      <c r="F194" s="655"/>
      <c r="G194" s="656"/>
      <c r="H194" s="657"/>
      <c r="I194" s="657"/>
      <c r="J194" s="657"/>
      <c r="K194" s="657"/>
      <c r="L194" s="657"/>
    </row>
    <row r="195" spans="1:12">
      <c r="A195" s="658" t="s">
        <v>137</v>
      </c>
      <c r="B195" s="658" t="s">
        <v>4428</v>
      </c>
      <c r="C195" s="658"/>
      <c r="D195" s="658"/>
      <c r="E195" s="677" t="s">
        <v>4411</v>
      </c>
      <c r="F195" s="653"/>
      <c r="G195" s="654"/>
      <c r="H195" s="657">
        <v>1470</v>
      </c>
      <c r="I195" s="657">
        <f t="shared" ref="I195" si="169">H195</f>
        <v>1470</v>
      </c>
      <c r="J195" s="657"/>
      <c r="K195" s="657">
        <v>0</v>
      </c>
      <c r="L195" s="657">
        <f t="shared" ref="L195" si="170">K195-I195</f>
        <v>-1470</v>
      </c>
    </row>
    <row r="196" spans="1:12">
      <c r="A196" s="658"/>
      <c r="B196" s="658"/>
      <c r="C196" s="658"/>
      <c r="D196" s="658"/>
      <c r="E196" s="677"/>
      <c r="F196" s="655"/>
      <c r="G196" s="656"/>
      <c r="H196" s="657"/>
      <c r="I196" s="657"/>
      <c r="J196" s="657"/>
      <c r="K196" s="657"/>
      <c r="L196" s="657"/>
    </row>
    <row r="197" spans="1:12">
      <c r="A197" s="658"/>
      <c r="B197" s="658"/>
      <c r="C197" s="658" t="s">
        <v>273</v>
      </c>
      <c r="D197" s="658"/>
      <c r="E197" s="677" t="s">
        <v>4416</v>
      </c>
      <c r="F197" s="653"/>
      <c r="G197" s="654"/>
      <c r="H197" s="657">
        <v>0</v>
      </c>
      <c r="I197" s="657">
        <f t="shared" ref="I197" si="171">H197</f>
        <v>0</v>
      </c>
      <c r="J197" s="657"/>
      <c r="K197" s="657">
        <v>0</v>
      </c>
      <c r="L197" s="657">
        <f t="shared" ref="L197" si="172">K197-I197</f>
        <v>0</v>
      </c>
    </row>
    <row r="198" spans="1:12">
      <c r="A198" s="658"/>
      <c r="B198" s="658"/>
      <c r="C198" s="658"/>
      <c r="D198" s="658"/>
      <c r="E198" s="677"/>
      <c r="F198" s="655"/>
      <c r="G198" s="656"/>
      <c r="H198" s="657"/>
      <c r="I198" s="657"/>
      <c r="J198" s="657"/>
      <c r="K198" s="657"/>
      <c r="L198" s="657"/>
    </row>
    <row r="199" spans="1:12">
      <c r="A199" s="658"/>
      <c r="B199" s="658"/>
      <c r="C199" s="658" t="s">
        <v>274</v>
      </c>
      <c r="D199" s="658"/>
      <c r="E199" s="677" t="s">
        <v>4419</v>
      </c>
      <c r="F199" s="653"/>
      <c r="G199" s="654"/>
      <c r="H199" s="657">
        <v>0</v>
      </c>
      <c r="I199" s="657">
        <f t="shared" ref="I199" si="173">H199</f>
        <v>0</v>
      </c>
      <c r="J199" s="657"/>
      <c r="K199" s="657">
        <v>0</v>
      </c>
      <c r="L199" s="657">
        <f t="shared" ref="L199" si="174">K199-I199</f>
        <v>0</v>
      </c>
    </row>
    <row r="200" spans="1:12">
      <c r="A200" s="658"/>
      <c r="B200" s="658"/>
      <c r="C200" s="658"/>
      <c r="D200" s="658"/>
      <c r="E200" s="677"/>
      <c r="F200" s="655"/>
      <c r="G200" s="656"/>
      <c r="H200" s="657"/>
      <c r="I200" s="657"/>
      <c r="J200" s="657"/>
      <c r="K200" s="657"/>
      <c r="L200" s="657"/>
    </row>
    <row r="201" spans="1:12">
      <c r="A201" s="658" t="s">
        <v>140</v>
      </c>
      <c r="B201" s="658" t="s">
        <v>3098</v>
      </c>
      <c r="C201" s="658"/>
      <c r="D201" s="658"/>
      <c r="E201" s="677" t="s">
        <v>4411</v>
      </c>
      <c r="F201" s="653"/>
      <c r="G201" s="654"/>
      <c r="H201" s="657">
        <v>1470</v>
      </c>
      <c r="I201" s="657">
        <f t="shared" ref="I201" si="175">H201</f>
        <v>1470</v>
      </c>
      <c r="J201" s="657"/>
      <c r="K201" s="657">
        <v>0</v>
      </c>
      <c r="L201" s="657">
        <f t="shared" ref="L201" si="176">K201-I201</f>
        <v>-1470</v>
      </c>
    </row>
    <row r="202" spans="1:12">
      <c r="A202" s="658"/>
      <c r="B202" s="658"/>
      <c r="C202" s="658"/>
      <c r="D202" s="658"/>
      <c r="E202" s="677"/>
      <c r="F202" s="655"/>
      <c r="G202" s="656"/>
      <c r="H202" s="657"/>
      <c r="I202" s="657"/>
      <c r="J202" s="657"/>
      <c r="K202" s="657"/>
      <c r="L202" s="657"/>
    </row>
    <row r="203" spans="1:12">
      <c r="A203" s="658"/>
      <c r="B203" s="658"/>
      <c r="C203" s="658"/>
      <c r="D203" s="658"/>
      <c r="E203" s="677" t="s">
        <v>4429</v>
      </c>
      <c r="F203" s="653"/>
      <c r="G203" s="654"/>
      <c r="H203" s="657">
        <v>0</v>
      </c>
      <c r="I203" s="657">
        <f t="shared" ref="I203" si="177">H203</f>
        <v>0</v>
      </c>
      <c r="J203" s="657"/>
      <c r="K203" s="657">
        <v>0</v>
      </c>
      <c r="L203" s="657">
        <f t="shared" ref="L203" si="178">K203-I203</f>
        <v>0</v>
      </c>
    </row>
    <row r="204" spans="1:12">
      <c r="A204" s="658"/>
      <c r="B204" s="658"/>
      <c r="C204" s="658"/>
      <c r="D204" s="658"/>
      <c r="E204" s="677"/>
      <c r="F204" s="655"/>
      <c r="G204" s="656"/>
      <c r="H204" s="657"/>
      <c r="I204" s="657"/>
      <c r="J204" s="657"/>
      <c r="K204" s="657"/>
      <c r="L204" s="657"/>
    </row>
    <row r="205" spans="1:12">
      <c r="A205" s="658"/>
      <c r="B205" s="658"/>
      <c r="C205" s="658"/>
      <c r="D205" s="658"/>
      <c r="E205" s="677" t="s">
        <v>4432</v>
      </c>
      <c r="F205" s="653"/>
      <c r="G205" s="654"/>
      <c r="H205" s="657">
        <v>0</v>
      </c>
      <c r="I205" s="657">
        <f t="shared" ref="I205" si="179">H205</f>
        <v>0</v>
      </c>
      <c r="J205" s="657"/>
      <c r="K205" s="657">
        <v>0</v>
      </c>
      <c r="L205" s="657">
        <f t="shared" ref="L205" si="180">K205-I205</f>
        <v>0</v>
      </c>
    </row>
    <row r="206" spans="1:12">
      <c r="A206" s="658"/>
      <c r="B206" s="658"/>
      <c r="C206" s="658"/>
      <c r="D206" s="658"/>
      <c r="E206" s="677"/>
      <c r="F206" s="655"/>
      <c r="G206" s="656"/>
      <c r="H206" s="657"/>
      <c r="I206" s="657"/>
      <c r="J206" s="657"/>
      <c r="K206" s="657"/>
      <c r="L206" s="657"/>
    </row>
    <row r="207" spans="1:12">
      <c r="A207" s="658"/>
      <c r="B207" s="658"/>
      <c r="C207" s="658"/>
      <c r="D207" s="658"/>
      <c r="E207" s="677"/>
      <c r="F207" s="653"/>
      <c r="G207" s="654"/>
      <c r="H207" s="657">
        <v>0</v>
      </c>
      <c r="I207" s="657">
        <f t="shared" ref="I207" si="181">H207</f>
        <v>0</v>
      </c>
      <c r="J207" s="657"/>
      <c r="K207" s="657">
        <v>0</v>
      </c>
      <c r="L207" s="657">
        <f t="shared" ref="L207" si="182">K207-I207</f>
        <v>0</v>
      </c>
    </row>
    <row r="208" spans="1:12">
      <c r="A208" s="658"/>
      <c r="B208" s="658"/>
      <c r="C208" s="658"/>
      <c r="D208" s="658"/>
      <c r="E208" s="677"/>
      <c r="F208" s="655"/>
      <c r="G208" s="656"/>
      <c r="H208" s="657"/>
      <c r="I208" s="657"/>
      <c r="J208" s="657"/>
      <c r="K208" s="657"/>
      <c r="L208" s="657"/>
    </row>
    <row r="209" spans="1:12">
      <c r="A209" s="658"/>
      <c r="B209" s="658"/>
      <c r="C209" s="658"/>
      <c r="D209" s="658"/>
      <c r="E209" s="677" t="s">
        <v>4433</v>
      </c>
      <c r="F209" s="653"/>
      <c r="G209" s="654"/>
      <c r="H209" s="657">
        <v>0</v>
      </c>
      <c r="I209" s="657">
        <f t="shared" ref="I209" si="183">H209</f>
        <v>0</v>
      </c>
      <c r="J209" s="657"/>
      <c r="K209" s="657">
        <v>0</v>
      </c>
      <c r="L209" s="657">
        <f t="shared" ref="L209" si="184">K209-I209</f>
        <v>0</v>
      </c>
    </row>
    <row r="210" spans="1:12">
      <c r="A210" s="658"/>
      <c r="B210" s="658"/>
      <c r="C210" s="658"/>
      <c r="D210" s="658"/>
      <c r="E210" s="677"/>
      <c r="F210" s="655"/>
      <c r="G210" s="656"/>
      <c r="H210" s="657"/>
      <c r="I210" s="657"/>
      <c r="J210" s="657"/>
      <c r="K210" s="657"/>
      <c r="L210" s="657"/>
    </row>
    <row r="211" spans="1:12">
      <c r="A211" s="658"/>
      <c r="B211" s="658"/>
      <c r="C211" s="658"/>
      <c r="D211" s="658"/>
      <c r="E211" s="677" t="s">
        <v>4434</v>
      </c>
      <c r="F211" s="653"/>
      <c r="G211" s="654"/>
      <c r="H211" s="657">
        <v>0</v>
      </c>
      <c r="I211" s="657">
        <f t="shared" ref="I211" si="185">H211</f>
        <v>0</v>
      </c>
      <c r="J211" s="657"/>
      <c r="K211" s="657">
        <v>0</v>
      </c>
      <c r="L211" s="657">
        <f t="shared" ref="L211" si="186">K211-I211</f>
        <v>0</v>
      </c>
    </row>
    <row r="212" spans="1:12">
      <c r="A212" s="658"/>
      <c r="B212" s="658"/>
      <c r="C212" s="658"/>
      <c r="D212" s="658"/>
      <c r="E212" s="677"/>
      <c r="F212" s="655"/>
      <c r="G212" s="656"/>
      <c r="H212" s="657"/>
      <c r="I212" s="657"/>
      <c r="J212" s="657"/>
      <c r="K212" s="657"/>
      <c r="L212" s="657"/>
    </row>
    <row r="213" spans="1:12">
      <c r="A213" s="658"/>
      <c r="B213" s="658"/>
      <c r="C213" s="658"/>
      <c r="D213" s="658"/>
      <c r="E213" s="677"/>
      <c r="F213" s="653"/>
      <c r="G213" s="654"/>
      <c r="H213" s="657">
        <v>0</v>
      </c>
      <c r="I213" s="657">
        <f t="shared" ref="I213" si="187">H213</f>
        <v>0</v>
      </c>
      <c r="J213" s="657"/>
      <c r="K213" s="657">
        <v>0</v>
      </c>
      <c r="L213" s="657">
        <f t="shared" ref="L213" si="188">K213-I213</f>
        <v>0</v>
      </c>
    </row>
    <row r="214" spans="1:12">
      <c r="A214" s="658"/>
      <c r="B214" s="658"/>
      <c r="C214" s="658"/>
      <c r="D214" s="658"/>
      <c r="E214" s="677"/>
      <c r="F214" s="655"/>
      <c r="G214" s="656"/>
      <c r="H214" s="657"/>
      <c r="I214" s="657"/>
      <c r="J214" s="657"/>
      <c r="K214" s="657"/>
      <c r="L214" s="657"/>
    </row>
    <row r="215" spans="1:12">
      <c r="A215" s="658"/>
      <c r="B215" s="658"/>
      <c r="C215" s="658"/>
      <c r="D215" s="658"/>
      <c r="E215" s="677"/>
      <c r="F215" s="653"/>
      <c r="G215" s="654"/>
      <c r="H215" s="657">
        <v>0</v>
      </c>
      <c r="I215" s="657">
        <f t="shared" ref="I215" si="189">H215</f>
        <v>0</v>
      </c>
      <c r="J215" s="657"/>
      <c r="K215" s="657">
        <v>0</v>
      </c>
      <c r="L215" s="657">
        <f t="shared" ref="L215" si="190">K215-I215</f>
        <v>0</v>
      </c>
    </row>
    <row r="216" spans="1:12">
      <c r="A216" s="658"/>
      <c r="B216" s="658"/>
      <c r="C216" s="658"/>
      <c r="D216" s="658"/>
      <c r="E216" s="677"/>
      <c r="F216" s="655"/>
      <c r="G216" s="656"/>
      <c r="H216" s="657"/>
      <c r="I216" s="657"/>
      <c r="J216" s="657"/>
      <c r="K216" s="657"/>
      <c r="L216" s="657"/>
    </row>
    <row r="217" spans="1:12">
      <c r="A217" s="658"/>
      <c r="B217" s="658"/>
      <c r="C217" s="658"/>
      <c r="D217" s="658"/>
      <c r="E217" s="677"/>
      <c r="F217" s="653"/>
      <c r="G217" s="654"/>
      <c r="H217" s="657">
        <v>0</v>
      </c>
      <c r="I217" s="657">
        <f t="shared" ref="I217" si="191">H217</f>
        <v>0</v>
      </c>
      <c r="J217" s="657"/>
      <c r="K217" s="657">
        <v>0</v>
      </c>
      <c r="L217" s="657">
        <f t="shared" ref="L217" si="192">K217-I217</f>
        <v>0</v>
      </c>
    </row>
    <row r="218" spans="1:12">
      <c r="A218" s="658"/>
      <c r="B218" s="658"/>
      <c r="C218" s="658"/>
      <c r="D218" s="658"/>
      <c r="E218" s="677"/>
      <c r="F218" s="655"/>
      <c r="G218" s="656"/>
      <c r="H218" s="657"/>
      <c r="I218" s="657"/>
      <c r="J218" s="657"/>
      <c r="K218" s="657"/>
      <c r="L218" s="657"/>
    </row>
    <row r="219" spans="1:12">
      <c r="A219" s="658"/>
      <c r="B219" s="658"/>
      <c r="C219" s="658"/>
      <c r="D219" s="658"/>
      <c r="E219" s="677"/>
      <c r="F219" s="653"/>
      <c r="G219" s="654"/>
      <c r="H219" s="657">
        <v>0</v>
      </c>
      <c r="I219" s="657">
        <f t="shared" ref="I219" si="193">H219</f>
        <v>0</v>
      </c>
      <c r="J219" s="657"/>
      <c r="K219" s="657">
        <v>0</v>
      </c>
      <c r="L219" s="657">
        <f t="shared" ref="L219" si="194">K219-I219</f>
        <v>0</v>
      </c>
    </row>
    <row r="220" spans="1:12">
      <c r="A220" s="658"/>
      <c r="B220" s="658"/>
      <c r="C220" s="658"/>
      <c r="D220" s="658"/>
      <c r="E220" s="677"/>
      <c r="F220" s="655"/>
      <c r="G220" s="656"/>
      <c r="H220" s="657"/>
      <c r="I220" s="657"/>
      <c r="J220" s="657"/>
      <c r="K220" s="657"/>
      <c r="L220" s="657"/>
    </row>
    <row r="221" spans="1:12">
      <c r="A221" s="658"/>
      <c r="B221" s="658"/>
      <c r="C221" s="658"/>
      <c r="D221" s="658"/>
      <c r="E221" s="677"/>
      <c r="F221" s="653"/>
      <c r="G221" s="654"/>
      <c r="H221" s="657">
        <v>0</v>
      </c>
      <c r="I221" s="657">
        <f t="shared" ref="I221" si="195">H221</f>
        <v>0</v>
      </c>
      <c r="J221" s="657"/>
      <c r="K221" s="657">
        <v>0</v>
      </c>
      <c r="L221" s="657">
        <f t="shared" ref="L221" si="196">K221-I221</f>
        <v>0</v>
      </c>
    </row>
    <row r="222" spans="1:12">
      <c r="A222" s="658"/>
      <c r="B222" s="658"/>
      <c r="C222" s="658"/>
      <c r="D222" s="658"/>
      <c r="E222" s="677"/>
      <c r="F222" s="655"/>
      <c r="G222" s="656"/>
      <c r="H222" s="657"/>
      <c r="I222" s="657"/>
      <c r="J222" s="657"/>
      <c r="K222" s="657"/>
      <c r="L222" s="657"/>
    </row>
    <row r="223" spans="1:12">
      <c r="A223" s="658"/>
      <c r="B223" s="658"/>
      <c r="C223" s="658"/>
      <c r="D223" s="658"/>
      <c r="E223" s="677"/>
      <c r="F223" s="653"/>
      <c r="G223" s="654"/>
      <c r="H223" s="657">
        <v>0</v>
      </c>
      <c r="I223" s="657">
        <f t="shared" ref="I223" si="197">H223</f>
        <v>0</v>
      </c>
      <c r="J223" s="657"/>
      <c r="K223" s="657">
        <v>0</v>
      </c>
      <c r="L223" s="657">
        <f t="shared" ref="L223" si="198">K223-I223</f>
        <v>0</v>
      </c>
    </row>
    <row r="224" spans="1:12">
      <c r="A224" s="658"/>
      <c r="B224" s="658"/>
      <c r="C224" s="658"/>
      <c r="D224" s="658"/>
      <c r="E224" s="677"/>
      <c r="F224" s="655"/>
      <c r="G224" s="656"/>
      <c r="H224" s="657"/>
      <c r="I224" s="657"/>
      <c r="J224" s="657"/>
      <c r="K224" s="657"/>
      <c r="L224" s="657"/>
    </row>
    <row r="225" spans="1:12">
      <c r="A225" s="658"/>
      <c r="B225" s="658"/>
      <c r="C225" s="658"/>
      <c r="D225" s="658"/>
      <c r="E225" s="677"/>
      <c r="F225" s="653"/>
      <c r="G225" s="654"/>
      <c r="H225" s="657">
        <v>0</v>
      </c>
      <c r="I225" s="657">
        <f t="shared" ref="I225" si="199">H225</f>
        <v>0</v>
      </c>
      <c r="J225" s="657"/>
      <c r="K225" s="657">
        <v>0</v>
      </c>
      <c r="L225" s="657">
        <f t="shared" ref="L225" si="200">K225-I225</f>
        <v>0</v>
      </c>
    </row>
    <row r="226" spans="1:12">
      <c r="A226" s="658"/>
      <c r="B226" s="658"/>
      <c r="C226" s="658"/>
      <c r="D226" s="658"/>
      <c r="E226" s="677"/>
      <c r="F226" s="655"/>
      <c r="G226" s="656"/>
      <c r="H226" s="657"/>
      <c r="I226" s="657"/>
      <c r="J226" s="657"/>
      <c r="K226" s="657"/>
      <c r="L226" s="657"/>
    </row>
    <row r="227" spans="1:12">
      <c r="A227" s="658"/>
      <c r="B227" s="658"/>
      <c r="C227" s="658"/>
      <c r="D227" s="658"/>
      <c r="E227" s="677"/>
      <c r="F227" s="653"/>
      <c r="G227" s="654"/>
      <c r="H227" s="657">
        <v>0</v>
      </c>
      <c r="I227" s="657">
        <f t="shared" ref="I227" si="201">H227</f>
        <v>0</v>
      </c>
      <c r="J227" s="657"/>
      <c r="K227" s="657">
        <v>0</v>
      </c>
      <c r="L227" s="657">
        <f t="shared" ref="L227" si="202">K227-I227</f>
        <v>0</v>
      </c>
    </row>
    <row r="228" spans="1:12">
      <c r="A228" s="658"/>
      <c r="B228" s="658"/>
      <c r="C228" s="658"/>
      <c r="D228" s="658"/>
      <c r="E228" s="677"/>
      <c r="F228" s="655"/>
      <c r="G228" s="656"/>
      <c r="H228" s="657"/>
      <c r="I228" s="657"/>
      <c r="J228" s="657"/>
      <c r="K228" s="657"/>
      <c r="L228" s="657"/>
    </row>
    <row r="229" spans="1:12">
      <c r="A229" s="658"/>
      <c r="B229" s="658"/>
      <c r="C229" s="658"/>
      <c r="D229" s="658"/>
      <c r="E229" s="677"/>
      <c r="F229" s="653"/>
      <c r="G229" s="654"/>
      <c r="H229" s="657">
        <v>0</v>
      </c>
      <c r="I229" s="657">
        <f t="shared" ref="I229" si="203">H229</f>
        <v>0</v>
      </c>
      <c r="J229" s="657"/>
      <c r="K229" s="657">
        <v>0</v>
      </c>
      <c r="L229" s="657">
        <f t="shared" ref="L229" si="204">K229-I229</f>
        <v>0</v>
      </c>
    </row>
    <row r="230" spans="1:12">
      <c r="A230" s="658"/>
      <c r="B230" s="658"/>
      <c r="C230" s="658"/>
      <c r="D230" s="658"/>
      <c r="E230" s="677"/>
      <c r="F230" s="655"/>
      <c r="G230" s="656"/>
      <c r="H230" s="657"/>
      <c r="I230" s="657"/>
      <c r="J230" s="657"/>
      <c r="K230" s="657"/>
      <c r="L230" s="657"/>
    </row>
    <row r="231" spans="1:12">
      <c r="A231" s="658"/>
      <c r="B231" s="658"/>
      <c r="C231" s="658"/>
      <c r="D231" s="658"/>
      <c r="E231" s="677"/>
      <c r="F231" s="653"/>
      <c r="G231" s="654"/>
      <c r="H231" s="657">
        <v>0</v>
      </c>
      <c r="I231" s="657">
        <f t="shared" ref="I231" si="205">H231</f>
        <v>0</v>
      </c>
      <c r="J231" s="657"/>
      <c r="K231" s="657">
        <v>0</v>
      </c>
      <c r="L231" s="657">
        <f t="shared" ref="L231" si="206">K231-I231</f>
        <v>0</v>
      </c>
    </row>
    <row r="232" spans="1:12">
      <c r="A232" s="658"/>
      <c r="B232" s="658"/>
      <c r="C232" s="658"/>
      <c r="D232" s="658"/>
      <c r="E232" s="677"/>
      <c r="F232" s="655"/>
      <c r="G232" s="656"/>
      <c r="H232" s="657"/>
      <c r="I232" s="657"/>
      <c r="J232" s="657"/>
      <c r="K232" s="657"/>
      <c r="L232" s="657"/>
    </row>
    <row r="233" spans="1:12">
      <c r="A233" s="658"/>
      <c r="B233" s="658"/>
      <c r="C233" s="658"/>
      <c r="D233" s="658"/>
      <c r="E233" s="677"/>
      <c r="F233" s="653"/>
      <c r="G233" s="654"/>
      <c r="H233" s="657">
        <v>0</v>
      </c>
      <c r="I233" s="657">
        <f t="shared" ref="I233" si="207">H233</f>
        <v>0</v>
      </c>
      <c r="J233" s="657"/>
      <c r="K233" s="657">
        <v>0</v>
      </c>
      <c r="L233" s="657">
        <f t="shared" ref="L233" si="208">K233-I233</f>
        <v>0</v>
      </c>
    </row>
    <row r="234" spans="1:12">
      <c r="A234" s="658"/>
      <c r="B234" s="658"/>
      <c r="C234" s="658"/>
      <c r="D234" s="658"/>
      <c r="E234" s="677"/>
      <c r="F234" s="655"/>
      <c r="G234" s="656"/>
      <c r="H234" s="657"/>
      <c r="I234" s="657"/>
      <c r="J234" s="657"/>
      <c r="K234" s="657"/>
      <c r="L234" s="657"/>
    </row>
    <row r="235" spans="1:12">
      <c r="A235" s="658"/>
      <c r="B235" s="658"/>
      <c r="C235" s="658"/>
      <c r="D235" s="658"/>
      <c r="E235" s="677"/>
      <c r="F235" s="653"/>
      <c r="G235" s="654"/>
      <c r="H235" s="657">
        <v>0</v>
      </c>
      <c r="I235" s="657">
        <f t="shared" ref="I235" si="209">H235</f>
        <v>0</v>
      </c>
      <c r="J235" s="657"/>
      <c r="K235" s="657">
        <v>0</v>
      </c>
      <c r="L235" s="657">
        <f t="shared" ref="L235" si="210">K235-I235</f>
        <v>0</v>
      </c>
    </row>
    <row r="236" spans="1:12">
      <c r="A236" s="658"/>
      <c r="B236" s="658"/>
      <c r="C236" s="658"/>
      <c r="D236" s="658"/>
      <c r="E236" s="677"/>
      <c r="F236" s="655"/>
      <c r="G236" s="656"/>
      <c r="H236" s="657"/>
      <c r="I236" s="657"/>
      <c r="J236" s="657"/>
      <c r="K236" s="657"/>
      <c r="L236" s="657"/>
    </row>
    <row r="237" spans="1:12">
      <c r="A237" s="658"/>
      <c r="B237" s="658"/>
      <c r="C237" s="658"/>
      <c r="D237" s="658"/>
      <c r="E237" s="677"/>
      <c r="F237" s="653"/>
      <c r="G237" s="654"/>
      <c r="H237" s="657">
        <v>0</v>
      </c>
      <c r="I237" s="657">
        <f t="shared" ref="I237" si="211">H237</f>
        <v>0</v>
      </c>
      <c r="J237" s="657"/>
      <c r="K237" s="657">
        <v>0</v>
      </c>
      <c r="L237" s="657">
        <f t="shared" ref="L237" si="212">K237-I237</f>
        <v>0</v>
      </c>
    </row>
    <row r="238" spans="1:12">
      <c r="A238" s="658"/>
      <c r="B238" s="658"/>
      <c r="C238" s="658"/>
      <c r="D238" s="658"/>
      <c r="E238" s="677"/>
      <c r="F238" s="655"/>
      <c r="G238" s="656"/>
      <c r="H238" s="657"/>
      <c r="I238" s="657"/>
      <c r="J238" s="657"/>
      <c r="K238" s="657"/>
      <c r="L238" s="657"/>
    </row>
    <row r="239" spans="1:12">
      <c r="A239" s="658"/>
      <c r="B239" s="658"/>
      <c r="C239" s="658"/>
      <c r="D239" s="658"/>
      <c r="E239" s="677"/>
      <c r="F239" s="653"/>
      <c r="G239" s="654"/>
      <c r="H239" s="657">
        <v>0</v>
      </c>
      <c r="I239" s="657">
        <f t="shared" ref="I239" si="213">H239</f>
        <v>0</v>
      </c>
      <c r="J239" s="657"/>
      <c r="K239" s="657">
        <v>0</v>
      </c>
      <c r="L239" s="657">
        <f t="shared" ref="L239" si="214">K239-I239</f>
        <v>0</v>
      </c>
    </row>
    <row r="240" spans="1:12">
      <c r="A240" s="658"/>
      <c r="B240" s="658"/>
      <c r="C240" s="658"/>
      <c r="D240" s="658"/>
      <c r="E240" s="677"/>
      <c r="F240" s="655"/>
      <c r="G240" s="656"/>
      <c r="H240" s="657"/>
      <c r="I240" s="657"/>
      <c r="J240" s="657"/>
      <c r="K240" s="657"/>
      <c r="L240" s="657"/>
    </row>
    <row r="241" spans="1:12">
      <c r="A241" s="658"/>
      <c r="B241" s="658"/>
      <c r="C241" s="658"/>
      <c r="D241" s="658"/>
      <c r="E241" s="677"/>
      <c r="F241" s="653"/>
      <c r="G241" s="654"/>
      <c r="H241" s="657">
        <v>0</v>
      </c>
      <c r="I241" s="657">
        <f t="shared" ref="I241" si="215">H241</f>
        <v>0</v>
      </c>
      <c r="J241" s="657"/>
      <c r="K241" s="657">
        <v>0</v>
      </c>
      <c r="L241" s="657">
        <f t="shared" ref="L241" si="216">K241-I241</f>
        <v>0</v>
      </c>
    </row>
    <row r="242" spans="1:12">
      <c r="A242" s="658"/>
      <c r="B242" s="658"/>
      <c r="C242" s="658"/>
      <c r="D242" s="658"/>
      <c r="E242" s="677"/>
      <c r="F242" s="655"/>
      <c r="G242" s="656"/>
      <c r="H242" s="657"/>
      <c r="I242" s="657"/>
      <c r="J242" s="657"/>
      <c r="K242" s="657"/>
      <c r="L242" s="657"/>
    </row>
    <row r="243" spans="1:12">
      <c r="A243" s="658"/>
      <c r="B243" s="658"/>
      <c r="C243" s="658"/>
      <c r="D243" s="658"/>
      <c r="E243" s="677"/>
      <c r="F243" s="653"/>
      <c r="G243" s="654"/>
      <c r="H243" s="657">
        <v>0</v>
      </c>
      <c r="I243" s="657">
        <f t="shared" ref="I243" si="217">H243</f>
        <v>0</v>
      </c>
      <c r="J243" s="657"/>
      <c r="K243" s="657">
        <v>0</v>
      </c>
      <c r="L243" s="657">
        <f t="shared" ref="L243" si="218">K243-I243</f>
        <v>0</v>
      </c>
    </row>
    <row r="244" spans="1:12">
      <c r="A244" s="658"/>
      <c r="B244" s="658"/>
      <c r="C244" s="658"/>
      <c r="D244" s="658"/>
      <c r="E244" s="677"/>
      <c r="F244" s="655"/>
      <c r="G244" s="656"/>
      <c r="H244" s="657"/>
      <c r="I244" s="657"/>
      <c r="J244" s="657"/>
      <c r="K244" s="657"/>
      <c r="L244" s="657"/>
    </row>
    <row r="245" spans="1:12">
      <c r="A245" s="658"/>
      <c r="B245" s="658"/>
      <c r="C245" s="658"/>
      <c r="D245" s="658"/>
      <c r="E245" s="677"/>
      <c r="F245" s="653"/>
      <c r="G245" s="654"/>
      <c r="H245" s="657">
        <v>0</v>
      </c>
      <c r="I245" s="657">
        <f t="shared" ref="I245" si="219">H245</f>
        <v>0</v>
      </c>
      <c r="J245" s="657"/>
      <c r="K245" s="657">
        <v>0</v>
      </c>
      <c r="L245" s="657">
        <f t="shared" ref="L245" si="220">K245-I245</f>
        <v>0</v>
      </c>
    </row>
    <row r="246" spans="1:12">
      <c r="A246" s="658"/>
      <c r="B246" s="658"/>
      <c r="C246" s="658"/>
      <c r="D246" s="658"/>
      <c r="E246" s="677"/>
      <c r="F246" s="655"/>
      <c r="G246" s="656"/>
      <c r="H246" s="657"/>
      <c r="I246" s="657"/>
      <c r="J246" s="657"/>
      <c r="K246" s="657"/>
      <c r="L246" s="657"/>
    </row>
    <row r="247" spans="1:12">
      <c r="A247" s="658"/>
      <c r="B247" s="658"/>
      <c r="C247" s="658"/>
      <c r="D247" s="658"/>
      <c r="E247" s="677"/>
      <c r="F247" s="653"/>
      <c r="G247" s="654"/>
      <c r="H247" s="657">
        <v>0</v>
      </c>
      <c r="I247" s="657">
        <f t="shared" ref="I247" si="221">H247</f>
        <v>0</v>
      </c>
      <c r="J247" s="657"/>
      <c r="K247" s="657">
        <v>0</v>
      </c>
      <c r="L247" s="657">
        <f t="shared" ref="L247" si="222">K247-I247</f>
        <v>0</v>
      </c>
    </row>
    <row r="248" spans="1:12">
      <c r="A248" s="658"/>
      <c r="B248" s="658"/>
      <c r="C248" s="658"/>
      <c r="D248" s="658"/>
      <c r="E248" s="677"/>
      <c r="F248" s="655"/>
      <c r="G248" s="656"/>
      <c r="H248" s="657"/>
      <c r="I248" s="657"/>
      <c r="J248" s="657"/>
      <c r="K248" s="657"/>
      <c r="L248" s="657"/>
    </row>
    <row r="249" spans="1:12">
      <c r="A249" s="658"/>
      <c r="B249" s="658"/>
      <c r="C249" s="658"/>
      <c r="D249" s="658"/>
      <c r="E249" s="677"/>
      <c r="F249" s="653"/>
      <c r="G249" s="654"/>
      <c r="H249" s="657">
        <v>0</v>
      </c>
      <c r="I249" s="657">
        <f t="shared" ref="I249" si="223">H249</f>
        <v>0</v>
      </c>
      <c r="J249" s="657"/>
      <c r="K249" s="657">
        <v>0</v>
      </c>
      <c r="L249" s="657">
        <f t="shared" ref="L249" si="224">K249-I249</f>
        <v>0</v>
      </c>
    </row>
    <row r="250" spans="1:12">
      <c r="A250" s="658"/>
      <c r="B250" s="658"/>
      <c r="C250" s="658"/>
      <c r="D250" s="658"/>
      <c r="E250" s="677"/>
      <c r="F250" s="655"/>
      <c r="G250" s="656"/>
      <c r="H250" s="657"/>
      <c r="I250" s="657"/>
      <c r="J250" s="657"/>
      <c r="K250" s="657"/>
      <c r="L250" s="657"/>
    </row>
    <row r="251" spans="1:12">
      <c r="A251" s="658"/>
      <c r="B251" s="658"/>
      <c r="C251" s="658"/>
      <c r="D251" s="658"/>
      <c r="E251" s="677"/>
      <c r="F251" s="653"/>
      <c r="G251" s="654"/>
      <c r="H251" s="657">
        <v>0</v>
      </c>
      <c r="I251" s="657">
        <f t="shared" ref="I251" si="225">H251</f>
        <v>0</v>
      </c>
      <c r="J251" s="657"/>
      <c r="K251" s="657">
        <v>0</v>
      </c>
      <c r="L251" s="657">
        <f t="shared" ref="L251" si="226">K251-I251</f>
        <v>0</v>
      </c>
    </row>
    <row r="252" spans="1:12">
      <c r="A252" s="658"/>
      <c r="B252" s="658"/>
      <c r="C252" s="658"/>
      <c r="D252" s="658"/>
      <c r="E252" s="677"/>
      <c r="F252" s="655"/>
      <c r="G252" s="656"/>
      <c r="H252" s="657"/>
      <c r="I252" s="657"/>
      <c r="J252" s="657"/>
      <c r="K252" s="657"/>
      <c r="L252" s="657"/>
    </row>
    <row r="253" spans="1:12">
      <c r="A253" s="658"/>
      <c r="B253" s="658"/>
      <c r="C253" s="658"/>
      <c r="D253" s="658"/>
      <c r="E253" s="677"/>
      <c r="F253" s="653"/>
      <c r="G253" s="654"/>
      <c r="H253" s="657">
        <v>0</v>
      </c>
      <c r="I253" s="657">
        <f t="shared" ref="I253" si="227">H253</f>
        <v>0</v>
      </c>
      <c r="J253" s="657"/>
      <c r="K253" s="657">
        <v>0</v>
      </c>
      <c r="L253" s="657">
        <f t="shared" ref="L253" si="228">K253-I253</f>
        <v>0</v>
      </c>
    </row>
    <row r="254" spans="1:12">
      <c r="A254" s="658"/>
      <c r="B254" s="658"/>
      <c r="C254" s="658"/>
      <c r="D254" s="658"/>
      <c r="E254" s="677"/>
      <c r="F254" s="655"/>
      <c r="G254" s="656"/>
      <c r="H254" s="657"/>
      <c r="I254" s="657"/>
      <c r="J254" s="657"/>
      <c r="K254" s="657"/>
      <c r="L254" s="657"/>
    </row>
    <row r="255" spans="1:12">
      <c r="A255" s="658"/>
      <c r="B255" s="658"/>
      <c r="C255" s="658"/>
      <c r="D255" s="658"/>
      <c r="E255" s="677"/>
      <c r="F255" s="653"/>
      <c r="G255" s="654"/>
      <c r="H255" s="657">
        <v>0</v>
      </c>
      <c r="I255" s="657">
        <f t="shared" ref="I255" si="229">H255</f>
        <v>0</v>
      </c>
      <c r="J255" s="657"/>
      <c r="K255" s="657">
        <v>0</v>
      </c>
      <c r="L255" s="657">
        <f t="shared" ref="L255" si="230">K255-I255</f>
        <v>0</v>
      </c>
    </row>
    <row r="256" spans="1:12">
      <c r="A256" s="658"/>
      <c r="B256" s="658"/>
      <c r="C256" s="658"/>
      <c r="D256" s="658"/>
      <c r="E256" s="677"/>
      <c r="F256" s="655"/>
      <c r="G256" s="656"/>
      <c r="H256" s="657"/>
      <c r="I256" s="657"/>
      <c r="J256" s="657"/>
      <c r="K256" s="657"/>
      <c r="L256" s="657"/>
    </row>
    <row r="257" spans="1:12">
      <c r="A257" s="658"/>
      <c r="B257" s="658"/>
      <c r="C257" s="658"/>
      <c r="D257" s="658"/>
      <c r="E257" s="677"/>
      <c r="F257" s="653"/>
      <c r="G257" s="654"/>
      <c r="H257" s="657">
        <v>0</v>
      </c>
      <c r="I257" s="657">
        <f t="shared" ref="I257" si="231">H257</f>
        <v>0</v>
      </c>
      <c r="J257" s="657"/>
      <c r="K257" s="657">
        <v>0</v>
      </c>
      <c r="L257" s="657">
        <f t="shared" ref="L257" si="232">K257-I257</f>
        <v>0</v>
      </c>
    </row>
    <row r="258" spans="1:12">
      <c r="A258" s="658"/>
      <c r="B258" s="658"/>
      <c r="C258" s="658"/>
      <c r="D258" s="658"/>
      <c r="E258" s="677"/>
      <c r="F258" s="655"/>
      <c r="G258" s="656"/>
      <c r="H258" s="657"/>
      <c r="I258" s="657"/>
      <c r="J258" s="657"/>
      <c r="K258" s="657"/>
      <c r="L258" s="657"/>
    </row>
    <row r="259" spans="1:12">
      <c r="A259" s="658"/>
      <c r="B259" s="658"/>
      <c r="C259" s="658"/>
      <c r="D259" s="658"/>
      <c r="E259" s="677"/>
      <c r="F259" s="653"/>
      <c r="G259" s="654"/>
      <c r="H259" s="657">
        <v>0</v>
      </c>
      <c r="I259" s="657">
        <f t="shared" ref="I259" si="233">H259</f>
        <v>0</v>
      </c>
      <c r="J259" s="657"/>
      <c r="K259" s="657">
        <v>0</v>
      </c>
      <c r="L259" s="657">
        <f t="shared" ref="L259" si="234">K259-I259</f>
        <v>0</v>
      </c>
    </row>
    <row r="260" spans="1:12">
      <c r="A260" s="658"/>
      <c r="B260" s="658"/>
      <c r="C260" s="658"/>
      <c r="D260" s="658"/>
      <c r="E260" s="677"/>
      <c r="F260" s="655"/>
      <c r="G260" s="656"/>
      <c r="H260" s="657"/>
      <c r="I260" s="657"/>
      <c r="J260" s="657"/>
      <c r="K260" s="657"/>
      <c r="L260" s="657"/>
    </row>
    <row r="261" spans="1:12">
      <c r="A261" s="658"/>
      <c r="B261" s="658"/>
      <c r="C261" s="658"/>
      <c r="D261" s="658"/>
      <c r="E261" s="677"/>
      <c r="F261" s="653"/>
      <c r="G261" s="654"/>
      <c r="H261" s="657">
        <v>0</v>
      </c>
      <c r="I261" s="657">
        <f t="shared" ref="I261" si="235">H261</f>
        <v>0</v>
      </c>
      <c r="J261" s="657"/>
      <c r="K261" s="657">
        <v>0</v>
      </c>
      <c r="L261" s="657">
        <f t="shared" ref="L261" si="236">K261-I261</f>
        <v>0</v>
      </c>
    </row>
    <row r="262" spans="1:12">
      <c r="A262" s="658"/>
      <c r="B262" s="658"/>
      <c r="C262" s="658"/>
      <c r="D262" s="658"/>
      <c r="E262" s="677"/>
      <c r="F262" s="655"/>
      <c r="G262" s="656"/>
      <c r="H262" s="657"/>
      <c r="I262" s="657"/>
      <c r="J262" s="657"/>
      <c r="K262" s="657"/>
      <c r="L262" s="657"/>
    </row>
    <row r="263" spans="1:12">
      <c r="A263" s="658"/>
      <c r="B263" s="658"/>
      <c r="C263" s="658"/>
      <c r="D263" s="658"/>
      <c r="E263" s="677"/>
      <c r="F263" s="653"/>
      <c r="G263" s="654"/>
      <c r="H263" s="657">
        <v>0</v>
      </c>
      <c r="I263" s="657">
        <f t="shared" ref="I263" si="237">H263</f>
        <v>0</v>
      </c>
      <c r="J263" s="657"/>
      <c r="K263" s="657">
        <v>0</v>
      </c>
      <c r="L263" s="657">
        <f t="shared" ref="L263" si="238">K263-I263</f>
        <v>0</v>
      </c>
    </row>
    <row r="264" spans="1:12">
      <c r="A264" s="658"/>
      <c r="B264" s="658"/>
      <c r="C264" s="658"/>
      <c r="D264" s="658"/>
      <c r="E264" s="677"/>
      <c r="F264" s="655"/>
      <c r="G264" s="656"/>
      <c r="H264" s="657"/>
      <c r="I264" s="657"/>
      <c r="J264" s="657"/>
      <c r="K264" s="657"/>
      <c r="L264" s="657"/>
    </row>
    <row r="265" spans="1:12">
      <c r="A265" s="658"/>
      <c r="B265" s="658"/>
      <c r="C265" s="658"/>
      <c r="D265" s="658"/>
      <c r="E265" s="677"/>
      <c r="F265" s="653"/>
      <c r="G265" s="654"/>
      <c r="H265" s="657">
        <v>0</v>
      </c>
      <c r="I265" s="657">
        <f t="shared" ref="I265" si="239">H265</f>
        <v>0</v>
      </c>
      <c r="J265" s="657"/>
      <c r="K265" s="657">
        <v>0</v>
      </c>
      <c r="L265" s="657">
        <f t="shared" ref="L265" si="240">K265-I265</f>
        <v>0</v>
      </c>
    </row>
    <row r="266" spans="1:12">
      <c r="A266" s="658"/>
      <c r="B266" s="658"/>
      <c r="C266" s="658"/>
      <c r="D266" s="658"/>
      <c r="E266" s="677"/>
      <c r="F266" s="655"/>
      <c r="G266" s="656"/>
      <c r="H266" s="657"/>
      <c r="I266" s="657"/>
      <c r="J266" s="657"/>
      <c r="K266" s="657"/>
      <c r="L266" s="657"/>
    </row>
    <row r="267" spans="1:12">
      <c r="A267" s="658"/>
      <c r="B267" s="658"/>
      <c r="C267" s="658"/>
      <c r="D267" s="658"/>
      <c r="E267" s="677"/>
      <c r="F267" s="653"/>
      <c r="G267" s="654"/>
      <c r="H267" s="657">
        <v>0</v>
      </c>
      <c r="I267" s="657">
        <f t="shared" ref="I267" si="241">H267</f>
        <v>0</v>
      </c>
      <c r="J267" s="657"/>
      <c r="K267" s="657">
        <v>0</v>
      </c>
      <c r="L267" s="657">
        <f t="shared" ref="L267" si="242">K267-I267</f>
        <v>0</v>
      </c>
    </row>
    <row r="268" spans="1:12">
      <c r="A268" s="658"/>
      <c r="B268" s="658"/>
      <c r="C268" s="658"/>
      <c r="D268" s="658"/>
      <c r="E268" s="677"/>
      <c r="F268" s="655"/>
      <c r="G268" s="656"/>
      <c r="H268" s="657"/>
      <c r="I268" s="657"/>
      <c r="J268" s="657"/>
      <c r="K268" s="657"/>
      <c r="L268" s="657"/>
    </row>
    <row r="269" spans="1:12">
      <c r="A269" s="658"/>
      <c r="B269" s="658"/>
      <c r="C269" s="658"/>
      <c r="D269" s="658"/>
      <c r="E269" s="677"/>
      <c r="F269" s="653"/>
      <c r="G269" s="654"/>
      <c r="H269" s="657">
        <v>0</v>
      </c>
      <c r="I269" s="657">
        <f t="shared" ref="I269" si="243">H269</f>
        <v>0</v>
      </c>
      <c r="J269" s="657"/>
      <c r="K269" s="657">
        <v>0</v>
      </c>
      <c r="L269" s="657">
        <f t="shared" ref="L269" si="244">K269-I269</f>
        <v>0</v>
      </c>
    </row>
    <row r="270" spans="1:12">
      <c r="A270" s="658"/>
      <c r="B270" s="658"/>
      <c r="C270" s="658"/>
      <c r="D270" s="658"/>
      <c r="E270" s="677"/>
      <c r="F270" s="655"/>
      <c r="G270" s="656"/>
      <c r="H270" s="657"/>
      <c r="I270" s="657"/>
      <c r="J270" s="657"/>
      <c r="K270" s="657"/>
      <c r="L270" s="657"/>
    </row>
    <row r="271" spans="1:12">
      <c r="A271" s="658"/>
      <c r="B271" s="658"/>
      <c r="C271" s="658"/>
      <c r="D271" s="658"/>
      <c r="E271" s="677"/>
      <c r="F271" s="653"/>
      <c r="G271" s="654"/>
      <c r="H271" s="657">
        <v>0</v>
      </c>
      <c r="I271" s="657">
        <f t="shared" ref="I271" si="245">H271</f>
        <v>0</v>
      </c>
      <c r="J271" s="657"/>
      <c r="K271" s="657">
        <v>0</v>
      </c>
      <c r="L271" s="657">
        <f t="shared" ref="L271" si="246">K271-I271</f>
        <v>0</v>
      </c>
    </row>
    <row r="272" spans="1:12">
      <c r="A272" s="658"/>
      <c r="B272" s="658"/>
      <c r="C272" s="658"/>
      <c r="D272" s="658"/>
      <c r="E272" s="677"/>
      <c r="F272" s="655"/>
      <c r="G272" s="656"/>
      <c r="H272" s="657"/>
      <c r="I272" s="657"/>
      <c r="J272" s="657"/>
      <c r="K272" s="657"/>
      <c r="L272" s="657"/>
    </row>
    <row r="273" spans="1:12">
      <c r="A273" s="658"/>
      <c r="B273" s="658"/>
      <c r="C273" s="658"/>
      <c r="D273" s="658"/>
      <c r="E273" s="677"/>
      <c r="F273" s="653"/>
      <c r="G273" s="654"/>
      <c r="H273" s="657">
        <v>0</v>
      </c>
      <c r="I273" s="657">
        <f t="shared" ref="I273" si="247">H273</f>
        <v>0</v>
      </c>
      <c r="J273" s="657"/>
      <c r="K273" s="657">
        <v>0</v>
      </c>
      <c r="L273" s="657">
        <f t="shared" ref="L273" si="248">K273-I273</f>
        <v>0</v>
      </c>
    </row>
    <row r="274" spans="1:12">
      <c r="A274" s="658"/>
      <c r="B274" s="658"/>
      <c r="C274" s="658"/>
      <c r="D274" s="658"/>
      <c r="E274" s="677"/>
      <c r="F274" s="655"/>
      <c r="G274" s="656"/>
      <c r="H274" s="657"/>
      <c r="I274" s="657"/>
      <c r="J274" s="657"/>
      <c r="K274" s="657"/>
      <c r="L274" s="657"/>
    </row>
  </sheetData>
  <mergeCells count="1476">
    <mergeCell ref="F273:G274"/>
    <mergeCell ref="H273:H274"/>
    <mergeCell ref="I273:I274"/>
    <mergeCell ref="J273:J274"/>
    <mergeCell ref="K273:K274"/>
    <mergeCell ref="L273:L274"/>
    <mergeCell ref="H271:H272"/>
    <mergeCell ref="I271:I272"/>
    <mergeCell ref="J271:J272"/>
    <mergeCell ref="K271:K272"/>
    <mergeCell ref="L271:L272"/>
    <mergeCell ref="A273:A274"/>
    <mergeCell ref="B273:B274"/>
    <mergeCell ref="C273:C274"/>
    <mergeCell ref="D273:D274"/>
    <mergeCell ref="E273:E274"/>
    <mergeCell ref="A271:A272"/>
    <mergeCell ref="B271:B272"/>
    <mergeCell ref="C271:C272"/>
    <mergeCell ref="D271:D272"/>
    <mergeCell ref="E271:E272"/>
    <mergeCell ref="F271:G272"/>
    <mergeCell ref="K267:K268"/>
    <mergeCell ref="L267:L268"/>
    <mergeCell ref="A269:A270"/>
    <mergeCell ref="B269:B270"/>
    <mergeCell ref="C269:C270"/>
    <mergeCell ref="D269:D270"/>
    <mergeCell ref="E269:E270"/>
    <mergeCell ref="A267:A268"/>
    <mergeCell ref="B267:B268"/>
    <mergeCell ref="C267:C268"/>
    <mergeCell ref="D267:D268"/>
    <mergeCell ref="E267:E268"/>
    <mergeCell ref="F267:G268"/>
    <mergeCell ref="F265:G266"/>
    <mergeCell ref="H265:H266"/>
    <mergeCell ref="I265:I266"/>
    <mergeCell ref="J265:J266"/>
    <mergeCell ref="K265:K266"/>
    <mergeCell ref="L265:L266"/>
    <mergeCell ref="F269:G270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H263:H264"/>
    <mergeCell ref="I263:I264"/>
    <mergeCell ref="J263:J264"/>
    <mergeCell ref="K263:K264"/>
    <mergeCell ref="L263:L264"/>
    <mergeCell ref="A265:A266"/>
    <mergeCell ref="B265:B266"/>
    <mergeCell ref="C265:C266"/>
    <mergeCell ref="D265:D266"/>
    <mergeCell ref="E265:E266"/>
    <mergeCell ref="A263:A264"/>
    <mergeCell ref="B263:B264"/>
    <mergeCell ref="C263:C264"/>
    <mergeCell ref="D263:D264"/>
    <mergeCell ref="E263:E264"/>
    <mergeCell ref="F263:G264"/>
    <mergeCell ref="F261:G262"/>
    <mergeCell ref="H261:H262"/>
    <mergeCell ref="I261:I262"/>
    <mergeCell ref="J261:J262"/>
    <mergeCell ref="K261:K262"/>
    <mergeCell ref="L261:L262"/>
    <mergeCell ref="H259:H260"/>
    <mergeCell ref="I259:I260"/>
    <mergeCell ref="J259:J260"/>
    <mergeCell ref="K259:K260"/>
    <mergeCell ref="L259:L260"/>
    <mergeCell ref="A261:A262"/>
    <mergeCell ref="B261:B262"/>
    <mergeCell ref="C261:C262"/>
    <mergeCell ref="D261:D262"/>
    <mergeCell ref="E261:E262"/>
    <mergeCell ref="A259:A260"/>
    <mergeCell ref="B259:B260"/>
    <mergeCell ref="C259:C260"/>
    <mergeCell ref="D259:D260"/>
    <mergeCell ref="E259:E260"/>
    <mergeCell ref="F259:G260"/>
    <mergeCell ref="F257:G258"/>
    <mergeCell ref="H257:H258"/>
    <mergeCell ref="I257:I258"/>
    <mergeCell ref="J257:J258"/>
    <mergeCell ref="K257:K258"/>
    <mergeCell ref="L257:L258"/>
    <mergeCell ref="H255:H256"/>
    <mergeCell ref="I255:I256"/>
    <mergeCell ref="J255:J256"/>
    <mergeCell ref="K255:K256"/>
    <mergeCell ref="L255:L256"/>
    <mergeCell ref="A257:A258"/>
    <mergeCell ref="B257:B258"/>
    <mergeCell ref="C257:C258"/>
    <mergeCell ref="D257:D258"/>
    <mergeCell ref="E257:E258"/>
    <mergeCell ref="A255:A256"/>
    <mergeCell ref="B255:B256"/>
    <mergeCell ref="C255:C256"/>
    <mergeCell ref="D255:D256"/>
    <mergeCell ref="E255:E256"/>
    <mergeCell ref="F255:G256"/>
    <mergeCell ref="F253:G254"/>
    <mergeCell ref="H253:H254"/>
    <mergeCell ref="I253:I254"/>
    <mergeCell ref="J253:J254"/>
    <mergeCell ref="K253:K254"/>
    <mergeCell ref="L253:L254"/>
    <mergeCell ref="H251:H252"/>
    <mergeCell ref="I251:I252"/>
    <mergeCell ref="J251:J252"/>
    <mergeCell ref="K251:K252"/>
    <mergeCell ref="L251:L252"/>
    <mergeCell ref="A253:A254"/>
    <mergeCell ref="B253:B254"/>
    <mergeCell ref="C253:C254"/>
    <mergeCell ref="D253:D254"/>
    <mergeCell ref="E253:E254"/>
    <mergeCell ref="A251:A252"/>
    <mergeCell ref="B251:B252"/>
    <mergeCell ref="C251:C252"/>
    <mergeCell ref="D251:D252"/>
    <mergeCell ref="E251:E252"/>
    <mergeCell ref="F251:G252"/>
    <mergeCell ref="F249:G250"/>
    <mergeCell ref="H249:H250"/>
    <mergeCell ref="I249:I250"/>
    <mergeCell ref="J249:J250"/>
    <mergeCell ref="K249:K250"/>
    <mergeCell ref="L249:L250"/>
    <mergeCell ref="H247:H248"/>
    <mergeCell ref="I247:I248"/>
    <mergeCell ref="J247:J248"/>
    <mergeCell ref="K247:K248"/>
    <mergeCell ref="L247:L248"/>
    <mergeCell ref="A249:A250"/>
    <mergeCell ref="B249:B250"/>
    <mergeCell ref="C249:C250"/>
    <mergeCell ref="D249:D250"/>
    <mergeCell ref="E249:E250"/>
    <mergeCell ref="A247:A248"/>
    <mergeCell ref="B247:B248"/>
    <mergeCell ref="C247:C248"/>
    <mergeCell ref="D247:D248"/>
    <mergeCell ref="E247:E248"/>
    <mergeCell ref="F247:G248"/>
    <mergeCell ref="F245:G246"/>
    <mergeCell ref="H245:H246"/>
    <mergeCell ref="I245:I246"/>
    <mergeCell ref="J245:J246"/>
    <mergeCell ref="K245:K246"/>
    <mergeCell ref="L245:L246"/>
    <mergeCell ref="H243:H244"/>
    <mergeCell ref="I243:I244"/>
    <mergeCell ref="J243:J244"/>
    <mergeCell ref="K243:K244"/>
    <mergeCell ref="L243:L244"/>
    <mergeCell ref="A245:A246"/>
    <mergeCell ref="B245:B246"/>
    <mergeCell ref="C245:C246"/>
    <mergeCell ref="D245:D246"/>
    <mergeCell ref="E245:E246"/>
    <mergeCell ref="A243:A244"/>
    <mergeCell ref="B243:B244"/>
    <mergeCell ref="C243:C244"/>
    <mergeCell ref="D243:D244"/>
    <mergeCell ref="E243:E244"/>
    <mergeCell ref="F243:G244"/>
    <mergeCell ref="F241:G242"/>
    <mergeCell ref="H241:H242"/>
    <mergeCell ref="I241:I242"/>
    <mergeCell ref="J241:J242"/>
    <mergeCell ref="K241:K242"/>
    <mergeCell ref="L241:L242"/>
    <mergeCell ref="H239:H240"/>
    <mergeCell ref="I239:I240"/>
    <mergeCell ref="J239:J240"/>
    <mergeCell ref="K239:K240"/>
    <mergeCell ref="L239:L240"/>
    <mergeCell ref="A241:A242"/>
    <mergeCell ref="B241:B242"/>
    <mergeCell ref="C241:C242"/>
    <mergeCell ref="D241:D242"/>
    <mergeCell ref="E241:E242"/>
    <mergeCell ref="A239:A240"/>
    <mergeCell ref="B239:B240"/>
    <mergeCell ref="C239:C240"/>
    <mergeCell ref="D239:D240"/>
    <mergeCell ref="E239:E240"/>
    <mergeCell ref="F239:G240"/>
    <mergeCell ref="F237:G238"/>
    <mergeCell ref="H237:H238"/>
    <mergeCell ref="I237:I238"/>
    <mergeCell ref="J237:J238"/>
    <mergeCell ref="K237:K238"/>
    <mergeCell ref="L237:L238"/>
    <mergeCell ref="H235:H236"/>
    <mergeCell ref="I235:I236"/>
    <mergeCell ref="J235:J236"/>
    <mergeCell ref="K235:K236"/>
    <mergeCell ref="L235:L236"/>
    <mergeCell ref="A237:A238"/>
    <mergeCell ref="B237:B238"/>
    <mergeCell ref="C237:C238"/>
    <mergeCell ref="D237:D238"/>
    <mergeCell ref="E237:E238"/>
    <mergeCell ref="A235:A236"/>
    <mergeCell ref="B235:B236"/>
    <mergeCell ref="C235:C236"/>
    <mergeCell ref="D235:D236"/>
    <mergeCell ref="E235:E236"/>
    <mergeCell ref="F235:G236"/>
    <mergeCell ref="F233:G234"/>
    <mergeCell ref="H233:H234"/>
    <mergeCell ref="I233:I234"/>
    <mergeCell ref="J233:J234"/>
    <mergeCell ref="K233:K234"/>
    <mergeCell ref="L233:L234"/>
    <mergeCell ref="H231:H232"/>
    <mergeCell ref="I231:I232"/>
    <mergeCell ref="J231:J232"/>
    <mergeCell ref="K231:K232"/>
    <mergeCell ref="L231:L232"/>
    <mergeCell ref="A233:A234"/>
    <mergeCell ref="B233:B234"/>
    <mergeCell ref="C233:C234"/>
    <mergeCell ref="D233:D234"/>
    <mergeCell ref="E233:E234"/>
    <mergeCell ref="A231:A232"/>
    <mergeCell ref="B231:B232"/>
    <mergeCell ref="C231:C232"/>
    <mergeCell ref="D231:D232"/>
    <mergeCell ref="E231:E232"/>
    <mergeCell ref="F231:G232"/>
    <mergeCell ref="F229:G230"/>
    <mergeCell ref="H229:H230"/>
    <mergeCell ref="I229:I230"/>
    <mergeCell ref="J229:J230"/>
    <mergeCell ref="K229:K230"/>
    <mergeCell ref="L229:L230"/>
    <mergeCell ref="H227:H228"/>
    <mergeCell ref="I227:I228"/>
    <mergeCell ref="J227:J228"/>
    <mergeCell ref="K227:K228"/>
    <mergeCell ref="L227:L228"/>
    <mergeCell ref="A229:A230"/>
    <mergeCell ref="B229:B230"/>
    <mergeCell ref="C229:C230"/>
    <mergeCell ref="D229:D230"/>
    <mergeCell ref="E229:E230"/>
    <mergeCell ref="A227:A228"/>
    <mergeCell ref="B227:B228"/>
    <mergeCell ref="C227:C228"/>
    <mergeCell ref="D227:D228"/>
    <mergeCell ref="E227:E228"/>
    <mergeCell ref="F227:G228"/>
    <mergeCell ref="F225:G226"/>
    <mergeCell ref="H225:H226"/>
    <mergeCell ref="I225:I226"/>
    <mergeCell ref="J225:J226"/>
    <mergeCell ref="K225:K226"/>
    <mergeCell ref="L225:L226"/>
    <mergeCell ref="H223:H224"/>
    <mergeCell ref="I223:I224"/>
    <mergeCell ref="J223:J224"/>
    <mergeCell ref="K223:K224"/>
    <mergeCell ref="L223:L224"/>
    <mergeCell ref="A225:A226"/>
    <mergeCell ref="B225:B226"/>
    <mergeCell ref="C225:C226"/>
    <mergeCell ref="D225:D226"/>
    <mergeCell ref="E225:E226"/>
    <mergeCell ref="A223:A224"/>
    <mergeCell ref="B223:B224"/>
    <mergeCell ref="C223:C224"/>
    <mergeCell ref="D223:D224"/>
    <mergeCell ref="E223:E224"/>
    <mergeCell ref="F223:G224"/>
    <mergeCell ref="F221:G222"/>
    <mergeCell ref="H221:H222"/>
    <mergeCell ref="I221:I222"/>
    <mergeCell ref="J221:J222"/>
    <mergeCell ref="K221:K222"/>
    <mergeCell ref="L221:L222"/>
    <mergeCell ref="H219:H220"/>
    <mergeCell ref="I219:I220"/>
    <mergeCell ref="J219:J220"/>
    <mergeCell ref="K219:K220"/>
    <mergeCell ref="L219:L220"/>
    <mergeCell ref="A221:A222"/>
    <mergeCell ref="B221:B222"/>
    <mergeCell ref="C221:C222"/>
    <mergeCell ref="D221:D222"/>
    <mergeCell ref="E221:E222"/>
    <mergeCell ref="A219:A220"/>
    <mergeCell ref="B219:B220"/>
    <mergeCell ref="C219:C220"/>
    <mergeCell ref="D219:D220"/>
    <mergeCell ref="E219:E220"/>
    <mergeCell ref="F219:G220"/>
    <mergeCell ref="F217:G218"/>
    <mergeCell ref="H217:H218"/>
    <mergeCell ref="I217:I218"/>
    <mergeCell ref="J217:J218"/>
    <mergeCell ref="K217:K218"/>
    <mergeCell ref="L217:L218"/>
    <mergeCell ref="H215:H216"/>
    <mergeCell ref="I215:I216"/>
    <mergeCell ref="J215:J216"/>
    <mergeCell ref="K215:K216"/>
    <mergeCell ref="L215:L216"/>
    <mergeCell ref="A217:A218"/>
    <mergeCell ref="B217:B218"/>
    <mergeCell ref="C217:C218"/>
    <mergeCell ref="D217:D218"/>
    <mergeCell ref="E217:E218"/>
    <mergeCell ref="A215:A216"/>
    <mergeCell ref="B215:B216"/>
    <mergeCell ref="C215:C216"/>
    <mergeCell ref="D215:D216"/>
    <mergeCell ref="E215:E216"/>
    <mergeCell ref="F215:G216"/>
    <mergeCell ref="F213:G214"/>
    <mergeCell ref="H213:H214"/>
    <mergeCell ref="I213:I214"/>
    <mergeCell ref="J213:J214"/>
    <mergeCell ref="K213:K214"/>
    <mergeCell ref="L213:L214"/>
    <mergeCell ref="H211:H212"/>
    <mergeCell ref="I211:I212"/>
    <mergeCell ref="J211:J212"/>
    <mergeCell ref="K211:K212"/>
    <mergeCell ref="L211:L212"/>
    <mergeCell ref="A213:A214"/>
    <mergeCell ref="B213:B214"/>
    <mergeCell ref="C213:C214"/>
    <mergeCell ref="D213:D214"/>
    <mergeCell ref="E213:E214"/>
    <mergeCell ref="A211:A212"/>
    <mergeCell ref="B211:B212"/>
    <mergeCell ref="C211:C212"/>
    <mergeCell ref="D211:D212"/>
    <mergeCell ref="E211:E212"/>
    <mergeCell ref="F211:G212"/>
    <mergeCell ref="F209:G210"/>
    <mergeCell ref="H209:H210"/>
    <mergeCell ref="I209:I210"/>
    <mergeCell ref="J209:J210"/>
    <mergeCell ref="K209:K210"/>
    <mergeCell ref="L209:L210"/>
    <mergeCell ref="H207:H208"/>
    <mergeCell ref="I207:I208"/>
    <mergeCell ref="J207:J208"/>
    <mergeCell ref="K207:K208"/>
    <mergeCell ref="L207:L208"/>
    <mergeCell ref="A209:A210"/>
    <mergeCell ref="B209:B210"/>
    <mergeCell ref="C209:C210"/>
    <mergeCell ref="D209:D210"/>
    <mergeCell ref="E209:E210"/>
    <mergeCell ref="A207:A208"/>
    <mergeCell ref="B207:B208"/>
    <mergeCell ref="C207:C208"/>
    <mergeCell ref="D207:D208"/>
    <mergeCell ref="E207:E208"/>
    <mergeCell ref="F207:G208"/>
    <mergeCell ref="F205:G206"/>
    <mergeCell ref="H205:H206"/>
    <mergeCell ref="I205:I206"/>
    <mergeCell ref="J205:J206"/>
    <mergeCell ref="K205:K206"/>
    <mergeCell ref="L205:L206"/>
    <mergeCell ref="H203:H204"/>
    <mergeCell ref="I203:I204"/>
    <mergeCell ref="J203:J204"/>
    <mergeCell ref="K203:K204"/>
    <mergeCell ref="L203:L204"/>
    <mergeCell ref="A205:A206"/>
    <mergeCell ref="B205:B206"/>
    <mergeCell ref="C205:C206"/>
    <mergeCell ref="D205:D206"/>
    <mergeCell ref="E205:E206"/>
    <mergeCell ref="A203:A204"/>
    <mergeCell ref="B203:B204"/>
    <mergeCell ref="C203:C204"/>
    <mergeCell ref="D203:D204"/>
    <mergeCell ref="E203:E204"/>
    <mergeCell ref="F203:G204"/>
    <mergeCell ref="F201:G202"/>
    <mergeCell ref="H201:H202"/>
    <mergeCell ref="I201:I202"/>
    <mergeCell ref="J201:J202"/>
    <mergeCell ref="K201:K202"/>
    <mergeCell ref="L201:L202"/>
    <mergeCell ref="H199:H200"/>
    <mergeCell ref="I199:I200"/>
    <mergeCell ref="J199:J200"/>
    <mergeCell ref="K199:K200"/>
    <mergeCell ref="L199:L200"/>
    <mergeCell ref="A201:A202"/>
    <mergeCell ref="B201:B202"/>
    <mergeCell ref="C201:C202"/>
    <mergeCell ref="D201:D202"/>
    <mergeCell ref="E201:E202"/>
    <mergeCell ref="A199:A200"/>
    <mergeCell ref="B199:B200"/>
    <mergeCell ref="C199:C200"/>
    <mergeCell ref="D199:D200"/>
    <mergeCell ref="E199:E200"/>
    <mergeCell ref="F199:G200"/>
    <mergeCell ref="F197:G198"/>
    <mergeCell ref="H197:H198"/>
    <mergeCell ref="I197:I198"/>
    <mergeCell ref="J197:J198"/>
    <mergeCell ref="K197:K198"/>
    <mergeCell ref="L197:L198"/>
    <mergeCell ref="H195:H196"/>
    <mergeCell ref="I195:I196"/>
    <mergeCell ref="J195:J196"/>
    <mergeCell ref="K195:K196"/>
    <mergeCell ref="L195:L196"/>
    <mergeCell ref="A197:A198"/>
    <mergeCell ref="B197:B198"/>
    <mergeCell ref="C197:C198"/>
    <mergeCell ref="D197:D198"/>
    <mergeCell ref="E197:E198"/>
    <mergeCell ref="A195:A196"/>
    <mergeCell ref="B195:B196"/>
    <mergeCell ref="C195:C196"/>
    <mergeCell ref="D195:D196"/>
    <mergeCell ref="E195:E196"/>
    <mergeCell ref="F195:G196"/>
    <mergeCell ref="F193:G194"/>
    <mergeCell ref="H193:H194"/>
    <mergeCell ref="I193:I194"/>
    <mergeCell ref="J193:J194"/>
    <mergeCell ref="K193:K194"/>
    <mergeCell ref="L193:L194"/>
    <mergeCell ref="H191:H192"/>
    <mergeCell ref="I191:I192"/>
    <mergeCell ref="J191:J192"/>
    <mergeCell ref="K191:K192"/>
    <mergeCell ref="L191:L192"/>
    <mergeCell ref="A193:A194"/>
    <mergeCell ref="B193:B194"/>
    <mergeCell ref="C193:C194"/>
    <mergeCell ref="D193:D194"/>
    <mergeCell ref="E193:E194"/>
    <mergeCell ref="A191:A192"/>
    <mergeCell ref="B191:B192"/>
    <mergeCell ref="C191:C192"/>
    <mergeCell ref="D191:D192"/>
    <mergeCell ref="E191:E192"/>
    <mergeCell ref="F191:G192"/>
    <mergeCell ref="F189:G190"/>
    <mergeCell ref="H189:H190"/>
    <mergeCell ref="I189:I190"/>
    <mergeCell ref="J189:J190"/>
    <mergeCell ref="K189:K190"/>
    <mergeCell ref="L189:L190"/>
    <mergeCell ref="H187:H188"/>
    <mergeCell ref="I187:I188"/>
    <mergeCell ref="J187:J188"/>
    <mergeCell ref="K187:K188"/>
    <mergeCell ref="L187:L188"/>
    <mergeCell ref="A189:A190"/>
    <mergeCell ref="B189:B190"/>
    <mergeCell ref="C189:C190"/>
    <mergeCell ref="D189:D190"/>
    <mergeCell ref="E189:E190"/>
    <mergeCell ref="A187:A188"/>
    <mergeCell ref="B187:B188"/>
    <mergeCell ref="C187:C188"/>
    <mergeCell ref="D187:D188"/>
    <mergeCell ref="E187:E188"/>
    <mergeCell ref="F187:G188"/>
    <mergeCell ref="F185:G186"/>
    <mergeCell ref="H185:H186"/>
    <mergeCell ref="I185:I186"/>
    <mergeCell ref="J185:J186"/>
    <mergeCell ref="K185:K186"/>
    <mergeCell ref="L185:L186"/>
    <mergeCell ref="H183:H184"/>
    <mergeCell ref="I183:I184"/>
    <mergeCell ref="J183:J184"/>
    <mergeCell ref="K183:K184"/>
    <mergeCell ref="L183:L184"/>
    <mergeCell ref="A185:A186"/>
    <mergeCell ref="B185:B186"/>
    <mergeCell ref="C185:C186"/>
    <mergeCell ref="D185:D186"/>
    <mergeCell ref="E185:E186"/>
    <mergeCell ref="A183:A184"/>
    <mergeCell ref="B183:B184"/>
    <mergeCell ref="C183:C184"/>
    <mergeCell ref="D183:D184"/>
    <mergeCell ref="E183:E184"/>
    <mergeCell ref="F183:G184"/>
    <mergeCell ref="F181:G182"/>
    <mergeCell ref="H181:H182"/>
    <mergeCell ref="I181:I182"/>
    <mergeCell ref="J181:J182"/>
    <mergeCell ref="K181:K182"/>
    <mergeCell ref="L181:L182"/>
    <mergeCell ref="H179:H180"/>
    <mergeCell ref="I179:I180"/>
    <mergeCell ref="J179:J180"/>
    <mergeCell ref="K179:K180"/>
    <mergeCell ref="L179:L180"/>
    <mergeCell ref="A181:A182"/>
    <mergeCell ref="B181:B182"/>
    <mergeCell ref="C181:C182"/>
    <mergeCell ref="D181:D182"/>
    <mergeCell ref="E181:E182"/>
    <mergeCell ref="A179:A180"/>
    <mergeCell ref="B179:B180"/>
    <mergeCell ref="C179:C180"/>
    <mergeCell ref="D179:D180"/>
    <mergeCell ref="E179:E180"/>
    <mergeCell ref="F179:G180"/>
    <mergeCell ref="F177:G178"/>
    <mergeCell ref="H177:H178"/>
    <mergeCell ref="I177:I178"/>
    <mergeCell ref="J177:J178"/>
    <mergeCell ref="K177:K178"/>
    <mergeCell ref="L177:L178"/>
    <mergeCell ref="H175:H176"/>
    <mergeCell ref="I175:I176"/>
    <mergeCell ref="J175:J176"/>
    <mergeCell ref="K175:K176"/>
    <mergeCell ref="L175:L176"/>
    <mergeCell ref="A177:A178"/>
    <mergeCell ref="B177:B178"/>
    <mergeCell ref="C177:C178"/>
    <mergeCell ref="D177:D178"/>
    <mergeCell ref="E177:E178"/>
    <mergeCell ref="A175:A176"/>
    <mergeCell ref="B175:B176"/>
    <mergeCell ref="C175:C176"/>
    <mergeCell ref="D175:D176"/>
    <mergeCell ref="E175:E176"/>
    <mergeCell ref="F175:G176"/>
    <mergeCell ref="F173:G174"/>
    <mergeCell ref="H173:H174"/>
    <mergeCell ref="I173:I174"/>
    <mergeCell ref="J173:J174"/>
    <mergeCell ref="K173:K174"/>
    <mergeCell ref="L173:L174"/>
    <mergeCell ref="H171:H172"/>
    <mergeCell ref="I171:I172"/>
    <mergeCell ref="J171:J172"/>
    <mergeCell ref="K171:K172"/>
    <mergeCell ref="L171:L172"/>
    <mergeCell ref="A173:A174"/>
    <mergeCell ref="B173:B174"/>
    <mergeCell ref="C173:C174"/>
    <mergeCell ref="D173:D174"/>
    <mergeCell ref="E173:E174"/>
    <mergeCell ref="A171:A172"/>
    <mergeCell ref="B171:B172"/>
    <mergeCell ref="C171:C172"/>
    <mergeCell ref="D171:D172"/>
    <mergeCell ref="E171:E172"/>
    <mergeCell ref="F171:G172"/>
    <mergeCell ref="F169:G170"/>
    <mergeCell ref="H169:H170"/>
    <mergeCell ref="I169:I170"/>
    <mergeCell ref="J169:J170"/>
    <mergeCell ref="K169:K170"/>
    <mergeCell ref="L169:L170"/>
    <mergeCell ref="H167:H168"/>
    <mergeCell ref="I167:I168"/>
    <mergeCell ref="J167:J168"/>
    <mergeCell ref="K167:K168"/>
    <mergeCell ref="L167:L168"/>
    <mergeCell ref="A169:A170"/>
    <mergeCell ref="B169:B170"/>
    <mergeCell ref="C169:C170"/>
    <mergeCell ref="D169:D170"/>
    <mergeCell ref="E169:E170"/>
    <mergeCell ref="A167:A168"/>
    <mergeCell ref="B167:B168"/>
    <mergeCell ref="C167:C168"/>
    <mergeCell ref="D167:D168"/>
    <mergeCell ref="E167:E168"/>
    <mergeCell ref="F167:G168"/>
    <mergeCell ref="F165:G166"/>
    <mergeCell ref="H165:H166"/>
    <mergeCell ref="I165:I166"/>
    <mergeCell ref="J165:J166"/>
    <mergeCell ref="K165:K166"/>
    <mergeCell ref="L165:L166"/>
    <mergeCell ref="H163:H164"/>
    <mergeCell ref="I163:I164"/>
    <mergeCell ref="J163:J164"/>
    <mergeCell ref="K163:K164"/>
    <mergeCell ref="L163:L164"/>
    <mergeCell ref="A165:A166"/>
    <mergeCell ref="B165:B166"/>
    <mergeCell ref="C165:C166"/>
    <mergeCell ref="D165:D166"/>
    <mergeCell ref="E165:E166"/>
    <mergeCell ref="A163:A164"/>
    <mergeCell ref="B163:B164"/>
    <mergeCell ref="C163:C164"/>
    <mergeCell ref="D163:D164"/>
    <mergeCell ref="E163:E164"/>
    <mergeCell ref="F163:G164"/>
    <mergeCell ref="F161:G162"/>
    <mergeCell ref="H161:H162"/>
    <mergeCell ref="I161:I162"/>
    <mergeCell ref="J161:J162"/>
    <mergeCell ref="K161:K162"/>
    <mergeCell ref="L161:L162"/>
    <mergeCell ref="H159:H160"/>
    <mergeCell ref="I159:I160"/>
    <mergeCell ref="J159:J160"/>
    <mergeCell ref="K159:K160"/>
    <mergeCell ref="L159:L160"/>
    <mergeCell ref="A161:A162"/>
    <mergeCell ref="B161:B162"/>
    <mergeCell ref="C161:C162"/>
    <mergeCell ref="D161:D162"/>
    <mergeCell ref="E161:E162"/>
    <mergeCell ref="A159:A160"/>
    <mergeCell ref="B159:B160"/>
    <mergeCell ref="C159:C160"/>
    <mergeCell ref="D159:D160"/>
    <mergeCell ref="E159:E160"/>
    <mergeCell ref="F159:G160"/>
    <mergeCell ref="F157:G158"/>
    <mergeCell ref="H157:H158"/>
    <mergeCell ref="I157:I158"/>
    <mergeCell ref="J157:J158"/>
    <mergeCell ref="K157:K158"/>
    <mergeCell ref="L157:L158"/>
    <mergeCell ref="H155:H156"/>
    <mergeCell ref="I155:I156"/>
    <mergeCell ref="J155:J156"/>
    <mergeCell ref="K155:K156"/>
    <mergeCell ref="L155:L156"/>
    <mergeCell ref="A157:A158"/>
    <mergeCell ref="B157:B158"/>
    <mergeCell ref="C157:C158"/>
    <mergeCell ref="D157:D158"/>
    <mergeCell ref="E157:E158"/>
    <mergeCell ref="A155:A156"/>
    <mergeCell ref="B155:B156"/>
    <mergeCell ref="C155:C156"/>
    <mergeCell ref="D155:D156"/>
    <mergeCell ref="E155:E156"/>
    <mergeCell ref="F155:G156"/>
    <mergeCell ref="F153:G154"/>
    <mergeCell ref="H153:H154"/>
    <mergeCell ref="I153:I154"/>
    <mergeCell ref="J153:J154"/>
    <mergeCell ref="K153:K154"/>
    <mergeCell ref="L153:L154"/>
    <mergeCell ref="H151:H152"/>
    <mergeCell ref="I151:I152"/>
    <mergeCell ref="J151:J152"/>
    <mergeCell ref="K151:K152"/>
    <mergeCell ref="L151:L152"/>
    <mergeCell ref="A153:A154"/>
    <mergeCell ref="B153:B154"/>
    <mergeCell ref="C153:C154"/>
    <mergeCell ref="D153:D154"/>
    <mergeCell ref="E153:E154"/>
    <mergeCell ref="A151:A152"/>
    <mergeCell ref="B151:B152"/>
    <mergeCell ref="C151:C152"/>
    <mergeCell ref="D151:D152"/>
    <mergeCell ref="E151:E152"/>
    <mergeCell ref="F151:G152"/>
    <mergeCell ref="F147:G148"/>
    <mergeCell ref="H147:H148"/>
    <mergeCell ref="I147:I148"/>
    <mergeCell ref="J147:J148"/>
    <mergeCell ref="K147:K148"/>
    <mergeCell ref="L147:L148"/>
    <mergeCell ref="H145:H146"/>
    <mergeCell ref="I145:I146"/>
    <mergeCell ref="J145:J146"/>
    <mergeCell ref="K145:K146"/>
    <mergeCell ref="L145:L146"/>
    <mergeCell ref="A147:A148"/>
    <mergeCell ref="B147:B148"/>
    <mergeCell ref="C147:C148"/>
    <mergeCell ref="D147:D148"/>
    <mergeCell ref="E147:E148"/>
    <mergeCell ref="A145:A146"/>
    <mergeCell ref="B145:B146"/>
    <mergeCell ref="C145:C146"/>
    <mergeCell ref="D145:D146"/>
    <mergeCell ref="E145:E146"/>
    <mergeCell ref="F145:G146"/>
    <mergeCell ref="F143:G144"/>
    <mergeCell ref="H143:H144"/>
    <mergeCell ref="I143:I144"/>
    <mergeCell ref="J143:J144"/>
    <mergeCell ref="K143:K144"/>
    <mergeCell ref="L143:L144"/>
    <mergeCell ref="H141:H142"/>
    <mergeCell ref="I141:I142"/>
    <mergeCell ref="J141:J142"/>
    <mergeCell ref="K141:K142"/>
    <mergeCell ref="L141:L142"/>
    <mergeCell ref="A143:A144"/>
    <mergeCell ref="B143:B144"/>
    <mergeCell ref="C143:C144"/>
    <mergeCell ref="D143:D144"/>
    <mergeCell ref="E143:E144"/>
    <mergeCell ref="A141:A142"/>
    <mergeCell ref="B141:B142"/>
    <mergeCell ref="C141:C142"/>
    <mergeCell ref="D141:D142"/>
    <mergeCell ref="E141:E142"/>
    <mergeCell ref="F141:G142"/>
    <mergeCell ref="F139:G140"/>
    <mergeCell ref="H139:H140"/>
    <mergeCell ref="I139:I140"/>
    <mergeCell ref="J139:J140"/>
    <mergeCell ref="K139:K140"/>
    <mergeCell ref="L139:L140"/>
    <mergeCell ref="H137:H138"/>
    <mergeCell ref="I137:I138"/>
    <mergeCell ref="J137:J138"/>
    <mergeCell ref="K137:K138"/>
    <mergeCell ref="L137:L138"/>
    <mergeCell ref="A139:A140"/>
    <mergeCell ref="B139:B140"/>
    <mergeCell ref="C139:C140"/>
    <mergeCell ref="D139:D140"/>
    <mergeCell ref="E139:E140"/>
    <mergeCell ref="A137:A138"/>
    <mergeCell ref="B137:B138"/>
    <mergeCell ref="C137:C138"/>
    <mergeCell ref="D137:D138"/>
    <mergeCell ref="E137:E138"/>
    <mergeCell ref="F137:G138"/>
    <mergeCell ref="F135:G136"/>
    <mergeCell ref="H135:H136"/>
    <mergeCell ref="I135:I136"/>
    <mergeCell ref="J135:J136"/>
    <mergeCell ref="K135:K136"/>
    <mergeCell ref="L135:L136"/>
    <mergeCell ref="H133:H134"/>
    <mergeCell ref="I133:I134"/>
    <mergeCell ref="J133:J134"/>
    <mergeCell ref="K133:K134"/>
    <mergeCell ref="L133:L134"/>
    <mergeCell ref="A135:A136"/>
    <mergeCell ref="B135:B136"/>
    <mergeCell ref="C135:C136"/>
    <mergeCell ref="D135:D136"/>
    <mergeCell ref="E135:E136"/>
    <mergeCell ref="A133:A134"/>
    <mergeCell ref="B133:B134"/>
    <mergeCell ref="C133:C134"/>
    <mergeCell ref="D133:D134"/>
    <mergeCell ref="E133:E134"/>
    <mergeCell ref="F133:G134"/>
    <mergeCell ref="F131:G132"/>
    <mergeCell ref="H131:H132"/>
    <mergeCell ref="I131:I132"/>
    <mergeCell ref="J131:J132"/>
    <mergeCell ref="K131:K132"/>
    <mergeCell ref="L131:L132"/>
    <mergeCell ref="H129:H130"/>
    <mergeCell ref="I129:I130"/>
    <mergeCell ref="J129:J130"/>
    <mergeCell ref="K129:K130"/>
    <mergeCell ref="L129:L130"/>
    <mergeCell ref="A131:A132"/>
    <mergeCell ref="B131:B132"/>
    <mergeCell ref="C131:C132"/>
    <mergeCell ref="D131:D132"/>
    <mergeCell ref="E131:E132"/>
    <mergeCell ref="A129:A130"/>
    <mergeCell ref="B129:B130"/>
    <mergeCell ref="C129:C130"/>
    <mergeCell ref="D129:D130"/>
    <mergeCell ref="E129:E130"/>
    <mergeCell ref="F129:G130"/>
    <mergeCell ref="F127:G128"/>
    <mergeCell ref="H127:H128"/>
    <mergeCell ref="I127:I128"/>
    <mergeCell ref="J127:J128"/>
    <mergeCell ref="K127:K128"/>
    <mergeCell ref="L127:L128"/>
    <mergeCell ref="H125:H126"/>
    <mergeCell ref="I125:I126"/>
    <mergeCell ref="J125:J126"/>
    <mergeCell ref="K125:K126"/>
    <mergeCell ref="L125:L126"/>
    <mergeCell ref="A127:A128"/>
    <mergeCell ref="B127:B128"/>
    <mergeCell ref="C127:C128"/>
    <mergeCell ref="D127:D128"/>
    <mergeCell ref="E127:E128"/>
    <mergeCell ref="A125:A126"/>
    <mergeCell ref="B125:B126"/>
    <mergeCell ref="C125:C126"/>
    <mergeCell ref="D125:D126"/>
    <mergeCell ref="E125:E126"/>
    <mergeCell ref="F125:G126"/>
    <mergeCell ref="F123:G124"/>
    <mergeCell ref="H123:H124"/>
    <mergeCell ref="I123:I124"/>
    <mergeCell ref="J123:J124"/>
    <mergeCell ref="K123:K124"/>
    <mergeCell ref="L123:L124"/>
    <mergeCell ref="H121:H122"/>
    <mergeCell ref="I121:I122"/>
    <mergeCell ref="J121:J122"/>
    <mergeCell ref="K121:K122"/>
    <mergeCell ref="L121:L122"/>
    <mergeCell ref="A123:A124"/>
    <mergeCell ref="B123:B124"/>
    <mergeCell ref="C123:C124"/>
    <mergeCell ref="D123:D124"/>
    <mergeCell ref="E123:E124"/>
    <mergeCell ref="A121:A122"/>
    <mergeCell ref="B121:B122"/>
    <mergeCell ref="C121:C122"/>
    <mergeCell ref="D121:D122"/>
    <mergeCell ref="E121:E122"/>
    <mergeCell ref="F121:G122"/>
    <mergeCell ref="F119:G120"/>
    <mergeCell ref="H119:H120"/>
    <mergeCell ref="I119:I120"/>
    <mergeCell ref="J119:J120"/>
    <mergeCell ref="K119:K120"/>
    <mergeCell ref="L119:L120"/>
    <mergeCell ref="C111:C112"/>
    <mergeCell ref="D111:D112"/>
    <mergeCell ref="E111:E112"/>
    <mergeCell ref="H117:H118"/>
    <mergeCell ref="I117:I118"/>
    <mergeCell ref="J117:J118"/>
    <mergeCell ref="K117:K118"/>
    <mergeCell ref="L117:L118"/>
    <mergeCell ref="A119:A120"/>
    <mergeCell ref="B119:B120"/>
    <mergeCell ref="C119:C120"/>
    <mergeCell ref="D119:D120"/>
    <mergeCell ref="E119:E120"/>
    <mergeCell ref="A117:A118"/>
    <mergeCell ref="B117:B118"/>
    <mergeCell ref="C117:C118"/>
    <mergeCell ref="D117:D118"/>
    <mergeCell ref="E117:E118"/>
    <mergeCell ref="F117:G118"/>
    <mergeCell ref="F115:G116"/>
    <mergeCell ref="H115:H116"/>
    <mergeCell ref="I115:I116"/>
    <mergeCell ref="J115:J116"/>
    <mergeCell ref="K115:K116"/>
    <mergeCell ref="L115:L116"/>
    <mergeCell ref="A115:A116"/>
    <mergeCell ref="B115:B116"/>
    <mergeCell ref="C115:C116"/>
    <mergeCell ref="D115:D116"/>
    <mergeCell ref="E115:E116"/>
    <mergeCell ref="F109:G110"/>
    <mergeCell ref="F107:G108"/>
    <mergeCell ref="H107:H108"/>
    <mergeCell ref="I107:I108"/>
    <mergeCell ref="J107:J108"/>
    <mergeCell ref="K107:K108"/>
    <mergeCell ref="L107:L108"/>
    <mergeCell ref="A105:A106"/>
    <mergeCell ref="B105:B106"/>
    <mergeCell ref="C105:C106"/>
    <mergeCell ref="D105:D106"/>
    <mergeCell ref="E105:E106"/>
    <mergeCell ref="F105:G106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G114"/>
    <mergeCell ref="F111:G112"/>
    <mergeCell ref="H111:H112"/>
    <mergeCell ref="I111:I112"/>
    <mergeCell ref="J111:J112"/>
    <mergeCell ref="K111:K112"/>
    <mergeCell ref="L111:L112"/>
    <mergeCell ref="A111:A112"/>
    <mergeCell ref="B111:B112"/>
    <mergeCell ref="F103:G104"/>
    <mergeCell ref="H103:H104"/>
    <mergeCell ref="I103:I104"/>
    <mergeCell ref="J103:J104"/>
    <mergeCell ref="K103:K104"/>
    <mergeCell ref="L103:L104"/>
    <mergeCell ref="H109:H110"/>
    <mergeCell ref="I109:I110"/>
    <mergeCell ref="J109:J110"/>
    <mergeCell ref="K109:K110"/>
    <mergeCell ref="L109:L110"/>
    <mergeCell ref="H101:H102"/>
    <mergeCell ref="I101:I102"/>
    <mergeCell ref="J101:J102"/>
    <mergeCell ref="K101:K102"/>
    <mergeCell ref="L101:L102"/>
    <mergeCell ref="A103:A104"/>
    <mergeCell ref="B103:B104"/>
    <mergeCell ref="C103:C104"/>
    <mergeCell ref="D103:D104"/>
    <mergeCell ref="E107:E108"/>
    <mergeCell ref="A101:A102"/>
    <mergeCell ref="B101:B102"/>
    <mergeCell ref="C101:C102"/>
    <mergeCell ref="D101:D102"/>
    <mergeCell ref="E101:E102"/>
    <mergeCell ref="F101:G102"/>
    <mergeCell ref="A109:A110"/>
    <mergeCell ref="B109:B110"/>
    <mergeCell ref="C109:C110"/>
    <mergeCell ref="D109:D110"/>
    <mergeCell ref="E109:E110"/>
    <mergeCell ref="F99:G100"/>
    <mergeCell ref="H99:H100"/>
    <mergeCell ref="I99:I100"/>
    <mergeCell ref="J99:J100"/>
    <mergeCell ref="K99:K100"/>
    <mergeCell ref="L99:L100"/>
    <mergeCell ref="E103:E104"/>
    <mergeCell ref="H105:H106"/>
    <mergeCell ref="I105:I106"/>
    <mergeCell ref="J105:J106"/>
    <mergeCell ref="K105:K106"/>
    <mergeCell ref="L105:L106"/>
    <mergeCell ref="A107:A108"/>
    <mergeCell ref="B107:B108"/>
    <mergeCell ref="C107:C108"/>
    <mergeCell ref="D107:D108"/>
    <mergeCell ref="H97:H98"/>
    <mergeCell ref="I97:I98"/>
    <mergeCell ref="J97:J98"/>
    <mergeCell ref="K97:K98"/>
    <mergeCell ref="L97:L98"/>
    <mergeCell ref="A99:A100"/>
    <mergeCell ref="B99:B100"/>
    <mergeCell ref="C99:C100"/>
    <mergeCell ref="D99:D100"/>
    <mergeCell ref="E99:E100"/>
    <mergeCell ref="A97:A98"/>
    <mergeCell ref="B97:B98"/>
    <mergeCell ref="C97:C98"/>
    <mergeCell ref="D97:D98"/>
    <mergeCell ref="E97:E98"/>
    <mergeCell ref="F97:G98"/>
    <mergeCell ref="F95:G96"/>
    <mergeCell ref="H95:H96"/>
    <mergeCell ref="I95:I96"/>
    <mergeCell ref="J95:J96"/>
    <mergeCell ref="K95:K96"/>
    <mergeCell ref="L95:L96"/>
    <mergeCell ref="H93:H94"/>
    <mergeCell ref="I93:I94"/>
    <mergeCell ref="J93:J94"/>
    <mergeCell ref="K93:K94"/>
    <mergeCell ref="L93:L94"/>
    <mergeCell ref="A95:A96"/>
    <mergeCell ref="B95:B96"/>
    <mergeCell ref="C95:C96"/>
    <mergeCell ref="D95:D96"/>
    <mergeCell ref="E95:E96"/>
    <mergeCell ref="A93:A94"/>
    <mergeCell ref="B93:B94"/>
    <mergeCell ref="C93:C94"/>
    <mergeCell ref="D93:D94"/>
    <mergeCell ref="E93:E94"/>
    <mergeCell ref="F93:G94"/>
    <mergeCell ref="F91:G92"/>
    <mergeCell ref="H91:H92"/>
    <mergeCell ref="I91:I92"/>
    <mergeCell ref="J91:J92"/>
    <mergeCell ref="K91:K92"/>
    <mergeCell ref="L91:L92"/>
    <mergeCell ref="H89:H90"/>
    <mergeCell ref="I89:I90"/>
    <mergeCell ref="J89:J90"/>
    <mergeCell ref="K89:K90"/>
    <mergeCell ref="L89:L90"/>
    <mergeCell ref="A91:A92"/>
    <mergeCell ref="B91:B92"/>
    <mergeCell ref="C91:C92"/>
    <mergeCell ref="D91:D92"/>
    <mergeCell ref="E91:E92"/>
    <mergeCell ref="A89:A90"/>
    <mergeCell ref="B89:B90"/>
    <mergeCell ref="C89:C90"/>
    <mergeCell ref="D89:D90"/>
    <mergeCell ref="E89:E90"/>
    <mergeCell ref="F89:G90"/>
    <mergeCell ref="F85:G86"/>
    <mergeCell ref="H85:H86"/>
    <mergeCell ref="I85:I86"/>
    <mergeCell ref="J85:J86"/>
    <mergeCell ref="K85:K86"/>
    <mergeCell ref="L85:L86"/>
    <mergeCell ref="A87:L88"/>
    <mergeCell ref="H83:H84"/>
    <mergeCell ref="I83:I84"/>
    <mergeCell ref="J83:J84"/>
    <mergeCell ref="K83:K84"/>
    <mergeCell ref="L83:L84"/>
    <mergeCell ref="A85:A86"/>
    <mergeCell ref="B85:B86"/>
    <mergeCell ref="C85:C86"/>
    <mergeCell ref="D85:D86"/>
    <mergeCell ref="E85:E86"/>
    <mergeCell ref="A83:A84"/>
    <mergeCell ref="B83:B84"/>
    <mergeCell ref="C83:C84"/>
    <mergeCell ref="D83:D84"/>
    <mergeCell ref="E83:E84"/>
    <mergeCell ref="F83:G84"/>
    <mergeCell ref="F81:G82"/>
    <mergeCell ref="H81:H82"/>
    <mergeCell ref="I81:I82"/>
    <mergeCell ref="J81:J82"/>
    <mergeCell ref="K81:K82"/>
    <mergeCell ref="L81:L82"/>
    <mergeCell ref="H79:H80"/>
    <mergeCell ref="I79:I80"/>
    <mergeCell ref="J79:J80"/>
    <mergeCell ref="K79:K80"/>
    <mergeCell ref="L79:L80"/>
    <mergeCell ref="A81:A82"/>
    <mergeCell ref="B81:B82"/>
    <mergeCell ref="C81:C82"/>
    <mergeCell ref="D81:D82"/>
    <mergeCell ref="E81:E82"/>
    <mergeCell ref="A79:A80"/>
    <mergeCell ref="B79:B80"/>
    <mergeCell ref="C79:C80"/>
    <mergeCell ref="D79:D80"/>
    <mergeCell ref="E79:E80"/>
    <mergeCell ref="F79:G80"/>
    <mergeCell ref="F77:G78"/>
    <mergeCell ref="H77:H78"/>
    <mergeCell ref="I77:I78"/>
    <mergeCell ref="J77:J78"/>
    <mergeCell ref="K77:K78"/>
    <mergeCell ref="L77:L78"/>
    <mergeCell ref="H73:H74"/>
    <mergeCell ref="I73:I74"/>
    <mergeCell ref="J73:J74"/>
    <mergeCell ref="K73:K74"/>
    <mergeCell ref="L73:L74"/>
    <mergeCell ref="A77:A78"/>
    <mergeCell ref="B77:B78"/>
    <mergeCell ref="C77:C78"/>
    <mergeCell ref="D77:D78"/>
    <mergeCell ref="E77:E78"/>
    <mergeCell ref="A73:A74"/>
    <mergeCell ref="B73:B74"/>
    <mergeCell ref="C73:C74"/>
    <mergeCell ref="D73:D74"/>
    <mergeCell ref="E73:E74"/>
    <mergeCell ref="F73:G74"/>
    <mergeCell ref="A75:A76"/>
    <mergeCell ref="B75:B76"/>
    <mergeCell ref="C75:C76"/>
    <mergeCell ref="D75:D76"/>
    <mergeCell ref="E75:E76"/>
    <mergeCell ref="F75:G76"/>
    <mergeCell ref="H75:H76"/>
    <mergeCell ref="I75:I76"/>
    <mergeCell ref="J75:J76"/>
    <mergeCell ref="K75:K76"/>
    <mergeCell ref="L75:L76"/>
    <mergeCell ref="F71:G72"/>
    <mergeCell ref="H71:H72"/>
    <mergeCell ref="I71:I72"/>
    <mergeCell ref="J71:J72"/>
    <mergeCell ref="K71:K72"/>
    <mergeCell ref="L71:L72"/>
    <mergeCell ref="H69:H70"/>
    <mergeCell ref="I69:I70"/>
    <mergeCell ref="J69:J70"/>
    <mergeCell ref="K69:K70"/>
    <mergeCell ref="L69:L70"/>
    <mergeCell ref="A71:A72"/>
    <mergeCell ref="B71:B72"/>
    <mergeCell ref="C71:C72"/>
    <mergeCell ref="D71:D72"/>
    <mergeCell ref="E71:E72"/>
    <mergeCell ref="A69:A70"/>
    <mergeCell ref="B69:B70"/>
    <mergeCell ref="C69:C70"/>
    <mergeCell ref="D69:D70"/>
    <mergeCell ref="E69:E70"/>
    <mergeCell ref="F69:G70"/>
    <mergeCell ref="F67:G68"/>
    <mergeCell ref="H67:H68"/>
    <mergeCell ref="I67:I68"/>
    <mergeCell ref="J67:J68"/>
    <mergeCell ref="K67:K68"/>
    <mergeCell ref="L67:L68"/>
    <mergeCell ref="H65:H66"/>
    <mergeCell ref="I65:I66"/>
    <mergeCell ref="J65:J66"/>
    <mergeCell ref="K65:K66"/>
    <mergeCell ref="L65:L66"/>
    <mergeCell ref="A67:A68"/>
    <mergeCell ref="B67:B68"/>
    <mergeCell ref="C67:C68"/>
    <mergeCell ref="D67:D68"/>
    <mergeCell ref="E67:E68"/>
    <mergeCell ref="A65:A66"/>
    <mergeCell ref="B65:B66"/>
    <mergeCell ref="C65:C66"/>
    <mergeCell ref="D65:D66"/>
    <mergeCell ref="E65:E66"/>
    <mergeCell ref="F65:G66"/>
    <mergeCell ref="F63:G64"/>
    <mergeCell ref="H63:H64"/>
    <mergeCell ref="I63:I64"/>
    <mergeCell ref="J63:J64"/>
    <mergeCell ref="K63:K64"/>
    <mergeCell ref="L63:L64"/>
    <mergeCell ref="H61:H62"/>
    <mergeCell ref="I61:I62"/>
    <mergeCell ref="J61:J62"/>
    <mergeCell ref="K61:K62"/>
    <mergeCell ref="L61:L62"/>
    <mergeCell ref="A63:A64"/>
    <mergeCell ref="B63:B64"/>
    <mergeCell ref="C63:C64"/>
    <mergeCell ref="D63:D64"/>
    <mergeCell ref="E63:E64"/>
    <mergeCell ref="A61:A62"/>
    <mergeCell ref="B61:B62"/>
    <mergeCell ref="C61:C62"/>
    <mergeCell ref="D61:D62"/>
    <mergeCell ref="E61:E62"/>
    <mergeCell ref="F61:G62"/>
    <mergeCell ref="F59:G60"/>
    <mergeCell ref="H59:H60"/>
    <mergeCell ref="I59:I60"/>
    <mergeCell ref="J59:J60"/>
    <mergeCell ref="K59:K60"/>
    <mergeCell ref="L59:L60"/>
    <mergeCell ref="H57:H58"/>
    <mergeCell ref="I57:I58"/>
    <mergeCell ref="J57:J58"/>
    <mergeCell ref="K57:K58"/>
    <mergeCell ref="L57:L58"/>
    <mergeCell ref="A59:A60"/>
    <mergeCell ref="B59:B60"/>
    <mergeCell ref="C59:C60"/>
    <mergeCell ref="D59:D60"/>
    <mergeCell ref="E59:E60"/>
    <mergeCell ref="A57:A58"/>
    <mergeCell ref="B57:B58"/>
    <mergeCell ref="C57:C58"/>
    <mergeCell ref="D57:D58"/>
    <mergeCell ref="E57:E58"/>
    <mergeCell ref="F57:G58"/>
    <mergeCell ref="F55:G56"/>
    <mergeCell ref="H55:H56"/>
    <mergeCell ref="I55:I56"/>
    <mergeCell ref="J55:J56"/>
    <mergeCell ref="K55:K56"/>
    <mergeCell ref="L55:L56"/>
    <mergeCell ref="H53:H54"/>
    <mergeCell ref="I53:I54"/>
    <mergeCell ref="J53:J54"/>
    <mergeCell ref="K53:K54"/>
    <mergeCell ref="L53:L54"/>
    <mergeCell ref="A55:A56"/>
    <mergeCell ref="B55:B56"/>
    <mergeCell ref="C55:C56"/>
    <mergeCell ref="D55:D56"/>
    <mergeCell ref="E55:E56"/>
    <mergeCell ref="A53:A54"/>
    <mergeCell ref="B53:B54"/>
    <mergeCell ref="C53:C54"/>
    <mergeCell ref="D53:D54"/>
    <mergeCell ref="E53:E54"/>
    <mergeCell ref="F53:G54"/>
    <mergeCell ref="F51:G52"/>
    <mergeCell ref="H51:H52"/>
    <mergeCell ref="I51:I52"/>
    <mergeCell ref="J51:J52"/>
    <mergeCell ref="K51:K52"/>
    <mergeCell ref="L51:L52"/>
    <mergeCell ref="H49:H50"/>
    <mergeCell ref="I49:I50"/>
    <mergeCell ref="J49:J50"/>
    <mergeCell ref="K49:K50"/>
    <mergeCell ref="L49:L50"/>
    <mergeCell ref="A51:A52"/>
    <mergeCell ref="B51:B52"/>
    <mergeCell ref="C51:C52"/>
    <mergeCell ref="D51:D52"/>
    <mergeCell ref="A49:A50"/>
    <mergeCell ref="B49:B50"/>
    <mergeCell ref="C49:C50"/>
    <mergeCell ref="D49:D50"/>
    <mergeCell ref="E51:E52"/>
    <mergeCell ref="F49:G50"/>
    <mergeCell ref="E49:E50"/>
    <mergeCell ref="F47:G48"/>
    <mergeCell ref="H47:H48"/>
    <mergeCell ref="I47:I48"/>
    <mergeCell ref="J47:J48"/>
    <mergeCell ref="K47:K48"/>
    <mergeCell ref="L47:L48"/>
    <mergeCell ref="H45:H46"/>
    <mergeCell ref="I45:I46"/>
    <mergeCell ref="J45:J46"/>
    <mergeCell ref="K45:K46"/>
    <mergeCell ref="L45:L46"/>
    <mergeCell ref="A47:A48"/>
    <mergeCell ref="B47:B48"/>
    <mergeCell ref="C47:C48"/>
    <mergeCell ref="D47:D48"/>
    <mergeCell ref="E47:E48"/>
    <mergeCell ref="A45:A46"/>
    <mergeCell ref="B45:B46"/>
    <mergeCell ref="C45:C46"/>
    <mergeCell ref="D45:D46"/>
    <mergeCell ref="E45:E46"/>
    <mergeCell ref="F45:G46"/>
    <mergeCell ref="F43:G44"/>
    <mergeCell ref="H43:H44"/>
    <mergeCell ref="I43:I44"/>
    <mergeCell ref="J43:J44"/>
    <mergeCell ref="K43:K44"/>
    <mergeCell ref="L43:L44"/>
    <mergeCell ref="H41:H42"/>
    <mergeCell ref="I41:I42"/>
    <mergeCell ref="J41:J42"/>
    <mergeCell ref="K41:K42"/>
    <mergeCell ref="L41:L42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F41:G42"/>
    <mergeCell ref="F39:G40"/>
    <mergeCell ref="H39:H40"/>
    <mergeCell ref="I39:I40"/>
    <mergeCell ref="J39:J40"/>
    <mergeCell ref="K39:K40"/>
    <mergeCell ref="L39:L40"/>
    <mergeCell ref="H37:H38"/>
    <mergeCell ref="I37:I38"/>
    <mergeCell ref="J37:J38"/>
    <mergeCell ref="K37:K38"/>
    <mergeCell ref="L37:L38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F37:G38"/>
    <mergeCell ref="F35:G36"/>
    <mergeCell ref="H35:H36"/>
    <mergeCell ref="I35:I36"/>
    <mergeCell ref="J35:J36"/>
    <mergeCell ref="K35:K36"/>
    <mergeCell ref="L35:L36"/>
    <mergeCell ref="H33:H34"/>
    <mergeCell ref="I33:I34"/>
    <mergeCell ref="J33:J34"/>
    <mergeCell ref="K33:K34"/>
    <mergeCell ref="L33:L34"/>
    <mergeCell ref="A35:A36"/>
    <mergeCell ref="B35:B36"/>
    <mergeCell ref="C35:C36"/>
    <mergeCell ref="D35:D36"/>
    <mergeCell ref="E35:E36"/>
    <mergeCell ref="A33:A34"/>
    <mergeCell ref="B33:B34"/>
    <mergeCell ref="C33:C34"/>
    <mergeCell ref="D33:D34"/>
    <mergeCell ref="E33:E34"/>
    <mergeCell ref="F33:G34"/>
    <mergeCell ref="F31:G32"/>
    <mergeCell ref="H31:H32"/>
    <mergeCell ref="I31:I32"/>
    <mergeCell ref="J31:J32"/>
    <mergeCell ref="K31:K32"/>
    <mergeCell ref="L31:L32"/>
    <mergeCell ref="H29:H30"/>
    <mergeCell ref="I29:I30"/>
    <mergeCell ref="J29:J30"/>
    <mergeCell ref="K29:K30"/>
    <mergeCell ref="L29:L30"/>
    <mergeCell ref="A31:A32"/>
    <mergeCell ref="B31:B32"/>
    <mergeCell ref="C31:C32"/>
    <mergeCell ref="D31:D32"/>
    <mergeCell ref="E31:E32"/>
    <mergeCell ref="A29:A30"/>
    <mergeCell ref="B29:B30"/>
    <mergeCell ref="C29:C30"/>
    <mergeCell ref="D29:D30"/>
    <mergeCell ref="E29:E30"/>
    <mergeCell ref="F29:G30"/>
    <mergeCell ref="F27:G28"/>
    <mergeCell ref="H27:H28"/>
    <mergeCell ref="I27:I28"/>
    <mergeCell ref="J27:J28"/>
    <mergeCell ref="K27:K28"/>
    <mergeCell ref="L27:L28"/>
    <mergeCell ref="H25:H26"/>
    <mergeCell ref="I25:I26"/>
    <mergeCell ref="J25:J26"/>
    <mergeCell ref="K25:K26"/>
    <mergeCell ref="L25:L26"/>
    <mergeCell ref="A27:A28"/>
    <mergeCell ref="B27:B28"/>
    <mergeCell ref="C27:C28"/>
    <mergeCell ref="D27:D28"/>
    <mergeCell ref="E27:E28"/>
    <mergeCell ref="A25:A26"/>
    <mergeCell ref="B25:B26"/>
    <mergeCell ref="C25:C26"/>
    <mergeCell ref="D25:D26"/>
    <mergeCell ref="E25:E26"/>
    <mergeCell ref="F25:G26"/>
    <mergeCell ref="F23:G24"/>
    <mergeCell ref="H23:H24"/>
    <mergeCell ref="I23:I24"/>
    <mergeCell ref="J23:J24"/>
    <mergeCell ref="K23:K24"/>
    <mergeCell ref="L23:L24"/>
    <mergeCell ref="H21:H22"/>
    <mergeCell ref="I21:I22"/>
    <mergeCell ref="J21:J22"/>
    <mergeCell ref="K21:K22"/>
    <mergeCell ref="L21:L22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1:G22"/>
    <mergeCell ref="F19:G20"/>
    <mergeCell ref="H19:H20"/>
    <mergeCell ref="I19:I20"/>
    <mergeCell ref="J19:J20"/>
    <mergeCell ref="K19:K20"/>
    <mergeCell ref="L19:L20"/>
    <mergeCell ref="H17:H18"/>
    <mergeCell ref="I17:I18"/>
    <mergeCell ref="J17:J18"/>
    <mergeCell ref="K17:K18"/>
    <mergeCell ref="L17:L18"/>
    <mergeCell ref="A19:A20"/>
    <mergeCell ref="B19:B20"/>
    <mergeCell ref="C19:C20"/>
    <mergeCell ref="D19:D20"/>
    <mergeCell ref="E19:E20"/>
    <mergeCell ref="A17:A18"/>
    <mergeCell ref="B17:B18"/>
    <mergeCell ref="C17:C18"/>
    <mergeCell ref="D17:D18"/>
    <mergeCell ref="E17:E18"/>
    <mergeCell ref="F17:G18"/>
    <mergeCell ref="F15:G16"/>
    <mergeCell ref="H15:H16"/>
    <mergeCell ref="I15:I16"/>
    <mergeCell ref="J15:J16"/>
    <mergeCell ref="K15:K16"/>
    <mergeCell ref="L15:L16"/>
    <mergeCell ref="H13:H14"/>
    <mergeCell ref="I13:I14"/>
    <mergeCell ref="J13:J14"/>
    <mergeCell ref="K13:K14"/>
    <mergeCell ref="L13:L14"/>
    <mergeCell ref="A15:A16"/>
    <mergeCell ref="B15:B16"/>
    <mergeCell ref="C15:C16"/>
    <mergeCell ref="D15:D16"/>
    <mergeCell ref="E15:E16"/>
    <mergeCell ref="A13:A14"/>
    <mergeCell ref="B13:B14"/>
    <mergeCell ref="C13:C14"/>
    <mergeCell ref="D13:D14"/>
    <mergeCell ref="E13:E14"/>
    <mergeCell ref="F13:G14"/>
    <mergeCell ref="E5:E6"/>
    <mergeCell ref="F5:G6"/>
    <mergeCell ref="F11:G12"/>
    <mergeCell ref="H11:H12"/>
    <mergeCell ref="I11:I12"/>
    <mergeCell ref="J11:J12"/>
    <mergeCell ref="K11:K12"/>
    <mergeCell ref="L11:L12"/>
    <mergeCell ref="H9:H10"/>
    <mergeCell ref="I9:I10"/>
    <mergeCell ref="J9:J10"/>
    <mergeCell ref="K9:K10"/>
    <mergeCell ref="L9:L10"/>
    <mergeCell ref="A11:A12"/>
    <mergeCell ref="B11:B12"/>
    <mergeCell ref="C11:C12"/>
    <mergeCell ref="D11:D12"/>
    <mergeCell ref="E11:E12"/>
    <mergeCell ref="A9:A10"/>
    <mergeCell ref="B9:B10"/>
    <mergeCell ref="C9:C10"/>
    <mergeCell ref="D9:D10"/>
    <mergeCell ref="E9:E10"/>
    <mergeCell ref="F9:G10"/>
    <mergeCell ref="F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A1:L2"/>
    <mergeCell ref="F7:G8"/>
    <mergeCell ref="H7:H8"/>
    <mergeCell ref="I7:I8"/>
    <mergeCell ref="J7:J8"/>
    <mergeCell ref="K7:K8"/>
    <mergeCell ref="L7:L8"/>
    <mergeCell ref="H5:H6"/>
    <mergeCell ref="I5:I6"/>
    <mergeCell ref="J5:J6"/>
    <mergeCell ref="K5:K6"/>
    <mergeCell ref="L5:L6"/>
    <mergeCell ref="A7:A8"/>
    <mergeCell ref="B7:B8"/>
    <mergeCell ref="C7:C8"/>
    <mergeCell ref="D7:D8"/>
    <mergeCell ref="E7:E8"/>
    <mergeCell ref="A5:A6"/>
    <mergeCell ref="B5:B6"/>
    <mergeCell ref="C5:C6"/>
    <mergeCell ref="D5:D6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topLeftCell="A24" zoomScale="85" zoomScaleNormal="85" workbookViewId="0">
      <selection sqref="A1:L43"/>
    </sheetView>
  </sheetViews>
  <sheetFormatPr defaultRowHeight="12.75"/>
  <cols>
    <col min="2" max="2" width="14.28515625" customWidth="1"/>
    <col min="3" max="3" width="10.140625" bestFit="1" customWidth="1"/>
    <col min="5" max="5" width="10.28515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3330</v>
      </c>
      <c r="C2" s="586">
        <v>42373</v>
      </c>
      <c r="D2" s="585" t="s">
        <v>6</v>
      </c>
      <c r="E2" s="586">
        <v>43105</v>
      </c>
      <c r="F2" s="585" t="s">
        <v>6</v>
      </c>
      <c r="G2" s="586">
        <v>43105</v>
      </c>
      <c r="H2" s="586" t="s">
        <v>3320</v>
      </c>
      <c r="I2" s="586">
        <v>43109</v>
      </c>
      <c r="J2" s="587">
        <v>1470</v>
      </c>
      <c r="K2" s="590"/>
      <c r="L2" s="5">
        <f>SUM(J2:J51)</f>
        <v>30228</v>
      </c>
    </row>
    <row r="3" spans="1:12">
      <c r="A3" s="589">
        <v>2</v>
      </c>
      <c r="B3" s="585" t="s">
        <v>6</v>
      </c>
      <c r="C3" s="586">
        <v>42962</v>
      </c>
      <c r="D3" s="585" t="s">
        <v>6</v>
      </c>
      <c r="E3" s="586">
        <v>43110</v>
      </c>
      <c r="F3" s="585" t="s">
        <v>6</v>
      </c>
      <c r="G3" s="586">
        <v>43110</v>
      </c>
      <c r="H3" s="586" t="s">
        <v>3318</v>
      </c>
      <c r="I3" s="586">
        <v>43113</v>
      </c>
      <c r="J3" s="587">
        <v>40</v>
      </c>
      <c r="K3" s="590" t="s">
        <v>4382</v>
      </c>
    </row>
    <row r="4" spans="1:12">
      <c r="A4" s="585">
        <v>3</v>
      </c>
      <c r="B4" s="585">
        <v>13</v>
      </c>
      <c r="C4" s="586">
        <v>43309</v>
      </c>
      <c r="D4" s="585" t="s">
        <v>6</v>
      </c>
      <c r="E4" s="586">
        <v>43111</v>
      </c>
      <c r="F4" s="585" t="s">
        <v>3548</v>
      </c>
      <c r="G4" s="586">
        <v>43111</v>
      </c>
      <c r="H4" s="586" t="s">
        <v>3318</v>
      </c>
      <c r="I4" s="586">
        <v>43115</v>
      </c>
      <c r="J4" s="587">
        <v>500</v>
      </c>
      <c r="K4" s="590"/>
      <c r="L4" s="5">
        <f>SUM(J2:J51)</f>
        <v>30228</v>
      </c>
    </row>
    <row r="5" spans="1:12">
      <c r="A5" s="585">
        <v>4</v>
      </c>
      <c r="B5" s="585" t="s">
        <v>6</v>
      </c>
      <c r="C5" s="586">
        <v>43110</v>
      </c>
      <c r="D5" s="585" t="s">
        <v>6</v>
      </c>
      <c r="E5" s="586">
        <v>43112</v>
      </c>
      <c r="F5" s="585" t="s">
        <v>6</v>
      </c>
      <c r="G5" s="586">
        <v>43112</v>
      </c>
      <c r="H5" s="586" t="s">
        <v>3318</v>
      </c>
      <c r="I5" s="586">
        <v>43115</v>
      </c>
      <c r="J5" s="587">
        <v>450</v>
      </c>
      <c r="K5" s="590"/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43105</v>
      </c>
      <c r="F6" s="585" t="s">
        <v>6</v>
      </c>
      <c r="G6" s="586">
        <v>43105</v>
      </c>
      <c r="H6" s="586" t="s">
        <v>3320</v>
      </c>
      <c r="I6" s="586">
        <v>43109</v>
      </c>
      <c r="J6" s="587">
        <v>1470</v>
      </c>
      <c r="K6" s="590"/>
    </row>
    <row r="7" spans="1:12">
      <c r="A7" s="585">
        <v>6</v>
      </c>
      <c r="B7" s="607" t="s">
        <v>3826</v>
      </c>
      <c r="C7" s="586">
        <v>42587</v>
      </c>
      <c r="D7" s="585" t="s">
        <v>6</v>
      </c>
      <c r="E7" s="586">
        <v>43110</v>
      </c>
      <c r="F7" s="585">
        <v>73</v>
      </c>
      <c r="G7" s="586">
        <v>43110</v>
      </c>
      <c r="H7" s="586" t="s">
        <v>3318</v>
      </c>
      <c r="I7" s="586">
        <v>43111</v>
      </c>
      <c r="J7" s="587">
        <v>380</v>
      </c>
      <c r="K7" s="590"/>
    </row>
    <row r="8" spans="1:12">
      <c r="A8" s="585">
        <v>7</v>
      </c>
      <c r="B8" s="585" t="s">
        <v>6</v>
      </c>
      <c r="C8" s="586">
        <v>42888</v>
      </c>
      <c r="D8" s="585" t="s">
        <v>6</v>
      </c>
      <c r="E8" s="586">
        <v>43110</v>
      </c>
      <c r="F8" s="585" t="s">
        <v>6</v>
      </c>
      <c r="G8" s="586">
        <v>43110</v>
      </c>
      <c r="H8" s="586" t="s">
        <v>3318</v>
      </c>
      <c r="I8" s="586">
        <v>43111</v>
      </c>
      <c r="J8" s="587">
        <v>700</v>
      </c>
      <c r="K8" s="590" t="s">
        <v>4383</v>
      </c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43108</v>
      </c>
      <c r="F9" s="585" t="s">
        <v>6</v>
      </c>
      <c r="G9" s="586">
        <v>43108</v>
      </c>
      <c r="H9" s="586" t="s">
        <v>3320</v>
      </c>
      <c r="I9" s="586">
        <v>43110</v>
      </c>
      <c r="J9" s="587">
        <v>1470</v>
      </c>
      <c r="K9" s="590"/>
    </row>
    <row r="10" spans="1:12">
      <c r="A10" s="585">
        <v>9</v>
      </c>
      <c r="B10" s="585" t="s">
        <v>6</v>
      </c>
      <c r="C10" s="586">
        <v>43110</v>
      </c>
      <c r="D10" s="585" t="s">
        <v>6</v>
      </c>
      <c r="E10" s="586">
        <v>43111</v>
      </c>
      <c r="F10" s="585" t="s">
        <v>6</v>
      </c>
      <c r="G10" s="586">
        <v>43111</v>
      </c>
      <c r="H10" s="586" t="s">
        <v>3318</v>
      </c>
      <c r="I10" s="586">
        <v>43115</v>
      </c>
      <c r="J10" s="587">
        <v>300</v>
      </c>
      <c r="K10" s="590"/>
    </row>
    <row r="11" spans="1:12">
      <c r="A11" s="585">
        <v>10</v>
      </c>
      <c r="B11" s="585" t="s">
        <v>6</v>
      </c>
      <c r="C11" s="586">
        <v>42480</v>
      </c>
      <c r="D11" s="585" t="s">
        <v>6</v>
      </c>
      <c r="E11" s="586">
        <v>43112</v>
      </c>
      <c r="F11" s="586">
        <v>43112</v>
      </c>
      <c r="G11" s="586">
        <v>43112</v>
      </c>
      <c r="H11" s="586" t="s">
        <v>3318</v>
      </c>
      <c r="I11" s="586">
        <v>43115</v>
      </c>
      <c r="J11" s="587">
        <v>100</v>
      </c>
      <c r="K11" s="590" t="s">
        <v>4385</v>
      </c>
    </row>
    <row r="12" spans="1:12">
      <c r="A12" s="585">
        <v>11</v>
      </c>
      <c r="B12" s="585" t="s">
        <v>3330</v>
      </c>
      <c r="C12" s="586">
        <v>42373</v>
      </c>
      <c r="D12" s="585" t="s">
        <v>6</v>
      </c>
      <c r="E12" s="586">
        <v>43111</v>
      </c>
      <c r="F12" s="585" t="s">
        <v>6</v>
      </c>
      <c r="G12" s="586">
        <v>43111</v>
      </c>
      <c r="H12" s="586" t="s">
        <v>3320</v>
      </c>
      <c r="I12" s="586">
        <v>43115</v>
      </c>
      <c r="J12" s="587">
        <v>1470</v>
      </c>
      <c r="K12" s="590"/>
    </row>
    <row r="13" spans="1:12">
      <c r="A13" s="585">
        <v>12</v>
      </c>
      <c r="B13" s="585" t="s">
        <v>6</v>
      </c>
      <c r="C13" s="586">
        <v>43120</v>
      </c>
      <c r="D13" s="585" t="s">
        <v>6</v>
      </c>
      <c r="E13" s="586">
        <v>43116</v>
      </c>
      <c r="F13" s="585" t="s">
        <v>6</v>
      </c>
      <c r="G13" s="586">
        <v>43116</v>
      </c>
      <c r="H13" s="586" t="s">
        <v>3318</v>
      </c>
      <c r="I13" s="586">
        <v>43117</v>
      </c>
      <c r="J13" s="587">
        <v>650</v>
      </c>
      <c r="K13" s="590" t="s">
        <v>3879</v>
      </c>
    </row>
    <row r="14" spans="1:12">
      <c r="A14" s="585">
        <v>13</v>
      </c>
      <c r="B14" s="585">
        <v>13</v>
      </c>
      <c r="C14" s="586">
        <v>43309</v>
      </c>
      <c r="D14" s="585" t="s">
        <v>6</v>
      </c>
      <c r="E14" s="586">
        <v>43116</v>
      </c>
      <c r="F14" s="585" t="s">
        <v>3550</v>
      </c>
      <c r="G14" s="586">
        <v>43116</v>
      </c>
      <c r="H14" s="586" t="s">
        <v>3318</v>
      </c>
      <c r="I14" s="586">
        <v>43117</v>
      </c>
      <c r="J14" s="587">
        <v>480</v>
      </c>
      <c r="K14" s="587"/>
    </row>
    <row r="15" spans="1:12">
      <c r="A15" s="585">
        <v>14</v>
      </c>
      <c r="B15" s="585" t="s">
        <v>3330</v>
      </c>
      <c r="C15" s="586">
        <v>42373</v>
      </c>
      <c r="D15" s="585" t="s">
        <v>6</v>
      </c>
      <c r="E15" s="586">
        <v>43112</v>
      </c>
      <c r="F15" s="585" t="s">
        <v>3547</v>
      </c>
      <c r="G15" s="586">
        <v>43112</v>
      </c>
      <c r="H15" s="586" t="s">
        <v>3320</v>
      </c>
      <c r="I15" s="586">
        <v>43116</v>
      </c>
      <c r="J15" s="587">
        <v>1530</v>
      </c>
      <c r="K15" s="590"/>
    </row>
    <row r="16" spans="1:12">
      <c r="A16" s="585">
        <v>15</v>
      </c>
      <c r="B16" s="585" t="s">
        <v>3344</v>
      </c>
      <c r="C16" s="586">
        <v>42338</v>
      </c>
      <c r="D16" s="585" t="s">
        <v>6</v>
      </c>
      <c r="E16" s="586">
        <v>43117</v>
      </c>
      <c r="F16" s="585" t="s">
        <v>6</v>
      </c>
      <c r="G16" s="586">
        <v>43117</v>
      </c>
      <c r="H16" s="586" t="s">
        <v>3318</v>
      </c>
      <c r="I16" s="586">
        <v>43119</v>
      </c>
      <c r="J16" s="587">
        <v>580</v>
      </c>
      <c r="K16" s="590"/>
    </row>
    <row r="17" spans="1:11">
      <c r="A17" s="585">
        <v>16</v>
      </c>
      <c r="B17" s="585" t="s">
        <v>3344</v>
      </c>
      <c r="C17" s="586">
        <v>42338</v>
      </c>
      <c r="D17" s="585" t="s">
        <v>6</v>
      </c>
      <c r="E17" s="586">
        <v>43117</v>
      </c>
      <c r="F17" s="585" t="s">
        <v>6</v>
      </c>
      <c r="G17" s="586">
        <v>43117</v>
      </c>
      <c r="H17" s="586" t="s">
        <v>3318</v>
      </c>
      <c r="I17" s="586">
        <v>43119</v>
      </c>
      <c r="J17" s="587">
        <v>50</v>
      </c>
      <c r="K17" s="590"/>
    </row>
    <row r="18" spans="1:11">
      <c r="A18" s="593">
        <v>17</v>
      </c>
      <c r="B18" s="646" t="s">
        <v>4384</v>
      </c>
      <c r="C18" s="586">
        <v>42272</v>
      </c>
      <c r="D18" s="585" t="s">
        <v>6</v>
      </c>
      <c r="E18" s="586">
        <v>43118</v>
      </c>
      <c r="F18" s="585" t="s">
        <v>6</v>
      </c>
      <c r="G18" s="586">
        <v>43118</v>
      </c>
      <c r="H18" s="586" t="s">
        <v>3318</v>
      </c>
      <c r="I18" s="586">
        <v>43119</v>
      </c>
      <c r="J18" s="587">
        <v>300</v>
      </c>
      <c r="K18" s="590"/>
    </row>
    <row r="19" spans="1:11">
      <c r="A19" s="593">
        <v>18</v>
      </c>
      <c r="B19" s="585" t="s">
        <v>6</v>
      </c>
      <c r="C19" s="586">
        <v>42389</v>
      </c>
      <c r="D19" s="585" t="s">
        <v>6</v>
      </c>
      <c r="E19" s="586">
        <v>43118</v>
      </c>
      <c r="F19" s="585" t="s">
        <v>6</v>
      </c>
      <c r="G19" s="586">
        <v>43118</v>
      </c>
      <c r="H19" s="586" t="s">
        <v>3318</v>
      </c>
      <c r="I19" s="586">
        <v>43119</v>
      </c>
      <c r="J19" s="587">
        <v>500</v>
      </c>
      <c r="K19" s="590"/>
    </row>
    <row r="20" spans="1:11">
      <c r="A20" s="593">
        <v>19</v>
      </c>
      <c r="B20" s="585" t="s">
        <v>3330</v>
      </c>
      <c r="C20" s="586">
        <v>42373</v>
      </c>
      <c r="D20" s="585" t="s">
        <v>6</v>
      </c>
      <c r="E20" s="586">
        <v>43115</v>
      </c>
      <c r="F20" s="585" t="s">
        <v>3557</v>
      </c>
      <c r="G20" s="586">
        <v>43115</v>
      </c>
      <c r="H20" s="586" t="s">
        <v>3320</v>
      </c>
      <c r="I20" s="586">
        <v>43117</v>
      </c>
      <c r="J20" s="587">
        <v>1470</v>
      </c>
      <c r="K20" s="590"/>
    </row>
    <row r="21" spans="1:11">
      <c r="A21" s="593">
        <v>20</v>
      </c>
      <c r="B21" s="585" t="s">
        <v>6</v>
      </c>
      <c r="C21" s="586">
        <v>42962</v>
      </c>
      <c r="D21" s="585" t="s">
        <v>6</v>
      </c>
      <c r="E21" s="586">
        <v>43118</v>
      </c>
      <c r="F21" s="585">
        <v>3953676</v>
      </c>
      <c r="G21" s="586">
        <v>43118</v>
      </c>
      <c r="H21" s="586" t="s">
        <v>3318</v>
      </c>
      <c r="I21" s="586">
        <v>43122</v>
      </c>
      <c r="J21" s="587">
        <v>400</v>
      </c>
      <c r="K21" s="590"/>
    </row>
    <row r="22" spans="1:11">
      <c r="A22" s="593">
        <v>21</v>
      </c>
      <c r="B22" s="585" t="s">
        <v>6</v>
      </c>
      <c r="C22" s="586">
        <v>42480</v>
      </c>
      <c r="D22" s="585" t="s">
        <v>6</v>
      </c>
      <c r="E22" s="586">
        <v>43119</v>
      </c>
      <c r="F22" s="586">
        <v>43119</v>
      </c>
      <c r="G22" s="586">
        <v>43119</v>
      </c>
      <c r="H22" s="586" t="s">
        <v>3318</v>
      </c>
      <c r="I22" s="586">
        <v>43120</v>
      </c>
      <c r="J22" s="587">
        <v>99</v>
      </c>
      <c r="K22" s="590"/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43116</v>
      </c>
      <c r="F23" s="585" t="s">
        <v>6</v>
      </c>
      <c r="G23" s="586">
        <v>43116</v>
      </c>
      <c r="H23" s="586" t="s">
        <v>3320</v>
      </c>
      <c r="I23" s="586">
        <v>43117</v>
      </c>
      <c r="J23" s="587">
        <v>1470</v>
      </c>
      <c r="K23" s="590"/>
    </row>
    <row r="24" spans="1:11">
      <c r="A24" s="593">
        <v>23</v>
      </c>
      <c r="B24" s="585" t="s">
        <v>6</v>
      </c>
      <c r="C24" s="586">
        <v>42396</v>
      </c>
      <c r="D24" s="585" t="s">
        <v>6</v>
      </c>
      <c r="E24" s="586">
        <v>43117</v>
      </c>
      <c r="F24" s="585" t="s">
        <v>6</v>
      </c>
      <c r="G24" s="586">
        <v>43117</v>
      </c>
      <c r="H24" s="586" t="s">
        <v>3318</v>
      </c>
      <c r="I24" s="586">
        <v>43122</v>
      </c>
      <c r="J24" s="587">
        <v>50</v>
      </c>
      <c r="K24" s="590"/>
    </row>
    <row r="25" spans="1:11">
      <c r="A25" s="593">
        <v>24</v>
      </c>
      <c r="B25" s="585" t="s">
        <v>6</v>
      </c>
      <c r="C25" s="586">
        <v>42404</v>
      </c>
      <c r="D25" s="585" t="s">
        <v>6</v>
      </c>
      <c r="E25" s="586">
        <v>43117</v>
      </c>
      <c r="F25" s="585" t="s">
        <v>6</v>
      </c>
      <c r="G25" s="586">
        <v>43117</v>
      </c>
      <c r="H25" s="586" t="s">
        <v>3318</v>
      </c>
      <c r="I25" s="586">
        <v>43123</v>
      </c>
      <c r="J25" s="587">
        <v>70</v>
      </c>
      <c r="K25" s="590"/>
    </row>
    <row r="26" spans="1:11">
      <c r="A26" s="593">
        <v>25</v>
      </c>
      <c r="B26" s="585" t="s">
        <v>6</v>
      </c>
      <c r="C26" s="586">
        <v>42389</v>
      </c>
      <c r="D26" s="585" t="s">
        <v>6</v>
      </c>
      <c r="E26" s="586">
        <v>43118</v>
      </c>
      <c r="F26" s="585" t="s">
        <v>3550</v>
      </c>
      <c r="G26" s="586" t="s">
        <v>4386</v>
      </c>
      <c r="H26" s="586" t="s">
        <v>3318</v>
      </c>
      <c r="I26" s="586">
        <v>43122</v>
      </c>
      <c r="J26" s="587">
        <v>950</v>
      </c>
      <c r="K26" s="590"/>
    </row>
    <row r="27" spans="1:11">
      <c r="A27" s="593">
        <v>26</v>
      </c>
      <c r="B27" s="585" t="s">
        <v>3330</v>
      </c>
      <c r="C27" s="586">
        <v>42373</v>
      </c>
      <c r="D27" s="585" t="s">
        <v>6</v>
      </c>
      <c r="E27" s="586">
        <v>43118</v>
      </c>
      <c r="F27" s="585" t="s">
        <v>6</v>
      </c>
      <c r="G27" s="586">
        <v>43118</v>
      </c>
      <c r="H27" s="586" t="s">
        <v>3320</v>
      </c>
      <c r="I27" s="586">
        <v>43122</v>
      </c>
      <c r="J27" s="587">
        <v>1470</v>
      </c>
      <c r="K27" s="590"/>
    </row>
    <row r="28" spans="1:11">
      <c r="A28" s="593">
        <v>27</v>
      </c>
      <c r="B28" s="585">
        <v>3166</v>
      </c>
      <c r="C28" s="586">
        <v>43121</v>
      </c>
      <c r="D28" s="585" t="s">
        <v>6</v>
      </c>
      <c r="E28" s="586">
        <v>43123</v>
      </c>
      <c r="F28" s="585" t="s">
        <v>6</v>
      </c>
      <c r="G28" s="586">
        <v>43123</v>
      </c>
      <c r="H28" s="586" t="s">
        <v>3318</v>
      </c>
      <c r="I28" s="586">
        <v>43125</v>
      </c>
      <c r="J28" s="587">
        <v>370</v>
      </c>
      <c r="K28" s="590"/>
    </row>
    <row r="29" spans="1:11">
      <c r="A29" s="593">
        <v>28</v>
      </c>
      <c r="B29" s="585">
        <v>3166</v>
      </c>
      <c r="C29" s="586">
        <v>43121</v>
      </c>
      <c r="D29" s="585" t="s">
        <v>6</v>
      </c>
      <c r="E29" s="586">
        <v>43123</v>
      </c>
      <c r="F29" s="585" t="s">
        <v>6</v>
      </c>
      <c r="G29" s="586" t="s">
        <v>4387</v>
      </c>
      <c r="H29" s="586" t="s">
        <v>3318</v>
      </c>
      <c r="I29" s="586">
        <v>43125</v>
      </c>
      <c r="J29" s="587">
        <v>390</v>
      </c>
      <c r="K29" s="590"/>
    </row>
    <row r="30" spans="1:11">
      <c r="A30" s="593">
        <v>29</v>
      </c>
      <c r="B30" s="585" t="s">
        <v>6</v>
      </c>
      <c r="C30" s="586">
        <v>42888</v>
      </c>
      <c r="D30" s="585" t="s">
        <v>6</v>
      </c>
      <c r="E30" s="586">
        <v>43123</v>
      </c>
      <c r="F30" s="585">
        <v>7966378</v>
      </c>
      <c r="G30" s="586">
        <v>43123</v>
      </c>
      <c r="H30" s="586" t="s">
        <v>3318</v>
      </c>
      <c r="I30" s="586">
        <v>43125</v>
      </c>
      <c r="J30" s="587">
        <v>400</v>
      </c>
      <c r="K30" s="590"/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43120</v>
      </c>
      <c r="F31" s="585" t="s">
        <v>6</v>
      </c>
      <c r="G31" s="586">
        <v>43120</v>
      </c>
      <c r="H31" s="586" t="s">
        <v>3320</v>
      </c>
      <c r="I31" s="586">
        <v>43123</v>
      </c>
      <c r="J31" s="587">
        <v>1470</v>
      </c>
      <c r="K31" s="590"/>
    </row>
    <row r="32" spans="1:11">
      <c r="A32" s="596">
        <v>31</v>
      </c>
      <c r="B32" s="646" t="s">
        <v>4388</v>
      </c>
      <c r="C32" s="586">
        <v>42683</v>
      </c>
      <c r="D32" s="585" t="s">
        <v>6</v>
      </c>
      <c r="E32" s="586">
        <v>43124</v>
      </c>
      <c r="F32" s="585" t="s">
        <v>6</v>
      </c>
      <c r="G32" s="586">
        <v>43124</v>
      </c>
      <c r="H32" s="586" t="s">
        <v>3318</v>
      </c>
      <c r="I32" s="586">
        <v>43126</v>
      </c>
      <c r="J32" s="587">
        <v>460</v>
      </c>
      <c r="K32" s="590"/>
    </row>
    <row r="33" spans="1:11">
      <c r="A33" s="596">
        <v>32</v>
      </c>
      <c r="B33" s="585" t="s">
        <v>6</v>
      </c>
      <c r="C33" s="586">
        <v>43124</v>
      </c>
      <c r="D33" s="585" t="s">
        <v>6</v>
      </c>
      <c r="E33" s="586">
        <v>43124</v>
      </c>
      <c r="F33" s="585" t="s">
        <v>6</v>
      </c>
      <c r="G33" s="586">
        <v>43124</v>
      </c>
      <c r="H33" s="586" t="s">
        <v>3318</v>
      </c>
      <c r="I33" s="586">
        <v>43126</v>
      </c>
      <c r="J33" s="587">
        <v>600</v>
      </c>
      <c r="K33" s="590"/>
    </row>
    <row r="34" spans="1:11">
      <c r="A34" s="596">
        <v>33</v>
      </c>
      <c r="B34" s="585" t="s">
        <v>3344</v>
      </c>
      <c r="C34" s="586">
        <v>42338</v>
      </c>
      <c r="D34" s="585" t="s">
        <v>6</v>
      </c>
      <c r="E34" s="586">
        <v>43125</v>
      </c>
      <c r="F34" s="585" t="s">
        <v>6</v>
      </c>
      <c r="G34" s="586">
        <v>43125</v>
      </c>
      <c r="H34" s="586" t="s">
        <v>3318</v>
      </c>
      <c r="I34" s="586">
        <v>43126</v>
      </c>
      <c r="J34" s="587">
        <v>270</v>
      </c>
      <c r="K34" s="590"/>
    </row>
    <row r="35" spans="1:11">
      <c r="A35" s="596">
        <v>34</v>
      </c>
      <c r="B35" s="585" t="s">
        <v>3330</v>
      </c>
      <c r="C35" s="586">
        <v>42373</v>
      </c>
      <c r="D35" s="585" t="s">
        <v>6</v>
      </c>
      <c r="E35" s="586">
        <v>43122</v>
      </c>
      <c r="F35" s="585" t="s">
        <v>6</v>
      </c>
      <c r="G35" s="586">
        <v>43122</v>
      </c>
      <c r="H35" s="586" t="s">
        <v>3320</v>
      </c>
      <c r="I35" s="586">
        <v>43124</v>
      </c>
      <c r="J35" s="587">
        <v>1470</v>
      </c>
      <c r="K35" s="590"/>
    </row>
    <row r="36" spans="1:11">
      <c r="A36" s="596">
        <v>35</v>
      </c>
      <c r="B36" s="585">
        <v>948</v>
      </c>
      <c r="C36" s="586">
        <v>41816</v>
      </c>
      <c r="D36" s="585" t="s">
        <v>6</v>
      </c>
      <c r="E36" s="586">
        <v>43125</v>
      </c>
      <c r="F36" s="585" t="s">
        <v>6</v>
      </c>
      <c r="G36" s="586">
        <v>43125</v>
      </c>
      <c r="H36" s="586" t="s">
        <v>3318</v>
      </c>
      <c r="I36" s="586">
        <v>43129</v>
      </c>
      <c r="J36" s="587">
        <v>300</v>
      </c>
      <c r="K36" s="590"/>
    </row>
    <row r="37" spans="1:11">
      <c r="A37" s="596">
        <v>36</v>
      </c>
      <c r="B37" s="585" t="s">
        <v>6</v>
      </c>
      <c r="C37" s="586">
        <v>42389</v>
      </c>
      <c r="D37" s="585" t="s">
        <v>6</v>
      </c>
      <c r="E37" s="586">
        <v>43126</v>
      </c>
      <c r="F37" s="585" t="s">
        <v>3551</v>
      </c>
      <c r="G37" s="586">
        <v>43126</v>
      </c>
      <c r="H37" s="586" t="s">
        <v>3318</v>
      </c>
      <c r="I37" s="586">
        <v>43129</v>
      </c>
      <c r="J37" s="587">
        <v>370</v>
      </c>
      <c r="K37" s="590" t="s">
        <v>3645</v>
      </c>
    </row>
    <row r="38" spans="1:11">
      <c r="A38" s="596">
        <v>37</v>
      </c>
      <c r="B38" s="647" t="s">
        <v>4389</v>
      </c>
      <c r="C38" s="586">
        <v>43125</v>
      </c>
      <c r="D38" s="585" t="s">
        <v>6</v>
      </c>
      <c r="E38" s="586">
        <v>43126</v>
      </c>
      <c r="F38" s="585" t="s">
        <v>6</v>
      </c>
      <c r="G38" s="586">
        <v>43126</v>
      </c>
      <c r="H38" s="586" t="s">
        <v>3318</v>
      </c>
      <c r="I38" s="586">
        <v>43127</v>
      </c>
      <c r="J38" s="587">
        <v>600</v>
      </c>
      <c r="K38" s="590"/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43123</v>
      </c>
      <c r="F39" s="585" t="s">
        <v>3547</v>
      </c>
      <c r="G39" s="586">
        <v>43123</v>
      </c>
      <c r="H39" s="586" t="s">
        <v>3320</v>
      </c>
      <c r="I39" s="586">
        <v>43125</v>
      </c>
      <c r="J39" s="587">
        <v>1470</v>
      </c>
      <c r="K39" s="590"/>
    </row>
    <row r="40" spans="1:11">
      <c r="A40" s="596">
        <v>39</v>
      </c>
      <c r="B40" s="585" t="s">
        <v>6</v>
      </c>
      <c r="C40" s="586">
        <v>42395</v>
      </c>
      <c r="D40" s="585" t="s">
        <v>6</v>
      </c>
      <c r="E40" s="586">
        <v>43125</v>
      </c>
      <c r="F40" s="585" t="s">
        <v>6</v>
      </c>
      <c r="G40" s="586">
        <v>43125</v>
      </c>
      <c r="H40" s="586" t="s">
        <v>3318</v>
      </c>
      <c r="I40" s="586">
        <v>43129</v>
      </c>
      <c r="J40" s="587">
        <v>420</v>
      </c>
      <c r="K40" s="590"/>
    </row>
    <row r="41" spans="1:11" ht="12.75" customHeight="1">
      <c r="A41" s="596">
        <v>40</v>
      </c>
      <c r="B41" s="585" t="s">
        <v>6</v>
      </c>
      <c r="C41" s="586">
        <v>42480</v>
      </c>
      <c r="D41" s="585" t="s">
        <v>6</v>
      </c>
      <c r="E41" s="586">
        <v>43126</v>
      </c>
      <c r="F41" s="586">
        <v>43126</v>
      </c>
      <c r="G41" s="586">
        <v>43126</v>
      </c>
      <c r="H41" s="586" t="s">
        <v>3318</v>
      </c>
      <c r="I41" s="586">
        <v>43129</v>
      </c>
      <c r="J41" s="587">
        <v>99</v>
      </c>
      <c r="K41" s="590"/>
    </row>
    <row r="42" spans="1:11">
      <c r="A42" s="596">
        <v>41</v>
      </c>
      <c r="B42" s="585" t="s">
        <v>3330</v>
      </c>
      <c r="C42" s="586">
        <v>42373</v>
      </c>
      <c r="D42" s="585" t="s">
        <v>6</v>
      </c>
      <c r="E42" s="586">
        <v>43129</v>
      </c>
      <c r="F42" s="585" t="s">
        <v>6</v>
      </c>
      <c r="G42" s="586">
        <v>43129</v>
      </c>
      <c r="H42" s="586" t="s">
        <v>3320</v>
      </c>
      <c r="I42" s="586">
        <v>43131</v>
      </c>
      <c r="J42" s="587">
        <v>1590</v>
      </c>
      <c r="K42" s="590"/>
    </row>
    <row r="43" spans="1:11">
      <c r="A43" s="596">
        <v>42</v>
      </c>
      <c r="B43" s="585" t="s">
        <v>3330</v>
      </c>
      <c r="C43" s="586">
        <v>42373</v>
      </c>
      <c r="D43" s="585" t="s">
        <v>6</v>
      </c>
      <c r="E43" s="586">
        <v>43130</v>
      </c>
      <c r="F43" s="585" t="s">
        <v>6</v>
      </c>
      <c r="G43" s="586">
        <v>43130</v>
      </c>
      <c r="H43" s="586" t="s">
        <v>3320</v>
      </c>
      <c r="I43" s="586">
        <v>43131</v>
      </c>
      <c r="J43" s="587">
        <v>1530</v>
      </c>
      <c r="K43" s="590"/>
    </row>
    <row r="44" spans="1:11">
      <c r="A44" s="596">
        <v>43</v>
      </c>
      <c r="B44" s="585"/>
      <c r="C44" s="586"/>
      <c r="D44" s="585" t="s">
        <v>6</v>
      </c>
      <c r="E44" s="586"/>
      <c r="F44" s="585" t="s">
        <v>6</v>
      </c>
      <c r="G44" s="586"/>
      <c r="H44" s="586"/>
      <c r="I44" s="586"/>
      <c r="J44" s="587"/>
      <c r="K44" s="590"/>
    </row>
    <row r="45" spans="1:11">
      <c r="A45" s="596">
        <v>44</v>
      </c>
      <c r="B45" s="607"/>
      <c r="C45" s="586"/>
      <c r="D45" s="585" t="s">
        <v>6</v>
      </c>
      <c r="E45" s="586"/>
      <c r="F45" s="585" t="s">
        <v>6</v>
      </c>
      <c r="G45" s="586"/>
      <c r="H45" s="586"/>
      <c r="I45" s="586"/>
      <c r="J45" s="587"/>
      <c r="K45" s="590"/>
    </row>
    <row r="46" spans="1:11">
      <c r="A46" s="596">
        <v>45</v>
      </c>
      <c r="B46" s="585"/>
      <c r="C46" s="586"/>
      <c r="D46" s="585" t="s">
        <v>6</v>
      </c>
      <c r="E46" s="586"/>
      <c r="F46" s="585" t="s">
        <v>6</v>
      </c>
      <c r="G46" s="586"/>
      <c r="H46" s="586"/>
      <c r="I46" s="586"/>
      <c r="J46" s="587"/>
      <c r="K46" s="590"/>
    </row>
    <row r="47" spans="1:11">
      <c r="A47" s="596">
        <v>46</v>
      </c>
      <c r="B47" s="585"/>
      <c r="C47" s="586"/>
      <c r="D47" s="585" t="s">
        <v>6</v>
      </c>
      <c r="E47" s="586"/>
      <c r="F47" s="585" t="s">
        <v>6</v>
      </c>
      <c r="G47" s="586"/>
      <c r="H47" s="586"/>
      <c r="I47" s="586"/>
      <c r="J47" s="587"/>
      <c r="K47" s="590"/>
    </row>
    <row r="48" spans="1:11">
      <c r="A48" s="596">
        <v>47</v>
      </c>
      <c r="B48" s="585"/>
      <c r="C48" s="586"/>
      <c r="D48" s="585" t="s">
        <v>6</v>
      </c>
      <c r="E48" s="586"/>
      <c r="F48" s="585" t="s">
        <v>6</v>
      </c>
      <c r="G48" s="586"/>
      <c r="H48" s="586"/>
      <c r="I48" s="586"/>
      <c r="J48" s="587"/>
      <c r="K48" s="590"/>
    </row>
    <row r="49" spans="1:11">
      <c r="A49" s="596">
        <v>48</v>
      </c>
      <c r="B49" s="585"/>
      <c r="C49" s="586"/>
      <c r="D49" s="585" t="s">
        <v>6</v>
      </c>
      <c r="E49" s="586"/>
      <c r="F49" s="585" t="s">
        <v>6</v>
      </c>
      <c r="G49" s="586"/>
      <c r="H49" s="586"/>
      <c r="I49" s="586"/>
      <c r="J49" s="587"/>
      <c r="K49" s="590"/>
    </row>
    <row r="50" spans="1:11">
      <c r="A50" s="596">
        <v>49</v>
      </c>
      <c r="B50" s="585"/>
      <c r="C50" s="586"/>
      <c r="D50" s="585" t="s">
        <v>6</v>
      </c>
      <c r="E50" s="586"/>
      <c r="F50" s="585" t="s">
        <v>6</v>
      </c>
      <c r="G50" s="586"/>
      <c r="H50" s="586"/>
      <c r="I50" s="586"/>
      <c r="J50" s="587"/>
      <c r="K50" s="590"/>
    </row>
    <row r="51" spans="1:11">
      <c r="A51" s="596">
        <v>50</v>
      </c>
      <c r="B51" s="585"/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90"/>
    </row>
    <row r="52" spans="1:11">
      <c r="A52" s="596">
        <v>51</v>
      </c>
      <c r="B52" s="585"/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/>
      <c r="G79" s="586"/>
      <c r="H79" s="586"/>
      <c r="I79" s="586"/>
      <c r="J79" s="587"/>
      <c r="K79" s="590"/>
    </row>
  </sheetData>
  <conditionalFormatting sqref="E54">
    <cfRule type="timePeriod" dxfId="97" priority="33" timePeriod="lastMonth">
      <formula>AND(MONTH(E54)=MONTH(EDATE(TODAY(),0-1)),YEAR(E54)=YEAR(EDATE(TODAY(),0-1)))</formula>
    </cfRule>
  </conditionalFormatting>
  <conditionalFormatting sqref="G54">
    <cfRule type="timePeriod" dxfId="96" priority="32" timePeriod="lastMonth">
      <formula>AND(MONTH(G54)=MONTH(EDATE(TODAY(),0-1)),YEAR(G54)=YEAR(EDATE(TODAY(),0-1)))</formula>
    </cfRule>
  </conditionalFormatting>
  <conditionalFormatting sqref="C13">
    <cfRule type="timePeriod" dxfId="95" priority="31" timePeriod="lastMonth">
      <formula>AND(MONTH(C13)=MONTH(EDATE(TODAY(),0-1)),YEAR(C13)=YEAR(EDATE(TODAY(),0-1)))</formula>
    </cfRule>
  </conditionalFormatting>
  <conditionalFormatting sqref="C5">
    <cfRule type="timePeriod" dxfId="94" priority="26" timePeriod="lastMonth">
      <formula>AND(MONTH(C5)=MONTH(EDATE(TODAY(),0-1)),YEAR(C5)=YEAR(EDATE(TODAY(),0-1)))</formula>
    </cfRule>
  </conditionalFormatting>
  <conditionalFormatting sqref="C10">
    <cfRule type="timePeriod" dxfId="93" priority="25" timePeriod="lastMonth">
      <formula>AND(MONTH(C10)=MONTH(EDATE(TODAY(),0-1)),YEAR(C10)=YEAR(EDATE(TODAY(),0-1)))</formula>
    </cfRule>
  </conditionalFormatting>
  <conditionalFormatting sqref="C24">
    <cfRule type="timePeriod" dxfId="92" priority="22" timePeriod="lastMonth">
      <formula>AND(MONTH(C24)=MONTH(EDATE(TODAY(),0-1)),YEAR(C24)=YEAR(EDATE(TODAY(),0-1)))</formula>
    </cfRule>
  </conditionalFormatting>
  <conditionalFormatting sqref="C28">
    <cfRule type="timePeriod" dxfId="91" priority="21" timePeriod="lastMonth">
      <formula>AND(MONTH(C28)=MONTH(EDATE(TODAY(),0-1)),YEAR(C28)=YEAR(EDATE(TODAY(),0-1)))</formula>
    </cfRule>
  </conditionalFormatting>
  <conditionalFormatting sqref="C46">
    <cfRule type="timePeriod" dxfId="90" priority="16" timePeriod="lastMonth">
      <formula>AND(MONTH(C46)=MONTH(EDATE(TODAY(),0-1)),YEAR(C46)=YEAR(EDATE(TODAY(),0-1)))</formula>
    </cfRule>
  </conditionalFormatting>
  <conditionalFormatting sqref="C49">
    <cfRule type="timePeriod" dxfId="89" priority="15" timePeriod="lastMonth">
      <formula>AND(MONTH(C49)=MONTH(EDATE(TODAY(),0-1)),YEAR(C49)=YEAR(EDATE(TODAY(),0-1)))</formula>
    </cfRule>
  </conditionalFormatting>
  <conditionalFormatting sqref="C2">
    <cfRule type="timePeriod" dxfId="88" priority="14" timePeriod="lastMonth">
      <formula>AND(MONTH(C2)=MONTH(EDATE(TODAY(),0-1)),YEAR(C2)=YEAR(EDATE(TODAY(),0-1)))</formula>
    </cfRule>
  </conditionalFormatting>
  <conditionalFormatting sqref="C6">
    <cfRule type="timePeriod" dxfId="87" priority="13" timePeriod="lastMonth">
      <formula>AND(MONTH(C6)=MONTH(EDATE(TODAY(),0-1)),YEAR(C6)=YEAR(EDATE(TODAY(),0-1)))</formula>
    </cfRule>
  </conditionalFormatting>
  <conditionalFormatting sqref="C9">
    <cfRule type="timePeriod" dxfId="86" priority="12" timePeriod="lastMonth">
      <formula>AND(MONTH(C9)=MONTH(EDATE(TODAY(),0-1)),YEAR(C9)=YEAR(EDATE(TODAY(),0-1)))</formula>
    </cfRule>
  </conditionalFormatting>
  <conditionalFormatting sqref="C12">
    <cfRule type="timePeriod" dxfId="85" priority="11" timePeriod="lastMonth">
      <formula>AND(MONTH(C12)=MONTH(EDATE(TODAY(),0-1)),YEAR(C12)=YEAR(EDATE(TODAY(),0-1)))</formula>
    </cfRule>
  </conditionalFormatting>
  <conditionalFormatting sqref="C15">
    <cfRule type="timePeriod" dxfId="84" priority="10" timePeriod="lastMonth">
      <formula>AND(MONTH(C15)=MONTH(EDATE(TODAY(),0-1)),YEAR(C15)=YEAR(EDATE(TODAY(),0-1)))</formula>
    </cfRule>
  </conditionalFormatting>
  <conditionalFormatting sqref="C20">
    <cfRule type="timePeriod" dxfId="83" priority="9" timePeriod="lastMonth">
      <formula>AND(MONTH(C20)=MONTH(EDATE(TODAY(),0-1)),YEAR(C20)=YEAR(EDATE(TODAY(),0-1)))</formula>
    </cfRule>
  </conditionalFormatting>
  <conditionalFormatting sqref="C23">
    <cfRule type="timePeriod" dxfId="82" priority="8" timePeriod="lastMonth">
      <formula>AND(MONTH(C23)=MONTH(EDATE(TODAY(),0-1)),YEAR(C23)=YEAR(EDATE(TODAY(),0-1)))</formula>
    </cfRule>
  </conditionalFormatting>
  <conditionalFormatting sqref="C27">
    <cfRule type="timePeriod" dxfId="81" priority="7" timePeriod="lastMonth">
      <formula>AND(MONTH(C27)=MONTH(EDATE(TODAY(),0-1)),YEAR(C27)=YEAR(EDATE(TODAY(),0-1)))</formula>
    </cfRule>
  </conditionalFormatting>
  <conditionalFormatting sqref="C29">
    <cfRule type="timePeriod" dxfId="80" priority="6" timePeriod="lastMonth">
      <formula>AND(MONTH(C29)=MONTH(EDATE(TODAY(),0-1)),YEAR(C29)=YEAR(EDATE(TODAY(),0-1)))</formula>
    </cfRule>
  </conditionalFormatting>
  <conditionalFormatting sqref="C31">
    <cfRule type="timePeriod" dxfId="79" priority="5" timePeriod="lastMonth">
      <formula>AND(MONTH(C31)=MONTH(EDATE(TODAY(),0-1)),YEAR(C31)=YEAR(EDATE(TODAY(),0-1)))</formula>
    </cfRule>
  </conditionalFormatting>
  <conditionalFormatting sqref="C35">
    <cfRule type="timePeriod" dxfId="78" priority="4" timePeriod="lastMonth">
      <formula>AND(MONTH(C35)=MONTH(EDATE(TODAY(),0-1)),YEAR(C35)=YEAR(EDATE(TODAY(),0-1)))</formula>
    </cfRule>
  </conditionalFormatting>
  <conditionalFormatting sqref="C39">
    <cfRule type="timePeriod" dxfId="77" priority="3" timePeriod="lastMonth">
      <formula>AND(MONTH(C39)=MONTH(EDATE(TODAY(),0-1)),YEAR(C39)=YEAR(EDATE(TODAY(),0-1)))</formula>
    </cfRule>
  </conditionalFormatting>
  <conditionalFormatting sqref="C42">
    <cfRule type="timePeriod" dxfId="76" priority="2" timePeriod="lastMonth">
      <formula>AND(MONTH(C42)=MONTH(EDATE(TODAY(),0-1)),YEAR(C42)=YEAR(EDATE(TODAY(),0-1)))</formula>
    </cfRule>
  </conditionalFormatting>
  <conditionalFormatting sqref="C43">
    <cfRule type="timePeriod" dxfId="75" priority="1" timePeriod="lastMonth">
      <formula>AND(MONTH(C43)=MONTH(EDATE(TODAY(),0-1)),YEAR(C43)=YEAR(EDATE(TODAY(),0-1)))</formula>
    </cfRule>
  </conditionalFormatting>
  <pageMargins left="0.7" right="0.7" top="0.75" bottom="0.75" header="0.3" footer="0.3"/>
  <pageSetup paperSize="9" fitToHeight="0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5"/>
  <sheetViews>
    <sheetView topLeftCell="A64" zoomScaleNormal="100" workbookViewId="0">
      <selection activeCell="D67" sqref="D67:D68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78" t="s">
        <v>4381</v>
      </c>
      <c r="B2" s="678"/>
      <c r="C2" s="678"/>
      <c r="D2" s="678"/>
      <c r="E2" s="678"/>
      <c r="F2" s="678"/>
      <c r="G2" s="678"/>
      <c r="H2" s="620"/>
      <c r="I2" s="641"/>
    </row>
    <row r="3" spans="1:9">
      <c r="A3" s="679">
        <v>1</v>
      </c>
      <c r="B3" s="658" t="s">
        <v>4329</v>
      </c>
      <c r="C3" s="658" t="s">
        <v>4328</v>
      </c>
      <c r="D3" s="659" t="s">
        <v>239</v>
      </c>
      <c r="E3" s="657">
        <v>1470</v>
      </c>
      <c r="F3" s="657">
        <f t="shared" ref="F3" si="0">E3</f>
        <v>1470</v>
      </c>
      <c r="G3" s="681"/>
      <c r="H3" s="620"/>
      <c r="I3" s="640">
        <f>SUM(F3:F100)</f>
        <v>30528</v>
      </c>
    </row>
    <row r="4" spans="1:9">
      <c r="A4" s="680"/>
      <c r="B4" s="658"/>
      <c r="C4" s="658"/>
      <c r="D4" s="660"/>
      <c r="E4" s="657"/>
      <c r="F4" s="657"/>
      <c r="G4" s="681"/>
      <c r="H4" s="620"/>
    </row>
    <row r="5" spans="1:9">
      <c r="A5" s="679">
        <v>2</v>
      </c>
      <c r="B5" s="658" t="s">
        <v>39</v>
      </c>
      <c r="C5" s="658" t="s">
        <v>4325</v>
      </c>
      <c r="D5" s="658" t="s">
        <v>4344</v>
      </c>
      <c r="E5" s="657">
        <v>40</v>
      </c>
      <c r="F5" s="657">
        <f t="shared" ref="F5" si="1">E5</f>
        <v>40</v>
      </c>
      <c r="G5" s="681"/>
      <c r="H5" s="13"/>
      <c r="I5" s="5"/>
    </row>
    <row r="6" spans="1:9">
      <c r="A6" s="680"/>
      <c r="B6" s="658"/>
      <c r="C6" s="658"/>
      <c r="D6" s="658"/>
      <c r="E6" s="657"/>
      <c r="F6" s="657"/>
      <c r="G6" s="681"/>
      <c r="H6" s="13"/>
    </row>
    <row r="7" spans="1:9">
      <c r="A7" s="679">
        <v>3</v>
      </c>
      <c r="B7" s="658" t="s">
        <v>43</v>
      </c>
      <c r="C7" s="658" t="s">
        <v>4326</v>
      </c>
      <c r="D7" s="658" t="s">
        <v>3309</v>
      </c>
      <c r="E7" s="657">
        <v>500</v>
      </c>
      <c r="F7" s="657">
        <f t="shared" ref="F7" si="2">E7</f>
        <v>500</v>
      </c>
      <c r="G7" s="681"/>
      <c r="H7" s="13"/>
    </row>
    <row r="8" spans="1:9">
      <c r="A8" s="680"/>
      <c r="B8" s="658"/>
      <c r="C8" s="658"/>
      <c r="D8" s="658"/>
      <c r="E8" s="657"/>
      <c r="F8" s="657"/>
      <c r="G8" s="681"/>
      <c r="H8" s="13"/>
    </row>
    <row r="9" spans="1:9">
      <c r="A9" s="679">
        <v>4</v>
      </c>
      <c r="B9" s="658" t="s">
        <v>44</v>
      </c>
      <c r="C9" s="658" t="s">
        <v>4326</v>
      </c>
      <c r="D9" s="658" t="s">
        <v>4343</v>
      </c>
      <c r="E9" s="657">
        <v>450</v>
      </c>
      <c r="F9" s="657">
        <f t="shared" ref="F9" si="3">E9</f>
        <v>450</v>
      </c>
      <c r="G9" s="681"/>
      <c r="H9" s="13"/>
    </row>
    <row r="10" spans="1:9">
      <c r="A10" s="680"/>
      <c r="B10" s="658"/>
      <c r="C10" s="658"/>
      <c r="D10" s="658"/>
      <c r="E10" s="657"/>
      <c r="F10" s="657"/>
      <c r="G10" s="681"/>
      <c r="H10" s="13"/>
    </row>
    <row r="11" spans="1:9">
      <c r="A11" s="679">
        <v>5</v>
      </c>
      <c r="B11" s="658" t="s">
        <v>4330</v>
      </c>
      <c r="C11" s="658" t="s">
        <v>4328</v>
      </c>
      <c r="D11" s="659" t="s">
        <v>239</v>
      </c>
      <c r="E11" s="657">
        <v>1470</v>
      </c>
      <c r="F11" s="657">
        <v>1470</v>
      </c>
      <c r="G11" s="681"/>
      <c r="H11" s="13"/>
    </row>
    <row r="12" spans="1:9">
      <c r="A12" s="680"/>
      <c r="B12" s="658"/>
      <c r="C12" s="658"/>
      <c r="D12" s="660"/>
      <c r="E12" s="657"/>
      <c r="F12" s="657"/>
      <c r="G12" s="681"/>
      <c r="H12" s="13"/>
    </row>
    <row r="13" spans="1:9">
      <c r="A13" s="679">
        <v>6</v>
      </c>
      <c r="B13" s="658" t="s">
        <v>45</v>
      </c>
      <c r="C13" s="658" t="s">
        <v>4333</v>
      </c>
      <c r="D13" s="658" t="s">
        <v>2780</v>
      </c>
      <c r="E13" s="657">
        <v>380</v>
      </c>
      <c r="F13" s="657">
        <f t="shared" ref="F13" si="4">E13</f>
        <v>380</v>
      </c>
      <c r="G13" s="681"/>
      <c r="H13" s="13"/>
    </row>
    <row r="14" spans="1:9">
      <c r="A14" s="680"/>
      <c r="B14" s="658"/>
      <c r="C14" s="658"/>
      <c r="D14" s="658"/>
      <c r="E14" s="657"/>
      <c r="F14" s="657"/>
      <c r="G14" s="681"/>
      <c r="H14" s="13"/>
    </row>
    <row r="15" spans="1:9">
      <c r="A15" s="679">
        <v>7</v>
      </c>
      <c r="B15" s="658" t="s">
        <v>46</v>
      </c>
      <c r="C15" s="658" t="s">
        <v>4333</v>
      </c>
      <c r="D15" s="658" t="s">
        <v>3860</v>
      </c>
      <c r="E15" s="657">
        <v>700</v>
      </c>
      <c r="F15" s="657">
        <f t="shared" ref="F15" si="5">E15</f>
        <v>700</v>
      </c>
      <c r="G15" s="681"/>
      <c r="H15" s="13"/>
    </row>
    <row r="16" spans="1:9">
      <c r="A16" s="680"/>
      <c r="B16" s="658"/>
      <c r="C16" s="658"/>
      <c r="D16" s="658"/>
      <c r="E16" s="657"/>
      <c r="F16" s="657"/>
      <c r="G16" s="681"/>
      <c r="H16" s="13"/>
    </row>
    <row r="17" spans="1:15">
      <c r="A17" s="679">
        <v>8</v>
      </c>
      <c r="B17" s="658" t="s">
        <v>4332</v>
      </c>
      <c r="C17" s="658" t="s">
        <v>4331</v>
      </c>
      <c r="D17" s="659" t="s">
        <v>239</v>
      </c>
      <c r="E17" s="657">
        <v>41723</v>
      </c>
      <c r="F17" s="657">
        <v>1470</v>
      </c>
      <c r="G17" s="681"/>
      <c r="H17" s="13"/>
    </row>
    <row r="18" spans="1:15">
      <c r="A18" s="680"/>
      <c r="B18" s="658"/>
      <c r="C18" s="658"/>
      <c r="D18" s="660"/>
      <c r="E18" s="657"/>
      <c r="F18" s="657"/>
      <c r="G18" s="681"/>
      <c r="H18" s="13"/>
    </row>
    <row r="19" spans="1:15">
      <c r="A19" s="679">
        <v>9</v>
      </c>
      <c r="B19" s="658" t="s">
        <v>50</v>
      </c>
      <c r="C19" s="658" t="s">
        <v>4326</v>
      </c>
      <c r="D19" s="658" t="s">
        <v>4327</v>
      </c>
      <c r="E19" s="657">
        <v>300</v>
      </c>
      <c r="F19" s="657">
        <f t="shared" ref="F19" si="6">E19</f>
        <v>300</v>
      </c>
      <c r="G19" s="681"/>
      <c r="H19" s="13"/>
    </row>
    <row r="20" spans="1:15">
      <c r="A20" s="680"/>
      <c r="B20" s="658"/>
      <c r="C20" s="658"/>
      <c r="D20" s="658"/>
      <c r="E20" s="657"/>
      <c r="F20" s="657"/>
      <c r="G20" s="681"/>
      <c r="H20" s="13"/>
    </row>
    <row r="21" spans="1:15">
      <c r="A21" s="679">
        <v>10</v>
      </c>
      <c r="B21" s="658" t="s">
        <v>51</v>
      </c>
      <c r="C21" s="658" t="s">
        <v>4326</v>
      </c>
      <c r="D21" s="658" t="s">
        <v>3025</v>
      </c>
      <c r="E21" s="657">
        <v>100</v>
      </c>
      <c r="F21" s="657">
        <f t="shared" ref="F21" si="7">E21</f>
        <v>100</v>
      </c>
      <c r="G21" s="681"/>
      <c r="H21" s="13"/>
    </row>
    <row r="22" spans="1:15">
      <c r="A22" s="680"/>
      <c r="B22" s="658"/>
      <c r="C22" s="658"/>
      <c r="D22" s="658"/>
      <c r="E22" s="657"/>
      <c r="F22" s="657"/>
      <c r="G22" s="681"/>
      <c r="H22" s="13"/>
    </row>
    <row r="23" spans="1:15">
      <c r="A23" s="679">
        <v>11</v>
      </c>
      <c r="B23" s="658" t="s">
        <v>4346</v>
      </c>
      <c r="C23" s="658" t="s">
        <v>4326</v>
      </c>
      <c r="D23" s="659" t="s">
        <v>239</v>
      </c>
      <c r="E23" s="657">
        <v>41547</v>
      </c>
      <c r="F23" s="657">
        <v>1470</v>
      </c>
      <c r="G23" s="681"/>
      <c r="H23" s="13"/>
    </row>
    <row r="24" spans="1:15">
      <c r="A24" s="680"/>
      <c r="B24" s="658"/>
      <c r="C24" s="658"/>
      <c r="D24" s="660"/>
      <c r="E24" s="657"/>
      <c r="F24" s="657"/>
      <c r="G24" s="681"/>
      <c r="H24" s="13"/>
    </row>
    <row r="25" spans="1:15">
      <c r="A25" s="679">
        <v>12</v>
      </c>
      <c r="B25" s="658" t="s">
        <v>53</v>
      </c>
      <c r="C25" s="658" t="s">
        <v>4345</v>
      </c>
      <c r="D25" s="658" t="s">
        <v>1140</v>
      </c>
      <c r="E25" s="657">
        <v>650</v>
      </c>
      <c r="F25" s="657">
        <f t="shared" ref="F25" si="8">E25</f>
        <v>650</v>
      </c>
      <c r="G25" s="681"/>
      <c r="H25" s="13"/>
    </row>
    <row r="26" spans="1:15">
      <c r="A26" s="680"/>
      <c r="B26" s="658"/>
      <c r="C26" s="658"/>
      <c r="D26" s="658"/>
      <c r="E26" s="657"/>
      <c r="F26" s="657"/>
      <c r="G26" s="681"/>
      <c r="H26" s="13"/>
    </row>
    <row r="27" spans="1:15">
      <c r="A27" s="679">
        <v>13</v>
      </c>
      <c r="B27" s="658" t="s">
        <v>54</v>
      </c>
      <c r="C27" s="658" t="s">
        <v>4345</v>
      </c>
      <c r="D27" s="658" t="s">
        <v>3309</v>
      </c>
      <c r="E27" s="657">
        <v>480</v>
      </c>
      <c r="F27" s="657">
        <f t="shared" ref="F27" si="9">E27</f>
        <v>480</v>
      </c>
      <c r="G27" s="681"/>
      <c r="H27" s="13"/>
    </row>
    <row r="28" spans="1:15">
      <c r="A28" s="680"/>
      <c r="B28" s="658"/>
      <c r="C28" s="658"/>
      <c r="D28" s="658"/>
      <c r="E28" s="657"/>
      <c r="F28" s="657"/>
      <c r="G28" s="681"/>
      <c r="H28" s="13"/>
    </row>
    <row r="29" spans="1:15">
      <c r="A29" s="679">
        <v>14</v>
      </c>
      <c r="B29" s="658" t="s">
        <v>4355</v>
      </c>
      <c r="C29" s="658" t="s">
        <v>4354</v>
      </c>
      <c r="D29" s="658" t="s">
        <v>239</v>
      </c>
      <c r="E29" s="657">
        <v>43217</v>
      </c>
      <c r="F29" s="657">
        <v>1530</v>
      </c>
      <c r="G29" s="681"/>
      <c r="H29" s="13"/>
    </row>
    <row r="30" spans="1:15">
      <c r="A30" s="680"/>
      <c r="B30" s="658"/>
      <c r="C30" s="658"/>
      <c r="D30" s="658"/>
      <c r="E30" s="657"/>
      <c r="F30" s="657"/>
      <c r="G30" s="681"/>
      <c r="H30" s="13"/>
    </row>
    <row r="31" spans="1:15">
      <c r="A31" s="679">
        <v>15</v>
      </c>
      <c r="B31" s="658" t="s">
        <v>56</v>
      </c>
      <c r="C31" s="658" t="s">
        <v>4347</v>
      </c>
      <c r="D31" s="658" t="s">
        <v>2723</v>
      </c>
      <c r="E31" s="657">
        <v>580</v>
      </c>
      <c r="F31" s="657">
        <f t="shared" ref="F31" si="10">E31</f>
        <v>580</v>
      </c>
      <c r="G31" s="681"/>
      <c r="H31" s="13"/>
    </row>
    <row r="32" spans="1:15">
      <c r="A32" s="680"/>
      <c r="B32" s="658"/>
      <c r="C32" s="658"/>
      <c r="D32" s="658"/>
      <c r="E32" s="657"/>
      <c r="F32" s="657"/>
      <c r="G32" s="681"/>
      <c r="H32" s="13"/>
      <c r="M32" s="628"/>
      <c r="O32" s="628"/>
    </row>
    <row r="33" spans="1:18" ht="15.75">
      <c r="A33" s="679">
        <v>16</v>
      </c>
      <c r="B33" s="658" t="s">
        <v>66</v>
      </c>
      <c r="C33" s="658" t="s">
        <v>4347</v>
      </c>
      <c r="D33" s="658" t="s">
        <v>2723</v>
      </c>
      <c r="E33" s="657">
        <v>50</v>
      </c>
      <c r="F33" s="657">
        <f t="shared" ref="F33" si="11">E33</f>
        <v>50</v>
      </c>
      <c r="G33" s="681"/>
      <c r="H33" s="13"/>
      <c r="M33" s="629"/>
      <c r="O33" s="628"/>
    </row>
    <row r="34" spans="1:18">
      <c r="A34" s="680"/>
      <c r="B34" s="658"/>
      <c r="C34" s="658"/>
      <c r="D34" s="658"/>
      <c r="E34" s="657"/>
      <c r="F34" s="657"/>
      <c r="G34" s="681"/>
      <c r="H34" s="13"/>
      <c r="N34" s="630"/>
    </row>
    <row r="35" spans="1:18" ht="15.75">
      <c r="A35" s="679">
        <v>17</v>
      </c>
      <c r="B35" s="658" t="s">
        <v>67</v>
      </c>
      <c r="C35" s="658" t="s">
        <v>4347</v>
      </c>
      <c r="D35" s="658" t="s">
        <v>3017</v>
      </c>
      <c r="E35" s="657">
        <v>300</v>
      </c>
      <c r="F35" s="657">
        <f t="shared" ref="F35" si="12">E35</f>
        <v>300</v>
      </c>
      <c r="G35" s="681"/>
      <c r="H35" s="13"/>
      <c r="N35" s="606"/>
      <c r="R35" s="637" t="s">
        <v>4104</v>
      </c>
    </row>
    <row r="36" spans="1:18">
      <c r="A36" s="680"/>
      <c r="B36" s="658"/>
      <c r="C36" s="658"/>
      <c r="D36" s="658"/>
      <c r="E36" s="657"/>
      <c r="F36" s="657"/>
      <c r="G36" s="681"/>
      <c r="H36" s="13"/>
    </row>
    <row r="37" spans="1:18">
      <c r="A37" s="679">
        <v>18</v>
      </c>
      <c r="B37" s="658" t="s">
        <v>70</v>
      </c>
      <c r="C37" s="658" t="s">
        <v>4347</v>
      </c>
      <c r="D37" s="658" t="s">
        <v>2517</v>
      </c>
      <c r="E37" s="657">
        <v>500</v>
      </c>
      <c r="F37" s="657">
        <f t="shared" ref="F37" si="13">E37</f>
        <v>500</v>
      </c>
      <c r="G37" s="681"/>
      <c r="H37" s="13"/>
    </row>
    <row r="38" spans="1:18">
      <c r="A38" s="680"/>
      <c r="B38" s="658"/>
      <c r="C38" s="658"/>
      <c r="D38" s="658"/>
      <c r="E38" s="657"/>
      <c r="F38" s="657"/>
      <c r="G38" s="681"/>
      <c r="H38" s="13"/>
    </row>
    <row r="39" spans="1:18">
      <c r="A39" s="679">
        <v>19</v>
      </c>
      <c r="B39" s="658" t="s">
        <v>4352</v>
      </c>
      <c r="C39" s="658" t="s">
        <v>4345</v>
      </c>
      <c r="D39" s="658" t="s">
        <v>239</v>
      </c>
      <c r="E39" s="657">
        <v>1470</v>
      </c>
      <c r="F39" s="657">
        <f t="shared" ref="F39" si="14">E39</f>
        <v>1470</v>
      </c>
      <c r="G39" s="681"/>
      <c r="H39" s="13"/>
    </row>
    <row r="40" spans="1:18">
      <c r="A40" s="680"/>
      <c r="B40" s="658"/>
      <c r="C40" s="658"/>
      <c r="D40" s="658"/>
      <c r="E40" s="657"/>
      <c r="F40" s="657"/>
      <c r="G40" s="681"/>
      <c r="H40" s="13"/>
    </row>
    <row r="41" spans="1:18">
      <c r="A41" s="679">
        <v>20</v>
      </c>
      <c r="B41" s="658" t="s">
        <v>71</v>
      </c>
      <c r="C41" s="658" t="s">
        <v>4349</v>
      </c>
      <c r="D41" s="658" t="s">
        <v>4348</v>
      </c>
      <c r="E41" s="657">
        <v>400</v>
      </c>
      <c r="F41" s="657">
        <f t="shared" ref="F41" si="15">E41</f>
        <v>400</v>
      </c>
      <c r="G41" s="681"/>
      <c r="H41" s="13"/>
    </row>
    <row r="42" spans="1:18">
      <c r="A42" s="680"/>
      <c r="B42" s="658"/>
      <c r="C42" s="658"/>
      <c r="D42" s="658"/>
      <c r="E42" s="657"/>
      <c r="F42" s="657"/>
      <c r="G42" s="681"/>
      <c r="H42" s="13"/>
    </row>
    <row r="43" spans="1:18">
      <c r="A43" s="679">
        <v>21</v>
      </c>
      <c r="B43" s="658" t="s">
        <v>75</v>
      </c>
      <c r="C43" s="658" t="s">
        <v>4349</v>
      </c>
      <c r="D43" s="658" t="s">
        <v>3025</v>
      </c>
      <c r="E43" s="657">
        <v>99</v>
      </c>
      <c r="F43" s="657">
        <f t="shared" ref="F43" si="16">E43</f>
        <v>99</v>
      </c>
      <c r="G43" s="681"/>
      <c r="H43" s="13"/>
      <c r="I43" s="628"/>
    </row>
    <row r="44" spans="1:18" ht="15.75">
      <c r="A44" s="680"/>
      <c r="B44" s="658"/>
      <c r="C44" s="658"/>
      <c r="D44" s="658"/>
      <c r="E44" s="657"/>
      <c r="F44" s="657"/>
      <c r="G44" s="681"/>
      <c r="H44" s="13"/>
      <c r="I44" s="606"/>
    </row>
    <row r="45" spans="1:18">
      <c r="A45" s="679">
        <v>22</v>
      </c>
      <c r="B45" s="658" t="s">
        <v>4353</v>
      </c>
      <c r="C45" s="658" t="s">
        <v>4345</v>
      </c>
      <c r="D45" s="658" t="s">
        <v>239</v>
      </c>
      <c r="E45" s="657">
        <v>1470</v>
      </c>
      <c r="F45" s="657">
        <f t="shared" ref="F45" si="17">E45</f>
        <v>1470</v>
      </c>
      <c r="G45" s="681"/>
      <c r="H45" s="13"/>
    </row>
    <row r="46" spans="1:18">
      <c r="A46" s="680"/>
      <c r="B46" s="658"/>
      <c r="C46" s="658"/>
      <c r="D46" s="658"/>
      <c r="E46" s="657"/>
      <c r="F46" s="657"/>
      <c r="G46" s="681"/>
      <c r="H46" s="13"/>
    </row>
    <row r="47" spans="1:18">
      <c r="A47" s="679">
        <v>23</v>
      </c>
      <c r="B47" s="658" t="s">
        <v>76</v>
      </c>
      <c r="C47" s="658" t="s">
        <v>4349</v>
      </c>
      <c r="D47" s="658" t="s">
        <v>2376</v>
      </c>
      <c r="E47" s="657">
        <v>50</v>
      </c>
      <c r="F47" s="657">
        <f t="shared" ref="F47" si="18">E47</f>
        <v>50</v>
      </c>
      <c r="G47" s="681"/>
      <c r="H47" s="13"/>
    </row>
    <row r="48" spans="1:18">
      <c r="A48" s="680"/>
      <c r="B48" s="658"/>
      <c r="C48" s="658"/>
      <c r="D48" s="658"/>
      <c r="E48" s="657"/>
      <c r="F48" s="657"/>
      <c r="G48" s="681"/>
      <c r="H48" s="13"/>
    </row>
    <row r="49" spans="1:14">
      <c r="A49" s="679">
        <v>24</v>
      </c>
      <c r="B49" s="658" t="s">
        <v>77</v>
      </c>
      <c r="C49" s="658" t="s">
        <v>4351</v>
      </c>
      <c r="D49" s="658" t="s">
        <v>4350</v>
      </c>
      <c r="E49" s="657">
        <v>70</v>
      </c>
      <c r="F49" s="657">
        <f t="shared" ref="F49" si="19">E49</f>
        <v>70</v>
      </c>
      <c r="G49" s="681"/>
      <c r="H49" s="13"/>
    </row>
    <row r="50" spans="1:14">
      <c r="A50" s="680"/>
      <c r="B50" s="658"/>
      <c r="C50" s="658"/>
      <c r="D50" s="658"/>
      <c r="E50" s="657"/>
      <c r="F50" s="657"/>
      <c r="G50" s="681"/>
      <c r="H50" s="13"/>
    </row>
    <row r="51" spans="1:14" ht="15.75">
      <c r="A51" s="679">
        <v>25</v>
      </c>
      <c r="B51" s="658" t="s">
        <v>78</v>
      </c>
      <c r="C51" s="658" t="s">
        <v>4349</v>
      </c>
      <c r="D51" s="658" t="s">
        <v>1601</v>
      </c>
      <c r="E51" s="657">
        <v>950</v>
      </c>
      <c r="F51" s="657">
        <f t="shared" ref="F51" si="20">E51</f>
        <v>950</v>
      </c>
      <c r="G51" s="681"/>
      <c r="H51" s="13"/>
      <c r="I51" s="631"/>
    </row>
    <row r="52" spans="1:14" ht="15.75">
      <c r="A52" s="680"/>
      <c r="B52" s="658"/>
      <c r="C52" s="658"/>
      <c r="D52" s="658"/>
      <c r="E52" s="657"/>
      <c r="F52" s="657"/>
      <c r="G52" s="681"/>
      <c r="H52" s="13"/>
      <c r="I52" s="606"/>
    </row>
    <row r="53" spans="1:14">
      <c r="A53" s="679">
        <v>26</v>
      </c>
      <c r="B53" s="658" t="s">
        <v>4367</v>
      </c>
      <c r="C53" s="658" t="s">
        <v>4349</v>
      </c>
      <c r="D53" s="658" t="s">
        <v>239</v>
      </c>
      <c r="E53" s="657">
        <v>42212</v>
      </c>
      <c r="F53" s="657">
        <v>1470</v>
      </c>
      <c r="G53" s="681"/>
      <c r="H53" s="13"/>
    </row>
    <row r="54" spans="1:14">
      <c r="A54" s="680"/>
      <c r="B54" s="658"/>
      <c r="C54" s="658"/>
      <c r="D54" s="658"/>
      <c r="E54" s="657"/>
      <c r="F54" s="657"/>
      <c r="G54" s="681"/>
      <c r="H54" s="13"/>
    </row>
    <row r="55" spans="1:14" ht="15.75">
      <c r="A55" s="679">
        <v>27</v>
      </c>
      <c r="B55" s="658" t="s">
        <v>79</v>
      </c>
      <c r="C55" s="658" t="s">
        <v>4360</v>
      </c>
      <c r="D55" s="658" t="s">
        <v>4356</v>
      </c>
      <c r="E55" s="657">
        <v>370</v>
      </c>
      <c r="F55" s="657">
        <f t="shared" ref="F55" si="21">E55</f>
        <v>370</v>
      </c>
      <c r="G55" s="681"/>
      <c r="H55" s="13"/>
      <c r="I55" s="632"/>
    </row>
    <row r="56" spans="1:14" ht="15.75">
      <c r="A56" s="680"/>
      <c r="B56" s="658"/>
      <c r="C56" s="658"/>
      <c r="D56" s="658"/>
      <c r="E56" s="657"/>
      <c r="F56" s="657"/>
      <c r="G56" s="681"/>
      <c r="H56" s="13"/>
      <c r="I56" s="632"/>
      <c r="N56" s="606"/>
    </row>
    <row r="57" spans="1:14" ht="15.75">
      <c r="A57" s="679">
        <v>28</v>
      </c>
      <c r="B57" s="658" t="s">
        <v>80</v>
      </c>
      <c r="C57" s="658" t="s">
        <v>4360</v>
      </c>
      <c r="D57" s="658" t="s">
        <v>4356</v>
      </c>
      <c r="E57" s="657">
        <v>390</v>
      </c>
      <c r="F57" s="657">
        <f t="shared" ref="F57" si="22">E57</f>
        <v>390</v>
      </c>
      <c r="G57" s="681"/>
      <c r="H57" s="13"/>
      <c r="I57" s="632"/>
    </row>
    <row r="58" spans="1:14" ht="15.75">
      <c r="A58" s="680"/>
      <c r="B58" s="658"/>
      <c r="C58" s="658"/>
      <c r="D58" s="658"/>
      <c r="E58" s="657"/>
      <c r="F58" s="657"/>
      <c r="G58" s="681"/>
      <c r="H58" s="13"/>
      <c r="I58" s="632"/>
      <c r="L58" s="629"/>
    </row>
    <row r="59" spans="1:14">
      <c r="A59" s="679">
        <v>29</v>
      </c>
      <c r="B59" s="658" t="s">
        <v>81</v>
      </c>
      <c r="C59" s="658" t="s">
        <v>4360</v>
      </c>
      <c r="D59" s="658" t="s">
        <v>4357</v>
      </c>
      <c r="E59" s="657">
        <v>400</v>
      </c>
      <c r="F59" s="657">
        <f t="shared" ref="F59" si="23">E59</f>
        <v>400</v>
      </c>
      <c r="G59" s="681"/>
      <c r="H59" s="13"/>
    </row>
    <row r="60" spans="1:14">
      <c r="A60" s="680"/>
      <c r="B60" s="658"/>
      <c r="C60" s="658"/>
      <c r="D60" s="658"/>
      <c r="E60" s="657"/>
      <c r="F60" s="657"/>
      <c r="G60" s="681"/>
      <c r="H60" s="13"/>
    </row>
    <row r="61" spans="1:14">
      <c r="A61" s="679">
        <v>30</v>
      </c>
      <c r="B61" s="658" t="s">
        <v>4371</v>
      </c>
      <c r="C61" s="658" t="s">
        <v>4351</v>
      </c>
      <c r="D61" s="658" t="s">
        <v>239</v>
      </c>
      <c r="E61" s="657">
        <v>42087</v>
      </c>
      <c r="F61" s="657">
        <v>1470</v>
      </c>
      <c r="G61" s="681"/>
      <c r="H61" s="13"/>
    </row>
    <row r="62" spans="1:14">
      <c r="A62" s="680"/>
      <c r="B62" s="658"/>
      <c r="C62" s="658"/>
      <c r="D62" s="658"/>
      <c r="E62" s="657"/>
      <c r="F62" s="657"/>
      <c r="G62" s="681"/>
      <c r="H62" s="13"/>
    </row>
    <row r="63" spans="1:14">
      <c r="A63" s="679">
        <v>31</v>
      </c>
      <c r="B63" s="658" t="s">
        <v>82</v>
      </c>
      <c r="C63" s="658" t="s">
        <v>4361</v>
      </c>
      <c r="D63" s="658" t="s">
        <v>4358</v>
      </c>
      <c r="E63" s="657">
        <v>460</v>
      </c>
      <c r="F63" s="657">
        <f t="shared" ref="F63" si="24">E63</f>
        <v>460</v>
      </c>
      <c r="G63" s="681"/>
      <c r="H63" s="13"/>
    </row>
    <row r="64" spans="1:14">
      <c r="A64" s="680"/>
      <c r="B64" s="658"/>
      <c r="C64" s="658"/>
      <c r="D64" s="658"/>
      <c r="E64" s="657"/>
      <c r="F64" s="657"/>
      <c r="G64" s="681"/>
      <c r="H64" s="13"/>
    </row>
    <row r="65" spans="1:11" ht="15.75">
      <c r="A65" s="679">
        <v>32</v>
      </c>
      <c r="B65" s="658" t="s">
        <v>84</v>
      </c>
      <c r="C65" s="658" t="s">
        <v>4361</v>
      </c>
      <c r="D65" s="658" t="s">
        <v>4359</v>
      </c>
      <c r="E65" s="657">
        <v>600</v>
      </c>
      <c r="F65" s="657">
        <f t="shared" ref="F65" si="25">E65</f>
        <v>600</v>
      </c>
      <c r="G65" s="681"/>
      <c r="H65" s="13"/>
      <c r="I65" s="629"/>
      <c r="K65" s="606"/>
    </row>
    <row r="66" spans="1:11">
      <c r="A66" s="680"/>
      <c r="B66" s="658"/>
      <c r="C66" s="658"/>
      <c r="D66" s="658"/>
      <c r="E66" s="657"/>
      <c r="F66" s="657"/>
      <c r="G66" s="681"/>
      <c r="H66" s="13"/>
    </row>
    <row r="67" spans="1:11">
      <c r="A67" s="679">
        <v>33</v>
      </c>
      <c r="B67" s="658" t="s">
        <v>85</v>
      </c>
      <c r="C67" s="658" t="s">
        <v>4361</v>
      </c>
      <c r="D67" s="658" t="s">
        <v>2723</v>
      </c>
      <c r="E67" s="657">
        <v>270</v>
      </c>
      <c r="F67" s="657">
        <f t="shared" ref="F67" si="26">E67</f>
        <v>270</v>
      </c>
      <c r="G67" s="681"/>
      <c r="H67" s="13"/>
    </row>
    <row r="68" spans="1:11">
      <c r="A68" s="680"/>
      <c r="B68" s="658"/>
      <c r="C68" s="658"/>
      <c r="D68" s="658"/>
      <c r="E68" s="657"/>
      <c r="F68" s="657"/>
      <c r="G68" s="681"/>
      <c r="H68" s="13"/>
    </row>
    <row r="69" spans="1:11">
      <c r="A69" s="679">
        <v>34</v>
      </c>
      <c r="B69" s="658" t="s">
        <v>4369</v>
      </c>
      <c r="C69" s="658" t="s">
        <v>4368</v>
      </c>
      <c r="D69" s="658" t="s">
        <v>239</v>
      </c>
      <c r="E69" s="657">
        <v>1470</v>
      </c>
      <c r="F69" s="657">
        <v>1470</v>
      </c>
      <c r="G69" s="681"/>
      <c r="H69" s="13"/>
    </row>
    <row r="70" spans="1:11">
      <c r="A70" s="680"/>
      <c r="B70" s="658"/>
      <c r="C70" s="658"/>
      <c r="D70" s="658"/>
      <c r="E70" s="657"/>
      <c r="F70" s="657"/>
      <c r="G70" s="681"/>
      <c r="H70" s="13"/>
    </row>
    <row r="71" spans="1:11">
      <c r="A71" s="679">
        <v>35</v>
      </c>
      <c r="B71" s="658" t="s">
        <v>86</v>
      </c>
      <c r="C71" s="658" t="s">
        <v>4362</v>
      </c>
      <c r="D71" s="658" t="s">
        <v>4365</v>
      </c>
      <c r="E71" s="657">
        <v>300</v>
      </c>
      <c r="F71" s="657">
        <f t="shared" ref="F71" si="27">E71</f>
        <v>300</v>
      </c>
      <c r="G71" s="681"/>
      <c r="H71" s="13"/>
    </row>
    <row r="72" spans="1:11">
      <c r="A72" s="680"/>
      <c r="B72" s="658"/>
      <c r="C72" s="658"/>
      <c r="D72" s="658"/>
      <c r="E72" s="657"/>
      <c r="F72" s="657"/>
      <c r="G72" s="681"/>
      <c r="H72" s="13"/>
    </row>
    <row r="73" spans="1:11">
      <c r="A73" s="679">
        <v>36</v>
      </c>
      <c r="B73" s="658" t="s">
        <v>87</v>
      </c>
      <c r="C73" s="658" t="s">
        <v>4362</v>
      </c>
      <c r="D73" s="658" t="s">
        <v>1601</v>
      </c>
      <c r="E73" s="657">
        <v>370</v>
      </c>
      <c r="F73" s="657">
        <f t="shared" ref="F73" si="28">E73</f>
        <v>370</v>
      </c>
      <c r="G73" s="681"/>
      <c r="H73" s="13"/>
    </row>
    <row r="74" spans="1:11">
      <c r="A74" s="680"/>
      <c r="B74" s="658"/>
      <c r="C74" s="658"/>
      <c r="D74" s="658"/>
      <c r="E74" s="657"/>
      <c r="F74" s="657"/>
      <c r="G74" s="681"/>
      <c r="H74" s="13"/>
    </row>
    <row r="75" spans="1:11" ht="15.75">
      <c r="A75" s="679">
        <v>37</v>
      </c>
      <c r="B75" s="658" t="s">
        <v>95</v>
      </c>
      <c r="C75" s="658" t="s">
        <v>4363</v>
      </c>
      <c r="D75" s="658" t="s">
        <v>4364</v>
      </c>
      <c r="E75" s="657">
        <v>600</v>
      </c>
      <c r="F75" s="657">
        <f t="shared" ref="F75" si="29">E75</f>
        <v>600</v>
      </c>
      <c r="G75" s="681"/>
      <c r="H75" s="13"/>
      <c r="I75" s="633"/>
    </row>
    <row r="76" spans="1:11" ht="15.75">
      <c r="A76" s="680"/>
      <c r="B76" s="658"/>
      <c r="C76" s="658"/>
      <c r="D76" s="658"/>
      <c r="E76" s="657"/>
      <c r="F76" s="657"/>
      <c r="G76" s="681"/>
      <c r="H76" s="13"/>
      <c r="I76" s="633"/>
      <c r="K76" s="606"/>
    </row>
    <row r="77" spans="1:11">
      <c r="A77" s="679">
        <v>38</v>
      </c>
      <c r="B77" s="658" t="s">
        <v>4370</v>
      </c>
      <c r="C77" s="658" t="s">
        <v>4360</v>
      </c>
      <c r="D77" s="658" t="s">
        <v>239</v>
      </c>
      <c r="E77" s="657">
        <v>1470</v>
      </c>
      <c r="F77" s="657">
        <v>1470</v>
      </c>
      <c r="G77" s="681"/>
      <c r="H77" s="13"/>
    </row>
    <row r="78" spans="1:11">
      <c r="A78" s="680"/>
      <c r="B78" s="658"/>
      <c r="C78" s="658"/>
      <c r="D78" s="658"/>
      <c r="E78" s="657"/>
      <c r="F78" s="657"/>
      <c r="G78" s="681"/>
      <c r="H78" s="13"/>
    </row>
    <row r="79" spans="1:11" ht="15.75">
      <c r="A79" s="679">
        <v>39</v>
      </c>
      <c r="B79" s="658" t="s">
        <v>102</v>
      </c>
      <c r="C79" s="658" t="s">
        <v>4362</v>
      </c>
      <c r="D79" s="658" t="s">
        <v>2582</v>
      </c>
      <c r="E79" s="657">
        <v>420</v>
      </c>
      <c r="F79" s="657">
        <f t="shared" ref="F79" si="30">E79</f>
        <v>420</v>
      </c>
      <c r="G79" s="681"/>
      <c r="H79" s="13"/>
      <c r="I79" s="632"/>
    </row>
    <row r="80" spans="1:11" ht="15.75">
      <c r="A80" s="680"/>
      <c r="B80" s="658"/>
      <c r="C80" s="658"/>
      <c r="D80" s="658"/>
      <c r="E80" s="657"/>
      <c r="F80" s="657"/>
      <c r="G80" s="681"/>
      <c r="H80" s="13"/>
      <c r="I80" s="606"/>
    </row>
    <row r="81" spans="1:10">
      <c r="A81" s="679">
        <v>40</v>
      </c>
      <c r="B81" s="658" t="s">
        <v>118</v>
      </c>
      <c r="C81" s="658" t="s">
        <v>4362</v>
      </c>
      <c r="D81" s="658" t="s">
        <v>3025</v>
      </c>
      <c r="E81" s="657">
        <v>99</v>
      </c>
      <c r="F81" s="657">
        <f t="shared" ref="F81" si="31">E81</f>
        <v>99</v>
      </c>
      <c r="G81" s="681"/>
      <c r="H81" s="638"/>
      <c r="I81" s="635"/>
    </row>
    <row r="82" spans="1:10" ht="15.75">
      <c r="A82" s="680"/>
      <c r="B82" s="658"/>
      <c r="C82" s="658"/>
      <c r="D82" s="658"/>
      <c r="E82" s="657"/>
      <c r="F82" s="657"/>
      <c r="G82" s="681"/>
      <c r="H82" s="13"/>
      <c r="I82" s="606"/>
    </row>
    <row r="83" spans="1:10">
      <c r="A83" s="679">
        <v>41</v>
      </c>
      <c r="B83" s="658" t="s">
        <v>103</v>
      </c>
      <c r="C83" s="658" t="s">
        <v>4361</v>
      </c>
      <c r="D83" s="658" t="s">
        <v>1516</v>
      </c>
      <c r="E83" s="657">
        <v>350</v>
      </c>
      <c r="F83" s="657">
        <v>300</v>
      </c>
      <c r="G83" s="681"/>
      <c r="H83" s="13"/>
      <c r="I83" s="634"/>
    </row>
    <row r="84" spans="1:10">
      <c r="A84" s="680"/>
      <c r="B84" s="658"/>
      <c r="C84" s="658"/>
      <c r="D84" s="658"/>
      <c r="E84" s="657"/>
      <c r="F84" s="657"/>
      <c r="G84" s="681"/>
      <c r="H84" s="13"/>
      <c r="I84" s="634"/>
    </row>
    <row r="85" spans="1:10">
      <c r="A85" s="679">
        <v>42</v>
      </c>
      <c r="B85" s="658" t="s">
        <v>4374</v>
      </c>
      <c r="C85" s="658" t="s">
        <v>4373</v>
      </c>
      <c r="D85" s="658" t="s">
        <v>239</v>
      </c>
      <c r="E85" s="657">
        <v>45105</v>
      </c>
      <c r="F85" s="657">
        <v>1590</v>
      </c>
      <c r="G85" s="681"/>
      <c r="H85" s="13"/>
      <c r="I85" s="634"/>
      <c r="J85" s="6"/>
    </row>
    <row r="86" spans="1:10">
      <c r="A86" s="680"/>
      <c r="B86" s="658"/>
      <c r="C86" s="658"/>
      <c r="D86" s="658"/>
      <c r="E86" s="657"/>
      <c r="F86" s="657"/>
      <c r="G86" s="681"/>
      <c r="H86" s="13"/>
    </row>
    <row r="87" spans="1:10">
      <c r="A87" s="679">
        <v>43</v>
      </c>
      <c r="B87" s="658" t="s">
        <v>4377</v>
      </c>
      <c r="C87" s="658" t="s">
        <v>4373</v>
      </c>
      <c r="D87" s="658" t="s">
        <v>239</v>
      </c>
      <c r="E87" s="657">
        <v>43403</v>
      </c>
      <c r="F87" s="657">
        <v>1530</v>
      </c>
      <c r="G87" s="681"/>
      <c r="H87" s="13"/>
    </row>
    <row r="88" spans="1:10">
      <c r="A88" s="680"/>
      <c r="B88" s="658"/>
      <c r="C88" s="658"/>
      <c r="D88" s="658"/>
      <c r="E88" s="657"/>
      <c r="F88" s="657"/>
      <c r="G88" s="681"/>
      <c r="H88" s="13"/>
    </row>
    <row r="89" spans="1:10">
      <c r="A89" s="679">
        <v>44</v>
      </c>
      <c r="B89" s="658"/>
      <c r="C89" s="658"/>
      <c r="D89" s="658"/>
      <c r="E89" s="657"/>
      <c r="F89" s="657"/>
      <c r="G89" s="681"/>
      <c r="H89" s="13"/>
    </row>
    <row r="90" spans="1:10">
      <c r="A90" s="680"/>
      <c r="B90" s="658"/>
      <c r="C90" s="658"/>
      <c r="D90" s="658"/>
      <c r="E90" s="657"/>
      <c r="F90" s="657"/>
      <c r="G90" s="681"/>
      <c r="H90" s="13"/>
    </row>
    <row r="91" spans="1:10">
      <c r="A91" s="679">
        <v>45</v>
      </c>
      <c r="B91" s="658"/>
      <c r="C91" s="658"/>
      <c r="D91" s="658"/>
      <c r="E91" s="657"/>
      <c r="F91" s="657"/>
      <c r="G91" s="681"/>
      <c r="H91" s="13"/>
    </row>
    <row r="92" spans="1:10">
      <c r="A92" s="680"/>
      <c r="B92" s="658"/>
      <c r="C92" s="658"/>
      <c r="D92" s="658"/>
      <c r="E92" s="657"/>
      <c r="F92" s="657"/>
      <c r="G92" s="681"/>
      <c r="H92" s="13"/>
    </row>
    <row r="93" spans="1:10">
      <c r="A93" s="679">
        <v>46</v>
      </c>
      <c r="B93" s="658"/>
      <c r="C93" s="658"/>
      <c r="D93" s="658"/>
      <c r="E93" s="657"/>
      <c r="F93" s="657"/>
      <c r="G93" s="681"/>
      <c r="H93" s="13"/>
    </row>
    <row r="94" spans="1:10">
      <c r="A94" s="680"/>
      <c r="B94" s="658"/>
      <c r="C94" s="658"/>
      <c r="D94" s="658"/>
      <c r="E94" s="657"/>
      <c r="F94" s="657"/>
      <c r="G94" s="681"/>
      <c r="H94" s="13"/>
    </row>
    <row r="95" spans="1:10">
      <c r="A95" s="679">
        <v>47</v>
      </c>
      <c r="B95" s="658"/>
      <c r="C95" s="658"/>
      <c r="D95" s="658"/>
      <c r="E95" s="657"/>
      <c r="F95" s="657"/>
      <c r="G95" s="681"/>
      <c r="H95" s="13"/>
    </row>
    <row r="96" spans="1:10">
      <c r="A96" s="680"/>
      <c r="B96" s="658"/>
      <c r="C96" s="658"/>
      <c r="D96" s="658"/>
      <c r="E96" s="657"/>
      <c r="F96" s="657"/>
      <c r="G96" s="681"/>
      <c r="H96" s="13"/>
    </row>
    <row r="97" spans="1:9">
      <c r="A97" s="679">
        <v>48</v>
      </c>
      <c r="B97" s="658"/>
      <c r="C97" s="658"/>
      <c r="D97" s="658"/>
      <c r="E97" s="657"/>
      <c r="F97" s="657"/>
      <c r="G97" s="681"/>
      <c r="H97" s="13"/>
    </row>
    <row r="98" spans="1:9" ht="15">
      <c r="A98" s="680"/>
      <c r="B98" s="658"/>
      <c r="C98" s="658"/>
      <c r="D98" s="658"/>
      <c r="E98" s="657"/>
      <c r="F98" s="657"/>
      <c r="G98" s="681"/>
      <c r="H98" s="13"/>
      <c r="I98" s="636"/>
    </row>
    <row r="99" spans="1:9" ht="15.75">
      <c r="A99" s="679">
        <v>49</v>
      </c>
      <c r="B99" s="658"/>
      <c r="C99" s="658"/>
      <c r="D99" s="658"/>
      <c r="E99" s="657"/>
      <c r="F99" s="657"/>
      <c r="G99" s="681"/>
      <c r="H99" s="13"/>
      <c r="I99" s="606"/>
    </row>
    <row r="100" spans="1:9">
      <c r="A100" s="680"/>
      <c r="B100" s="658"/>
      <c r="C100" s="658"/>
      <c r="D100" s="658"/>
      <c r="E100" s="657"/>
      <c r="F100" s="657"/>
      <c r="G100" s="681"/>
      <c r="H100" s="13"/>
    </row>
    <row r="101" spans="1:9">
      <c r="A101" s="679">
        <v>50</v>
      </c>
      <c r="B101" s="658"/>
      <c r="C101" s="658"/>
      <c r="D101" s="658"/>
      <c r="E101" s="682"/>
      <c r="F101" s="682"/>
      <c r="G101" s="681"/>
    </row>
    <row r="102" spans="1:9">
      <c r="A102" s="680"/>
      <c r="B102" s="658"/>
      <c r="C102" s="658"/>
      <c r="D102" s="658"/>
      <c r="E102" s="682"/>
      <c r="F102" s="682"/>
      <c r="G102" s="681"/>
    </row>
    <row r="103" spans="1:9">
      <c r="A103" s="679">
        <v>51</v>
      </c>
      <c r="B103" s="658"/>
      <c r="C103" s="658"/>
      <c r="D103" s="658"/>
      <c r="E103" s="682"/>
      <c r="F103" s="682"/>
      <c r="G103" s="681"/>
    </row>
    <row r="104" spans="1:9">
      <c r="A104" s="680"/>
      <c r="B104" s="658"/>
      <c r="C104" s="658"/>
      <c r="D104" s="658"/>
      <c r="E104" s="682"/>
      <c r="F104" s="682"/>
      <c r="G104" s="681"/>
    </row>
    <row r="105" spans="1:9">
      <c r="A105" s="679"/>
      <c r="B105" s="658"/>
      <c r="C105" s="658"/>
      <c r="D105" s="658"/>
      <c r="E105" s="657"/>
      <c r="F105" s="657"/>
      <c r="G105" s="681"/>
    </row>
    <row r="106" spans="1:9">
      <c r="A106" s="680"/>
      <c r="B106" s="658"/>
      <c r="C106" s="658"/>
      <c r="D106" s="658"/>
      <c r="E106" s="657"/>
      <c r="F106" s="657"/>
      <c r="G106" s="681"/>
    </row>
    <row r="107" spans="1:9">
      <c r="A107" s="679"/>
      <c r="B107" s="658"/>
      <c r="C107" s="658"/>
      <c r="D107" s="658"/>
      <c r="E107" s="657"/>
      <c r="F107" s="657"/>
      <c r="G107" s="681"/>
    </row>
    <row r="108" spans="1:9">
      <c r="A108" s="680"/>
      <c r="B108" s="658"/>
      <c r="C108" s="658"/>
      <c r="D108" s="658"/>
      <c r="E108" s="657"/>
      <c r="F108" s="657"/>
      <c r="G108" s="681"/>
    </row>
    <row r="109" spans="1:9">
      <c r="A109" s="679"/>
      <c r="B109" s="658"/>
      <c r="C109" s="658"/>
      <c r="D109" s="658"/>
      <c r="E109" s="657"/>
      <c r="F109" s="657"/>
      <c r="G109" s="681"/>
    </row>
    <row r="110" spans="1:9">
      <c r="A110" s="680"/>
      <c r="B110" s="658"/>
      <c r="C110" s="658"/>
      <c r="D110" s="658"/>
      <c r="E110" s="657"/>
      <c r="F110" s="657"/>
      <c r="G110" s="681"/>
    </row>
    <row r="111" spans="1:9">
      <c r="A111" s="679"/>
      <c r="B111" s="658"/>
      <c r="C111" s="658"/>
      <c r="D111" s="658"/>
      <c r="E111" s="657"/>
      <c r="F111" s="657"/>
      <c r="G111" s="683"/>
    </row>
    <row r="112" spans="1:9">
      <c r="A112" s="680"/>
      <c r="B112" s="658"/>
      <c r="C112" s="658"/>
      <c r="D112" s="658"/>
      <c r="E112" s="657"/>
      <c r="F112" s="657"/>
      <c r="G112" s="684"/>
    </row>
    <row r="113" spans="1:7">
      <c r="A113" s="679"/>
      <c r="B113" s="658"/>
      <c r="C113" s="658"/>
      <c r="D113" s="658"/>
      <c r="E113" s="657"/>
      <c r="F113" s="657"/>
      <c r="G113" s="685"/>
    </row>
    <row r="114" spans="1:7">
      <c r="A114" s="680"/>
      <c r="B114" s="658"/>
      <c r="C114" s="658"/>
      <c r="D114" s="658"/>
      <c r="E114" s="657"/>
      <c r="F114" s="657"/>
      <c r="G114" s="686"/>
    </row>
    <row r="115" spans="1:7">
      <c r="A115" s="679"/>
      <c r="B115" s="658"/>
      <c r="C115" s="658"/>
      <c r="D115" s="658"/>
      <c r="E115" s="657"/>
      <c r="F115" s="657"/>
      <c r="G115" s="685"/>
    </row>
    <row r="116" spans="1:7">
      <c r="A116" s="680"/>
      <c r="B116" s="658"/>
      <c r="C116" s="658"/>
      <c r="D116" s="658"/>
      <c r="E116" s="657"/>
      <c r="F116" s="657"/>
      <c r="G116" s="686"/>
    </row>
    <row r="117" spans="1:7">
      <c r="A117" s="679"/>
      <c r="B117" s="658"/>
      <c r="C117" s="658"/>
      <c r="D117" s="658"/>
      <c r="E117" s="657"/>
      <c r="F117" s="657"/>
      <c r="G117" s="685"/>
    </row>
    <row r="118" spans="1:7">
      <c r="A118" s="680"/>
      <c r="B118" s="658"/>
      <c r="C118" s="658"/>
      <c r="D118" s="658"/>
      <c r="E118" s="657"/>
      <c r="F118" s="657"/>
      <c r="G118" s="686"/>
    </row>
    <row r="119" spans="1:7">
      <c r="A119" s="679"/>
      <c r="B119" s="658"/>
      <c r="C119" s="658"/>
      <c r="D119" s="658"/>
      <c r="E119" s="657"/>
      <c r="F119" s="657"/>
      <c r="G119" s="685"/>
    </row>
    <row r="120" spans="1:7">
      <c r="A120" s="680"/>
      <c r="B120" s="658"/>
      <c r="C120" s="658"/>
      <c r="D120" s="658"/>
      <c r="E120" s="657"/>
      <c r="F120" s="657"/>
      <c r="G120" s="686"/>
    </row>
    <row r="121" spans="1:7">
      <c r="A121" s="679"/>
      <c r="B121" s="658"/>
      <c r="C121" s="658"/>
      <c r="D121" s="658"/>
      <c r="E121" s="657"/>
      <c r="F121" s="657"/>
      <c r="G121" s="685"/>
    </row>
    <row r="122" spans="1:7">
      <c r="A122" s="680"/>
      <c r="B122" s="658"/>
      <c r="C122" s="658"/>
      <c r="D122" s="658"/>
      <c r="E122" s="657"/>
      <c r="F122" s="657"/>
      <c r="G122" s="686"/>
    </row>
    <row r="123" spans="1:7">
      <c r="A123" s="679"/>
      <c r="B123" s="658"/>
      <c r="C123" s="658"/>
      <c r="D123" s="658"/>
      <c r="E123" s="657"/>
      <c r="F123" s="657"/>
      <c r="G123" s="685"/>
    </row>
    <row r="124" spans="1:7">
      <c r="A124" s="680"/>
      <c r="B124" s="658"/>
      <c r="C124" s="658"/>
      <c r="D124" s="658"/>
      <c r="E124" s="657"/>
      <c r="F124" s="657"/>
      <c r="G124" s="686"/>
    </row>
    <row r="125" spans="1:7">
      <c r="A125" s="687"/>
      <c r="B125" s="658"/>
      <c r="C125" s="658"/>
      <c r="D125" s="658"/>
      <c r="E125" s="657"/>
      <c r="F125" s="657"/>
      <c r="G125" s="685"/>
    </row>
    <row r="126" spans="1:7">
      <c r="A126" s="688"/>
      <c r="B126" s="658"/>
      <c r="C126" s="658"/>
      <c r="D126" s="658"/>
      <c r="E126" s="657"/>
      <c r="F126" s="657"/>
      <c r="G126" s="686"/>
    </row>
    <row r="127" spans="1:7">
      <c r="A127" s="687"/>
      <c r="B127" s="689"/>
      <c r="C127" s="689"/>
      <c r="D127" s="689"/>
      <c r="E127" s="689"/>
      <c r="F127" s="689"/>
      <c r="G127" s="685"/>
    </row>
    <row r="128" spans="1:7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  <row r="1155" spans="13:13">
      <c r="M1155" t="e">
        <f>SUM('2017'!C1161:E1162+янв18!B99I1155:I1158,I1161:I1254)</f>
        <v>#VALUE!</v>
      </c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4"/>
  <sheetViews>
    <sheetView view="pageBreakPreview" topLeftCell="A1120" zoomScale="85" zoomScaleNormal="85" zoomScaleSheetLayoutView="85" workbookViewId="0">
      <selection activeCell="K1167" sqref="K1167:K1168"/>
    </sheetView>
  </sheetViews>
  <sheetFormatPr defaultRowHeight="12.75"/>
  <cols>
    <col min="1" max="1" width="7" customWidth="1"/>
    <col min="2" max="2" width="12.140625" customWidth="1"/>
    <col min="3" max="3" width="14" customWidth="1"/>
    <col min="5" max="5" width="27.42578125" customWidth="1"/>
    <col min="12" max="12" width="10.28515625" customWidth="1"/>
    <col min="13" max="13" width="12.5703125" customWidth="1"/>
  </cols>
  <sheetData>
    <row r="1" spans="1:13">
      <c r="A1" s="753" t="s">
        <v>2807</v>
      </c>
      <c r="B1" s="754"/>
      <c r="C1" s="754"/>
      <c r="D1" s="754"/>
      <c r="E1" s="754"/>
      <c r="F1" s="754"/>
      <c r="G1" s="754"/>
      <c r="H1" s="754"/>
      <c r="I1" s="754"/>
      <c r="J1" s="754"/>
      <c r="K1" s="754"/>
      <c r="L1" s="755"/>
    </row>
    <row r="2" spans="1:13">
      <c r="A2" s="756"/>
      <c r="B2" s="757"/>
      <c r="C2" s="757"/>
      <c r="D2" s="757"/>
      <c r="E2" s="757"/>
      <c r="F2" s="757"/>
      <c r="G2" s="757"/>
      <c r="H2" s="757"/>
      <c r="I2" s="757"/>
      <c r="J2" s="757"/>
      <c r="K2" s="757"/>
      <c r="L2" s="758"/>
    </row>
    <row r="3" spans="1:13">
      <c r="A3" s="689" t="s">
        <v>39</v>
      </c>
      <c r="B3" s="689" t="s">
        <v>3281</v>
      </c>
      <c r="C3" s="689" t="s">
        <v>3585</v>
      </c>
      <c r="D3" s="689" t="s">
        <v>3538</v>
      </c>
      <c r="E3" s="689" t="s">
        <v>239</v>
      </c>
      <c r="F3" s="748"/>
      <c r="G3" s="749"/>
      <c r="H3" s="747">
        <v>44311</v>
      </c>
      <c r="I3" s="727">
        <v>1450</v>
      </c>
      <c r="J3" s="747"/>
      <c r="K3" s="747">
        <v>1450</v>
      </c>
      <c r="L3" s="747">
        <f t="shared" ref="L3" si="0">K3-I3</f>
        <v>0</v>
      </c>
      <c r="M3" s="123">
        <f>I3+I5+I7+I9+I11+I13+I17+I15+I19+I21+I23+I25+I27+I29+I31+I33+I35+I37+I39+I41+I43+I45+I47+I49+I51+I53+I55+I57+I59+I61+I63+I65+I73</f>
        <v>22332</v>
      </c>
    </row>
    <row r="4" spans="1:13">
      <c r="A4" s="689"/>
      <c r="B4" s="689"/>
      <c r="C4" s="689"/>
      <c r="D4" s="689"/>
      <c r="E4" s="689"/>
      <c r="F4" s="750"/>
      <c r="G4" s="751"/>
      <c r="H4" s="747"/>
      <c r="I4" s="727"/>
      <c r="J4" s="747"/>
      <c r="K4" s="747"/>
      <c r="L4" s="747"/>
    </row>
    <row r="5" spans="1:13">
      <c r="A5" s="689"/>
      <c r="B5" s="689"/>
      <c r="C5" s="689" t="s">
        <v>50</v>
      </c>
      <c r="D5" s="689" t="s">
        <v>3536</v>
      </c>
      <c r="E5" s="689" t="s">
        <v>2723</v>
      </c>
      <c r="F5" s="748"/>
      <c r="G5" s="749"/>
      <c r="H5" s="747">
        <v>300</v>
      </c>
      <c r="I5" s="727">
        <f t="shared" ref="I5" si="1">H5</f>
        <v>300</v>
      </c>
      <c r="J5" s="747"/>
      <c r="K5" s="747">
        <v>300</v>
      </c>
      <c r="L5" s="747">
        <f t="shared" ref="L5" si="2">K5-I5</f>
        <v>0</v>
      </c>
      <c r="M5" t="s">
        <v>2627</v>
      </c>
    </row>
    <row r="6" spans="1:13">
      <c r="A6" s="689"/>
      <c r="B6" s="689"/>
      <c r="C6" s="689"/>
      <c r="D6" s="689"/>
      <c r="E6" s="689"/>
      <c r="F6" s="750"/>
      <c r="G6" s="751"/>
      <c r="H6" s="747"/>
      <c r="I6" s="727"/>
      <c r="J6" s="747"/>
      <c r="K6" s="747"/>
      <c r="L6" s="747"/>
      <c r="M6" t="s">
        <v>3680</v>
      </c>
    </row>
    <row r="7" spans="1:13">
      <c r="A7" s="689"/>
      <c r="B7" s="689"/>
      <c r="C7" s="689" t="s">
        <v>43</v>
      </c>
      <c r="D7" s="689" t="s">
        <v>3537</v>
      </c>
      <c r="E7" s="689" t="s">
        <v>2723</v>
      </c>
      <c r="F7" s="748"/>
      <c r="G7" s="749"/>
      <c r="H7" s="747">
        <v>100</v>
      </c>
      <c r="I7" s="727">
        <f t="shared" ref="I7" si="3">H7</f>
        <v>100</v>
      </c>
      <c r="J7" s="747"/>
      <c r="K7" s="747">
        <v>100</v>
      </c>
      <c r="L7" s="747">
        <f t="shared" ref="L7" si="4">K7-I7</f>
        <v>0</v>
      </c>
    </row>
    <row r="8" spans="1:13">
      <c r="A8" s="689"/>
      <c r="B8" s="689"/>
      <c r="C8" s="689"/>
      <c r="D8" s="689"/>
      <c r="E8" s="689"/>
      <c r="F8" s="750"/>
      <c r="G8" s="751"/>
      <c r="H8" s="747"/>
      <c r="I8" s="727"/>
      <c r="J8" s="747"/>
      <c r="K8" s="747"/>
      <c r="L8" s="747"/>
    </row>
    <row r="9" spans="1:13">
      <c r="A9" s="689"/>
      <c r="B9" s="689"/>
      <c r="C9" s="689" t="s">
        <v>44</v>
      </c>
      <c r="D9" s="689" t="s">
        <v>3537</v>
      </c>
      <c r="E9" s="689" t="s">
        <v>3535</v>
      </c>
      <c r="F9" s="748"/>
      <c r="G9" s="749"/>
      <c r="H9" s="747">
        <v>400</v>
      </c>
      <c r="I9" s="727">
        <v>400</v>
      </c>
      <c r="J9" s="747"/>
      <c r="K9" s="747">
        <v>400</v>
      </c>
      <c r="L9" s="747">
        <f t="shared" ref="L9" si="5">K9-I9</f>
        <v>0</v>
      </c>
    </row>
    <row r="10" spans="1:13">
      <c r="A10" s="689"/>
      <c r="B10" s="689"/>
      <c r="C10" s="689"/>
      <c r="D10" s="689"/>
      <c r="E10" s="689"/>
      <c r="F10" s="750"/>
      <c r="G10" s="751"/>
      <c r="H10" s="747"/>
      <c r="I10" s="727"/>
      <c r="J10" s="747"/>
      <c r="K10" s="747"/>
      <c r="L10" s="747"/>
    </row>
    <row r="11" spans="1:13">
      <c r="A11" s="689"/>
      <c r="B11" s="689"/>
      <c r="C11" s="689" t="s">
        <v>45</v>
      </c>
      <c r="D11" s="689" t="s">
        <v>3537</v>
      </c>
      <c r="E11" s="689" t="s">
        <v>2723</v>
      </c>
      <c r="F11" s="748"/>
      <c r="G11" s="749"/>
      <c r="H11" s="747">
        <v>300</v>
      </c>
      <c r="I11" s="727">
        <f t="shared" ref="I11" si="6">H11</f>
        <v>300</v>
      </c>
      <c r="J11" s="747"/>
      <c r="K11" s="747">
        <v>300</v>
      </c>
      <c r="L11" s="747">
        <f t="shared" ref="L11" si="7">K11-I11</f>
        <v>0</v>
      </c>
    </row>
    <row r="12" spans="1:13">
      <c r="A12" s="689"/>
      <c r="B12" s="689"/>
      <c r="C12" s="689"/>
      <c r="D12" s="689"/>
      <c r="E12" s="689"/>
      <c r="F12" s="750"/>
      <c r="G12" s="751"/>
      <c r="H12" s="747"/>
      <c r="I12" s="727"/>
      <c r="J12" s="747"/>
      <c r="K12" s="747"/>
      <c r="L12" s="747"/>
    </row>
    <row r="13" spans="1:13">
      <c r="A13" s="689" t="s">
        <v>43</v>
      </c>
      <c r="B13" s="689" t="s">
        <v>3298</v>
      </c>
      <c r="C13" s="689" t="s">
        <v>3586</v>
      </c>
      <c r="D13" s="689" t="s">
        <v>3538</v>
      </c>
      <c r="E13" s="689" t="s">
        <v>239</v>
      </c>
      <c r="F13" s="748"/>
      <c r="G13" s="749"/>
      <c r="H13" s="747">
        <v>1450</v>
      </c>
      <c r="I13" s="727">
        <v>1450</v>
      </c>
      <c r="J13" s="747"/>
      <c r="K13" s="747">
        <v>1450</v>
      </c>
      <c r="L13" s="747">
        <f t="shared" ref="L13" si="8">K13-I13</f>
        <v>0</v>
      </c>
    </row>
    <row r="14" spans="1:13">
      <c r="A14" s="689"/>
      <c r="B14" s="689"/>
      <c r="C14" s="689"/>
      <c r="D14" s="689"/>
      <c r="E14" s="689"/>
      <c r="F14" s="750"/>
      <c r="G14" s="751"/>
      <c r="H14" s="747"/>
      <c r="I14" s="727"/>
      <c r="J14" s="747"/>
      <c r="K14" s="747"/>
      <c r="L14" s="747"/>
    </row>
    <row r="15" spans="1:13">
      <c r="A15" s="689"/>
      <c r="B15" s="689"/>
      <c r="C15" s="689" t="s">
        <v>46</v>
      </c>
      <c r="D15" s="689" t="s">
        <v>3536</v>
      </c>
      <c r="E15" s="689" t="s">
        <v>3025</v>
      </c>
      <c r="F15" s="748"/>
      <c r="G15" s="749"/>
      <c r="H15" s="747">
        <v>98</v>
      </c>
      <c r="I15" s="727">
        <f t="shared" ref="I15" si="9">H15</f>
        <v>98</v>
      </c>
      <c r="J15" s="747"/>
      <c r="K15" s="747">
        <v>98</v>
      </c>
      <c r="L15" s="747">
        <f t="shared" ref="L15" si="10">K15-I15</f>
        <v>0</v>
      </c>
    </row>
    <row r="16" spans="1:13">
      <c r="A16" s="689"/>
      <c r="B16" s="689"/>
      <c r="C16" s="689"/>
      <c r="D16" s="689"/>
      <c r="E16" s="689"/>
      <c r="F16" s="750"/>
      <c r="G16" s="751"/>
      <c r="H16" s="747"/>
      <c r="I16" s="727"/>
      <c r="J16" s="747"/>
      <c r="K16" s="747"/>
      <c r="L16" s="747"/>
    </row>
    <row r="17" spans="1:12">
      <c r="A17" s="689" t="s">
        <v>44</v>
      </c>
      <c r="B17" s="689" t="s">
        <v>3008</v>
      </c>
      <c r="C17" s="689" t="s">
        <v>3587</v>
      </c>
      <c r="D17" s="689" t="s">
        <v>3537</v>
      </c>
      <c r="E17" s="689" t="s">
        <v>239</v>
      </c>
      <c r="F17" s="748"/>
      <c r="G17" s="749"/>
      <c r="H17" s="752">
        <v>44070</v>
      </c>
      <c r="I17" s="727">
        <v>1450</v>
      </c>
      <c r="J17" s="747"/>
      <c r="K17" s="747">
        <v>1450</v>
      </c>
      <c r="L17" s="747">
        <f t="shared" ref="L17" si="11">K17-I17</f>
        <v>0</v>
      </c>
    </row>
    <row r="18" spans="1:12">
      <c r="A18" s="689"/>
      <c r="B18" s="689"/>
      <c r="C18" s="689"/>
      <c r="D18" s="689"/>
      <c r="E18" s="689"/>
      <c r="F18" s="750"/>
      <c r="G18" s="751"/>
      <c r="H18" s="752"/>
      <c r="I18" s="727"/>
      <c r="J18" s="747"/>
      <c r="K18" s="747"/>
      <c r="L18" s="747"/>
    </row>
    <row r="19" spans="1:12">
      <c r="A19" s="689"/>
      <c r="B19" s="689"/>
      <c r="C19" s="689" t="s">
        <v>39</v>
      </c>
      <c r="D19" s="689" t="s">
        <v>3536</v>
      </c>
      <c r="E19" s="689" t="s">
        <v>1140</v>
      </c>
      <c r="F19" s="748"/>
      <c r="G19" s="749"/>
      <c r="H19" s="747">
        <v>510</v>
      </c>
      <c r="I19" s="727">
        <f t="shared" ref="I19" si="12">H19</f>
        <v>510</v>
      </c>
      <c r="J19" s="747"/>
      <c r="K19" s="747">
        <v>510</v>
      </c>
      <c r="L19" s="747">
        <f t="shared" ref="L19" si="13">K19-I19</f>
        <v>0</v>
      </c>
    </row>
    <row r="20" spans="1:12">
      <c r="A20" s="689"/>
      <c r="B20" s="689"/>
      <c r="C20" s="689"/>
      <c r="D20" s="689"/>
      <c r="E20" s="689"/>
      <c r="F20" s="750"/>
      <c r="G20" s="751"/>
      <c r="H20" s="747"/>
      <c r="I20" s="727"/>
      <c r="J20" s="747"/>
      <c r="K20" s="747"/>
      <c r="L20" s="747"/>
    </row>
    <row r="21" spans="1:12">
      <c r="A21" s="689" t="s">
        <v>45</v>
      </c>
      <c r="B21" s="689" t="s">
        <v>3008</v>
      </c>
      <c r="C21" s="689" t="s">
        <v>51</v>
      </c>
      <c r="D21" s="689" t="s">
        <v>3538</v>
      </c>
      <c r="E21" s="689" t="s">
        <v>3514</v>
      </c>
      <c r="F21" s="748"/>
      <c r="G21" s="749"/>
      <c r="H21" s="747">
        <v>600</v>
      </c>
      <c r="I21" s="727">
        <f t="shared" ref="I21" si="14">H21</f>
        <v>600</v>
      </c>
      <c r="J21" s="747"/>
      <c r="K21" s="747">
        <v>600</v>
      </c>
      <c r="L21" s="747">
        <f t="shared" ref="L21" si="15">K21-I21</f>
        <v>0</v>
      </c>
    </row>
    <row r="22" spans="1:12">
      <c r="A22" s="689"/>
      <c r="B22" s="689"/>
      <c r="C22" s="689"/>
      <c r="D22" s="689"/>
      <c r="E22" s="689"/>
      <c r="F22" s="750"/>
      <c r="G22" s="751"/>
      <c r="H22" s="747"/>
      <c r="I22" s="727"/>
      <c r="J22" s="747"/>
      <c r="K22" s="747"/>
      <c r="L22" s="747"/>
    </row>
    <row r="23" spans="1:12">
      <c r="A23" s="689" t="s">
        <v>46</v>
      </c>
      <c r="B23" s="689" t="s">
        <v>3008</v>
      </c>
      <c r="C23" s="689" t="s">
        <v>3595</v>
      </c>
      <c r="D23" s="689" t="s">
        <v>3594</v>
      </c>
      <c r="E23" s="689" t="s">
        <v>239</v>
      </c>
      <c r="F23" s="689"/>
      <c r="G23" s="689"/>
      <c r="H23" s="746" t="s">
        <v>3593</v>
      </c>
      <c r="I23" s="727" t="str">
        <f t="shared" ref="I23" si="16">H23</f>
        <v>1350</v>
      </c>
      <c r="J23" s="689"/>
      <c r="K23" s="689" t="s">
        <v>3593</v>
      </c>
      <c r="L23" s="689">
        <f t="shared" ref="L23" si="17">K23-I23</f>
        <v>0</v>
      </c>
    </row>
    <row r="24" spans="1:12">
      <c r="A24" s="689"/>
      <c r="B24" s="689"/>
      <c r="C24" s="689"/>
      <c r="D24" s="689"/>
      <c r="E24" s="689"/>
      <c r="F24" s="689"/>
      <c r="G24" s="689"/>
      <c r="H24" s="746"/>
      <c r="I24" s="727"/>
      <c r="J24" s="689"/>
      <c r="K24" s="689"/>
      <c r="L24" s="689"/>
    </row>
    <row r="25" spans="1:12">
      <c r="A25" s="689"/>
      <c r="B25" s="689"/>
      <c r="C25" s="689" t="s">
        <v>53</v>
      </c>
      <c r="D25" s="689" t="s">
        <v>3591</v>
      </c>
      <c r="E25" s="689" t="s">
        <v>3226</v>
      </c>
      <c r="F25" s="689"/>
      <c r="G25" s="689"/>
      <c r="H25" s="746" t="s">
        <v>3592</v>
      </c>
      <c r="I25" s="727" t="str">
        <f t="shared" ref="I25" si="18">H25</f>
        <v>450</v>
      </c>
      <c r="J25" s="689"/>
      <c r="K25" s="689" t="s">
        <v>3592</v>
      </c>
      <c r="L25" s="689">
        <f t="shared" ref="L25" si="19">K25-I25</f>
        <v>0</v>
      </c>
    </row>
    <row r="26" spans="1:12">
      <c r="A26" s="689"/>
      <c r="B26" s="689"/>
      <c r="C26" s="689"/>
      <c r="D26" s="689"/>
      <c r="E26" s="689"/>
      <c r="F26" s="689"/>
      <c r="G26" s="689"/>
      <c r="H26" s="746"/>
      <c r="I26" s="727"/>
      <c r="J26" s="689"/>
      <c r="K26" s="689"/>
      <c r="L26" s="689"/>
    </row>
    <row r="27" spans="1:12">
      <c r="A27" s="689" t="s">
        <v>50</v>
      </c>
      <c r="B27" s="689" t="s">
        <v>3298</v>
      </c>
      <c r="C27" s="689" t="s">
        <v>3596</v>
      </c>
      <c r="D27" s="689" t="s">
        <v>3594</v>
      </c>
      <c r="E27" s="689" t="s">
        <v>239</v>
      </c>
      <c r="F27" s="689"/>
      <c r="G27" s="689"/>
      <c r="H27" s="746" t="s">
        <v>3597</v>
      </c>
      <c r="I27" s="720">
        <v>1350</v>
      </c>
      <c r="J27" s="689"/>
      <c r="K27" s="689" t="s">
        <v>3593</v>
      </c>
      <c r="L27" s="689">
        <f t="shared" ref="L27" si="20">K27-I27</f>
        <v>0</v>
      </c>
    </row>
    <row r="28" spans="1:12">
      <c r="A28" s="689"/>
      <c r="B28" s="689"/>
      <c r="C28" s="689"/>
      <c r="D28" s="689"/>
      <c r="E28" s="689"/>
      <c r="F28" s="689"/>
      <c r="G28" s="689"/>
      <c r="H28" s="746"/>
      <c r="I28" s="727"/>
      <c r="J28" s="689"/>
      <c r="K28" s="689"/>
      <c r="L28" s="689"/>
    </row>
    <row r="29" spans="1:12">
      <c r="A29" s="689"/>
      <c r="B29" s="689"/>
      <c r="C29" s="689" t="s">
        <v>56</v>
      </c>
      <c r="D29" s="689" t="s">
        <v>3589</v>
      </c>
      <c r="E29" s="689" t="s">
        <v>1140</v>
      </c>
      <c r="F29" s="689"/>
      <c r="G29" s="689"/>
      <c r="H29" s="746" t="s">
        <v>3588</v>
      </c>
      <c r="I29" s="727" t="str">
        <f t="shared" ref="I29" si="21">H29</f>
        <v>600</v>
      </c>
      <c r="J29" s="689"/>
      <c r="K29" s="689" t="s">
        <v>3588</v>
      </c>
      <c r="L29" s="689">
        <f t="shared" ref="L29" si="22">K29-I29</f>
        <v>0</v>
      </c>
    </row>
    <row r="30" spans="1:12">
      <c r="A30" s="689"/>
      <c r="B30" s="689"/>
      <c r="C30" s="689"/>
      <c r="D30" s="689"/>
      <c r="E30" s="689"/>
      <c r="F30" s="689"/>
      <c r="G30" s="689"/>
      <c r="H30" s="746"/>
      <c r="I30" s="727"/>
      <c r="J30" s="689"/>
      <c r="K30" s="689"/>
      <c r="L30" s="689"/>
    </row>
    <row r="31" spans="1:12">
      <c r="A31" s="689"/>
      <c r="B31" s="689"/>
      <c r="C31" s="689" t="s">
        <v>54</v>
      </c>
      <c r="D31" s="689" t="s">
        <v>3589</v>
      </c>
      <c r="E31" s="689" t="s">
        <v>3025</v>
      </c>
      <c r="F31" s="689"/>
      <c r="G31" s="689"/>
      <c r="H31" s="746" t="s">
        <v>1310</v>
      </c>
      <c r="I31" s="727" t="str">
        <f t="shared" ref="I31" si="23">H31</f>
        <v>97</v>
      </c>
      <c r="J31" s="689" t="s">
        <v>1310</v>
      </c>
      <c r="K31" s="689"/>
      <c r="L31" s="689">
        <f t="shared" ref="L31" si="24">K31-I31</f>
        <v>-97</v>
      </c>
    </row>
    <row r="32" spans="1:12">
      <c r="A32" s="689"/>
      <c r="B32" s="689"/>
      <c r="C32" s="689"/>
      <c r="D32" s="689"/>
      <c r="E32" s="689"/>
      <c r="F32" s="689"/>
      <c r="G32" s="689"/>
      <c r="H32" s="746"/>
      <c r="I32" s="727"/>
      <c r="J32" s="689"/>
      <c r="K32" s="689"/>
      <c r="L32" s="689"/>
    </row>
    <row r="33" spans="1:12">
      <c r="A33" s="689"/>
      <c r="B33" s="689"/>
      <c r="C33" s="689" t="s">
        <v>66</v>
      </c>
      <c r="D33" s="689" t="s">
        <v>3590</v>
      </c>
      <c r="E33" s="689" t="s">
        <v>2517</v>
      </c>
      <c r="F33" s="689"/>
      <c r="G33" s="689"/>
      <c r="H33" s="746" t="s">
        <v>1052</v>
      </c>
      <c r="I33" s="727" t="str">
        <f t="shared" ref="I33" si="25">H33</f>
        <v>290</v>
      </c>
      <c r="J33" s="689"/>
      <c r="K33" s="689" t="s">
        <v>1052</v>
      </c>
      <c r="L33" s="689">
        <f t="shared" ref="L33" si="26">K33-I33</f>
        <v>0</v>
      </c>
    </row>
    <row r="34" spans="1:12">
      <c r="A34" s="689"/>
      <c r="B34" s="689"/>
      <c r="C34" s="689"/>
      <c r="D34" s="689"/>
      <c r="E34" s="689"/>
      <c r="F34" s="689"/>
      <c r="G34" s="689"/>
      <c r="H34" s="746"/>
      <c r="I34" s="727"/>
      <c r="J34" s="689"/>
      <c r="K34" s="689"/>
      <c r="L34" s="689"/>
    </row>
    <row r="35" spans="1:12">
      <c r="A35" s="689"/>
      <c r="B35" s="689"/>
      <c r="C35" s="689" t="s">
        <v>67</v>
      </c>
      <c r="D35" s="689" t="s">
        <v>3589</v>
      </c>
      <c r="E35" s="689" t="s">
        <v>2375</v>
      </c>
      <c r="F35" s="689"/>
      <c r="G35" s="689"/>
      <c r="H35" s="746" t="s">
        <v>504</v>
      </c>
      <c r="I35" s="727" t="str">
        <f t="shared" ref="I35" si="27">H35</f>
        <v>140</v>
      </c>
      <c r="J35" s="689"/>
      <c r="K35" s="689" t="s">
        <v>504</v>
      </c>
      <c r="L35" s="689">
        <f t="shared" ref="L35" si="28">K35-I35</f>
        <v>0</v>
      </c>
    </row>
    <row r="36" spans="1:12">
      <c r="A36" s="689"/>
      <c r="B36" s="689"/>
      <c r="C36" s="689"/>
      <c r="D36" s="689"/>
      <c r="E36" s="689"/>
      <c r="F36" s="689"/>
      <c r="G36" s="689"/>
      <c r="H36" s="746"/>
      <c r="I36" s="727"/>
      <c r="J36" s="689"/>
      <c r="K36" s="689"/>
      <c r="L36" s="689"/>
    </row>
    <row r="37" spans="1:12">
      <c r="A37" s="689" t="s">
        <v>51</v>
      </c>
      <c r="B37" s="689" t="s">
        <v>3281</v>
      </c>
      <c r="C37" s="689" t="s">
        <v>3606</v>
      </c>
      <c r="D37" s="689" t="s">
        <v>3591</v>
      </c>
      <c r="E37" s="689" t="s">
        <v>239</v>
      </c>
      <c r="F37" s="689"/>
      <c r="G37" s="689"/>
      <c r="H37" s="689" t="s">
        <v>535</v>
      </c>
      <c r="I37" s="727">
        <v>180</v>
      </c>
      <c r="J37" s="728" t="s">
        <v>3607</v>
      </c>
      <c r="K37" s="689" t="s">
        <v>682</v>
      </c>
      <c r="L37" s="689">
        <f t="shared" ref="L37" si="29">K37-I37</f>
        <v>0</v>
      </c>
    </row>
    <row r="38" spans="1:12">
      <c r="A38" s="689"/>
      <c r="B38" s="689"/>
      <c r="C38" s="689"/>
      <c r="D38" s="689"/>
      <c r="E38" s="689"/>
      <c r="F38" s="689"/>
      <c r="G38" s="689"/>
      <c r="H38" s="689"/>
      <c r="I38" s="727"/>
      <c r="J38" s="728"/>
      <c r="K38" s="689"/>
      <c r="L38" s="689"/>
    </row>
    <row r="39" spans="1:12">
      <c r="A39" s="689"/>
      <c r="B39" s="689"/>
      <c r="C39" s="689" t="s">
        <v>3608</v>
      </c>
      <c r="D39" s="689" t="s">
        <v>3590</v>
      </c>
      <c r="E39" s="689" t="s">
        <v>239</v>
      </c>
      <c r="F39" s="689"/>
      <c r="G39" s="689"/>
      <c r="H39" s="689" t="s">
        <v>3593</v>
      </c>
      <c r="I39" s="727" t="str">
        <f t="shared" ref="I39" si="30">H39</f>
        <v>1350</v>
      </c>
      <c r="J39" s="689"/>
      <c r="K39" s="689" t="s">
        <v>3593</v>
      </c>
      <c r="L39" s="689">
        <f t="shared" ref="L39" si="31">K39-I39</f>
        <v>0</v>
      </c>
    </row>
    <row r="40" spans="1:12">
      <c r="A40" s="689"/>
      <c r="B40" s="689"/>
      <c r="C40" s="689"/>
      <c r="D40" s="689"/>
      <c r="E40" s="689"/>
      <c r="F40" s="689"/>
      <c r="G40" s="689"/>
      <c r="H40" s="689"/>
      <c r="I40" s="727"/>
      <c r="J40" s="689"/>
      <c r="K40" s="689"/>
      <c r="L40" s="689"/>
    </row>
    <row r="41" spans="1:12">
      <c r="A41" s="689"/>
      <c r="B41" s="689"/>
      <c r="C41" s="689" t="s">
        <v>70</v>
      </c>
      <c r="D41" s="689" t="s">
        <v>3600</v>
      </c>
      <c r="E41" s="689" t="s">
        <v>3598</v>
      </c>
      <c r="F41" s="689"/>
      <c r="G41" s="689"/>
      <c r="H41" s="689" t="s">
        <v>3479</v>
      </c>
      <c r="I41" s="727" t="str">
        <f t="shared" ref="I41" si="32">H41</f>
        <v>400</v>
      </c>
      <c r="J41" s="689"/>
      <c r="K41" s="689" t="s">
        <v>3479</v>
      </c>
      <c r="L41" s="689">
        <f t="shared" ref="L41" si="33">K41-I41</f>
        <v>0</v>
      </c>
    </row>
    <row r="42" spans="1:12">
      <c r="A42" s="689"/>
      <c r="B42" s="689"/>
      <c r="C42" s="689"/>
      <c r="D42" s="689"/>
      <c r="E42" s="689"/>
      <c r="F42" s="689"/>
      <c r="G42" s="689"/>
      <c r="H42" s="689"/>
      <c r="I42" s="727"/>
      <c r="J42" s="689"/>
      <c r="K42" s="689"/>
      <c r="L42" s="689"/>
    </row>
    <row r="43" spans="1:12">
      <c r="A43" s="689"/>
      <c r="B43" s="689"/>
      <c r="C43" s="689" t="s">
        <v>71</v>
      </c>
      <c r="D43" s="689" t="s">
        <v>3599</v>
      </c>
      <c r="E43" s="689" t="s">
        <v>2723</v>
      </c>
      <c r="F43" s="689"/>
      <c r="G43" s="689"/>
      <c r="H43" s="689" t="s">
        <v>1084</v>
      </c>
      <c r="I43" s="727" t="str">
        <f t="shared" ref="I43" si="34">H43</f>
        <v>300</v>
      </c>
      <c r="J43" s="689"/>
      <c r="K43" s="689" t="s">
        <v>1084</v>
      </c>
      <c r="L43" s="689">
        <f t="shared" ref="L43" si="35">K43-I43</f>
        <v>0</v>
      </c>
    </row>
    <row r="44" spans="1:12">
      <c r="A44" s="689"/>
      <c r="B44" s="689"/>
      <c r="C44" s="689"/>
      <c r="D44" s="689"/>
      <c r="E44" s="689"/>
      <c r="F44" s="689"/>
      <c r="G44" s="689"/>
      <c r="H44" s="689"/>
      <c r="I44" s="727"/>
      <c r="J44" s="689"/>
      <c r="K44" s="689"/>
      <c r="L44" s="689"/>
    </row>
    <row r="45" spans="1:12">
      <c r="A45" s="689" t="s">
        <v>53</v>
      </c>
      <c r="B45" s="689" t="s">
        <v>3601</v>
      </c>
      <c r="C45" s="689" t="s">
        <v>3609</v>
      </c>
      <c r="D45" s="689" t="s">
        <v>3589</v>
      </c>
      <c r="E45" s="689" t="s">
        <v>239</v>
      </c>
      <c r="F45" s="689"/>
      <c r="G45" s="689"/>
      <c r="H45" s="689" t="s">
        <v>535</v>
      </c>
      <c r="I45" s="727">
        <v>180</v>
      </c>
      <c r="J45" s="728" t="s">
        <v>3607</v>
      </c>
      <c r="K45" s="689" t="s">
        <v>682</v>
      </c>
      <c r="L45" s="689">
        <f t="shared" ref="L45" si="36">K45-I45</f>
        <v>0</v>
      </c>
    </row>
    <row r="46" spans="1:12">
      <c r="A46" s="689"/>
      <c r="B46" s="689"/>
      <c r="C46" s="689"/>
      <c r="D46" s="689"/>
      <c r="E46" s="689"/>
      <c r="F46" s="689"/>
      <c r="G46" s="689"/>
      <c r="H46" s="689"/>
      <c r="I46" s="727"/>
      <c r="J46" s="728"/>
      <c r="K46" s="689"/>
      <c r="L46" s="689"/>
    </row>
    <row r="47" spans="1:12">
      <c r="A47" s="689"/>
      <c r="B47" s="689"/>
      <c r="C47" s="689" t="s">
        <v>3611</v>
      </c>
      <c r="D47" s="689" t="s">
        <v>3610</v>
      </c>
      <c r="E47" s="689" t="s">
        <v>239</v>
      </c>
      <c r="F47" s="689"/>
      <c r="G47" s="689"/>
      <c r="H47" s="689" t="s">
        <v>3612</v>
      </c>
      <c r="I47" s="720">
        <v>1350</v>
      </c>
      <c r="J47" s="689"/>
      <c r="K47" s="689" t="s">
        <v>3593</v>
      </c>
      <c r="L47" s="689">
        <f t="shared" ref="L47" si="37">K47-I47</f>
        <v>0</v>
      </c>
    </row>
    <row r="48" spans="1:12">
      <c r="A48" s="689"/>
      <c r="B48" s="689"/>
      <c r="C48" s="689"/>
      <c r="D48" s="689"/>
      <c r="E48" s="689"/>
      <c r="F48" s="689"/>
      <c r="G48" s="689"/>
      <c r="H48" s="689"/>
      <c r="I48" s="727"/>
      <c r="J48" s="689"/>
      <c r="K48" s="689"/>
      <c r="L48" s="689"/>
    </row>
    <row r="49" spans="1:12">
      <c r="A49" s="689"/>
      <c r="B49" s="689"/>
      <c r="C49" s="689" t="s">
        <v>75</v>
      </c>
      <c r="D49" s="689" t="s">
        <v>3599</v>
      </c>
      <c r="E49" s="689" t="s">
        <v>1140</v>
      </c>
      <c r="F49" s="689"/>
      <c r="G49" s="689"/>
      <c r="H49" s="689" t="s">
        <v>1084</v>
      </c>
      <c r="I49" s="727" t="str">
        <f t="shared" ref="I49" si="38">H49</f>
        <v>300</v>
      </c>
      <c r="J49" s="689"/>
      <c r="K49" s="689" t="s">
        <v>1084</v>
      </c>
      <c r="L49" s="689">
        <f t="shared" ref="L49" si="39">K49-I49</f>
        <v>0</v>
      </c>
    </row>
    <row r="50" spans="1:12">
      <c r="A50" s="689"/>
      <c r="B50" s="689"/>
      <c r="C50" s="689"/>
      <c r="D50" s="689"/>
      <c r="E50" s="689"/>
      <c r="F50" s="689"/>
      <c r="G50" s="689"/>
      <c r="H50" s="689"/>
      <c r="I50" s="727"/>
      <c r="J50" s="689"/>
      <c r="K50" s="689"/>
      <c r="L50" s="689"/>
    </row>
    <row r="51" spans="1:12">
      <c r="A51" s="689"/>
      <c r="B51" s="689"/>
      <c r="C51" s="689" t="s">
        <v>76</v>
      </c>
      <c r="D51" s="689" t="s">
        <v>3599</v>
      </c>
      <c r="E51" s="745" t="s">
        <v>3602</v>
      </c>
      <c r="F51" s="689"/>
      <c r="G51" s="689"/>
      <c r="H51" s="689" t="s">
        <v>56</v>
      </c>
      <c r="I51" s="727" t="str">
        <f t="shared" ref="I51" si="40">H51</f>
        <v>10</v>
      </c>
      <c r="J51" s="689"/>
      <c r="K51" s="689" t="s">
        <v>56</v>
      </c>
      <c r="L51" s="689">
        <f t="shared" ref="L51" si="41">K51-I51</f>
        <v>0</v>
      </c>
    </row>
    <row r="52" spans="1:12">
      <c r="A52" s="689"/>
      <c r="B52" s="689"/>
      <c r="C52" s="689"/>
      <c r="D52" s="689"/>
      <c r="E52" s="745"/>
      <c r="F52" s="689"/>
      <c r="G52" s="689"/>
      <c r="H52" s="689"/>
      <c r="I52" s="727"/>
      <c r="J52" s="689"/>
      <c r="K52" s="689"/>
      <c r="L52" s="689"/>
    </row>
    <row r="53" spans="1:12">
      <c r="A53" s="689"/>
      <c r="B53" s="689"/>
      <c r="C53" s="689" t="s">
        <v>77</v>
      </c>
      <c r="D53" s="689" t="s">
        <v>3599</v>
      </c>
      <c r="E53" s="689" t="s">
        <v>3603</v>
      </c>
      <c r="F53" s="689"/>
      <c r="G53" s="689"/>
      <c r="H53" s="689" t="s">
        <v>1084</v>
      </c>
      <c r="I53" s="727" t="str">
        <f t="shared" ref="I53" si="42">H53</f>
        <v>300</v>
      </c>
      <c r="J53" s="689"/>
      <c r="K53" s="689" t="s">
        <v>1084</v>
      </c>
      <c r="L53" s="689">
        <f t="shared" ref="L53" si="43">K53-I53</f>
        <v>0</v>
      </c>
    </row>
    <row r="54" spans="1:12">
      <c r="A54" s="689"/>
      <c r="B54" s="689"/>
      <c r="C54" s="689"/>
      <c r="D54" s="689"/>
      <c r="E54" s="689"/>
      <c r="F54" s="689"/>
      <c r="G54" s="689"/>
      <c r="H54" s="689"/>
      <c r="I54" s="727"/>
      <c r="J54" s="689"/>
      <c r="K54" s="689"/>
      <c r="L54" s="689"/>
    </row>
    <row r="55" spans="1:12">
      <c r="A55" s="689" t="s">
        <v>54</v>
      </c>
      <c r="B55" s="689" t="s">
        <v>3298</v>
      </c>
      <c r="C55" s="689" t="s">
        <v>3614</v>
      </c>
      <c r="D55" s="689" t="s">
        <v>3613</v>
      </c>
      <c r="E55" s="689" t="s">
        <v>239</v>
      </c>
      <c r="F55" s="689"/>
      <c r="G55" s="689"/>
      <c r="H55" s="689" t="s">
        <v>3593</v>
      </c>
      <c r="I55" s="727" t="str">
        <f t="shared" ref="I55" si="44">H55</f>
        <v>1350</v>
      </c>
      <c r="J55" s="689"/>
      <c r="K55" s="689" t="s">
        <v>3593</v>
      </c>
      <c r="L55" s="689">
        <f t="shared" ref="L55" si="45">K55-I55</f>
        <v>0</v>
      </c>
    </row>
    <row r="56" spans="1:12">
      <c r="A56" s="689"/>
      <c r="B56" s="689"/>
      <c r="C56" s="689"/>
      <c r="D56" s="689"/>
      <c r="E56" s="689"/>
      <c r="F56" s="689"/>
      <c r="G56" s="689"/>
      <c r="H56" s="689"/>
      <c r="I56" s="727"/>
      <c r="J56" s="689"/>
      <c r="K56" s="689"/>
      <c r="L56" s="689"/>
    </row>
    <row r="57" spans="1:12">
      <c r="A57" s="689"/>
      <c r="B57" s="689"/>
      <c r="C57" s="689" t="s">
        <v>78</v>
      </c>
      <c r="D57" s="689" t="s">
        <v>3604</v>
      </c>
      <c r="E57" s="689" t="s">
        <v>3309</v>
      </c>
      <c r="F57" s="689"/>
      <c r="G57" s="689"/>
      <c r="H57" s="689" t="s">
        <v>3448</v>
      </c>
      <c r="I57" s="727" t="str">
        <f t="shared" ref="I57" si="46">H57</f>
        <v>380</v>
      </c>
      <c r="J57" s="689"/>
      <c r="K57" s="689" t="s">
        <v>3448</v>
      </c>
      <c r="L57" s="689">
        <f t="shared" ref="L57" si="47">K57-I57</f>
        <v>0</v>
      </c>
    </row>
    <row r="58" spans="1:12">
      <c r="A58" s="689"/>
      <c r="B58" s="689"/>
      <c r="C58" s="689"/>
      <c r="D58" s="689"/>
      <c r="E58" s="689"/>
      <c r="F58" s="689"/>
      <c r="G58" s="689"/>
      <c r="H58" s="689"/>
      <c r="I58" s="727"/>
      <c r="J58" s="689"/>
      <c r="K58" s="689"/>
      <c r="L58" s="689"/>
    </row>
    <row r="59" spans="1:12">
      <c r="A59" s="689"/>
      <c r="B59" s="689"/>
      <c r="C59" s="689" t="s">
        <v>79</v>
      </c>
      <c r="D59" s="689" t="s">
        <v>3604</v>
      </c>
      <c r="E59" s="689" t="s">
        <v>3025</v>
      </c>
      <c r="F59" s="689"/>
      <c r="G59" s="689"/>
      <c r="H59" s="689" t="s">
        <v>1310</v>
      </c>
      <c r="I59" s="727" t="str">
        <f t="shared" ref="I59" si="48">H59</f>
        <v>97</v>
      </c>
      <c r="J59" s="689"/>
      <c r="K59" s="689" t="s">
        <v>1310</v>
      </c>
      <c r="L59" s="689">
        <f t="shared" ref="L59" si="49">K59-I59</f>
        <v>0</v>
      </c>
    </row>
    <row r="60" spans="1:12">
      <c r="A60" s="689"/>
      <c r="B60" s="689"/>
      <c r="C60" s="689"/>
      <c r="D60" s="689"/>
      <c r="E60" s="689"/>
      <c r="F60" s="689"/>
      <c r="G60" s="689"/>
      <c r="H60" s="689"/>
      <c r="I60" s="727"/>
      <c r="J60" s="689"/>
      <c r="K60" s="689"/>
      <c r="L60" s="689"/>
    </row>
    <row r="61" spans="1:12">
      <c r="A61" s="689" t="s">
        <v>56</v>
      </c>
      <c r="B61" s="689" t="s">
        <v>3008</v>
      </c>
      <c r="C61" s="689" t="s">
        <v>3615</v>
      </c>
      <c r="D61" s="689" t="s">
        <v>3600</v>
      </c>
      <c r="E61" s="689" t="s">
        <v>239</v>
      </c>
      <c r="F61" s="689"/>
      <c r="G61" s="689"/>
      <c r="H61" s="689" t="s">
        <v>3616</v>
      </c>
      <c r="I61" s="720">
        <v>1350</v>
      </c>
      <c r="J61" s="689"/>
      <c r="K61" s="689" t="s">
        <v>3593</v>
      </c>
      <c r="L61" s="689">
        <f t="shared" ref="L61" si="50">K61-I61</f>
        <v>0</v>
      </c>
    </row>
    <row r="62" spans="1:12">
      <c r="A62" s="689"/>
      <c r="B62" s="689"/>
      <c r="C62" s="689"/>
      <c r="D62" s="689"/>
      <c r="E62" s="689"/>
      <c r="F62" s="689"/>
      <c r="G62" s="689"/>
      <c r="H62" s="689"/>
      <c r="I62" s="727"/>
      <c r="J62" s="689"/>
      <c r="K62" s="689"/>
      <c r="L62" s="689"/>
    </row>
    <row r="63" spans="1:12">
      <c r="A63" s="689"/>
      <c r="B63" s="689"/>
      <c r="C63" s="689" t="s">
        <v>80</v>
      </c>
      <c r="D63" s="689" t="s">
        <v>3604</v>
      </c>
      <c r="E63" s="689" t="s">
        <v>1601</v>
      </c>
      <c r="F63" s="689"/>
      <c r="G63" s="689"/>
      <c r="H63" s="689" t="s">
        <v>3617</v>
      </c>
      <c r="I63" s="727" t="str">
        <f t="shared" ref="I63" si="51">H63</f>
        <v>1150</v>
      </c>
      <c r="J63" s="689"/>
      <c r="K63" s="689" t="s">
        <v>3617</v>
      </c>
      <c r="L63" s="689">
        <f t="shared" ref="L63" si="52">K63-I63</f>
        <v>0</v>
      </c>
    </row>
    <row r="64" spans="1:12">
      <c r="A64" s="689"/>
      <c r="B64" s="689"/>
      <c r="C64" s="689"/>
      <c r="D64" s="689"/>
      <c r="E64" s="689"/>
      <c r="F64" s="689"/>
      <c r="G64" s="689"/>
      <c r="H64" s="689"/>
      <c r="I64" s="727"/>
      <c r="J64" s="689"/>
      <c r="K64" s="689"/>
      <c r="L64" s="689"/>
    </row>
    <row r="65" spans="1:13">
      <c r="A65" s="689" t="s">
        <v>66</v>
      </c>
      <c r="B65" s="689" t="s">
        <v>3176</v>
      </c>
      <c r="C65" s="689" t="s">
        <v>3618</v>
      </c>
      <c r="D65" s="689" t="s">
        <v>3619</v>
      </c>
      <c r="E65" s="689" t="s">
        <v>239</v>
      </c>
      <c r="F65" s="689"/>
      <c r="G65" s="689"/>
      <c r="H65" s="689" t="s">
        <v>3593</v>
      </c>
      <c r="I65" s="727" t="str">
        <f t="shared" ref="I65" si="53">H65</f>
        <v>1350</v>
      </c>
      <c r="J65" s="689"/>
      <c r="K65" s="689" t="s">
        <v>3593</v>
      </c>
      <c r="L65" s="689">
        <f t="shared" ref="L65" si="54">K65-I65</f>
        <v>0</v>
      </c>
    </row>
    <row r="66" spans="1:13">
      <c r="A66" s="689"/>
      <c r="B66" s="689"/>
      <c r="C66" s="689"/>
      <c r="D66" s="689"/>
      <c r="E66" s="689"/>
      <c r="F66" s="689"/>
      <c r="G66" s="689"/>
      <c r="H66" s="689"/>
      <c r="I66" s="727"/>
      <c r="J66" s="689"/>
      <c r="K66" s="689"/>
      <c r="L66" s="689"/>
    </row>
    <row r="67" spans="1:13">
      <c r="A67" s="721" t="s">
        <v>90</v>
      </c>
      <c r="B67" s="722"/>
      <c r="C67" s="722"/>
      <c r="D67" s="722"/>
      <c r="E67" s="722"/>
      <c r="F67" s="722"/>
      <c r="G67" s="722"/>
      <c r="H67" s="722"/>
      <c r="I67" s="722"/>
      <c r="J67" s="722"/>
      <c r="K67" s="722"/>
      <c r="L67" s="723"/>
    </row>
    <row r="68" spans="1:13">
      <c r="A68" s="724"/>
      <c r="B68" s="725"/>
      <c r="C68" s="725"/>
      <c r="D68" s="725"/>
      <c r="E68" s="725"/>
      <c r="F68" s="725"/>
      <c r="G68" s="725"/>
      <c r="H68" s="725"/>
      <c r="I68" s="725"/>
      <c r="J68" s="725"/>
      <c r="K68" s="725"/>
      <c r="L68" s="726"/>
    </row>
    <row r="69" spans="1:13">
      <c r="A69" s="689"/>
      <c r="B69" s="689"/>
      <c r="C69" s="689" t="s">
        <v>82</v>
      </c>
      <c r="D69" s="689" t="s">
        <v>3621</v>
      </c>
      <c r="E69" s="689" t="s">
        <v>3388</v>
      </c>
      <c r="F69" s="689"/>
      <c r="G69" s="689"/>
      <c r="H69" s="720">
        <v>650</v>
      </c>
      <c r="I69" s="727">
        <f t="shared" ref="I69" si="55">H69</f>
        <v>650</v>
      </c>
      <c r="J69" s="689"/>
      <c r="K69" s="689" t="s">
        <v>3624</v>
      </c>
      <c r="L69" s="689">
        <f t="shared" ref="L69" si="56">K69-I69</f>
        <v>0</v>
      </c>
    </row>
    <row r="70" spans="1:13">
      <c r="A70" s="689"/>
      <c r="B70" s="689"/>
      <c r="C70" s="689"/>
      <c r="D70" s="689"/>
      <c r="E70" s="689"/>
      <c r="F70" s="689"/>
      <c r="G70" s="689"/>
      <c r="H70" s="689"/>
      <c r="I70" s="727"/>
      <c r="J70" s="689"/>
      <c r="K70" s="689"/>
      <c r="L70" s="689"/>
      <c r="M70" s="111">
        <f>SUM(I69:I156,I165:I168)-1350</f>
        <v>27065</v>
      </c>
    </row>
    <row r="71" spans="1:13">
      <c r="A71" s="689"/>
      <c r="B71" s="689"/>
      <c r="C71" s="689" t="s">
        <v>84</v>
      </c>
      <c r="D71" s="689" t="s">
        <v>3621</v>
      </c>
      <c r="E71" s="689" t="s">
        <v>3427</v>
      </c>
      <c r="F71" s="689"/>
      <c r="G71" s="689"/>
      <c r="H71" s="720">
        <v>350</v>
      </c>
      <c r="I71" s="727">
        <f t="shared" ref="I71" si="57">H71</f>
        <v>350</v>
      </c>
      <c r="J71" s="689"/>
      <c r="K71" s="689" t="s">
        <v>2784</v>
      </c>
      <c r="L71" s="689">
        <f t="shared" ref="L71" si="58">K71-I71</f>
        <v>0</v>
      </c>
    </row>
    <row r="72" spans="1:13">
      <c r="A72" s="689"/>
      <c r="B72" s="689"/>
      <c r="C72" s="689"/>
      <c r="D72" s="689"/>
      <c r="E72" s="689"/>
      <c r="F72" s="689"/>
      <c r="G72" s="689"/>
      <c r="H72" s="689"/>
      <c r="I72" s="727"/>
      <c r="J72" s="689"/>
      <c r="K72" s="689"/>
      <c r="L72" s="689"/>
    </row>
    <row r="73" spans="1:13">
      <c r="A73" s="689" t="s">
        <v>67</v>
      </c>
      <c r="B73" s="689" t="s">
        <v>3622</v>
      </c>
      <c r="C73" s="689" t="s">
        <v>3620</v>
      </c>
      <c r="D73" s="713" t="s">
        <v>3619</v>
      </c>
      <c r="E73" s="689" t="s">
        <v>239</v>
      </c>
      <c r="F73" s="689"/>
      <c r="G73" s="689"/>
      <c r="H73" s="720">
        <v>41961</v>
      </c>
      <c r="I73" s="720">
        <v>1350</v>
      </c>
      <c r="J73" s="689"/>
      <c r="K73" s="689" t="s">
        <v>3593</v>
      </c>
      <c r="L73" s="689">
        <f t="shared" ref="L73" si="59">K73-I73</f>
        <v>0</v>
      </c>
      <c r="M73" t="s">
        <v>3681</v>
      </c>
    </row>
    <row r="74" spans="1:13">
      <c r="A74" s="689"/>
      <c r="B74" s="689"/>
      <c r="C74" s="689"/>
      <c r="D74" s="713"/>
      <c r="E74" s="689"/>
      <c r="F74" s="689"/>
      <c r="G74" s="689"/>
      <c r="H74" s="689"/>
      <c r="I74" s="727"/>
      <c r="J74" s="689"/>
      <c r="K74" s="689"/>
      <c r="L74" s="689"/>
      <c r="M74" t="s">
        <v>3703</v>
      </c>
    </row>
    <row r="75" spans="1:13">
      <c r="A75" s="689"/>
      <c r="B75" s="689"/>
      <c r="C75" s="689" t="s">
        <v>85</v>
      </c>
      <c r="D75" s="689" t="s">
        <v>3621</v>
      </c>
      <c r="E75" s="689" t="s">
        <v>2723</v>
      </c>
      <c r="F75" s="689"/>
      <c r="G75" s="689"/>
      <c r="H75" s="720">
        <v>480</v>
      </c>
      <c r="I75" s="727">
        <f t="shared" ref="I75" si="60">H75</f>
        <v>480</v>
      </c>
      <c r="J75" s="689"/>
      <c r="K75" s="689" t="s">
        <v>3625</v>
      </c>
      <c r="L75" s="689">
        <f t="shared" ref="L75" si="61">K75-I75</f>
        <v>0</v>
      </c>
    </row>
    <row r="76" spans="1:13">
      <c r="A76" s="689"/>
      <c r="B76" s="689"/>
      <c r="C76" s="689"/>
      <c r="D76" s="689"/>
      <c r="E76" s="689"/>
      <c r="F76" s="689"/>
      <c r="G76" s="689"/>
      <c r="H76" s="689"/>
      <c r="I76" s="727"/>
      <c r="J76" s="689"/>
      <c r="K76" s="689"/>
      <c r="L76" s="689"/>
    </row>
    <row r="77" spans="1:13">
      <c r="A77" s="689"/>
      <c r="B77" s="689"/>
      <c r="C77" s="689" t="s">
        <v>86</v>
      </c>
      <c r="D77" s="689" t="s">
        <v>3621</v>
      </c>
      <c r="E77" s="689" t="s">
        <v>2723</v>
      </c>
      <c r="F77" s="689"/>
      <c r="G77" s="689"/>
      <c r="H77" s="720">
        <v>20</v>
      </c>
      <c r="I77" s="727">
        <f t="shared" ref="I77" si="62">H77</f>
        <v>20</v>
      </c>
      <c r="J77" s="689"/>
      <c r="K77" s="689" t="s">
        <v>80</v>
      </c>
      <c r="L77" s="689">
        <f t="shared" ref="L77" si="63">K77-I77</f>
        <v>0</v>
      </c>
    </row>
    <row r="78" spans="1:13">
      <c r="A78" s="689"/>
      <c r="B78" s="689"/>
      <c r="C78" s="689"/>
      <c r="D78" s="689"/>
      <c r="E78" s="689"/>
      <c r="F78" s="689"/>
      <c r="G78" s="689"/>
      <c r="H78" s="689"/>
      <c r="I78" s="727"/>
      <c r="J78" s="689"/>
      <c r="K78" s="689"/>
      <c r="L78" s="689"/>
    </row>
    <row r="79" spans="1:13">
      <c r="A79" s="689"/>
      <c r="B79" s="689"/>
      <c r="C79" s="689" t="s">
        <v>87</v>
      </c>
      <c r="D79" s="689" t="s">
        <v>3621</v>
      </c>
      <c r="E79" s="689" t="s">
        <v>2723</v>
      </c>
      <c r="F79" s="689"/>
      <c r="G79" s="689"/>
      <c r="H79" s="720">
        <v>50</v>
      </c>
      <c r="I79" s="727">
        <f t="shared" ref="I79" si="64">H79</f>
        <v>50</v>
      </c>
      <c r="J79" s="689"/>
      <c r="K79" s="689" t="s">
        <v>192</v>
      </c>
      <c r="L79" s="689">
        <f t="shared" ref="L79" si="65">K79-I79</f>
        <v>0</v>
      </c>
    </row>
    <row r="80" spans="1:13">
      <c r="A80" s="689"/>
      <c r="B80" s="689"/>
      <c r="C80" s="689"/>
      <c r="D80" s="689"/>
      <c r="E80" s="689"/>
      <c r="F80" s="689"/>
      <c r="G80" s="689"/>
      <c r="H80" s="689"/>
      <c r="I80" s="727"/>
      <c r="J80" s="689"/>
      <c r="K80" s="689"/>
      <c r="L80" s="689"/>
    </row>
    <row r="81" spans="1:12">
      <c r="A81" s="689"/>
      <c r="B81" s="689"/>
      <c r="C81" s="689" t="s">
        <v>95</v>
      </c>
      <c r="D81" s="689" t="s">
        <v>3621</v>
      </c>
      <c r="E81" s="689" t="s">
        <v>3623</v>
      </c>
      <c r="F81" s="689"/>
      <c r="G81" s="689"/>
      <c r="H81" s="720">
        <v>120</v>
      </c>
      <c r="I81" s="727">
        <f t="shared" ref="I81" si="66">H81</f>
        <v>120</v>
      </c>
      <c r="J81" s="689"/>
      <c r="K81" s="689" t="s">
        <v>434</v>
      </c>
      <c r="L81" s="689">
        <f t="shared" ref="L81" si="67">K81-I81</f>
        <v>0</v>
      </c>
    </row>
    <row r="82" spans="1:12">
      <c r="A82" s="689"/>
      <c r="B82" s="689"/>
      <c r="C82" s="689"/>
      <c r="D82" s="689"/>
      <c r="E82" s="689"/>
      <c r="F82" s="689"/>
      <c r="G82" s="689"/>
      <c r="H82" s="689"/>
      <c r="I82" s="727"/>
      <c r="J82" s="689"/>
      <c r="K82" s="689"/>
      <c r="L82" s="689"/>
    </row>
    <row r="83" spans="1:12">
      <c r="A83" s="689" t="s">
        <v>70</v>
      </c>
      <c r="B83" s="689" t="s">
        <v>3008</v>
      </c>
      <c r="C83" s="689" t="s">
        <v>3629</v>
      </c>
      <c r="D83" s="689" t="s">
        <v>3628</v>
      </c>
      <c r="E83" s="689" t="s">
        <v>239</v>
      </c>
      <c r="F83" s="689"/>
      <c r="G83" s="689"/>
      <c r="H83" s="720">
        <v>1350</v>
      </c>
      <c r="I83" s="727">
        <f t="shared" ref="I83" si="68">H83</f>
        <v>1350</v>
      </c>
      <c r="J83" s="689"/>
      <c r="K83" s="689" t="s">
        <v>3593</v>
      </c>
      <c r="L83" s="689">
        <f t="shared" ref="L83" si="69">K83-I83</f>
        <v>0</v>
      </c>
    </row>
    <row r="84" spans="1:12">
      <c r="A84" s="689"/>
      <c r="B84" s="689"/>
      <c r="C84" s="689"/>
      <c r="D84" s="689"/>
      <c r="E84" s="689"/>
      <c r="F84" s="689"/>
      <c r="G84" s="689"/>
      <c r="H84" s="689"/>
      <c r="I84" s="727"/>
      <c r="J84" s="689"/>
      <c r="K84" s="689"/>
      <c r="L84" s="689"/>
    </row>
    <row r="85" spans="1:12">
      <c r="A85" s="689"/>
      <c r="B85" s="689"/>
      <c r="C85" s="689" t="s">
        <v>102</v>
      </c>
      <c r="D85" s="689" t="s">
        <v>3627</v>
      </c>
      <c r="E85" s="689" t="s">
        <v>2723</v>
      </c>
      <c r="F85" s="689"/>
      <c r="G85" s="689"/>
      <c r="H85" s="720">
        <v>360</v>
      </c>
      <c r="I85" s="727">
        <f t="shared" ref="I85" si="70">H85</f>
        <v>360</v>
      </c>
      <c r="J85" s="689"/>
      <c r="K85" s="689" t="s">
        <v>3402</v>
      </c>
      <c r="L85" s="689">
        <f t="shared" ref="L85" si="71">K85-I85</f>
        <v>0</v>
      </c>
    </row>
    <row r="86" spans="1:12">
      <c r="A86" s="689"/>
      <c r="B86" s="689"/>
      <c r="C86" s="689"/>
      <c r="D86" s="689"/>
      <c r="E86" s="689"/>
      <c r="F86" s="689"/>
      <c r="G86" s="689"/>
      <c r="H86" s="689"/>
      <c r="I86" s="727"/>
      <c r="J86" s="689"/>
      <c r="K86" s="689"/>
      <c r="L86" s="689"/>
    </row>
    <row r="87" spans="1:12">
      <c r="A87" s="689"/>
      <c r="B87" s="689"/>
      <c r="C87" s="689" t="s">
        <v>103</v>
      </c>
      <c r="D87" s="689" t="s">
        <v>3627</v>
      </c>
      <c r="E87" s="689" t="s">
        <v>3025</v>
      </c>
      <c r="F87" s="689"/>
      <c r="G87" s="689"/>
      <c r="H87" s="720">
        <v>96</v>
      </c>
      <c r="I87" s="727">
        <f t="shared" ref="I87" si="72">H87</f>
        <v>96</v>
      </c>
      <c r="J87" s="689"/>
      <c r="K87" s="689" t="s">
        <v>358</v>
      </c>
      <c r="L87" s="689">
        <f t="shared" ref="L87" si="73">K87-I87</f>
        <v>0</v>
      </c>
    </row>
    <row r="88" spans="1:12">
      <c r="A88" s="689"/>
      <c r="B88" s="689"/>
      <c r="C88" s="689"/>
      <c r="D88" s="689"/>
      <c r="E88" s="689"/>
      <c r="F88" s="689"/>
      <c r="G88" s="689"/>
      <c r="H88" s="689"/>
      <c r="I88" s="727"/>
      <c r="J88" s="689"/>
      <c r="K88" s="689"/>
      <c r="L88" s="689"/>
    </row>
    <row r="89" spans="1:12">
      <c r="A89" s="689" t="s">
        <v>71</v>
      </c>
      <c r="B89" s="689" t="s">
        <v>3298</v>
      </c>
      <c r="C89" s="689" t="s">
        <v>3631</v>
      </c>
      <c r="D89" s="689" t="s">
        <v>3630</v>
      </c>
      <c r="E89" s="689" t="s">
        <v>239</v>
      </c>
      <c r="F89" s="689"/>
      <c r="G89" s="689"/>
      <c r="H89" s="720">
        <v>41894</v>
      </c>
      <c r="I89" s="720">
        <v>1350</v>
      </c>
      <c r="J89" s="689"/>
      <c r="K89" s="689" t="s">
        <v>3593</v>
      </c>
      <c r="L89" s="689">
        <f t="shared" ref="L89" si="74">K89-I89</f>
        <v>0</v>
      </c>
    </row>
    <row r="90" spans="1:12">
      <c r="A90" s="689"/>
      <c r="B90" s="689"/>
      <c r="C90" s="689"/>
      <c r="D90" s="689"/>
      <c r="E90" s="689"/>
      <c r="F90" s="689"/>
      <c r="G90" s="689"/>
      <c r="H90" s="689"/>
      <c r="I90" s="727"/>
      <c r="J90" s="689"/>
      <c r="K90" s="689"/>
      <c r="L90" s="689"/>
    </row>
    <row r="91" spans="1:12">
      <c r="A91" s="689"/>
      <c r="B91" s="689"/>
      <c r="C91" s="689" t="s">
        <v>81</v>
      </c>
      <c r="D91" s="689" t="s">
        <v>3627</v>
      </c>
      <c r="E91" s="689" t="s">
        <v>2376</v>
      </c>
      <c r="F91" s="689"/>
      <c r="G91" s="689"/>
      <c r="H91" s="720">
        <v>60</v>
      </c>
      <c r="I91" s="727">
        <f t="shared" ref="I91" si="75">H91</f>
        <v>60</v>
      </c>
      <c r="J91" s="689"/>
      <c r="K91" s="689" t="s">
        <v>231</v>
      </c>
      <c r="L91" s="689">
        <f t="shared" ref="L91" si="76">K91-I91</f>
        <v>0</v>
      </c>
    </row>
    <row r="92" spans="1:12">
      <c r="A92" s="689"/>
      <c r="B92" s="689"/>
      <c r="C92" s="689"/>
      <c r="D92" s="689"/>
      <c r="E92" s="689"/>
      <c r="F92" s="689"/>
      <c r="G92" s="689"/>
      <c r="H92" s="689"/>
      <c r="I92" s="727"/>
      <c r="J92" s="689"/>
      <c r="K92" s="689"/>
      <c r="L92" s="689"/>
    </row>
    <row r="93" spans="1:12">
      <c r="A93" s="689"/>
      <c r="B93" s="689"/>
      <c r="C93" s="689" t="s">
        <v>118</v>
      </c>
      <c r="D93" s="689" t="s">
        <v>3627</v>
      </c>
      <c r="E93" s="689" t="s">
        <v>2517</v>
      </c>
      <c r="F93" s="689"/>
      <c r="G93" s="689"/>
      <c r="H93" s="720">
        <v>100</v>
      </c>
      <c r="I93" s="727">
        <f t="shared" ref="I93" si="77">H93</f>
        <v>100</v>
      </c>
      <c r="J93" s="689"/>
      <c r="K93" s="689" t="s">
        <v>361</v>
      </c>
      <c r="L93" s="689">
        <f t="shared" ref="L93" si="78">K93-I93</f>
        <v>0</v>
      </c>
    </row>
    <row r="94" spans="1:12">
      <c r="A94" s="689"/>
      <c r="B94" s="689"/>
      <c r="C94" s="689"/>
      <c r="D94" s="689"/>
      <c r="E94" s="689"/>
      <c r="F94" s="689"/>
      <c r="G94" s="689"/>
      <c r="H94" s="689"/>
      <c r="I94" s="727"/>
      <c r="J94" s="689"/>
      <c r="K94" s="689"/>
      <c r="L94" s="689"/>
    </row>
    <row r="95" spans="1:12">
      <c r="A95" s="689"/>
      <c r="B95" s="689"/>
      <c r="C95" s="689" t="s">
        <v>119</v>
      </c>
      <c r="D95" s="689" t="s">
        <v>3627</v>
      </c>
      <c r="E95" s="689" t="s">
        <v>3626</v>
      </c>
      <c r="F95" s="689"/>
      <c r="G95" s="689"/>
      <c r="H95" s="720">
        <v>400</v>
      </c>
      <c r="I95" s="727">
        <f t="shared" ref="I95" si="79">H95</f>
        <v>400</v>
      </c>
      <c r="J95" s="689"/>
      <c r="K95" s="689" t="s">
        <v>3479</v>
      </c>
      <c r="L95" s="689">
        <f t="shared" ref="L95" si="80">K95-I95</f>
        <v>0</v>
      </c>
    </row>
    <row r="96" spans="1:12">
      <c r="A96" s="689"/>
      <c r="B96" s="689"/>
      <c r="C96" s="689"/>
      <c r="D96" s="689"/>
      <c r="E96" s="689"/>
      <c r="F96" s="689"/>
      <c r="G96" s="689"/>
      <c r="H96" s="689"/>
      <c r="I96" s="727"/>
      <c r="J96" s="689"/>
      <c r="K96" s="689"/>
      <c r="L96" s="689"/>
    </row>
    <row r="97" spans="1:12">
      <c r="A97" s="689"/>
      <c r="B97" s="689"/>
      <c r="C97" s="689" t="s">
        <v>137</v>
      </c>
      <c r="D97" s="689" t="s">
        <v>3627</v>
      </c>
      <c r="E97" s="689" t="s">
        <v>2502</v>
      </c>
      <c r="F97" s="689"/>
      <c r="G97" s="689"/>
      <c r="H97" s="720">
        <v>240</v>
      </c>
      <c r="I97" s="727">
        <f t="shared" ref="I97" si="81">H97</f>
        <v>240</v>
      </c>
      <c r="J97" s="689"/>
      <c r="K97" s="689" t="s">
        <v>884</v>
      </c>
      <c r="L97" s="689">
        <f t="shared" ref="L97" si="82">K97-I97</f>
        <v>0</v>
      </c>
    </row>
    <row r="98" spans="1:12">
      <c r="A98" s="689"/>
      <c r="B98" s="689"/>
      <c r="C98" s="689"/>
      <c r="D98" s="689"/>
      <c r="E98" s="689"/>
      <c r="F98" s="689"/>
      <c r="G98" s="689"/>
      <c r="H98" s="689"/>
      <c r="I98" s="727"/>
      <c r="J98" s="689"/>
      <c r="K98" s="689"/>
      <c r="L98" s="689"/>
    </row>
    <row r="99" spans="1:12">
      <c r="A99" s="689" t="s">
        <v>75</v>
      </c>
      <c r="B99" s="689" t="s">
        <v>3281</v>
      </c>
      <c r="C99" s="689" t="s">
        <v>3648</v>
      </c>
      <c r="D99" s="689" t="s">
        <v>3627</v>
      </c>
      <c r="E99" s="689" t="s">
        <v>239</v>
      </c>
      <c r="F99" s="689"/>
      <c r="G99" s="689"/>
      <c r="H99" s="720">
        <v>1350</v>
      </c>
      <c r="I99" s="727">
        <f t="shared" ref="I99" si="83">H99</f>
        <v>1350</v>
      </c>
      <c r="J99" s="689"/>
      <c r="K99" s="689" t="s">
        <v>3593</v>
      </c>
      <c r="L99" s="689">
        <f t="shared" ref="L99" si="84">K99-I99</f>
        <v>0</v>
      </c>
    </row>
    <row r="100" spans="1:12">
      <c r="A100" s="689"/>
      <c r="B100" s="689"/>
      <c r="C100" s="689"/>
      <c r="D100" s="689"/>
      <c r="E100" s="689"/>
      <c r="F100" s="689"/>
      <c r="G100" s="689"/>
      <c r="H100" s="689"/>
      <c r="I100" s="727"/>
      <c r="J100" s="689"/>
      <c r="K100" s="689"/>
      <c r="L100" s="689"/>
    </row>
    <row r="101" spans="1:12">
      <c r="A101" s="689"/>
      <c r="B101" s="689"/>
      <c r="C101" s="689" t="s">
        <v>140</v>
      </c>
      <c r="D101" s="689" t="s">
        <v>3646</v>
      </c>
      <c r="E101" s="689" t="s">
        <v>3309</v>
      </c>
      <c r="F101" s="689"/>
      <c r="G101" s="689"/>
      <c r="H101" s="720">
        <v>480</v>
      </c>
      <c r="I101" s="727">
        <f t="shared" ref="I101" si="85">H101</f>
        <v>480</v>
      </c>
      <c r="J101" s="689"/>
      <c r="K101" s="689" t="s">
        <v>3625</v>
      </c>
      <c r="L101" s="689">
        <f t="shared" ref="L101" si="86">K101-I101</f>
        <v>0</v>
      </c>
    </row>
    <row r="102" spans="1:12">
      <c r="A102" s="689"/>
      <c r="B102" s="689"/>
      <c r="C102" s="689"/>
      <c r="D102" s="689"/>
      <c r="E102" s="689"/>
      <c r="F102" s="689"/>
      <c r="G102" s="689"/>
      <c r="H102" s="689"/>
      <c r="I102" s="727"/>
      <c r="J102" s="689"/>
      <c r="K102" s="689"/>
      <c r="L102" s="689"/>
    </row>
    <row r="103" spans="1:12">
      <c r="A103" s="711"/>
      <c r="B103" s="711"/>
      <c r="C103" s="711" t="s">
        <v>141</v>
      </c>
      <c r="D103" s="711" t="s">
        <v>3646</v>
      </c>
      <c r="E103" s="689" t="s">
        <v>2838</v>
      </c>
      <c r="F103" s="689"/>
      <c r="G103" s="689"/>
      <c r="H103" s="720">
        <v>520</v>
      </c>
      <c r="I103" s="727">
        <f t="shared" ref="I103" si="87">H103</f>
        <v>520</v>
      </c>
      <c r="J103" s="689"/>
      <c r="K103" s="689" t="s">
        <v>3718</v>
      </c>
      <c r="L103" s="689">
        <f t="shared" ref="L103" si="88">K103-I103</f>
        <v>0</v>
      </c>
    </row>
    <row r="104" spans="1:12">
      <c r="A104" s="712"/>
      <c r="B104" s="712"/>
      <c r="C104" s="712"/>
      <c r="D104" s="712"/>
      <c r="E104" s="689"/>
      <c r="F104" s="689"/>
      <c r="G104" s="689"/>
      <c r="H104" s="689"/>
      <c r="I104" s="727"/>
      <c r="J104" s="689"/>
      <c r="K104" s="689"/>
      <c r="L104" s="689"/>
    </row>
    <row r="105" spans="1:12">
      <c r="A105" s="711" t="s">
        <v>76</v>
      </c>
      <c r="B105" s="711" t="s">
        <v>3622</v>
      </c>
      <c r="C105" s="711" t="s">
        <v>3650</v>
      </c>
      <c r="D105" s="711" t="s">
        <v>3649</v>
      </c>
      <c r="E105" s="689" t="s">
        <v>239</v>
      </c>
      <c r="F105" s="689"/>
      <c r="G105" s="689"/>
      <c r="H105" s="720">
        <v>41458</v>
      </c>
      <c r="I105" s="727">
        <v>1350</v>
      </c>
      <c r="J105" s="689" t="s">
        <v>3593</v>
      </c>
      <c r="K105" s="689"/>
      <c r="L105" s="689">
        <f t="shared" ref="L105" si="89">K105-I105</f>
        <v>-1350</v>
      </c>
    </row>
    <row r="106" spans="1:12">
      <c r="A106" s="712"/>
      <c r="B106" s="712"/>
      <c r="C106" s="712"/>
      <c r="D106" s="712"/>
      <c r="E106" s="689"/>
      <c r="F106" s="689"/>
      <c r="G106" s="689"/>
      <c r="H106" s="689"/>
      <c r="I106" s="727"/>
      <c r="J106" s="689"/>
      <c r="K106" s="689"/>
      <c r="L106" s="689"/>
    </row>
    <row r="107" spans="1:12">
      <c r="A107" s="711"/>
      <c r="B107" s="711"/>
      <c r="C107" s="711" t="s">
        <v>144</v>
      </c>
      <c r="D107" s="711" t="s">
        <v>3647</v>
      </c>
      <c r="E107" s="689" t="s">
        <v>1601</v>
      </c>
      <c r="F107" s="689"/>
      <c r="G107" s="689"/>
      <c r="H107" s="720">
        <v>1150</v>
      </c>
      <c r="I107" s="689">
        <f t="shared" ref="I107" si="90">H107</f>
        <v>1150</v>
      </c>
      <c r="J107" s="689"/>
      <c r="K107" s="720">
        <v>1150</v>
      </c>
      <c r="L107" s="689">
        <f t="shared" ref="L107" si="91">K107-I107</f>
        <v>0</v>
      </c>
    </row>
    <row r="108" spans="1:12">
      <c r="A108" s="712"/>
      <c r="B108" s="712"/>
      <c r="C108" s="712"/>
      <c r="D108" s="712"/>
      <c r="E108" s="689"/>
      <c r="F108" s="689"/>
      <c r="G108" s="689"/>
      <c r="H108" s="689"/>
      <c r="I108" s="689"/>
      <c r="J108" s="689"/>
      <c r="K108" s="689"/>
      <c r="L108" s="689"/>
    </row>
    <row r="109" spans="1:12">
      <c r="A109" s="610" t="s">
        <v>77</v>
      </c>
      <c r="B109" s="610" t="s">
        <v>3298</v>
      </c>
      <c r="C109" s="610" t="s">
        <v>3652</v>
      </c>
      <c r="D109" s="711" t="s">
        <v>3651</v>
      </c>
      <c r="E109" s="689" t="s">
        <v>239</v>
      </c>
      <c r="F109" s="653"/>
      <c r="G109" s="654"/>
      <c r="H109" s="689">
        <v>1350</v>
      </c>
      <c r="I109" s="689">
        <f t="shared" ref="I109" si="92">H109</f>
        <v>1350</v>
      </c>
      <c r="J109" s="657"/>
      <c r="K109" s="689" t="s">
        <v>3593</v>
      </c>
      <c r="L109" s="689">
        <f t="shared" ref="L109" si="93">K109-I109</f>
        <v>0</v>
      </c>
    </row>
    <row r="110" spans="1:12">
      <c r="A110" s="611"/>
      <c r="B110" s="611"/>
      <c r="C110" s="611"/>
      <c r="D110" s="712"/>
      <c r="E110" s="689"/>
      <c r="F110" s="655"/>
      <c r="G110" s="656"/>
      <c r="H110" s="689"/>
      <c r="I110" s="689"/>
      <c r="J110" s="657"/>
      <c r="K110" s="689"/>
      <c r="L110" s="689"/>
    </row>
    <row r="111" spans="1:12">
      <c r="A111" s="610"/>
      <c r="B111" s="610"/>
      <c r="C111" s="610" t="s">
        <v>145</v>
      </c>
      <c r="D111" s="711" t="s">
        <v>3647</v>
      </c>
      <c r="E111" s="689" t="s">
        <v>3626</v>
      </c>
      <c r="F111" s="653"/>
      <c r="G111" s="654"/>
      <c r="H111" s="689">
        <v>350</v>
      </c>
      <c r="I111" s="689">
        <f t="shared" ref="I111" si="94">H111</f>
        <v>350</v>
      </c>
      <c r="J111" s="657"/>
      <c r="K111" s="689" t="s">
        <v>2784</v>
      </c>
      <c r="L111" s="689">
        <f t="shared" ref="L111" si="95">K111-I111</f>
        <v>0</v>
      </c>
    </row>
    <row r="112" spans="1:12">
      <c r="A112" s="611"/>
      <c r="B112" s="611"/>
      <c r="C112" s="611"/>
      <c r="D112" s="712"/>
      <c r="E112" s="689"/>
      <c r="F112" s="655"/>
      <c r="G112" s="656"/>
      <c r="H112" s="689"/>
      <c r="I112" s="689"/>
      <c r="J112" s="657"/>
      <c r="K112" s="689"/>
      <c r="L112" s="689"/>
    </row>
    <row r="113" spans="1:12">
      <c r="A113" s="610"/>
      <c r="B113" s="610"/>
      <c r="C113" s="610" t="s">
        <v>146</v>
      </c>
      <c r="D113" s="711" t="s">
        <v>3647</v>
      </c>
      <c r="E113" s="689" t="s">
        <v>3025</v>
      </c>
      <c r="F113" s="653"/>
      <c r="G113" s="654"/>
      <c r="H113" s="689">
        <v>95</v>
      </c>
      <c r="I113" s="689">
        <f t="shared" ref="I113" si="96">H113</f>
        <v>95</v>
      </c>
      <c r="J113" s="657"/>
      <c r="K113" s="689" t="s">
        <v>350</v>
      </c>
      <c r="L113" s="689">
        <f t="shared" ref="L113" si="97">K113-I113</f>
        <v>0</v>
      </c>
    </row>
    <row r="114" spans="1:12">
      <c r="A114" s="611"/>
      <c r="B114" s="611"/>
      <c r="C114" s="611"/>
      <c r="D114" s="712"/>
      <c r="E114" s="689"/>
      <c r="F114" s="655"/>
      <c r="G114" s="656"/>
      <c r="H114" s="689"/>
      <c r="I114" s="689"/>
      <c r="J114" s="657"/>
      <c r="K114" s="689"/>
      <c r="L114" s="689"/>
    </row>
    <row r="115" spans="1:12">
      <c r="A115" s="610" t="s">
        <v>78</v>
      </c>
      <c r="B115" s="610" t="s">
        <v>3176</v>
      </c>
      <c r="C115" s="711" t="s">
        <v>3666</v>
      </c>
      <c r="D115" s="711" t="s">
        <v>3654</v>
      </c>
      <c r="E115" s="689" t="s">
        <v>239</v>
      </c>
      <c r="F115" s="653"/>
      <c r="G115" s="654"/>
      <c r="H115" s="720">
        <v>1350</v>
      </c>
      <c r="I115" s="720">
        <v>1350</v>
      </c>
      <c r="J115" s="657"/>
      <c r="K115" s="689" t="s">
        <v>3593</v>
      </c>
      <c r="L115" s="689">
        <f t="shared" ref="L115" si="98">K115-I115</f>
        <v>0</v>
      </c>
    </row>
    <row r="116" spans="1:12">
      <c r="A116" s="611"/>
      <c r="B116" s="611"/>
      <c r="C116" s="712"/>
      <c r="D116" s="712"/>
      <c r="E116" s="689"/>
      <c r="F116" s="655"/>
      <c r="G116" s="656"/>
      <c r="H116" s="689"/>
      <c r="I116" s="689"/>
      <c r="J116" s="657"/>
      <c r="K116" s="689"/>
      <c r="L116" s="689"/>
    </row>
    <row r="117" spans="1:12">
      <c r="A117" s="610"/>
      <c r="B117" s="610"/>
      <c r="C117" s="711" t="s">
        <v>3665</v>
      </c>
      <c r="D117" s="711" t="s">
        <v>3664</v>
      </c>
      <c r="E117" s="689" t="s">
        <v>239</v>
      </c>
      <c r="F117" s="653"/>
      <c r="G117" s="654"/>
      <c r="H117" s="720">
        <v>150</v>
      </c>
      <c r="I117" s="720">
        <v>180</v>
      </c>
      <c r="J117" s="689"/>
      <c r="K117" s="689" t="s">
        <v>682</v>
      </c>
      <c r="L117" s="689">
        <f t="shared" ref="L117" si="99">K117-I117</f>
        <v>0</v>
      </c>
    </row>
    <row r="118" spans="1:12">
      <c r="A118" s="611"/>
      <c r="B118" s="611"/>
      <c r="C118" s="712"/>
      <c r="D118" s="712"/>
      <c r="E118" s="689"/>
      <c r="F118" s="655"/>
      <c r="G118" s="656"/>
      <c r="H118" s="689"/>
      <c r="I118" s="689"/>
      <c r="J118" s="689"/>
      <c r="K118" s="689"/>
      <c r="L118" s="689"/>
    </row>
    <row r="119" spans="1:12">
      <c r="A119" s="610"/>
      <c r="B119" s="610"/>
      <c r="C119" s="711" t="s">
        <v>158</v>
      </c>
      <c r="D119" s="711" t="s">
        <v>3653</v>
      </c>
      <c r="E119" s="689" t="s">
        <v>3388</v>
      </c>
      <c r="F119" s="689"/>
      <c r="G119" s="689"/>
      <c r="H119" s="720">
        <v>300</v>
      </c>
      <c r="I119" s="689">
        <f t="shared" ref="I119" si="100">H119</f>
        <v>300</v>
      </c>
      <c r="J119" s="689"/>
      <c r="K119" s="689" t="s">
        <v>1084</v>
      </c>
      <c r="L119" s="689">
        <f t="shared" ref="L119" si="101">K119-I119</f>
        <v>0</v>
      </c>
    </row>
    <row r="120" spans="1:12">
      <c r="A120" s="611"/>
      <c r="B120" s="611"/>
      <c r="C120" s="712"/>
      <c r="D120" s="712"/>
      <c r="E120" s="689"/>
      <c r="F120" s="689"/>
      <c r="G120" s="689"/>
      <c r="H120" s="689"/>
      <c r="I120" s="689"/>
      <c r="J120" s="689"/>
      <c r="K120" s="689"/>
      <c r="L120" s="689"/>
    </row>
    <row r="121" spans="1:12">
      <c r="A121" s="610"/>
      <c r="B121" s="610"/>
      <c r="C121" s="711" t="s">
        <v>159</v>
      </c>
      <c r="D121" s="711" t="s">
        <v>3653</v>
      </c>
      <c r="E121" s="689" t="s">
        <v>2723</v>
      </c>
      <c r="F121" s="689"/>
      <c r="G121" s="689"/>
      <c r="H121" s="720">
        <v>350</v>
      </c>
      <c r="I121" s="689">
        <f t="shared" ref="I121" si="102">H121</f>
        <v>350</v>
      </c>
      <c r="J121" s="689"/>
      <c r="K121" s="689" t="s">
        <v>2784</v>
      </c>
      <c r="L121" s="689">
        <f t="shared" ref="L121" si="103">K121-I121</f>
        <v>0</v>
      </c>
    </row>
    <row r="122" spans="1:12">
      <c r="A122" s="611"/>
      <c r="B122" s="611"/>
      <c r="C122" s="712"/>
      <c r="D122" s="712"/>
      <c r="E122" s="689"/>
      <c r="F122" s="689"/>
      <c r="G122" s="689"/>
      <c r="H122" s="689"/>
      <c r="I122" s="689"/>
      <c r="J122" s="689"/>
      <c r="K122" s="689"/>
      <c r="L122" s="689"/>
    </row>
    <row r="123" spans="1:12">
      <c r="A123" s="610"/>
      <c r="B123" s="610"/>
      <c r="C123" s="711" t="s">
        <v>162</v>
      </c>
      <c r="D123" s="711" t="s">
        <v>3653</v>
      </c>
      <c r="E123" s="689" t="s">
        <v>3309</v>
      </c>
      <c r="F123" s="689"/>
      <c r="G123" s="689"/>
      <c r="H123" s="689">
        <v>600</v>
      </c>
      <c r="I123" s="689">
        <f t="shared" ref="I123" si="104">H123</f>
        <v>600</v>
      </c>
      <c r="J123" s="689"/>
      <c r="K123" s="689" t="s">
        <v>3588</v>
      </c>
      <c r="L123" s="689">
        <f t="shared" ref="L123" si="105">K123-I123</f>
        <v>0</v>
      </c>
    </row>
    <row r="124" spans="1:12">
      <c r="A124" s="611"/>
      <c r="B124" s="611"/>
      <c r="C124" s="712"/>
      <c r="D124" s="712"/>
      <c r="E124" s="689"/>
      <c r="F124" s="689"/>
      <c r="G124" s="689"/>
      <c r="H124" s="689"/>
      <c r="I124" s="689"/>
      <c r="J124" s="689"/>
      <c r="K124" s="689"/>
      <c r="L124" s="689"/>
    </row>
    <row r="125" spans="1:12">
      <c r="A125" s="610" t="s">
        <v>79</v>
      </c>
      <c r="B125" s="610" t="s">
        <v>3008</v>
      </c>
      <c r="C125" s="711" t="s">
        <v>3656</v>
      </c>
      <c r="D125" s="711" t="s">
        <v>3647</v>
      </c>
      <c r="E125" s="689" t="s">
        <v>239</v>
      </c>
      <c r="F125" s="689"/>
      <c r="G125" s="689"/>
      <c r="H125" s="720">
        <v>1350</v>
      </c>
      <c r="I125" s="689">
        <f t="shared" ref="I125" si="106">H125</f>
        <v>1350</v>
      </c>
      <c r="J125" s="689"/>
      <c r="K125" s="689" t="s">
        <v>3593</v>
      </c>
      <c r="L125" s="689">
        <f t="shared" ref="L125" si="107">K125-I125</f>
        <v>0</v>
      </c>
    </row>
    <row r="126" spans="1:12">
      <c r="A126" s="611"/>
      <c r="B126" s="611"/>
      <c r="C126" s="712"/>
      <c r="D126" s="712"/>
      <c r="E126" s="689"/>
      <c r="F126" s="689"/>
      <c r="G126" s="689"/>
      <c r="H126" s="689"/>
      <c r="I126" s="689"/>
      <c r="J126" s="689"/>
      <c r="K126" s="689"/>
      <c r="L126" s="689"/>
    </row>
    <row r="127" spans="1:12">
      <c r="A127" s="610"/>
      <c r="B127" s="610"/>
      <c r="C127" s="610" t="s">
        <v>163</v>
      </c>
      <c r="D127" s="711" t="s">
        <v>3654</v>
      </c>
      <c r="E127" s="711" t="s">
        <v>2348</v>
      </c>
      <c r="F127" s="689"/>
      <c r="G127" s="689"/>
      <c r="H127" s="689">
        <v>50</v>
      </c>
      <c r="I127" s="689">
        <f t="shared" ref="I127" si="108">H127</f>
        <v>50</v>
      </c>
      <c r="J127" s="689"/>
      <c r="K127" s="689" t="s">
        <v>192</v>
      </c>
      <c r="L127" s="689">
        <f t="shared" ref="L127" si="109">K127-I127</f>
        <v>0</v>
      </c>
    </row>
    <row r="128" spans="1:12">
      <c r="A128" s="611"/>
      <c r="B128" s="611"/>
      <c r="D128" s="712"/>
      <c r="E128" s="712"/>
      <c r="F128" s="689"/>
      <c r="G128" s="689"/>
      <c r="H128" s="689"/>
      <c r="I128" s="689"/>
      <c r="J128" s="689"/>
      <c r="K128" s="689"/>
      <c r="L128" s="689"/>
    </row>
    <row r="129" spans="1:12">
      <c r="A129" s="610"/>
      <c r="B129" s="610"/>
      <c r="C129" s="610" t="s">
        <v>23</v>
      </c>
      <c r="D129" s="711" t="s">
        <v>3654</v>
      </c>
      <c r="E129" s="711" t="s">
        <v>3309</v>
      </c>
      <c r="F129" s="689"/>
      <c r="G129" s="689"/>
      <c r="H129" s="689">
        <v>380</v>
      </c>
      <c r="I129" s="689">
        <f t="shared" ref="I129" si="110">H129</f>
        <v>380</v>
      </c>
      <c r="J129" s="689"/>
      <c r="K129" s="689" t="s">
        <v>3448</v>
      </c>
      <c r="L129" s="689">
        <f t="shared" ref="L129" si="111">K129-I129</f>
        <v>0</v>
      </c>
    </row>
    <row r="130" spans="1:12">
      <c r="A130" s="611"/>
      <c r="B130" s="611"/>
      <c r="C130" s="611"/>
      <c r="D130" s="712"/>
      <c r="E130" s="712"/>
      <c r="F130" s="689"/>
      <c r="G130" s="689"/>
      <c r="H130" s="689"/>
      <c r="I130" s="689"/>
      <c r="J130" s="689"/>
      <c r="K130" s="689"/>
      <c r="L130" s="689"/>
    </row>
    <row r="131" spans="1:12">
      <c r="A131" s="610"/>
      <c r="B131" s="610"/>
      <c r="C131" s="610" t="s">
        <v>164</v>
      </c>
      <c r="D131" s="711" t="s">
        <v>3654</v>
      </c>
      <c r="E131" s="743" t="s">
        <v>1140</v>
      </c>
      <c r="F131" s="689"/>
      <c r="G131" s="689"/>
      <c r="H131" s="689">
        <v>600</v>
      </c>
      <c r="I131" s="689">
        <f t="shared" ref="I131" si="112">H131</f>
        <v>600</v>
      </c>
      <c r="J131" s="689"/>
      <c r="K131" s="689" t="s">
        <v>3588</v>
      </c>
      <c r="L131" s="689">
        <f t="shared" ref="L131" si="113">K131-I131</f>
        <v>0</v>
      </c>
    </row>
    <row r="132" spans="1:12">
      <c r="A132" s="611"/>
      <c r="B132" s="611"/>
      <c r="C132" s="611"/>
      <c r="D132" s="712"/>
      <c r="E132" s="744"/>
      <c r="F132" s="689"/>
      <c r="G132" s="689"/>
      <c r="H132" s="689"/>
      <c r="I132" s="689"/>
      <c r="J132" s="689"/>
      <c r="K132" s="689"/>
      <c r="L132" s="689"/>
    </row>
    <row r="133" spans="1:12">
      <c r="A133" s="610" t="s">
        <v>80</v>
      </c>
      <c r="B133" s="610" t="s">
        <v>3298</v>
      </c>
      <c r="C133" s="711" t="s">
        <v>3667</v>
      </c>
      <c r="D133" s="711" t="s">
        <v>3654</v>
      </c>
      <c r="E133" s="689" t="s">
        <v>239</v>
      </c>
      <c r="F133" s="689"/>
      <c r="G133" s="689"/>
      <c r="H133" s="720">
        <v>1350</v>
      </c>
      <c r="I133" s="689">
        <f t="shared" ref="I133" si="114">H133</f>
        <v>1350</v>
      </c>
      <c r="J133" s="689"/>
      <c r="K133" s="689" t="s">
        <v>3593</v>
      </c>
      <c r="L133" s="689">
        <f t="shared" ref="L133" si="115">K133-I133</f>
        <v>0</v>
      </c>
    </row>
    <row r="134" spans="1:12">
      <c r="A134" s="611"/>
      <c r="B134" s="611"/>
      <c r="C134" s="712"/>
      <c r="D134" s="712"/>
      <c r="E134" s="689"/>
      <c r="F134" s="689"/>
      <c r="G134" s="689"/>
      <c r="H134" s="689"/>
      <c r="I134" s="689"/>
      <c r="J134" s="689"/>
      <c r="K134" s="689"/>
      <c r="L134" s="689"/>
    </row>
    <row r="135" spans="1:12">
      <c r="A135" s="610"/>
      <c r="B135" s="610"/>
      <c r="C135" s="610" t="s">
        <v>165</v>
      </c>
      <c r="D135" s="711" t="s">
        <v>3653</v>
      </c>
      <c r="E135" s="689" t="s">
        <v>3655</v>
      </c>
      <c r="F135" s="653"/>
      <c r="G135" s="654"/>
      <c r="H135" s="689">
        <v>100</v>
      </c>
      <c r="I135" s="689">
        <f t="shared" ref="I135" si="116">H135</f>
        <v>100</v>
      </c>
      <c r="J135" s="689"/>
      <c r="K135" s="689" t="s">
        <v>361</v>
      </c>
      <c r="L135" s="689">
        <f t="shared" ref="L135" si="117">K135-I135</f>
        <v>0</v>
      </c>
    </row>
    <row r="136" spans="1:12">
      <c r="A136" s="611"/>
      <c r="B136" s="611"/>
      <c r="C136" s="611"/>
      <c r="D136" s="712"/>
      <c r="E136" s="689"/>
      <c r="F136" s="655"/>
      <c r="G136" s="656"/>
      <c r="H136" s="689"/>
      <c r="I136" s="689"/>
      <c r="J136" s="689"/>
      <c r="K136" s="689"/>
      <c r="L136" s="689"/>
    </row>
    <row r="137" spans="1:12">
      <c r="A137" s="610"/>
      <c r="B137" s="610"/>
      <c r="C137" s="610" t="s">
        <v>166</v>
      </c>
      <c r="D137" s="711" t="s">
        <v>3653</v>
      </c>
      <c r="E137" s="689" t="s">
        <v>1601</v>
      </c>
      <c r="F137" s="653"/>
      <c r="G137" s="654"/>
      <c r="H137" s="720">
        <v>420</v>
      </c>
      <c r="I137" s="689">
        <f t="shared" ref="I137" si="118">H137</f>
        <v>420</v>
      </c>
      <c r="J137" s="689"/>
      <c r="K137" s="689" t="s">
        <v>3657</v>
      </c>
      <c r="L137" s="689">
        <f t="shared" ref="L137" si="119">K137-I137</f>
        <v>0</v>
      </c>
    </row>
    <row r="138" spans="1:12">
      <c r="A138" s="611"/>
      <c r="B138" s="611"/>
      <c r="C138" s="611"/>
      <c r="D138" s="712"/>
      <c r="E138" s="689"/>
      <c r="F138" s="655"/>
      <c r="G138" s="656"/>
      <c r="H138" s="689"/>
      <c r="I138" s="689"/>
      <c r="J138" s="689"/>
      <c r="K138" s="689"/>
      <c r="L138" s="689"/>
    </row>
    <row r="139" spans="1:12">
      <c r="A139" s="610"/>
      <c r="B139" s="610"/>
      <c r="C139" s="610" t="s">
        <v>183</v>
      </c>
      <c r="D139" s="711" t="s">
        <v>3653</v>
      </c>
      <c r="E139" s="689" t="s">
        <v>3025</v>
      </c>
      <c r="F139" s="653"/>
      <c r="G139" s="654"/>
      <c r="H139" s="720">
        <v>94</v>
      </c>
      <c r="I139" s="689">
        <f t="shared" ref="I139" si="120">H139</f>
        <v>94</v>
      </c>
      <c r="J139" s="689"/>
      <c r="K139" s="689" t="s">
        <v>348</v>
      </c>
      <c r="L139" s="689">
        <f t="shared" ref="L139" si="121">K139-I139</f>
        <v>0</v>
      </c>
    </row>
    <row r="140" spans="1:12">
      <c r="A140" s="611"/>
      <c r="B140" s="611"/>
      <c r="C140" s="611"/>
      <c r="D140" s="712"/>
      <c r="E140" s="689"/>
      <c r="F140" s="655"/>
      <c r="G140" s="656"/>
      <c r="H140" s="689"/>
      <c r="I140" s="689"/>
      <c r="J140" s="689"/>
      <c r="K140" s="689"/>
      <c r="L140" s="689"/>
    </row>
    <row r="141" spans="1:12">
      <c r="A141" s="610" t="s">
        <v>81</v>
      </c>
      <c r="B141" s="711" t="s">
        <v>3008</v>
      </c>
      <c r="C141" s="711" t="s">
        <v>3661</v>
      </c>
      <c r="D141" s="711" t="s">
        <v>3653</v>
      </c>
      <c r="E141" s="689" t="s">
        <v>239</v>
      </c>
      <c r="F141" s="653"/>
      <c r="G141" s="654"/>
      <c r="H141" s="720">
        <v>41542</v>
      </c>
      <c r="I141" s="720">
        <v>1350</v>
      </c>
      <c r="J141" s="689"/>
      <c r="K141" s="689" t="s">
        <v>3593</v>
      </c>
      <c r="L141" s="689">
        <f t="shared" ref="L141" si="122">K141-I141</f>
        <v>0</v>
      </c>
    </row>
    <row r="142" spans="1:12">
      <c r="A142" s="611"/>
      <c r="B142" s="712"/>
      <c r="C142" s="712"/>
      <c r="D142" s="712"/>
      <c r="E142" s="689"/>
      <c r="F142" s="655"/>
      <c r="G142" s="656"/>
      <c r="H142" s="689"/>
      <c r="I142" s="689"/>
      <c r="J142" s="689"/>
      <c r="K142" s="689"/>
      <c r="L142" s="689"/>
    </row>
    <row r="143" spans="1:12">
      <c r="A143" s="610"/>
      <c r="B143" s="610"/>
      <c r="C143" s="610" t="s">
        <v>184</v>
      </c>
      <c r="D143" s="711" t="s">
        <v>3660</v>
      </c>
      <c r="E143" s="689" t="s">
        <v>3226</v>
      </c>
      <c r="F143" s="653"/>
      <c r="G143" s="654"/>
      <c r="H143" s="720">
        <v>450</v>
      </c>
      <c r="I143" s="689">
        <f t="shared" ref="I143" si="123">H143</f>
        <v>450</v>
      </c>
      <c r="J143" s="689"/>
      <c r="K143" s="689" t="s">
        <v>3592</v>
      </c>
      <c r="L143" s="689">
        <f t="shared" ref="L143" si="124">K143-I143</f>
        <v>0</v>
      </c>
    </row>
    <row r="144" spans="1:12">
      <c r="A144" s="611"/>
      <c r="B144" s="611"/>
      <c r="C144" s="611"/>
      <c r="D144" s="712"/>
      <c r="E144" s="689"/>
      <c r="F144" s="655"/>
      <c r="G144" s="656"/>
      <c r="H144" s="689"/>
      <c r="I144" s="689"/>
      <c r="J144" s="689"/>
      <c r="K144" s="689"/>
      <c r="L144" s="689"/>
    </row>
    <row r="145" spans="1:13">
      <c r="A145" s="610"/>
      <c r="B145" s="610"/>
      <c r="C145" s="610" t="s">
        <v>188</v>
      </c>
      <c r="D145" s="711" t="s">
        <v>3659</v>
      </c>
      <c r="E145" s="689" t="s">
        <v>2376</v>
      </c>
      <c r="F145" s="653"/>
      <c r="G145" s="654"/>
      <c r="H145" s="720">
        <v>60</v>
      </c>
      <c r="I145" s="689">
        <f t="shared" ref="I145" si="125">H145</f>
        <v>60</v>
      </c>
      <c r="J145" s="689"/>
      <c r="K145" s="689" t="s">
        <v>231</v>
      </c>
      <c r="L145" s="689">
        <f t="shared" ref="L145" si="126">K145-I145</f>
        <v>0</v>
      </c>
    </row>
    <row r="146" spans="1:13">
      <c r="A146" s="611"/>
      <c r="B146" s="611"/>
      <c r="C146" s="611"/>
      <c r="D146" s="712"/>
      <c r="E146" s="689"/>
      <c r="F146" s="655"/>
      <c r="G146" s="656"/>
      <c r="H146" s="689"/>
      <c r="I146" s="689"/>
      <c r="J146" s="689"/>
      <c r="K146" s="689"/>
      <c r="L146" s="689"/>
    </row>
    <row r="147" spans="1:13">
      <c r="A147" s="610"/>
      <c r="B147" s="610"/>
      <c r="C147" s="610" t="s">
        <v>190</v>
      </c>
      <c r="D147" s="711" t="s">
        <v>3659</v>
      </c>
      <c r="E147" s="689" t="s">
        <v>2517</v>
      </c>
      <c r="F147" s="653"/>
      <c r="G147" s="654"/>
      <c r="H147" s="720">
        <v>430</v>
      </c>
      <c r="I147" s="689">
        <f t="shared" ref="I147" si="127">H147</f>
        <v>430</v>
      </c>
      <c r="J147" s="689"/>
      <c r="K147" s="689" t="s">
        <v>3797</v>
      </c>
      <c r="L147" s="689">
        <f t="shared" ref="L147" si="128">K147-I147</f>
        <v>0</v>
      </c>
    </row>
    <row r="148" spans="1:13">
      <c r="A148" s="611"/>
      <c r="B148" s="611"/>
      <c r="C148" s="611"/>
      <c r="D148" s="712"/>
      <c r="E148" s="689"/>
      <c r="F148" s="655"/>
      <c r="G148" s="656"/>
      <c r="H148" s="689"/>
      <c r="I148" s="689"/>
      <c r="J148" s="689"/>
      <c r="K148" s="689"/>
      <c r="L148" s="689"/>
    </row>
    <row r="149" spans="1:13">
      <c r="A149" s="711" t="s">
        <v>82</v>
      </c>
      <c r="B149" s="711" t="s">
        <v>3098</v>
      </c>
      <c r="C149" s="711" t="s">
        <v>3663</v>
      </c>
      <c r="D149" s="711" t="s">
        <v>3662</v>
      </c>
      <c r="E149" s="689" t="s">
        <v>239</v>
      </c>
      <c r="F149" s="653"/>
      <c r="G149" s="654"/>
      <c r="H149" s="720">
        <v>41745</v>
      </c>
      <c r="I149" s="720">
        <v>1350</v>
      </c>
      <c r="J149" s="689"/>
      <c r="K149" s="689" t="s">
        <v>3593</v>
      </c>
      <c r="L149" s="689">
        <f t="shared" ref="L149" si="129">K149-I149</f>
        <v>0</v>
      </c>
    </row>
    <row r="150" spans="1:13">
      <c r="A150" s="712"/>
      <c r="B150" s="712"/>
      <c r="C150" s="712"/>
      <c r="D150" s="712"/>
      <c r="E150" s="689"/>
      <c r="F150" s="655"/>
      <c r="G150" s="656"/>
      <c r="H150" s="689"/>
      <c r="I150" s="689"/>
      <c r="J150" s="689"/>
      <c r="K150" s="689"/>
      <c r="L150" s="689"/>
    </row>
    <row r="151" spans="1:13">
      <c r="A151" s="711"/>
      <c r="B151" s="711"/>
      <c r="C151" s="711" t="s">
        <v>192</v>
      </c>
      <c r="D151" s="711" t="s">
        <v>3658</v>
      </c>
      <c r="E151" s="689" t="s">
        <v>2517</v>
      </c>
      <c r="F151" s="653"/>
      <c r="G151" s="654"/>
      <c r="H151" s="720">
        <v>250</v>
      </c>
      <c r="I151" s="689">
        <f t="shared" ref="I151" si="130">H151</f>
        <v>250</v>
      </c>
      <c r="J151" s="689"/>
      <c r="K151" s="689" t="s">
        <v>921</v>
      </c>
      <c r="L151" s="689">
        <f t="shared" ref="L151" si="131">K151-I151</f>
        <v>0</v>
      </c>
    </row>
    <row r="152" spans="1:13">
      <c r="A152" s="712"/>
      <c r="B152" s="712"/>
      <c r="C152" s="712"/>
      <c r="D152" s="712"/>
      <c r="E152" s="689"/>
      <c r="F152" s="655"/>
      <c r="G152" s="656"/>
      <c r="H152" s="689"/>
      <c r="I152" s="689"/>
      <c r="J152" s="689"/>
      <c r="K152" s="689"/>
      <c r="L152" s="689"/>
    </row>
    <row r="153" spans="1:13">
      <c r="A153" s="711"/>
      <c r="B153" s="711"/>
      <c r="C153" s="711" t="s">
        <v>194</v>
      </c>
      <c r="D153" s="711" t="s">
        <v>3658</v>
      </c>
      <c r="E153" s="711" t="s">
        <v>1601</v>
      </c>
      <c r="F153" s="653"/>
      <c r="G153" s="654"/>
      <c r="H153" s="720">
        <v>900</v>
      </c>
      <c r="I153" s="689">
        <f t="shared" ref="I153" si="132">H153</f>
        <v>900</v>
      </c>
      <c r="J153" s="689"/>
      <c r="K153" s="689" t="s">
        <v>3702</v>
      </c>
      <c r="L153" s="689">
        <f t="shared" ref="L153" si="133">K153-I153</f>
        <v>0</v>
      </c>
    </row>
    <row r="154" spans="1:13">
      <c r="A154" s="712"/>
      <c r="B154" s="712"/>
      <c r="C154" s="712"/>
      <c r="D154" s="712"/>
      <c r="E154" s="712"/>
      <c r="F154" s="655"/>
      <c r="G154" s="656"/>
      <c r="H154" s="689"/>
      <c r="I154" s="689"/>
      <c r="J154" s="689"/>
      <c r="K154" s="689"/>
      <c r="L154" s="689"/>
    </row>
    <row r="155" spans="1:13">
      <c r="A155" s="711" t="s">
        <v>84</v>
      </c>
      <c r="B155" s="711" t="s">
        <v>3281</v>
      </c>
      <c r="C155" s="711" t="s">
        <v>3669</v>
      </c>
      <c r="D155" s="711" t="s">
        <v>3668</v>
      </c>
      <c r="E155" s="689" t="s">
        <v>239</v>
      </c>
      <c r="F155" s="653"/>
      <c r="G155" s="654"/>
      <c r="H155" s="720">
        <v>1350</v>
      </c>
      <c r="I155" s="720">
        <v>1350</v>
      </c>
      <c r="J155" s="689"/>
      <c r="K155" s="689" t="s">
        <v>3593</v>
      </c>
      <c r="L155" s="689">
        <f t="shared" ref="L155" si="134">K155-I155</f>
        <v>0</v>
      </c>
    </row>
    <row r="156" spans="1:13">
      <c r="A156" s="712"/>
      <c r="B156" s="712"/>
      <c r="C156" s="712"/>
      <c r="D156" s="712"/>
      <c r="E156" s="689"/>
      <c r="F156" s="655"/>
      <c r="G156" s="656"/>
      <c r="H156" s="689"/>
      <c r="I156" s="689"/>
      <c r="J156" s="689"/>
      <c r="K156" s="689"/>
      <c r="L156" s="689"/>
    </row>
    <row r="157" spans="1:13">
      <c r="A157" s="714" t="s">
        <v>150</v>
      </c>
      <c r="B157" s="715"/>
      <c r="C157" s="715"/>
      <c r="D157" s="715"/>
      <c r="E157" s="715"/>
      <c r="F157" s="715"/>
      <c r="G157" s="715"/>
      <c r="H157" s="715"/>
      <c r="I157" s="715"/>
      <c r="J157" s="715"/>
      <c r="K157" s="715"/>
      <c r="L157" s="716"/>
    </row>
    <row r="158" spans="1:13">
      <c r="A158" s="717"/>
      <c r="B158" s="718"/>
      <c r="C158" s="718"/>
      <c r="D158" s="718"/>
      <c r="E158" s="718"/>
      <c r="F158" s="718"/>
      <c r="G158" s="718"/>
      <c r="H158" s="718"/>
      <c r="I158" s="718"/>
      <c r="J158" s="718"/>
      <c r="K158" s="718"/>
      <c r="L158" s="719"/>
    </row>
    <row r="159" spans="1:13">
      <c r="A159" s="658"/>
      <c r="B159" s="658"/>
      <c r="C159" s="658" t="s">
        <v>201</v>
      </c>
      <c r="D159" s="658" t="s">
        <v>3673</v>
      </c>
      <c r="E159" s="711" t="s">
        <v>2780</v>
      </c>
      <c r="F159" s="714"/>
      <c r="G159" s="716"/>
      <c r="H159" s="720">
        <v>320</v>
      </c>
      <c r="I159" s="689">
        <f t="shared" ref="I159" si="135">H159</f>
        <v>320</v>
      </c>
      <c r="J159" s="689"/>
      <c r="K159" s="689" t="s">
        <v>2702</v>
      </c>
      <c r="L159" s="689">
        <f t="shared" ref="L159" si="136">K159-I159</f>
        <v>0</v>
      </c>
      <c r="M159" s="615">
        <f>SUM(I159:I164,I169:I270,I275:I278,I281)</f>
        <v>27425</v>
      </c>
    </row>
    <row r="160" spans="1:13">
      <c r="A160" s="658"/>
      <c r="B160" s="658"/>
      <c r="C160" s="658"/>
      <c r="D160" s="658"/>
      <c r="E160" s="712"/>
      <c r="F160" s="717"/>
      <c r="G160" s="719"/>
      <c r="H160" s="689"/>
      <c r="I160" s="689"/>
      <c r="J160" s="689"/>
      <c r="K160" s="689"/>
      <c r="L160" s="689"/>
    </row>
    <row r="161" spans="1:13">
      <c r="A161" s="658"/>
      <c r="B161" s="658"/>
      <c r="C161" s="658" t="s">
        <v>202</v>
      </c>
      <c r="D161" s="658" t="s">
        <v>3673</v>
      </c>
      <c r="E161" s="711" t="s">
        <v>3670</v>
      </c>
      <c r="F161" s="653"/>
      <c r="G161" s="654"/>
      <c r="H161" s="720">
        <v>250</v>
      </c>
      <c r="I161" s="689">
        <f t="shared" ref="I161" si="137">H161</f>
        <v>250</v>
      </c>
      <c r="J161" s="689"/>
      <c r="K161" s="689" t="s">
        <v>921</v>
      </c>
      <c r="L161" s="689">
        <f t="shared" ref="L161" si="138">K161-I161</f>
        <v>0</v>
      </c>
      <c r="M161" s="6" t="s">
        <v>3798</v>
      </c>
    </row>
    <row r="162" spans="1:13">
      <c r="A162" s="658"/>
      <c r="B162" s="658"/>
      <c r="C162" s="658"/>
      <c r="D162" s="658"/>
      <c r="E162" s="712"/>
      <c r="F162" s="655"/>
      <c r="G162" s="656"/>
      <c r="H162" s="689"/>
      <c r="I162" s="689"/>
      <c r="J162" s="689"/>
      <c r="K162" s="689"/>
      <c r="L162" s="689"/>
    </row>
    <row r="163" spans="1:13">
      <c r="A163" s="658"/>
      <c r="B163" s="658"/>
      <c r="C163" s="658" t="s">
        <v>212</v>
      </c>
      <c r="D163" s="658" t="s">
        <v>3674</v>
      </c>
      <c r="E163" s="711" t="s">
        <v>3671</v>
      </c>
      <c r="F163" s="653"/>
      <c r="G163" s="654"/>
      <c r="H163" s="720">
        <v>550</v>
      </c>
      <c r="I163" s="689">
        <f t="shared" ref="I163" si="139">H163</f>
        <v>550</v>
      </c>
      <c r="J163" s="689"/>
      <c r="K163" s="689" t="s">
        <v>3697</v>
      </c>
      <c r="L163" s="689">
        <f t="shared" ref="L163" si="140">K163-I163</f>
        <v>0</v>
      </c>
    </row>
    <row r="164" spans="1:13">
      <c r="A164" s="658"/>
      <c r="B164" s="658"/>
      <c r="C164" s="658"/>
      <c r="D164" s="658"/>
      <c r="E164" s="712"/>
      <c r="F164" s="655"/>
      <c r="G164" s="656"/>
      <c r="H164" s="689"/>
      <c r="I164" s="689"/>
      <c r="J164" s="689"/>
      <c r="K164" s="689"/>
      <c r="L164" s="689"/>
    </row>
    <row r="165" spans="1:13">
      <c r="A165" s="689" t="s">
        <v>85</v>
      </c>
      <c r="B165" s="689" t="s">
        <v>3601</v>
      </c>
      <c r="C165" s="689" t="s">
        <v>3675</v>
      </c>
      <c r="D165" s="713" t="s">
        <v>3668</v>
      </c>
      <c r="E165" s="689" t="s">
        <v>239</v>
      </c>
      <c r="F165" s="653"/>
      <c r="G165" s="654"/>
      <c r="H165" s="720">
        <v>41644</v>
      </c>
      <c r="I165" s="720">
        <v>1350</v>
      </c>
      <c r="J165" s="689"/>
      <c r="K165" s="689" t="s">
        <v>3593</v>
      </c>
      <c r="L165" s="689">
        <f t="shared" ref="L165" si="141">K165-I165</f>
        <v>0</v>
      </c>
    </row>
    <row r="166" spans="1:13">
      <c r="A166" s="689"/>
      <c r="B166" s="689"/>
      <c r="C166" s="689"/>
      <c r="D166" s="713"/>
      <c r="E166" s="689"/>
      <c r="F166" s="655"/>
      <c r="G166" s="656"/>
      <c r="H166" s="689"/>
      <c r="I166" s="689"/>
      <c r="J166" s="689"/>
      <c r="K166" s="689"/>
      <c r="L166" s="689"/>
    </row>
    <row r="167" spans="1:13">
      <c r="A167" s="689"/>
      <c r="B167" s="689"/>
      <c r="C167" s="689" t="s">
        <v>3672</v>
      </c>
      <c r="D167" s="713" t="s">
        <v>3658</v>
      </c>
      <c r="E167" s="689" t="s">
        <v>239</v>
      </c>
      <c r="F167" s="714"/>
      <c r="G167" s="716"/>
      <c r="H167" s="689">
        <v>150</v>
      </c>
      <c r="I167" s="689">
        <v>180</v>
      </c>
      <c r="J167" s="689"/>
      <c r="K167" s="689" t="s">
        <v>682</v>
      </c>
      <c r="L167" s="689">
        <f t="shared" ref="L167" si="142">K167-I167</f>
        <v>0</v>
      </c>
    </row>
    <row r="168" spans="1:13">
      <c r="A168" s="689"/>
      <c r="B168" s="689"/>
      <c r="C168" s="689"/>
      <c r="D168" s="713"/>
      <c r="E168" s="689"/>
      <c r="F168" s="717"/>
      <c r="G168" s="719"/>
      <c r="H168" s="689"/>
      <c r="I168" s="689"/>
      <c r="J168" s="689"/>
      <c r="K168" s="689"/>
      <c r="L168" s="689"/>
    </row>
    <row r="169" spans="1:13">
      <c r="A169" s="689"/>
      <c r="B169" s="689"/>
      <c r="C169" s="689" t="s">
        <v>214</v>
      </c>
      <c r="D169" s="689" t="s">
        <v>3674</v>
      </c>
      <c r="E169" s="689" t="s">
        <v>2723</v>
      </c>
      <c r="F169" s="689"/>
      <c r="G169" s="689"/>
      <c r="H169" s="720">
        <v>200</v>
      </c>
      <c r="I169" s="689">
        <f t="shared" ref="I169" si="143">H169</f>
        <v>200</v>
      </c>
      <c r="J169" s="689"/>
      <c r="K169" s="689" t="s">
        <v>735</v>
      </c>
      <c r="L169" s="689">
        <f t="shared" ref="L169" si="144">K169-I169</f>
        <v>0</v>
      </c>
    </row>
    <row r="170" spans="1:13">
      <c r="A170" s="689"/>
      <c r="B170" s="689"/>
      <c r="C170" s="689"/>
      <c r="D170" s="689"/>
      <c r="E170" s="689"/>
      <c r="F170" s="689"/>
      <c r="G170" s="689"/>
      <c r="H170" s="689"/>
      <c r="I170" s="689"/>
      <c r="J170" s="689"/>
      <c r="K170" s="689"/>
      <c r="L170" s="689"/>
    </row>
    <row r="171" spans="1:13">
      <c r="A171" s="689"/>
      <c r="B171" s="689"/>
      <c r="C171" s="689" t="s">
        <v>215</v>
      </c>
      <c r="D171" s="689" t="s">
        <v>3674</v>
      </c>
      <c r="E171" s="689" t="s">
        <v>2723</v>
      </c>
      <c r="F171" s="689"/>
      <c r="G171" s="689"/>
      <c r="H171" s="720">
        <v>450</v>
      </c>
      <c r="I171" s="689">
        <f t="shared" ref="I171" si="145">H171</f>
        <v>450</v>
      </c>
      <c r="J171" s="689"/>
      <c r="K171" s="689" t="s">
        <v>3592</v>
      </c>
      <c r="L171" s="689">
        <f t="shared" ref="L171" si="146">K171-I171</f>
        <v>0</v>
      </c>
    </row>
    <row r="172" spans="1:13">
      <c r="A172" s="689"/>
      <c r="B172" s="689"/>
      <c r="C172" s="689"/>
      <c r="D172" s="689"/>
      <c r="E172" s="689"/>
      <c r="F172" s="689"/>
      <c r="G172" s="689"/>
      <c r="H172" s="689"/>
      <c r="I172" s="689"/>
      <c r="J172" s="689"/>
      <c r="K172" s="689"/>
      <c r="L172" s="689"/>
    </row>
    <row r="173" spans="1:13">
      <c r="A173" s="689"/>
      <c r="B173" s="689"/>
      <c r="C173" s="689" t="s">
        <v>221</v>
      </c>
      <c r="D173" s="689" t="s">
        <v>3674</v>
      </c>
      <c r="E173" s="689" t="s">
        <v>1601</v>
      </c>
      <c r="F173" s="689"/>
      <c r="G173" s="689"/>
      <c r="H173" s="689" t="s">
        <v>735</v>
      </c>
      <c r="I173" s="689" t="str">
        <f t="shared" ref="I173" si="147">H173</f>
        <v>200</v>
      </c>
      <c r="J173" s="689"/>
      <c r="K173" s="689" t="s">
        <v>735</v>
      </c>
      <c r="L173" s="689">
        <f t="shared" ref="L173" si="148">K173-I173</f>
        <v>0</v>
      </c>
    </row>
    <row r="174" spans="1:13">
      <c r="A174" s="689"/>
      <c r="B174" s="689"/>
      <c r="C174" s="689"/>
      <c r="D174" s="689"/>
      <c r="E174" s="689"/>
      <c r="F174" s="689"/>
      <c r="G174" s="689"/>
      <c r="H174" s="689"/>
      <c r="I174" s="689"/>
      <c r="J174" s="689"/>
      <c r="K174" s="689"/>
      <c r="L174" s="689"/>
    </row>
    <row r="175" spans="1:13">
      <c r="A175" s="689"/>
      <c r="B175" s="689"/>
      <c r="C175" s="689" t="s">
        <v>222</v>
      </c>
      <c r="D175" s="689" t="s">
        <v>3674</v>
      </c>
      <c r="E175" s="689" t="s">
        <v>2348</v>
      </c>
      <c r="F175" s="689"/>
      <c r="G175" s="689"/>
      <c r="H175" s="689">
        <v>50</v>
      </c>
      <c r="I175" s="689">
        <f t="shared" ref="I175" si="149">H175</f>
        <v>50</v>
      </c>
      <c r="J175" s="689"/>
      <c r="K175" s="689" t="s">
        <v>192</v>
      </c>
      <c r="L175" s="689">
        <f t="shared" ref="L175" si="150">K175-I175</f>
        <v>0</v>
      </c>
    </row>
    <row r="176" spans="1:13">
      <c r="A176" s="689"/>
      <c r="B176" s="689"/>
      <c r="C176" s="689"/>
      <c r="D176" s="689"/>
      <c r="E176" s="689"/>
      <c r="F176" s="689"/>
      <c r="G176" s="689"/>
      <c r="H176" s="689"/>
      <c r="I176" s="689"/>
      <c r="J176" s="689"/>
      <c r="K176" s="689"/>
      <c r="L176" s="689"/>
    </row>
    <row r="177" spans="1:12">
      <c r="A177" s="689" t="s">
        <v>86</v>
      </c>
      <c r="B177" s="689" t="s">
        <v>3008</v>
      </c>
      <c r="C177" s="689" t="s">
        <v>3678</v>
      </c>
      <c r="D177" s="689" t="s">
        <v>3677</v>
      </c>
      <c r="E177" s="689" t="s">
        <v>239</v>
      </c>
      <c r="F177" s="689"/>
      <c r="G177" s="689"/>
      <c r="H177" s="689" t="s">
        <v>3593</v>
      </c>
      <c r="I177" s="689" t="str">
        <f t="shared" ref="I177" si="151">H177</f>
        <v>1350</v>
      </c>
      <c r="J177" s="689"/>
      <c r="K177" s="689" t="s">
        <v>3593</v>
      </c>
      <c r="L177" s="689">
        <f t="shared" ref="L177" si="152">K177-I177</f>
        <v>0</v>
      </c>
    </row>
    <row r="178" spans="1:12">
      <c r="A178" s="689"/>
      <c r="B178" s="689"/>
      <c r="C178" s="689"/>
      <c r="D178" s="689"/>
      <c r="E178" s="689"/>
      <c r="F178" s="689"/>
      <c r="G178" s="689"/>
      <c r="H178" s="689"/>
      <c r="I178" s="689"/>
      <c r="J178" s="689"/>
      <c r="K178" s="689"/>
      <c r="L178" s="689"/>
    </row>
    <row r="179" spans="1:12">
      <c r="A179" s="689"/>
      <c r="B179" s="689"/>
      <c r="C179" s="689" t="s">
        <v>230</v>
      </c>
      <c r="D179" s="689" t="s">
        <v>3676</v>
      </c>
      <c r="E179" s="689" t="s">
        <v>3025</v>
      </c>
      <c r="F179" s="689"/>
      <c r="G179" s="689"/>
      <c r="H179" s="689" t="s">
        <v>358</v>
      </c>
      <c r="I179" s="689" t="str">
        <f t="shared" ref="I179" si="153">H179</f>
        <v>96</v>
      </c>
      <c r="J179" s="689"/>
      <c r="K179" s="689" t="s">
        <v>358</v>
      </c>
      <c r="L179" s="689">
        <f t="shared" ref="L179" si="154">K179-I179</f>
        <v>0</v>
      </c>
    </row>
    <row r="180" spans="1:12">
      <c r="A180" s="689"/>
      <c r="B180" s="689"/>
      <c r="C180" s="689"/>
      <c r="D180" s="689"/>
      <c r="E180" s="689"/>
      <c r="F180" s="689"/>
      <c r="G180" s="689"/>
      <c r="H180" s="689"/>
      <c r="I180" s="689"/>
      <c r="J180" s="689"/>
      <c r="K180" s="689"/>
      <c r="L180" s="689"/>
    </row>
    <row r="181" spans="1:12">
      <c r="A181" s="689"/>
      <c r="B181" s="689"/>
      <c r="C181" s="689" t="s">
        <v>231</v>
      </c>
      <c r="D181" s="689" t="s">
        <v>3676</v>
      </c>
      <c r="E181" s="689" t="s">
        <v>1601</v>
      </c>
      <c r="F181" s="689"/>
      <c r="G181" s="689"/>
      <c r="H181" s="689" t="s">
        <v>1084</v>
      </c>
      <c r="I181" s="689" t="str">
        <f t="shared" ref="I181" si="155">H181</f>
        <v>300</v>
      </c>
      <c r="J181" s="689"/>
      <c r="K181" s="689" t="s">
        <v>1084</v>
      </c>
      <c r="L181" s="689">
        <f t="shared" ref="L181" si="156">K181-I181</f>
        <v>0</v>
      </c>
    </row>
    <row r="182" spans="1:12">
      <c r="A182" s="689"/>
      <c r="B182" s="689"/>
      <c r="C182" s="689"/>
      <c r="D182" s="689"/>
      <c r="E182" s="689"/>
      <c r="F182" s="689"/>
      <c r="G182" s="689"/>
      <c r="H182" s="689"/>
      <c r="I182" s="689"/>
      <c r="J182" s="689"/>
      <c r="K182" s="689"/>
      <c r="L182" s="689"/>
    </row>
    <row r="183" spans="1:12">
      <c r="A183" s="689"/>
      <c r="B183" s="689"/>
      <c r="C183" s="689" t="s">
        <v>232</v>
      </c>
      <c r="D183" s="689" t="s">
        <v>3676</v>
      </c>
      <c r="E183" s="689" t="s">
        <v>3309</v>
      </c>
      <c r="F183" s="689"/>
      <c r="G183" s="689"/>
      <c r="H183" s="689" t="s">
        <v>3592</v>
      </c>
      <c r="I183" s="689" t="str">
        <f t="shared" ref="I183" si="157">H183</f>
        <v>450</v>
      </c>
      <c r="J183" s="689"/>
      <c r="K183" s="689" t="s">
        <v>3592</v>
      </c>
      <c r="L183" s="689">
        <f t="shared" ref="L183" si="158">K183-I183</f>
        <v>0</v>
      </c>
    </row>
    <row r="184" spans="1:12">
      <c r="A184" s="689"/>
      <c r="B184" s="689"/>
      <c r="C184" s="689"/>
      <c r="D184" s="689"/>
      <c r="E184" s="689"/>
      <c r="F184" s="689"/>
      <c r="G184" s="689"/>
      <c r="H184" s="689"/>
      <c r="I184" s="689"/>
      <c r="J184" s="689"/>
      <c r="K184" s="689"/>
      <c r="L184" s="689"/>
    </row>
    <row r="185" spans="1:12">
      <c r="A185" s="689" t="s">
        <v>87</v>
      </c>
      <c r="B185" s="689" t="s">
        <v>3281</v>
      </c>
      <c r="C185" s="689" t="s">
        <v>3701</v>
      </c>
      <c r="D185" s="689" t="s">
        <v>3676</v>
      </c>
      <c r="E185" s="689" t="s">
        <v>239</v>
      </c>
      <c r="F185" s="689"/>
      <c r="G185" s="689"/>
      <c r="H185" s="689" t="s">
        <v>3716</v>
      </c>
      <c r="I185" s="720">
        <v>1400</v>
      </c>
      <c r="J185" s="689"/>
      <c r="K185" s="689" t="s">
        <v>3843</v>
      </c>
      <c r="L185" s="689">
        <f t="shared" ref="L185" si="159">K185-I185</f>
        <v>0</v>
      </c>
    </row>
    <row r="186" spans="1:12">
      <c r="A186" s="689"/>
      <c r="B186" s="689"/>
      <c r="C186" s="689"/>
      <c r="D186" s="689"/>
      <c r="E186" s="689"/>
      <c r="F186" s="689"/>
      <c r="G186" s="689"/>
      <c r="H186" s="689"/>
      <c r="I186" s="689"/>
      <c r="J186" s="689"/>
      <c r="K186" s="689"/>
      <c r="L186" s="689"/>
    </row>
    <row r="187" spans="1:12">
      <c r="A187" s="658"/>
      <c r="B187" s="658"/>
      <c r="C187" s="658" t="s">
        <v>3766</v>
      </c>
      <c r="D187" s="742" t="s">
        <v>3698</v>
      </c>
      <c r="E187" s="710" t="s">
        <v>239</v>
      </c>
      <c r="F187" s="653"/>
      <c r="G187" s="654"/>
      <c r="H187" s="709">
        <v>150</v>
      </c>
      <c r="I187" s="709">
        <v>180</v>
      </c>
      <c r="J187" s="709"/>
      <c r="K187" s="709">
        <v>180</v>
      </c>
      <c r="L187" s="709">
        <f t="shared" ref="L187" si="160">K187-I187</f>
        <v>0</v>
      </c>
    </row>
    <row r="188" spans="1:12">
      <c r="A188" s="658"/>
      <c r="B188" s="658"/>
      <c r="C188" s="658"/>
      <c r="D188" s="742"/>
      <c r="E188" s="710"/>
      <c r="F188" s="655"/>
      <c r="G188" s="656"/>
      <c r="H188" s="709"/>
      <c r="I188" s="709"/>
      <c r="J188" s="709"/>
      <c r="K188" s="709"/>
      <c r="L188" s="709"/>
    </row>
    <row r="189" spans="1:12">
      <c r="A189" s="658"/>
      <c r="B189" s="658"/>
      <c r="C189" s="658" t="s">
        <v>233</v>
      </c>
      <c r="D189" s="658" t="s">
        <v>3682</v>
      </c>
      <c r="E189" s="659" t="s">
        <v>2376</v>
      </c>
      <c r="F189" s="689"/>
      <c r="G189" s="689"/>
      <c r="H189" s="657">
        <v>60</v>
      </c>
      <c r="I189" s="657">
        <f t="shared" ref="I189" si="161">H189</f>
        <v>60</v>
      </c>
      <c r="J189" s="657"/>
      <c r="K189" s="657">
        <v>80</v>
      </c>
      <c r="L189" s="657">
        <f t="shared" ref="L189" si="162">K189-I189</f>
        <v>20</v>
      </c>
    </row>
    <row r="190" spans="1:12">
      <c r="A190" s="658"/>
      <c r="B190" s="658"/>
      <c r="C190" s="658"/>
      <c r="D190" s="658"/>
      <c r="E190" s="660"/>
      <c r="F190" s="689"/>
      <c r="G190" s="689"/>
      <c r="H190" s="657"/>
      <c r="I190" s="657"/>
      <c r="J190" s="657"/>
      <c r="K190" s="657"/>
      <c r="L190" s="657"/>
    </row>
    <row r="191" spans="1:12">
      <c r="A191" s="658"/>
      <c r="B191" s="658"/>
      <c r="C191" s="658" t="s">
        <v>234</v>
      </c>
      <c r="D191" s="658" t="s">
        <v>3682</v>
      </c>
      <c r="E191" s="659" t="s">
        <v>3309</v>
      </c>
      <c r="F191" s="653"/>
      <c r="G191" s="654"/>
      <c r="H191" s="709">
        <v>400</v>
      </c>
      <c r="I191" s="709">
        <f t="shared" ref="I191" si="163">H191</f>
        <v>400</v>
      </c>
      <c r="J191" s="709"/>
      <c r="K191" s="709">
        <v>400</v>
      </c>
      <c r="L191" s="709">
        <f t="shared" ref="L191" si="164">K191-I191</f>
        <v>0</v>
      </c>
    </row>
    <row r="192" spans="1:12">
      <c r="A192" s="658"/>
      <c r="B192" s="658"/>
      <c r="C192" s="658"/>
      <c r="D192" s="658"/>
      <c r="E192" s="660"/>
      <c r="F192" s="655"/>
      <c r="G192" s="656"/>
      <c r="H192" s="709"/>
      <c r="I192" s="709"/>
      <c r="J192" s="709"/>
      <c r="K192" s="709"/>
      <c r="L192" s="709"/>
    </row>
    <row r="193" spans="1:12">
      <c r="A193" s="658" t="s">
        <v>95</v>
      </c>
      <c r="B193" s="658" t="s">
        <v>3601</v>
      </c>
      <c r="C193" s="735" t="s">
        <v>3700</v>
      </c>
      <c r="D193" s="735" t="s">
        <v>3699</v>
      </c>
      <c r="E193" s="689" t="s">
        <v>239</v>
      </c>
      <c r="F193" s="738"/>
      <c r="G193" s="739"/>
      <c r="H193" s="709">
        <v>1350</v>
      </c>
      <c r="I193" s="709">
        <f t="shared" ref="I193" si="165">H193</f>
        <v>1350</v>
      </c>
      <c r="J193" s="709"/>
      <c r="K193" s="709">
        <v>1350</v>
      </c>
      <c r="L193" s="709">
        <f t="shared" ref="L193" si="166">K193-I193</f>
        <v>0</v>
      </c>
    </row>
    <row r="194" spans="1:12">
      <c r="A194" s="658"/>
      <c r="B194" s="658"/>
      <c r="C194" s="735"/>
      <c r="D194" s="735"/>
      <c r="E194" s="689"/>
      <c r="F194" s="740"/>
      <c r="G194" s="741"/>
      <c r="H194" s="709"/>
      <c r="I194" s="709"/>
      <c r="J194" s="709"/>
      <c r="K194" s="709"/>
      <c r="L194" s="709"/>
    </row>
    <row r="195" spans="1:12">
      <c r="A195" s="658"/>
      <c r="B195" s="658"/>
      <c r="C195" s="658" t="s">
        <v>3705</v>
      </c>
      <c r="D195" s="658" t="s">
        <v>3676</v>
      </c>
      <c r="E195" s="710" t="s">
        <v>239</v>
      </c>
      <c r="F195" s="653"/>
      <c r="G195" s="654"/>
      <c r="H195" s="709">
        <v>50</v>
      </c>
      <c r="I195" s="709">
        <v>60</v>
      </c>
      <c r="J195" s="709"/>
      <c r="K195" s="709">
        <v>60</v>
      </c>
      <c r="L195" s="709">
        <f t="shared" ref="L195" si="167">K195-I195</f>
        <v>0</v>
      </c>
    </row>
    <row r="196" spans="1:12">
      <c r="A196" s="658"/>
      <c r="B196" s="658"/>
      <c r="C196" s="658"/>
      <c r="D196" s="658"/>
      <c r="E196" s="710"/>
      <c r="F196" s="655"/>
      <c r="G196" s="656"/>
      <c r="H196" s="709"/>
      <c r="I196" s="709"/>
      <c r="J196" s="709"/>
      <c r="K196" s="709"/>
      <c r="L196" s="709"/>
    </row>
    <row r="197" spans="1:12">
      <c r="A197" s="658"/>
      <c r="B197" s="658"/>
      <c r="C197" s="735" t="s">
        <v>254</v>
      </c>
      <c r="D197" s="735" t="s">
        <v>3683</v>
      </c>
      <c r="E197" s="736" t="s">
        <v>3309</v>
      </c>
      <c r="F197" s="738"/>
      <c r="G197" s="739"/>
      <c r="H197" s="709">
        <v>570</v>
      </c>
      <c r="I197" s="709">
        <f t="shared" ref="I197" si="168">H197</f>
        <v>570</v>
      </c>
      <c r="J197" s="709"/>
      <c r="K197" s="709">
        <v>570</v>
      </c>
      <c r="L197" s="709">
        <f t="shared" ref="L197" si="169">K197-I197</f>
        <v>0</v>
      </c>
    </row>
    <row r="198" spans="1:12">
      <c r="A198" s="658"/>
      <c r="B198" s="658"/>
      <c r="C198" s="735"/>
      <c r="D198" s="735"/>
      <c r="E198" s="737"/>
      <c r="F198" s="740"/>
      <c r="G198" s="741"/>
      <c r="H198" s="709"/>
      <c r="I198" s="709"/>
      <c r="J198" s="709"/>
      <c r="K198" s="709"/>
      <c r="L198" s="709"/>
    </row>
    <row r="199" spans="1:12">
      <c r="A199" s="658"/>
      <c r="B199" s="658"/>
      <c r="C199" s="735" t="s">
        <v>255</v>
      </c>
      <c r="D199" s="735" t="s">
        <v>3683</v>
      </c>
      <c r="E199" s="736" t="s">
        <v>3025</v>
      </c>
      <c r="F199" s="738"/>
      <c r="G199" s="739"/>
      <c r="H199" s="709">
        <v>96</v>
      </c>
      <c r="I199" s="709">
        <f t="shared" ref="I199" si="170">H199</f>
        <v>96</v>
      </c>
      <c r="J199" s="709"/>
      <c r="K199" s="709">
        <v>96</v>
      </c>
      <c r="L199" s="709">
        <f t="shared" ref="L199" si="171">K199-I199</f>
        <v>0</v>
      </c>
    </row>
    <row r="200" spans="1:12">
      <c r="A200" s="658"/>
      <c r="B200" s="658"/>
      <c r="C200" s="735"/>
      <c r="D200" s="735"/>
      <c r="E200" s="737"/>
      <c r="F200" s="740"/>
      <c r="G200" s="741"/>
      <c r="H200" s="709"/>
      <c r="I200" s="709"/>
      <c r="J200" s="709"/>
      <c r="K200" s="709"/>
      <c r="L200" s="709"/>
    </row>
    <row r="201" spans="1:12">
      <c r="A201" s="658" t="s">
        <v>102</v>
      </c>
      <c r="B201" s="658" t="s">
        <v>3008</v>
      </c>
      <c r="C201" s="658" t="s">
        <v>3706</v>
      </c>
      <c r="D201" s="658" t="s">
        <v>3683</v>
      </c>
      <c r="E201" s="710" t="s">
        <v>239</v>
      </c>
      <c r="F201" s="653"/>
      <c r="G201" s="654"/>
      <c r="H201" s="709">
        <v>43266</v>
      </c>
      <c r="I201" s="709">
        <v>1400</v>
      </c>
      <c r="J201" s="709"/>
      <c r="K201" s="709">
        <v>1400</v>
      </c>
      <c r="L201" s="709">
        <f t="shared" ref="L201" si="172">K201-I201</f>
        <v>0</v>
      </c>
    </row>
    <row r="202" spans="1:12">
      <c r="A202" s="658"/>
      <c r="B202" s="658"/>
      <c r="C202" s="658"/>
      <c r="D202" s="658"/>
      <c r="E202" s="710"/>
      <c r="F202" s="655"/>
      <c r="G202" s="656"/>
      <c r="H202" s="709"/>
      <c r="I202" s="709"/>
      <c r="J202" s="709"/>
      <c r="K202" s="709"/>
      <c r="L202" s="709"/>
    </row>
    <row r="203" spans="1:12">
      <c r="A203" s="658"/>
      <c r="B203" s="658"/>
      <c r="C203" s="658" t="s">
        <v>272</v>
      </c>
      <c r="D203" s="658" t="s">
        <v>3695</v>
      </c>
      <c r="E203" s="733" t="s">
        <v>2780</v>
      </c>
      <c r="F203" s="653"/>
      <c r="G203" s="654"/>
      <c r="H203" s="709">
        <v>300</v>
      </c>
      <c r="I203" s="709">
        <f t="shared" ref="I203" si="173">H203</f>
        <v>300</v>
      </c>
      <c r="J203" s="709"/>
      <c r="K203" s="709">
        <v>300</v>
      </c>
      <c r="L203" s="709">
        <f t="shared" ref="L203" si="174">K203-I203</f>
        <v>0</v>
      </c>
    </row>
    <row r="204" spans="1:12">
      <c r="A204" s="658"/>
      <c r="B204" s="658"/>
      <c r="C204" s="658"/>
      <c r="D204" s="658"/>
      <c r="E204" s="734"/>
      <c r="F204" s="655"/>
      <c r="G204" s="656"/>
      <c r="H204" s="709"/>
      <c r="I204" s="709"/>
      <c r="J204" s="709"/>
      <c r="K204" s="709"/>
      <c r="L204" s="709"/>
    </row>
    <row r="205" spans="1:12">
      <c r="A205" s="658"/>
      <c r="B205" s="658"/>
      <c r="C205" s="658" t="s">
        <v>273</v>
      </c>
      <c r="D205" s="658" t="s">
        <v>3695</v>
      </c>
      <c r="E205" s="733" t="s">
        <v>2723</v>
      </c>
      <c r="F205" s="653"/>
      <c r="G205" s="654"/>
      <c r="H205" s="709">
        <v>50</v>
      </c>
      <c r="I205" s="709">
        <f t="shared" ref="I205" si="175">H205</f>
        <v>50</v>
      </c>
      <c r="J205" s="709"/>
      <c r="K205" s="709">
        <v>50</v>
      </c>
      <c r="L205" s="709">
        <f t="shared" ref="L205" si="176">K205-I205</f>
        <v>0</v>
      </c>
    </row>
    <row r="206" spans="1:12">
      <c r="A206" s="658"/>
      <c r="B206" s="658"/>
      <c r="C206" s="658"/>
      <c r="D206" s="658"/>
      <c r="E206" s="734"/>
      <c r="F206" s="655"/>
      <c r="G206" s="656"/>
      <c r="H206" s="709"/>
      <c r="I206" s="709"/>
      <c r="J206" s="709"/>
      <c r="K206" s="709"/>
      <c r="L206" s="709"/>
    </row>
    <row r="207" spans="1:12">
      <c r="A207" s="658"/>
      <c r="B207" s="658"/>
      <c r="C207" s="658" t="s">
        <v>274</v>
      </c>
      <c r="D207" s="658" t="s">
        <v>3695</v>
      </c>
      <c r="E207" s="733" t="s">
        <v>2723</v>
      </c>
      <c r="F207" s="653"/>
      <c r="G207" s="654"/>
      <c r="H207" s="709">
        <v>480</v>
      </c>
      <c r="I207" s="709">
        <f t="shared" ref="I207" si="177">H207</f>
        <v>480</v>
      </c>
      <c r="J207" s="709"/>
      <c r="K207" s="709">
        <v>480</v>
      </c>
      <c r="L207" s="709">
        <f t="shared" ref="L207" si="178">K207-I207</f>
        <v>0</v>
      </c>
    </row>
    <row r="208" spans="1:12">
      <c r="A208" s="658"/>
      <c r="B208" s="658"/>
      <c r="C208" s="658"/>
      <c r="D208" s="658"/>
      <c r="E208" s="734"/>
      <c r="F208" s="655"/>
      <c r="G208" s="656"/>
      <c r="H208" s="709"/>
      <c r="I208" s="709"/>
      <c r="J208" s="709"/>
      <c r="K208" s="709"/>
      <c r="L208" s="709"/>
    </row>
    <row r="209" spans="1:12">
      <c r="A209" s="658"/>
      <c r="B209" s="658"/>
      <c r="C209" s="658" t="s">
        <v>290</v>
      </c>
      <c r="D209" s="658" t="s">
        <v>3695</v>
      </c>
      <c r="E209" s="735" t="s">
        <v>3226</v>
      </c>
      <c r="F209" s="653"/>
      <c r="G209" s="654"/>
      <c r="H209" s="657">
        <v>100</v>
      </c>
      <c r="I209" s="657">
        <f t="shared" ref="I209" si="179">H209</f>
        <v>100</v>
      </c>
      <c r="J209" s="657"/>
      <c r="K209" s="657">
        <v>100</v>
      </c>
      <c r="L209" s="657">
        <f t="shared" ref="L209" si="180">K209-I209</f>
        <v>0</v>
      </c>
    </row>
    <row r="210" spans="1:12">
      <c r="A210" s="658"/>
      <c r="B210" s="658"/>
      <c r="C210" s="658"/>
      <c r="D210" s="658"/>
      <c r="E210" s="735"/>
      <c r="F210" s="655"/>
      <c r="G210" s="656"/>
      <c r="H210" s="657"/>
      <c r="I210" s="657"/>
      <c r="J210" s="657"/>
      <c r="K210" s="657"/>
      <c r="L210" s="657"/>
    </row>
    <row r="211" spans="1:12">
      <c r="A211" s="658"/>
      <c r="B211" s="658"/>
      <c r="C211" s="658" t="s">
        <v>276</v>
      </c>
      <c r="D211" s="658" t="s">
        <v>3695</v>
      </c>
      <c r="E211" s="733" t="s">
        <v>1601</v>
      </c>
      <c r="F211" s="653"/>
      <c r="G211" s="654"/>
      <c r="H211" s="709">
        <v>600</v>
      </c>
      <c r="I211" s="709">
        <f t="shared" ref="I211" si="181">H211</f>
        <v>600</v>
      </c>
      <c r="J211" s="709"/>
      <c r="K211" s="709">
        <v>600</v>
      </c>
      <c r="L211" s="709">
        <f t="shared" ref="L211" si="182">K211-I211</f>
        <v>0</v>
      </c>
    </row>
    <row r="212" spans="1:12">
      <c r="A212" s="658"/>
      <c r="B212" s="658"/>
      <c r="C212" s="658"/>
      <c r="D212" s="658"/>
      <c r="E212" s="734"/>
      <c r="F212" s="655"/>
      <c r="G212" s="656"/>
      <c r="H212" s="709"/>
      <c r="I212" s="709"/>
      <c r="J212" s="709"/>
      <c r="K212" s="709"/>
      <c r="L212" s="709"/>
    </row>
    <row r="213" spans="1:12">
      <c r="A213" s="658" t="s">
        <v>103</v>
      </c>
      <c r="B213" s="658" t="s">
        <v>3281</v>
      </c>
      <c r="C213" s="658" t="s">
        <v>3707</v>
      </c>
      <c r="D213" s="658" t="s">
        <v>3683</v>
      </c>
      <c r="E213" s="710" t="s">
        <v>239</v>
      </c>
      <c r="F213" s="653"/>
      <c r="G213" s="654"/>
      <c r="H213" s="709">
        <v>1350</v>
      </c>
      <c r="I213" s="709">
        <f t="shared" ref="I213" si="183">H213</f>
        <v>1350</v>
      </c>
      <c r="J213" s="709"/>
      <c r="K213" s="709"/>
      <c r="L213" s="709">
        <f t="shared" ref="L213" si="184">K213-I213</f>
        <v>-1350</v>
      </c>
    </row>
    <row r="214" spans="1:12">
      <c r="A214" s="658"/>
      <c r="B214" s="658"/>
      <c r="C214" s="658"/>
      <c r="D214" s="658"/>
      <c r="E214" s="710"/>
      <c r="F214" s="655"/>
      <c r="G214" s="656"/>
      <c r="H214" s="709"/>
      <c r="I214" s="709"/>
      <c r="J214" s="709"/>
      <c r="K214" s="709"/>
      <c r="L214" s="709"/>
    </row>
    <row r="215" spans="1:12">
      <c r="A215" s="658"/>
      <c r="B215" s="658"/>
      <c r="C215" s="658" t="s">
        <v>277</v>
      </c>
      <c r="D215" s="658" t="s">
        <v>3696</v>
      </c>
      <c r="E215" s="658" t="s">
        <v>2723</v>
      </c>
      <c r="F215" s="653"/>
      <c r="G215" s="654"/>
      <c r="H215" s="709">
        <v>350</v>
      </c>
      <c r="I215" s="709">
        <f t="shared" ref="I215" si="185">H215</f>
        <v>350</v>
      </c>
      <c r="J215" s="709"/>
      <c r="K215" s="709">
        <v>350</v>
      </c>
      <c r="L215" s="709">
        <f t="shared" ref="L215" si="186">K215-I215</f>
        <v>0</v>
      </c>
    </row>
    <row r="216" spans="1:12">
      <c r="A216" s="658"/>
      <c r="B216" s="658"/>
      <c r="C216" s="658"/>
      <c r="D216" s="658"/>
      <c r="E216" s="658"/>
      <c r="F216" s="655"/>
      <c r="G216" s="656"/>
      <c r="H216" s="709"/>
      <c r="I216" s="709"/>
      <c r="J216" s="709"/>
      <c r="K216" s="709"/>
      <c r="L216" s="709"/>
    </row>
    <row r="217" spans="1:12">
      <c r="A217" s="658"/>
      <c r="B217" s="658"/>
      <c r="C217" s="658" t="s">
        <v>278</v>
      </c>
      <c r="D217" s="658" t="s">
        <v>3696</v>
      </c>
      <c r="E217" s="658" t="s">
        <v>2723</v>
      </c>
      <c r="F217" s="653"/>
      <c r="G217" s="654"/>
      <c r="H217" s="709">
        <v>500</v>
      </c>
      <c r="I217" s="709">
        <f t="shared" ref="I217" si="187">H217</f>
        <v>500</v>
      </c>
      <c r="J217" s="709"/>
      <c r="K217" s="709">
        <v>500</v>
      </c>
      <c r="L217" s="709">
        <f t="shared" ref="L217" si="188">K217-I217</f>
        <v>0</v>
      </c>
    </row>
    <row r="218" spans="1:12">
      <c r="A218" s="658"/>
      <c r="B218" s="658"/>
      <c r="C218" s="658"/>
      <c r="D218" s="658"/>
      <c r="E218" s="658"/>
      <c r="F218" s="655"/>
      <c r="G218" s="656"/>
      <c r="H218" s="709"/>
      <c r="I218" s="709"/>
      <c r="J218" s="709"/>
      <c r="K218" s="709"/>
      <c r="L218" s="709"/>
    </row>
    <row r="219" spans="1:12">
      <c r="A219" s="658"/>
      <c r="B219" s="658"/>
      <c r="C219" s="658" t="s">
        <v>279</v>
      </c>
      <c r="D219" s="658" t="s">
        <v>3696</v>
      </c>
      <c r="E219" s="658" t="s">
        <v>2723</v>
      </c>
      <c r="F219" s="653"/>
      <c r="G219" s="654"/>
      <c r="H219" s="709">
        <v>50</v>
      </c>
      <c r="I219" s="709">
        <f t="shared" ref="I219" si="189">H219</f>
        <v>50</v>
      </c>
      <c r="J219" s="709"/>
      <c r="K219" s="709">
        <v>50</v>
      </c>
      <c r="L219" s="709">
        <f t="shared" ref="L219" si="190">K219-I219</f>
        <v>0</v>
      </c>
    </row>
    <row r="220" spans="1:12">
      <c r="A220" s="658"/>
      <c r="B220" s="658"/>
      <c r="C220" s="658"/>
      <c r="D220" s="658"/>
      <c r="E220" s="658"/>
      <c r="F220" s="655"/>
      <c r="G220" s="656"/>
      <c r="H220" s="709"/>
      <c r="I220" s="709"/>
      <c r="J220" s="709"/>
      <c r="K220" s="709"/>
      <c r="L220" s="709"/>
    </row>
    <row r="221" spans="1:12">
      <c r="A221" s="658" t="s">
        <v>118</v>
      </c>
      <c r="B221" s="658" t="s">
        <v>3601</v>
      </c>
      <c r="C221" s="658" t="s">
        <v>3708</v>
      </c>
      <c r="D221" s="658" t="s">
        <v>3709</v>
      </c>
      <c r="E221" s="710" t="s">
        <v>239</v>
      </c>
      <c r="F221" s="653"/>
      <c r="G221" s="654"/>
      <c r="H221" s="657">
        <v>41586</v>
      </c>
      <c r="I221" s="657">
        <v>1350</v>
      </c>
      <c r="J221" s="657"/>
      <c r="K221" s="657">
        <v>1350</v>
      </c>
      <c r="L221" s="657">
        <f t="shared" ref="L221" si="191">K221-I221</f>
        <v>0</v>
      </c>
    </row>
    <row r="222" spans="1:12">
      <c r="A222" s="658"/>
      <c r="B222" s="658"/>
      <c r="C222" s="658"/>
      <c r="D222" s="658"/>
      <c r="E222" s="710"/>
      <c r="F222" s="655"/>
      <c r="G222" s="656"/>
      <c r="H222" s="657"/>
      <c r="I222" s="657"/>
      <c r="J222" s="657"/>
      <c r="K222" s="657"/>
      <c r="L222" s="657"/>
    </row>
    <row r="223" spans="1:12">
      <c r="A223" s="658"/>
      <c r="B223" s="658"/>
      <c r="C223" s="658" t="s">
        <v>286</v>
      </c>
      <c r="D223" s="658" t="s">
        <v>3698</v>
      </c>
      <c r="E223" s="658" t="s">
        <v>3025</v>
      </c>
      <c r="F223" s="653"/>
      <c r="G223" s="654"/>
      <c r="H223" s="657">
        <v>95</v>
      </c>
      <c r="I223" s="657">
        <f t="shared" ref="I223" si="192">H223</f>
        <v>95</v>
      </c>
      <c r="J223" s="657"/>
      <c r="K223" s="657">
        <v>95</v>
      </c>
      <c r="L223" s="657">
        <f t="shared" ref="L223" si="193">K223-I223</f>
        <v>0</v>
      </c>
    </row>
    <row r="224" spans="1:12">
      <c r="A224" s="658"/>
      <c r="B224" s="658"/>
      <c r="C224" s="658"/>
      <c r="D224" s="658"/>
      <c r="E224" s="658"/>
      <c r="F224" s="655"/>
      <c r="G224" s="656"/>
      <c r="H224" s="657"/>
      <c r="I224" s="657"/>
      <c r="J224" s="657"/>
      <c r="K224" s="657"/>
      <c r="L224" s="657"/>
    </row>
    <row r="225" spans="1:12">
      <c r="A225" s="658"/>
      <c r="B225" s="658"/>
      <c r="C225" s="658" t="s">
        <v>287</v>
      </c>
      <c r="D225" s="658" t="s">
        <v>3698</v>
      </c>
      <c r="E225" s="658" t="s">
        <v>3309</v>
      </c>
      <c r="F225" s="653"/>
      <c r="G225" s="654"/>
      <c r="H225" s="657">
        <v>400</v>
      </c>
      <c r="I225" s="657">
        <f t="shared" ref="I225" si="194">H225</f>
        <v>400</v>
      </c>
      <c r="J225" s="657"/>
      <c r="K225" s="657">
        <v>400</v>
      </c>
      <c r="L225" s="657">
        <f t="shared" ref="L225" si="195">K225-I225</f>
        <v>0</v>
      </c>
    </row>
    <row r="226" spans="1:12">
      <c r="A226" s="658"/>
      <c r="B226" s="658"/>
      <c r="C226" s="658"/>
      <c r="D226" s="658"/>
      <c r="E226" s="658"/>
      <c r="F226" s="655"/>
      <c r="G226" s="656"/>
      <c r="H226" s="657"/>
      <c r="I226" s="657"/>
      <c r="J226" s="657"/>
      <c r="K226" s="657"/>
      <c r="L226" s="657"/>
    </row>
    <row r="227" spans="1:12">
      <c r="A227" s="658"/>
      <c r="B227" s="658"/>
      <c r="C227" s="658" t="s">
        <v>292</v>
      </c>
      <c r="D227" s="658" t="s">
        <v>3698</v>
      </c>
      <c r="E227" s="658" t="s">
        <v>1601</v>
      </c>
      <c r="F227" s="653"/>
      <c r="G227" s="654"/>
      <c r="H227" s="657">
        <v>270</v>
      </c>
      <c r="I227" s="657">
        <f t="shared" ref="I227" si="196">H227</f>
        <v>270</v>
      </c>
      <c r="J227" s="657"/>
      <c r="K227" s="657">
        <v>270</v>
      </c>
      <c r="L227" s="657">
        <f t="shared" ref="L227" si="197">K227-I227</f>
        <v>0</v>
      </c>
    </row>
    <row r="228" spans="1:12">
      <c r="A228" s="658"/>
      <c r="B228" s="658"/>
      <c r="C228" s="658"/>
      <c r="D228" s="658"/>
      <c r="E228" s="658"/>
      <c r="F228" s="655"/>
      <c r="G228" s="656"/>
      <c r="H228" s="657"/>
      <c r="I228" s="657"/>
      <c r="J228" s="657"/>
      <c r="K228" s="657"/>
      <c r="L228" s="657"/>
    </row>
    <row r="229" spans="1:12">
      <c r="A229" s="658" t="s">
        <v>137</v>
      </c>
      <c r="B229" s="658" t="s">
        <v>3281</v>
      </c>
      <c r="C229" s="658" t="s">
        <v>3719</v>
      </c>
      <c r="D229" s="658" t="s">
        <v>3720</v>
      </c>
      <c r="E229" s="658" t="s">
        <v>239</v>
      </c>
      <c r="F229" s="653"/>
      <c r="G229" s="654"/>
      <c r="H229" s="657">
        <v>42653</v>
      </c>
      <c r="I229" s="657">
        <v>1400</v>
      </c>
      <c r="J229" s="657"/>
      <c r="K229" s="657">
        <v>1400</v>
      </c>
      <c r="L229" s="657">
        <f t="shared" ref="L229" si="198">K229-I229</f>
        <v>0</v>
      </c>
    </row>
    <row r="230" spans="1:12">
      <c r="A230" s="658"/>
      <c r="B230" s="658"/>
      <c r="C230" s="658"/>
      <c r="D230" s="658"/>
      <c r="E230" s="658"/>
      <c r="F230" s="655"/>
      <c r="G230" s="656"/>
      <c r="H230" s="657"/>
      <c r="I230" s="657"/>
      <c r="J230" s="657"/>
      <c r="K230" s="657"/>
      <c r="L230" s="657"/>
    </row>
    <row r="231" spans="1:12">
      <c r="A231" s="658"/>
      <c r="B231" s="658"/>
      <c r="C231" s="658" t="s">
        <v>293</v>
      </c>
      <c r="D231" s="658" t="s">
        <v>3710</v>
      </c>
      <c r="E231" s="658" t="s">
        <v>1140</v>
      </c>
      <c r="F231" s="653"/>
      <c r="G231" s="654"/>
      <c r="H231" s="657">
        <v>350</v>
      </c>
      <c r="I231" s="657">
        <f t="shared" ref="I231" si="199">H231</f>
        <v>350</v>
      </c>
      <c r="J231" s="657"/>
      <c r="K231" s="657">
        <v>350</v>
      </c>
      <c r="L231" s="657">
        <f t="shared" ref="L231" si="200">K231-I231</f>
        <v>0</v>
      </c>
    </row>
    <row r="232" spans="1:12">
      <c r="A232" s="658"/>
      <c r="B232" s="658"/>
      <c r="C232" s="658"/>
      <c r="D232" s="658"/>
      <c r="E232" s="658"/>
      <c r="F232" s="655"/>
      <c r="G232" s="656"/>
      <c r="H232" s="657"/>
      <c r="I232" s="657"/>
      <c r="J232" s="657"/>
      <c r="K232" s="657"/>
      <c r="L232" s="657"/>
    </row>
    <row r="233" spans="1:12">
      <c r="A233" s="658"/>
      <c r="B233" s="658"/>
      <c r="C233" s="658" t="s">
        <v>294</v>
      </c>
      <c r="D233" s="658" t="s">
        <v>3710</v>
      </c>
      <c r="E233" s="658" t="s">
        <v>3388</v>
      </c>
      <c r="F233" s="653"/>
      <c r="G233" s="654"/>
      <c r="H233" s="657">
        <v>500</v>
      </c>
      <c r="I233" s="657">
        <f t="shared" ref="I233" si="201">H233</f>
        <v>500</v>
      </c>
      <c r="J233" s="657"/>
      <c r="K233" s="657">
        <v>500</v>
      </c>
      <c r="L233" s="657">
        <f t="shared" ref="L233" si="202">K233-I233</f>
        <v>0</v>
      </c>
    </row>
    <row r="234" spans="1:12">
      <c r="A234" s="658"/>
      <c r="B234" s="658"/>
      <c r="C234" s="658"/>
      <c r="D234" s="658"/>
      <c r="E234" s="658"/>
      <c r="F234" s="655"/>
      <c r="G234" s="656"/>
      <c r="H234" s="657"/>
      <c r="I234" s="657"/>
      <c r="J234" s="657"/>
      <c r="K234" s="657"/>
      <c r="L234" s="657"/>
    </row>
    <row r="235" spans="1:12">
      <c r="A235" s="658" t="s">
        <v>140</v>
      </c>
      <c r="B235" s="658" t="s">
        <v>3298</v>
      </c>
      <c r="C235" s="658" t="s">
        <v>3722</v>
      </c>
      <c r="D235" s="658" t="s">
        <v>3720</v>
      </c>
      <c r="E235" s="658" t="s">
        <v>239</v>
      </c>
      <c r="F235" s="653"/>
      <c r="G235" s="654"/>
      <c r="H235" s="657">
        <v>1350</v>
      </c>
      <c r="I235" s="657">
        <f t="shared" ref="I235" si="203">H235</f>
        <v>1350</v>
      </c>
      <c r="J235" s="657"/>
      <c r="K235" s="657">
        <v>1350</v>
      </c>
      <c r="L235" s="657">
        <f t="shared" ref="L235" si="204">K235-I235</f>
        <v>0</v>
      </c>
    </row>
    <row r="236" spans="1:12">
      <c r="A236" s="658"/>
      <c r="B236" s="658"/>
      <c r="C236" s="658"/>
      <c r="D236" s="658"/>
      <c r="E236" s="658"/>
      <c r="F236" s="655"/>
      <c r="G236" s="656"/>
      <c r="H236" s="657"/>
      <c r="I236" s="657"/>
      <c r="J236" s="657"/>
      <c r="K236" s="657"/>
      <c r="L236" s="657"/>
    </row>
    <row r="237" spans="1:12">
      <c r="A237" s="658"/>
      <c r="B237" s="658"/>
      <c r="C237" s="658" t="s">
        <v>3721</v>
      </c>
      <c r="D237" s="658" t="s">
        <v>3695</v>
      </c>
      <c r="E237" s="658" t="s">
        <v>239</v>
      </c>
      <c r="F237" s="653"/>
      <c r="G237" s="654"/>
      <c r="H237" s="657">
        <v>150</v>
      </c>
      <c r="I237" s="657">
        <v>180</v>
      </c>
      <c r="J237" s="657"/>
      <c r="K237" s="657">
        <v>180</v>
      </c>
      <c r="L237" s="657">
        <f t="shared" ref="L237" si="205">K237-I237</f>
        <v>0</v>
      </c>
    </row>
    <row r="238" spans="1:12">
      <c r="A238" s="658"/>
      <c r="B238" s="658"/>
      <c r="C238" s="658"/>
      <c r="D238" s="658"/>
      <c r="E238" s="658"/>
      <c r="F238" s="655"/>
      <c r="G238" s="656"/>
      <c r="H238" s="657"/>
      <c r="I238" s="657"/>
      <c r="J238" s="657"/>
      <c r="K238" s="657"/>
      <c r="L238" s="657"/>
    </row>
    <row r="239" spans="1:12">
      <c r="A239" s="658"/>
      <c r="B239" s="658"/>
      <c r="C239" s="658" t="s">
        <v>295</v>
      </c>
      <c r="D239" s="658" t="s">
        <v>3713</v>
      </c>
      <c r="E239" s="658" t="s">
        <v>2723</v>
      </c>
      <c r="F239" s="653"/>
      <c r="G239" s="654"/>
      <c r="H239" s="657">
        <v>330</v>
      </c>
      <c r="I239" s="657">
        <f t="shared" ref="I239" si="206">H239</f>
        <v>330</v>
      </c>
      <c r="J239" s="657"/>
      <c r="K239" s="657">
        <v>330</v>
      </c>
      <c r="L239" s="657">
        <f t="shared" ref="L239" si="207">K239-I239</f>
        <v>0</v>
      </c>
    </row>
    <row r="240" spans="1:12">
      <c r="A240" s="658"/>
      <c r="B240" s="658"/>
      <c r="C240" s="658"/>
      <c r="D240" s="658"/>
      <c r="E240" s="658"/>
      <c r="F240" s="655"/>
      <c r="G240" s="656"/>
      <c r="H240" s="657"/>
      <c r="I240" s="657"/>
      <c r="J240" s="657"/>
      <c r="K240" s="657"/>
      <c r="L240" s="657"/>
    </row>
    <row r="241" spans="1:12">
      <c r="A241" s="658"/>
      <c r="B241" s="658"/>
      <c r="C241" s="658" t="s">
        <v>296</v>
      </c>
      <c r="D241" s="658" t="s">
        <v>3713</v>
      </c>
      <c r="E241" s="658" t="s">
        <v>3711</v>
      </c>
      <c r="F241" s="653"/>
      <c r="G241" s="654"/>
      <c r="H241" s="657">
        <v>450</v>
      </c>
      <c r="I241" s="657">
        <f t="shared" ref="I241" si="208">H241</f>
        <v>450</v>
      </c>
      <c r="J241" s="657"/>
      <c r="K241" s="657">
        <v>450</v>
      </c>
      <c r="L241" s="657">
        <f t="shared" ref="L241" si="209">K241-I241</f>
        <v>0</v>
      </c>
    </row>
    <row r="242" spans="1:12">
      <c r="A242" s="658"/>
      <c r="B242" s="658"/>
      <c r="C242" s="658"/>
      <c r="D242" s="658"/>
      <c r="E242" s="658"/>
      <c r="F242" s="655"/>
      <c r="G242" s="656"/>
      <c r="H242" s="657"/>
      <c r="I242" s="657"/>
      <c r="J242" s="657"/>
      <c r="K242" s="657"/>
      <c r="L242" s="657"/>
    </row>
    <row r="243" spans="1:12">
      <c r="A243" s="658"/>
      <c r="B243" s="658"/>
      <c r="C243" s="658" t="s">
        <v>311</v>
      </c>
      <c r="D243" s="658" t="s">
        <v>3713</v>
      </c>
      <c r="E243" s="658" t="s">
        <v>3712</v>
      </c>
      <c r="F243" s="653"/>
      <c r="G243" s="654"/>
      <c r="H243" s="657">
        <v>300</v>
      </c>
      <c r="I243" s="657">
        <f t="shared" ref="I243" si="210">H243</f>
        <v>300</v>
      </c>
      <c r="J243" s="657"/>
      <c r="K243" s="657">
        <v>300</v>
      </c>
      <c r="L243" s="657">
        <f t="shared" ref="L243" si="211">K243-I243</f>
        <v>0</v>
      </c>
    </row>
    <row r="244" spans="1:12">
      <c r="A244" s="658"/>
      <c r="B244" s="658"/>
      <c r="C244" s="658"/>
      <c r="D244" s="658"/>
      <c r="E244" s="658"/>
      <c r="F244" s="655"/>
      <c r="G244" s="656"/>
      <c r="H244" s="657"/>
      <c r="I244" s="657"/>
      <c r="J244" s="657"/>
      <c r="K244" s="657"/>
      <c r="L244" s="657"/>
    </row>
    <row r="245" spans="1:12">
      <c r="A245" s="658" t="s">
        <v>141</v>
      </c>
      <c r="B245" s="658" t="s">
        <v>3601</v>
      </c>
      <c r="C245" s="658" t="s">
        <v>2959</v>
      </c>
      <c r="D245" s="658" t="s">
        <v>2944</v>
      </c>
      <c r="E245" s="658" t="s">
        <v>239</v>
      </c>
      <c r="F245" s="653"/>
      <c r="G245" s="654"/>
      <c r="H245" s="657">
        <v>41102</v>
      </c>
      <c r="I245" s="657">
        <v>1350</v>
      </c>
      <c r="J245" s="657"/>
      <c r="K245" s="657">
        <v>1350</v>
      </c>
      <c r="L245" s="657">
        <f t="shared" ref="L245" si="212">K245-I245</f>
        <v>0</v>
      </c>
    </row>
    <row r="246" spans="1:12">
      <c r="A246" s="658"/>
      <c r="B246" s="658"/>
      <c r="C246" s="658"/>
      <c r="D246" s="658"/>
      <c r="E246" s="658"/>
      <c r="F246" s="655"/>
      <c r="G246" s="656"/>
      <c r="H246" s="657"/>
      <c r="I246" s="657"/>
      <c r="J246" s="657"/>
      <c r="K246" s="657"/>
      <c r="L246" s="657"/>
    </row>
    <row r="247" spans="1:12">
      <c r="A247" s="658"/>
      <c r="B247" s="658"/>
      <c r="C247" s="658" t="s">
        <v>312</v>
      </c>
      <c r="D247" s="658" t="s">
        <v>3717</v>
      </c>
      <c r="E247" s="658" t="s">
        <v>2348</v>
      </c>
      <c r="F247" s="653"/>
      <c r="G247" s="654"/>
      <c r="H247" s="657">
        <v>50</v>
      </c>
      <c r="I247" s="657">
        <f t="shared" ref="I247" si="213">H247</f>
        <v>50</v>
      </c>
      <c r="J247" s="657"/>
      <c r="K247" s="657">
        <v>50</v>
      </c>
      <c r="L247" s="657">
        <f t="shared" ref="L247" si="214">K247-I247</f>
        <v>0</v>
      </c>
    </row>
    <row r="248" spans="1:12">
      <c r="A248" s="658"/>
      <c r="B248" s="658"/>
      <c r="C248" s="658"/>
      <c r="D248" s="658"/>
      <c r="E248" s="658"/>
      <c r="F248" s="655"/>
      <c r="G248" s="656"/>
      <c r="H248" s="657"/>
      <c r="I248" s="657"/>
      <c r="J248" s="657"/>
      <c r="K248" s="657"/>
      <c r="L248" s="657"/>
    </row>
    <row r="249" spans="1:12">
      <c r="A249" s="658"/>
      <c r="B249" s="658"/>
      <c r="C249" s="694" t="s">
        <v>316</v>
      </c>
      <c r="D249" s="658" t="s">
        <v>3717</v>
      </c>
      <c r="E249" s="658" t="s">
        <v>3714</v>
      </c>
      <c r="F249" s="653"/>
      <c r="G249" s="654"/>
      <c r="H249" s="657">
        <v>330</v>
      </c>
      <c r="I249" s="657">
        <f t="shared" ref="I249" si="215">H249</f>
        <v>330</v>
      </c>
      <c r="J249" s="657"/>
      <c r="K249" s="657">
        <v>330</v>
      </c>
      <c r="L249" s="657">
        <f t="shared" ref="L249" si="216">K249-I249</f>
        <v>0</v>
      </c>
    </row>
    <row r="250" spans="1:12">
      <c r="A250" s="658"/>
      <c r="B250" s="658"/>
      <c r="C250" s="694"/>
      <c r="D250" s="658"/>
      <c r="E250" s="658"/>
      <c r="F250" s="655"/>
      <c r="G250" s="656"/>
      <c r="H250" s="657"/>
      <c r="I250" s="657"/>
      <c r="J250" s="657"/>
      <c r="K250" s="657"/>
      <c r="L250" s="657"/>
    </row>
    <row r="251" spans="1:12">
      <c r="A251" s="658"/>
      <c r="B251" s="658"/>
      <c r="C251" s="658" t="s">
        <v>315</v>
      </c>
      <c r="D251" s="658" t="s">
        <v>3715</v>
      </c>
      <c r="E251" s="658" t="s">
        <v>3025</v>
      </c>
      <c r="F251" s="653"/>
      <c r="G251" s="654"/>
      <c r="H251" s="657">
        <v>94</v>
      </c>
      <c r="I251" s="657">
        <f t="shared" ref="I251" si="217">H251</f>
        <v>94</v>
      </c>
      <c r="J251" s="657"/>
      <c r="K251" s="657">
        <v>94</v>
      </c>
      <c r="L251" s="657">
        <f t="shared" ref="L251" si="218">K251-I251</f>
        <v>0</v>
      </c>
    </row>
    <row r="252" spans="1:12">
      <c r="A252" s="658"/>
      <c r="B252" s="658"/>
      <c r="C252" s="658"/>
      <c r="D252" s="658"/>
      <c r="E252" s="658"/>
      <c r="F252" s="655"/>
      <c r="G252" s="656"/>
      <c r="H252" s="657"/>
      <c r="I252" s="657"/>
      <c r="J252" s="657"/>
      <c r="K252" s="657"/>
      <c r="L252" s="657"/>
    </row>
    <row r="253" spans="1:12">
      <c r="A253" s="658" t="s">
        <v>144</v>
      </c>
      <c r="B253" s="658" t="s">
        <v>3281</v>
      </c>
      <c r="C253" s="658" t="s">
        <v>3727</v>
      </c>
      <c r="D253" s="658" t="s">
        <v>3715</v>
      </c>
      <c r="E253" s="658" t="s">
        <v>239</v>
      </c>
      <c r="F253" s="653"/>
      <c r="G253" s="654"/>
      <c r="H253" s="657">
        <v>1350</v>
      </c>
      <c r="I253" s="657">
        <f t="shared" ref="I253" si="219">H253</f>
        <v>1350</v>
      </c>
      <c r="J253" s="657"/>
      <c r="K253" s="657">
        <v>1350</v>
      </c>
      <c r="L253" s="657">
        <f t="shared" ref="L253" si="220">K253-I253</f>
        <v>0</v>
      </c>
    </row>
    <row r="254" spans="1:12">
      <c r="A254" s="658"/>
      <c r="B254" s="658"/>
      <c r="C254" s="658"/>
      <c r="D254" s="658"/>
      <c r="E254" s="658"/>
      <c r="F254" s="655"/>
      <c r="G254" s="656"/>
      <c r="H254" s="657"/>
      <c r="I254" s="657"/>
      <c r="J254" s="657"/>
      <c r="K254" s="657"/>
      <c r="L254" s="657"/>
    </row>
    <row r="255" spans="1:12">
      <c r="A255" s="614"/>
      <c r="B255" s="614"/>
      <c r="C255" s="658" t="s">
        <v>3726</v>
      </c>
      <c r="D255" s="658" t="s">
        <v>3713</v>
      </c>
      <c r="E255" s="658" t="s">
        <v>239</v>
      </c>
      <c r="F255" s="653"/>
      <c r="G255" s="654"/>
      <c r="H255" s="657">
        <v>150</v>
      </c>
      <c r="I255" s="657">
        <v>180</v>
      </c>
      <c r="J255" s="657"/>
      <c r="K255" s="657">
        <v>180</v>
      </c>
      <c r="L255" s="657">
        <f t="shared" ref="L255" si="221">K255-I255</f>
        <v>0</v>
      </c>
    </row>
    <row r="256" spans="1:12">
      <c r="A256" s="614"/>
      <c r="B256" s="614"/>
      <c r="C256" s="658"/>
      <c r="D256" s="658"/>
      <c r="E256" s="658"/>
      <c r="F256" s="655"/>
      <c r="G256" s="656"/>
      <c r="H256" s="657"/>
      <c r="I256" s="657"/>
      <c r="J256" s="657"/>
      <c r="K256" s="657"/>
      <c r="L256" s="657"/>
    </row>
    <row r="257" spans="1:12">
      <c r="A257" s="658"/>
      <c r="B257" s="658"/>
      <c r="C257" s="658" t="s">
        <v>334</v>
      </c>
      <c r="D257" s="658" t="s">
        <v>3723</v>
      </c>
      <c r="E257" s="658" t="s">
        <v>2780</v>
      </c>
      <c r="F257" s="653"/>
      <c r="G257" s="654"/>
      <c r="H257" s="657">
        <v>400</v>
      </c>
      <c r="I257" s="657">
        <f t="shared" ref="I257" si="222">H257</f>
        <v>400</v>
      </c>
      <c r="J257" s="657"/>
      <c r="K257" s="657">
        <v>400</v>
      </c>
      <c r="L257" s="657">
        <f t="shared" ref="L257" si="223">K257-I257</f>
        <v>0</v>
      </c>
    </row>
    <row r="258" spans="1:12">
      <c r="A258" s="658"/>
      <c r="B258" s="658"/>
      <c r="C258" s="658"/>
      <c r="D258" s="658"/>
      <c r="E258" s="658"/>
      <c r="F258" s="655"/>
      <c r="G258" s="656"/>
      <c r="H258" s="657"/>
      <c r="I258" s="657"/>
      <c r="J258" s="657"/>
      <c r="K258" s="657"/>
      <c r="L258" s="657"/>
    </row>
    <row r="259" spans="1:12">
      <c r="A259" s="658"/>
      <c r="B259" s="658"/>
      <c r="C259" s="658" t="s">
        <v>332</v>
      </c>
      <c r="D259" s="658" t="s">
        <v>3723</v>
      </c>
      <c r="E259" s="658" t="s">
        <v>2517</v>
      </c>
      <c r="F259" s="653"/>
      <c r="G259" s="654"/>
      <c r="H259" s="657">
        <v>430</v>
      </c>
      <c r="I259" s="657">
        <f t="shared" ref="I259" si="224">H259</f>
        <v>430</v>
      </c>
      <c r="J259" s="657"/>
      <c r="K259" s="657">
        <v>430</v>
      </c>
      <c r="L259" s="657">
        <f t="shared" ref="L259" si="225">K259-I259</f>
        <v>0</v>
      </c>
    </row>
    <row r="260" spans="1:12">
      <c r="A260" s="658"/>
      <c r="B260" s="658"/>
      <c r="C260" s="658"/>
      <c r="D260" s="658"/>
      <c r="E260" s="658"/>
      <c r="F260" s="655"/>
      <c r="G260" s="656"/>
      <c r="H260" s="657"/>
      <c r="I260" s="657"/>
      <c r="J260" s="657"/>
      <c r="K260" s="657"/>
      <c r="L260" s="657"/>
    </row>
    <row r="261" spans="1:12">
      <c r="A261" s="658"/>
      <c r="B261" s="658"/>
      <c r="C261" s="658" t="s">
        <v>333</v>
      </c>
      <c r="D261" s="658" t="s">
        <v>3723</v>
      </c>
      <c r="E261" s="658" t="s">
        <v>2517</v>
      </c>
      <c r="F261" s="653"/>
      <c r="G261" s="654"/>
      <c r="H261" s="657">
        <v>250</v>
      </c>
      <c r="I261" s="657">
        <f t="shared" ref="I261" si="226">H261</f>
        <v>250</v>
      </c>
      <c r="J261" s="657"/>
      <c r="K261" s="657">
        <v>250</v>
      </c>
      <c r="L261" s="657">
        <f t="shared" ref="L261" si="227">K261-I261</f>
        <v>0</v>
      </c>
    </row>
    <row r="262" spans="1:12">
      <c r="A262" s="658"/>
      <c r="B262" s="658"/>
      <c r="C262" s="658"/>
      <c r="D262" s="658"/>
      <c r="E262" s="658"/>
      <c r="F262" s="655"/>
      <c r="G262" s="656"/>
      <c r="H262" s="657"/>
      <c r="I262" s="657"/>
      <c r="J262" s="657"/>
      <c r="K262" s="657"/>
      <c r="L262" s="657"/>
    </row>
    <row r="263" spans="1:12">
      <c r="A263" s="658" t="s">
        <v>145</v>
      </c>
      <c r="B263" s="658" t="s">
        <v>3298</v>
      </c>
      <c r="C263" s="658" t="s">
        <v>3729</v>
      </c>
      <c r="D263" s="658" t="s">
        <v>3728</v>
      </c>
      <c r="E263" s="658" t="s">
        <v>239</v>
      </c>
      <c r="F263" s="653"/>
      <c r="G263" s="654"/>
      <c r="H263" s="657">
        <v>41058</v>
      </c>
      <c r="I263" s="657">
        <v>1350</v>
      </c>
      <c r="J263" s="657"/>
      <c r="K263" s="657">
        <v>1350</v>
      </c>
      <c r="L263" s="657">
        <f t="shared" ref="L263" si="228">K263-I263</f>
        <v>0</v>
      </c>
    </row>
    <row r="264" spans="1:12">
      <c r="A264" s="658"/>
      <c r="B264" s="658"/>
      <c r="C264" s="658"/>
      <c r="D264" s="658"/>
      <c r="E264" s="658"/>
      <c r="F264" s="655"/>
      <c r="G264" s="656"/>
      <c r="H264" s="657"/>
      <c r="I264" s="657"/>
      <c r="J264" s="657"/>
      <c r="K264" s="657"/>
      <c r="L264" s="657"/>
    </row>
    <row r="265" spans="1:12">
      <c r="A265" s="658"/>
      <c r="B265" s="658"/>
      <c r="C265" s="658" t="s">
        <v>335</v>
      </c>
      <c r="D265" s="658" t="s">
        <v>3723</v>
      </c>
      <c r="E265" s="658" t="s">
        <v>2723</v>
      </c>
      <c r="F265" s="653"/>
      <c r="G265" s="654"/>
      <c r="H265" s="657">
        <v>250</v>
      </c>
      <c r="I265" s="657">
        <f t="shared" ref="I265" si="229">H265</f>
        <v>250</v>
      </c>
      <c r="J265" s="657"/>
      <c r="K265" s="657">
        <v>250</v>
      </c>
      <c r="L265" s="657">
        <f t="shared" ref="L265" si="230">K265-I265</f>
        <v>0</v>
      </c>
    </row>
    <row r="266" spans="1:12">
      <c r="A266" s="658"/>
      <c r="B266" s="658"/>
      <c r="C266" s="658"/>
      <c r="D266" s="658"/>
      <c r="E266" s="658"/>
      <c r="F266" s="655"/>
      <c r="G266" s="656"/>
      <c r="H266" s="657"/>
      <c r="I266" s="657"/>
      <c r="J266" s="657"/>
      <c r="K266" s="657"/>
      <c r="L266" s="657"/>
    </row>
    <row r="267" spans="1:12">
      <c r="A267" s="658"/>
      <c r="B267" s="658"/>
      <c r="C267" s="658" t="s">
        <v>336</v>
      </c>
      <c r="D267" s="658" t="s">
        <v>3723</v>
      </c>
      <c r="E267" s="658" t="s">
        <v>2723</v>
      </c>
      <c r="F267" s="653"/>
      <c r="G267" s="654"/>
      <c r="H267" s="657">
        <v>360</v>
      </c>
      <c r="I267" s="657">
        <f t="shared" ref="I267" si="231">H267</f>
        <v>360</v>
      </c>
      <c r="J267" s="657"/>
      <c r="K267" s="657">
        <v>360</v>
      </c>
      <c r="L267" s="657">
        <f t="shared" ref="L267" si="232">K267-I267</f>
        <v>0</v>
      </c>
    </row>
    <row r="268" spans="1:12">
      <c r="A268" s="658"/>
      <c r="B268" s="658"/>
      <c r="C268" s="658"/>
      <c r="D268" s="658"/>
      <c r="E268" s="658"/>
      <c r="F268" s="655"/>
      <c r="G268" s="656"/>
      <c r="H268" s="657"/>
      <c r="I268" s="657"/>
      <c r="J268" s="657"/>
      <c r="K268" s="657"/>
      <c r="L268" s="657"/>
    </row>
    <row r="269" spans="1:12">
      <c r="A269" s="658"/>
      <c r="B269" s="658"/>
      <c r="C269" s="658" t="s">
        <v>317</v>
      </c>
      <c r="D269" s="658" t="s">
        <v>2981</v>
      </c>
      <c r="E269" s="658" t="s">
        <v>2376</v>
      </c>
      <c r="F269" s="653"/>
      <c r="G269" s="654"/>
      <c r="H269" s="657">
        <v>60</v>
      </c>
      <c r="I269" s="657">
        <f t="shared" ref="I269" si="233">H269</f>
        <v>60</v>
      </c>
      <c r="J269" s="657"/>
      <c r="K269" s="657">
        <v>60</v>
      </c>
      <c r="L269" s="657">
        <f t="shared" ref="L269" si="234">K269-I269</f>
        <v>0</v>
      </c>
    </row>
    <row r="270" spans="1:12">
      <c r="A270" s="658"/>
      <c r="B270" s="658"/>
      <c r="C270" s="658"/>
      <c r="D270" s="658"/>
      <c r="E270" s="658"/>
      <c r="F270" s="655"/>
      <c r="G270" s="656"/>
      <c r="H270" s="657"/>
      <c r="I270" s="657"/>
      <c r="J270" s="657"/>
      <c r="K270" s="657"/>
      <c r="L270" s="657"/>
    </row>
    <row r="271" spans="1:12">
      <c r="A271" s="658"/>
      <c r="B271" s="658"/>
      <c r="C271" s="658" t="s">
        <v>318</v>
      </c>
      <c r="D271" s="674" t="s">
        <v>3725</v>
      </c>
      <c r="E271" s="658" t="s">
        <v>2375</v>
      </c>
      <c r="F271" s="653"/>
      <c r="G271" s="654"/>
      <c r="H271" s="657">
        <v>120</v>
      </c>
      <c r="I271" s="657">
        <f t="shared" ref="I271" si="235">H271</f>
        <v>120</v>
      </c>
      <c r="J271" s="657"/>
      <c r="K271" s="657">
        <v>120</v>
      </c>
      <c r="L271" s="657">
        <f t="shared" ref="L271" si="236">K271-I271</f>
        <v>0</v>
      </c>
    </row>
    <row r="272" spans="1:12">
      <c r="A272" s="658"/>
      <c r="B272" s="658"/>
      <c r="C272" s="658"/>
      <c r="D272" s="674"/>
      <c r="E272" s="658"/>
      <c r="F272" s="655"/>
      <c r="G272" s="656"/>
      <c r="H272" s="657"/>
      <c r="I272" s="657"/>
      <c r="J272" s="657"/>
      <c r="K272" s="657"/>
      <c r="L272" s="657"/>
    </row>
    <row r="273" spans="1:13">
      <c r="A273" s="616"/>
      <c r="B273" s="658"/>
      <c r="C273" s="658" t="s">
        <v>358</v>
      </c>
      <c r="D273" s="658" t="s">
        <v>3728</v>
      </c>
      <c r="E273" s="658" t="s">
        <v>3736</v>
      </c>
      <c r="F273" s="653"/>
      <c r="G273" s="654"/>
      <c r="H273" s="657">
        <v>20000</v>
      </c>
      <c r="I273" s="657">
        <v>658</v>
      </c>
      <c r="J273" s="657"/>
      <c r="K273" s="657">
        <v>658</v>
      </c>
      <c r="L273" s="657">
        <f t="shared" ref="L273" si="237">K273-I273</f>
        <v>0</v>
      </c>
    </row>
    <row r="274" spans="1:13">
      <c r="A274" s="616"/>
      <c r="B274" s="658"/>
      <c r="C274" s="658"/>
      <c r="D274" s="658"/>
      <c r="E274" s="658"/>
      <c r="F274" s="655"/>
      <c r="G274" s="656"/>
      <c r="H274" s="657"/>
      <c r="I274" s="657"/>
      <c r="J274" s="657"/>
      <c r="K274" s="657"/>
      <c r="L274" s="657"/>
    </row>
    <row r="275" spans="1:13">
      <c r="A275" s="658" t="s">
        <v>146</v>
      </c>
      <c r="B275" s="658" t="s">
        <v>3601</v>
      </c>
      <c r="C275" s="658" t="s">
        <v>3730</v>
      </c>
      <c r="D275" s="658" t="s">
        <v>3723</v>
      </c>
      <c r="E275" s="658" t="s">
        <v>239</v>
      </c>
      <c r="F275" s="653"/>
      <c r="G275" s="654"/>
      <c r="H275" s="657">
        <v>1350</v>
      </c>
      <c r="I275" s="657">
        <f t="shared" ref="I275" si="238">H275</f>
        <v>1350</v>
      </c>
      <c r="J275" s="657"/>
      <c r="K275" s="657">
        <v>1350</v>
      </c>
      <c r="L275" s="657">
        <f t="shared" ref="L275" si="239">K275-I275</f>
        <v>0</v>
      </c>
    </row>
    <row r="276" spans="1:13">
      <c r="A276" s="658"/>
      <c r="B276" s="658"/>
      <c r="C276" s="658"/>
      <c r="D276" s="658"/>
      <c r="E276" s="658"/>
      <c r="F276" s="655"/>
      <c r="G276" s="656"/>
      <c r="H276" s="657"/>
      <c r="I276" s="657"/>
      <c r="J276" s="657"/>
      <c r="K276" s="657"/>
      <c r="L276" s="657"/>
    </row>
    <row r="277" spans="1:13">
      <c r="A277" s="658"/>
      <c r="B277" s="658"/>
      <c r="C277" s="658" t="s">
        <v>3734</v>
      </c>
      <c r="D277" s="658" t="s">
        <v>3715</v>
      </c>
      <c r="E277" s="658" t="s">
        <v>239</v>
      </c>
      <c r="F277" s="653"/>
      <c r="G277" s="654"/>
      <c r="H277" s="657">
        <v>150</v>
      </c>
      <c r="I277" s="657">
        <v>180</v>
      </c>
      <c r="J277" s="657"/>
      <c r="K277" s="657">
        <v>180</v>
      </c>
      <c r="L277" s="657">
        <f t="shared" ref="L277" si="240">K277-I277</f>
        <v>0</v>
      </c>
    </row>
    <row r="278" spans="1:13">
      <c r="A278" s="658"/>
      <c r="B278" s="658"/>
      <c r="C278" s="658"/>
      <c r="D278" s="658"/>
      <c r="E278" s="658"/>
      <c r="F278" s="655"/>
      <c r="G278" s="656"/>
      <c r="H278" s="657"/>
      <c r="I278" s="657"/>
      <c r="J278" s="657"/>
      <c r="K278" s="657"/>
      <c r="L278" s="657"/>
    </row>
    <row r="279" spans="1:13">
      <c r="A279" s="658"/>
      <c r="B279" s="658"/>
      <c r="C279" s="658" t="s">
        <v>337</v>
      </c>
      <c r="D279" s="674" t="s">
        <v>3725</v>
      </c>
      <c r="E279" s="658" t="s">
        <v>1601</v>
      </c>
      <c r="F279" s="653"/>
      <c r="G279" s="654"/>
      <c r="H279" s="657">
        <v>1450</v>
      </c>
      <c r="I279" s="657">
        <f t="shared" ref="I279" si="241">H279</f>
        <v>1450</v>
      </c>
      <c r="J279" s="657"/>
      <c r="K279" s="657">
        <v>1450</v>
      </c>
      <c r="L279" s="657">
        <f t="shared" ref="L279" si="242">K279-I279</f>
        <v>0</v>
      </c>
    </row>
    <row r="280" spans="1:13">
      <c r="A280" s="658"/>
      <c r="B280" s="658"/>
      <c r="C280" s="658"/>
      <c r="D280" s="674"/>
      <c r="E280" s="658"/>
      <c r="F280" s="655"/>
      <c r="G280" s="656"/>
      <c r="H280" s="657"/>
      <c r="I280" s="657"/>
      <c r="J280" s="657"/>
      <c r="K280" s="657"/>
      <c r="L280" s="657"/>
    </row>
    <row r="281" spans="1:13">
      <c r="A281" s="658" t="s">
        <v>158</v>
      </c>
      <c r="B281" s="658" t="s">
        <v>3008</v>
      </c>
      <c r="C281" s="658" t="s">
        <v>3733</v>
      </c>
      <c r="D281" s="658" t="s">
        <v>3732</v>
      </c>
      <c r="E281" s="658" t="s">
        <v>239</v>
      </c>
      <c r="F281" s="653"/>
      <c r="G281" s="654"/>
      <c r="H281" s="657">
        <v>41020</v>
      </c>
      <c r="I281" s="657">
        <v>1350</v>
      </c>
      <c r="J281" s="657"/>
      <c r="K281" s="657">
        <v>1350</v>
      </c>
      <c r="L281" s="657">
        <f t="shared" ref="L281" si="243">K281-I281</f>
        <v>0</v>
      </c>
    </row>
    <row r="282" spans="1:13">
      <c r="A282" s="658"/>
      <c r="B282" s="658"/>
      <c r="C282" s="658"/>
      <c r="D282" s="658"/>
      <c r="E282" s="658"/>
      <c r="F282" s="655"/>
      <c r="G282" s="656"/>
      <c r="H282" s="657"/>
      <c r="I282" s="657"/>
      <c r="J282" s="657"/>
      <c r="K282" s="657"/>
      <c r="L282" s="657"/>
    </row>
    <row r="283" spans="1:13">
      <c r="A283" s="703" t="s">
        <v>3731</v>
      </c>
      <c r="B283" s="704"/>
      <c r="C283" s="704"/>
      <c r="D283" s="704"/>
      <c r="E283" s="704"/>
      <c r="F283" s="704"/>
      <c r="G283" s="704"/>
      <c r="H283" s="704"/>
      <c r="I283" s="704"/>
      <c r="J283" s="704"/>
      <c r="K283" s="704"/>
      <c r="L283" s="705"/>
    </row>
    <row r="284" spans="1:13">
      <c r="A284" s="706"/>
      <c r="B284" s="707"/>
      <c r="C284" s="707"/>
      <c r="D284" s="707"/>
      <c r="E284" s="707"/>
      <c r="F284" s="707"/>
      <c r="G284" s="707"/>
      <c r="H284" s="707"/>
      <c r="I284" s="707"/>
      <c r="J284" s="707"/>
      <c r="K284" s="707"/>
      <c r="L284" s="708"/>
    </row>
    <row r="285" spans="1:13">
      <c r="A285" s="658"/>
      <c r="B285" s="658"/>
      <c r="C285" s="658" t="s">
        <v>338</v>
      </c>
      <c r="D285" s="658" t="s">
        <v>3725</v>
      </c>
      <c r="E285" s="658" t="s">
        <v>1661</v>
      </c>
      <c r="F285" s="653"/>
      <c r="G285" s="654"/>
      <c r="H285" s="657">
        <v>520</v>
      </c>
      <c r="I285" s="657">
        <f t="shared" ref="I285" si="244">H285</f>
        <v>520</v>
      </c>
      <c r="J285" s="657"/>
      <c r="K285" s="657">
        <v>520</v>
      </c>
      <c r="L285" s="657">
        <f t="shared" ref="L285" si="245">K285-I285</f>
        <v>0</v>
      </c>
      <c r="M285" s="572">
        <f>SUM(I279,I271,I285:I290,I293:I382,I385)</f>
        <v>34183</v>
      </c>
    </row>
    <row r="286" spans="1:13">
      <c r="A286" s="658"/>
      <c r="B286" s="658"/>
      <c r="C286" s="658"/>
      <c r="D286" s="658"/>
      <c r="E286" s="658"/>
      <c r="F286" s="655"/>
      <c r="G286" s="656"/>
      <c r="H286" s="657"/>
      <c r="I286" s="657"/>
      <c r="J286" s="657"/>
      <c r="K286" s="657"/>
      <c r="L286" s="657"/>
    </row>
    <row r="287" spans="1:13">
      <c r="A287" s="658"/>
      <c r="B287" s="658"/>
      <c r="C287" s="658" t="s">
        <v>348</v>
      </c>
      <c r="D287" s="658" t="s">
        <v>3725</v>
      </c>
      <c r="E287" s="658" t="s">
        <v>3724</v>
      </c>
      <c r="F287" s="653"/>
      <c r="G287" s="654"/>
      <c r="H287" s="657">
        <v>160</v>
      </c>
      <c r="I287" s="657">
        <f t="shared" ref="I287" si="246">H287</f>
        <v>160</v>
      </c>
      <c r="J287" s="657"/>
      <c r="K287" s="657">
        <v>160</v>
      </c>
      <c r="L287" s="657">
        <f t="shared" ref="L287" si="247">K287-I287</f>
        <v>0</v>
      </c>
      <c r="M287" t="s">
        <v>2071</v>
      </c>
    </row>
    <row r="288" spans="1:13">
      <c r="A288" s="658"/>
      <c r="B288" s="658"/>
      <c r="C288" s="658"/>
      <c r="D288" s="658"/>
      <c r="E288" s="658"/>
      <c r="F288" s="655"/>
      <c r="G288" s="656"/>
      <c r="H288" s="657"/>
      <c r="I288" s="657"/>
      <c r="J288" s="657"/>
      <c r="K288" s="657"/>
      <c r="L288" s="657"/>
      <c r="M288" t="s">
        <v>3856</v>
      </c>
    </row>
    <row r="289" spans="1:12">
      <c r="A289" s="658"/>
      <c r="B289" s="658"/>
      <c r="C289" s="658" t="s">
        <v>350</v>
      </c>
      <c r="D289" s="658" t="s">
        <v>3725</v>
      </c>
      <c r="E289" s="658" t="s">
        <v>3025</v>
      </c>
      <c r="F289" s="653"/>
      <c r="G289" s="654"/>
      <c r="H289" s="657">
        <v>94</v>
      </c>
      <c r="I289" s="657">
        <f t="shared" ref="I289" si="248">H289</f>
        <v>94</v>
      </c>
      <c r="J289" s="657"/>
      <c r="K289" s="657">
        <v>94</v>
      </c>
      <c r="L289" s="657">
        <f t="shared" ref="L289" si="249">K289-I289</f>
        <v>0</v>
      </c>
    </row>
    <row r="290" spans="1:12">
      <c r="A290" s="658"/>
      <c r="B290" s="658"/>
      <c r="C290" s="658"/>
      <c r="D290" s="658"/>
      <c r="E290" s="658"/>
      <c r="F290" s="655"/>
      <c r="G290" s="656"/>
      <c r="H290" s="657"/>
      <c r="I290" s="657"/>
      <c r="J290" s="657"/>
      <c r="K290" s="657"/>
      <c r="L290" s="657"/>
    </row>
    <row r="291" spans="1:12" ht="12.75" customHeight="1">
      <c r="A291" s="658"/>
      <c r="B291" s="658"/>
      <c r="C291" s="658" t="s">
        <v>1310</v>
      </c>
      <c r="D291" s="731" t="s">
        <v>3732</v>
      </c>
      <c r="E291" s="658" t="s">
        <v>3736</v>
      </c>
      <c r="F291" s="653"/>
      <c r="G291" s="654"/>
      <c r="H291" s="657">
        <v>40000</v>
      </c>
      <c r="I291" s="657">
        <v>1316</v>
      </c>
      <c r="J291" s="657"/>
      <c r="K291" s="657">
        <v>1316</v>
      </c>
      <c r="L291" s="657">
        <f t="shared" ref="L291" si="250">K291-I291</f>
        <v>0</v>
      </c>
    </row>
    <row r="292" spans="1:12">
      <c r="A292" s="658"/>
      <c r="B292" s="658"/>
      <c r="C292" s="658"/>
      <c r="D292" s="732"/>
      <c r="E292" s="658"/>
      <c r="F292" s="655"/>
      <c r="G292" s="656"/>
      <c r="H292" s="657"/>
      <c r="I292" s="657"/>
      <c r="J292" s="657"/>
      <c r="K292" s="657"/>
      <c r="L292" s="657"/>
    </row>
    <row r="293" spans="1:12">
      <c r="A293" s="658" t="s">
        <v>159</v>
      </c>
      <c r="B293" s="658" t="s">
        <v>3281</v>
      </c>
      <c r="C293" s="658" t="s">
        <v>3744</v>
      </c>
      <c r="D293" s="658" t="s">
        <v>3725</v>
      </c>
      <c r="E293" s="658" t="s">
        <v>239</v>
      </c>
      <c r="F293" s="653"/>
      <c r="G293" s="654"/>
      <c r="H293" s="657">
        <v>1350</v>
      </c>
      <c r="I293" s="657">
        <f t="shared" ref="I293" si="251">H293</f>
        <v>1350</v>
      </c>
      <c r="J293" s="657"/>
      <c r="K293" s="657">
        <v>1350</v>
      </c>
      <c r="L293" s="657">
        <f t="shared" ref="L293" si="252">K293-I293</f>
        <v>0</v>
      </c>
    </row>
    <row r="294" spans="1:12">
      <c r="A294" s="658"/>
      <c r="B294" s="658"/>
      <c r="C294" s="658"/>
      <c r="D294" s="658"/>
      <c r="E294" s="658"/>
      <c r="F294" s="655"/>
      <c r="G294" s="656"/>
      <c r="H294" s="657"/>
      <c r="I294" s="657"/>
      <c r="J294" s="657"/>
      <c r="K294" s="657"/>
      <c r="L294" s="657"/>
    </row>
    <row r="295" spans="1:12">
      <c r="A295" s="658"/>
      <c r="B295" s="658"/>
      <c r="C295" s="658" t="s">
        <v>359</v>
      </c>
      <c r="D295" s="658" t="s">
        <v>3738</v>
      </c>
      <c r="E295" s="658" t="s">
        <v>3737</v>
      </c>
      <c r="F295" s="653"/>
      <c r="G295" s="654"/>
      <c r="H295" s="657">
        <v>15000</v>
      </c>
      <c r="I295" s="657">
        <v>499</v>
      </c>
      <c r="J295" s="657"/>
      <c r="K295" s="657">
        <v>499</v>
      </c>
      <c r="L295" s="657">
        <f t="shared" ref="L295" si="253">K295-I295</f>
        <v>0</v>
      </c>
    </row>
    <row r="296" spans="1:12">
      <c r="A296" s="658"/>
      <c r="B296" s="658"/>
      <c r="C296" s="658"/>
      <c r="D296" s="658"/>
      <c r="E296" s="658"/>
      <c r="F296" s="655"/>
      <c r="G296" s="656"/>
      <c r="H296" s="657"/>
      <c r="I296" s="657"/>
      <c r="J296" s="657"/>
      <c r="K296" s="657"/>
      <c r="L296" s="657"/>
    </row>
    <row r="297" spans="1:12">
      <c r="A297" s="658"/>
      <c r="B297" s="658"/>
      <c r="C297" s="658" t="s">
        <v>3739</v>
      </c>
      <c r="D297" s="658" t="s">
        <v>3738</v>
      </c>
      <c r="E297" s="658" t="s">
        <v>239</v>
      </c>
      <c r="F297" s="653"/>
      <c r="G297" s="654"/>
      <c r="H297" s="657">
        <v>250</v>
      </c>
      <c r="I297" s="657">
        <f t="shared" ref="I297" si="254">H297</f>
        <v>250</v>
      </c>
      <c r="J297" s="657"/>
      <c r="K297" s="657">
        <v>250</v>
      </c>
      <c r="L297" s="657">
        <f t="shared" ref="L297" si="255">K297-I297</f>
        <v>0</v>
      </c>
    </row>
    <row r="298" spans="1:12">
      <c r="A298" s="658"/>
      <c r="B298" s="658"/>
      <c r="C298" s="658"/>
      <c r="D298" s="658"/>
      <c r="E298" s="658"/>
      <c r="F298" s="655"/>
      <c r="G298" s="656"/>
      <c r="H298" s="657"/>
      <c r="I298" s="657"/>
      <c r="J298" s="657"/>
      <c r="K298" s="657"/>
      <c r="L298" s="657"/>
    </row>
    <row r="299" spans="1:12">
      <c r="A299" s="658"/>
      <c r="B299" s="658"/>
      <c r="C299" s="658" t="s">
        <v>360</v>
      </c>
      <c r="D299" s="658" t="s">
        <v>3738</v>
      </c>
      <c r="E299" s="658" t="s">
        <v>2838</v>
      </c>
      <c r="F299" s="653"/>
      <c r="G299" s="654"/>
      <c r="H299" s="657">
        <v>200</v>
      </c>
      <c r="I299" s="657">
        <f t="shared" ref="I299" si="256">H299</f>
        <v>200</v>
      </c>
      <c r="J299" s="657"/>
      <c r="K299" s="657">
        <v>200</v>
      </c>
      <c r="L299" s="657">
        <f t="shared" ref="L299" si="257">K299-I299</f>
        <v>0</v>
      </c>
    </row>
    <row r="300" spans="1:12">
      <c r="A300" s="658"/>
      <c r="B300" s="658"/>
      <c r="C300" s="658"/>
      <c r="D300" s="658"/>
      <c r="E300" s="658"/>
      <c r="F300" s="655"/>
      <c r="G300" s="656"/>
      <c r="H300" s="657"/>
      <c r="I300" s="657"/>
      <c r="J300" s="657"/>
      <c r="K300" s="657"/>
      <c r="L300" s="657"/>
    </row>
    <row r="301" spans="1:12">
      <c r="A301" s="658" t="s">
        <v>162</v>
      </c>
      <c r="B301" s="658" t="s">
        <v>3298</v>
      </c>
      <c r="C301" s="658" t="s">
        <v>3746</v>
      </c>
      <c r="D301" s="658" t="s">
        <v>3745</v>
      </c>
      <c r="E301" s="658" t="s">
        <v>239</v>
      </c>
      <c r="F301" s="653"/>
      <c r="G301" s="654"/>
      <c r="H301" s="657">
        <v>41921</v>
      </c>
      <c r="I301" s="657">
        <v>1400</v>
      </c>
      <c r="J301" s="657"/>
      <c r="K301" s="657">
        <v>1400</v>
      </c>
      <c r="L301" s="657">
        <f t="shared" ref="L301" si="258">K301-I301</f>
        <v>0</v>
      </c>
    </row>
    <row r="302" spans="1:12">
      <c r="A302" s="658"/>
      <c r="B302" s="658"/>
      <c r="C302" s="658"/>
      <c r="D302" s="658"/>
      <c r="E302" s="658"/>
      <c r="F302" s="655"/>
      <c r="G302" s="656"/>
      <c r="H302" s="657"/>
      <c r="I302" s="657"/>
      <c r="J302" s="657"/>
      <c r="K302" s="657"/>
      <c r="L302" s="657"/>
    </row>
    <row r="303" spans="1:12">
      <c r="A303" s="658"/>
      <c r="B303" s="658"/>
      <c r="C303" s="658" t="s">
        <v>361</v>
      </c>
      <c r="D303" s="658" t="s">
        <v>3738</v>
      </c>
      <c r="E303" s="658" t="s">
        <v>3740</v>
      </c>
      <c r="F303" s="653"/>
      <c r="G303" s="654"/>
      <c r="H303" s="657">
        <v>20000</v>
      </c>
      <c r="I303" s="657">
        <v>666</v>
      </c>
      <c r="J303" s="657"/>
      <c r="K303" s="657">
        <v>666</v>
      </c>
      <c r="L303" s="657">
        <f t="shared" ref="L303" si="259">K303-I303</f>
        <v>0</v>
      </c>
    </row>
    <row r="304" spans="1:12">
      <c r="A304" s="658"/>
      <c r="B304" s="658"/>
      <c r="C304" s="658"/>
      <c r="D304" s="658"/>
      <c r="E304" s="658"/>
      <c r="F304" s="655"/>
      <c r="G304" s="656"/>
      <c r="H304" s="657"/>
      <c r="I304" s="657"/>
      <c r="J304" s="657"/>
      <c r="K304" s="657"/>
      <c r="L304" s="657"/>
    </row>
    <row r="305" spans="1:12">
      <c r="A305" s="658" t="s">
        <v>163</v>
      </c>
      <c r="B305" s="658" t="s">
        <v>3601</v>
      </c>
      <c r="C305" s="658" t="s">
        <v>3748</v>
      </c>
      <c r="D305" s="658" t="s">
        <v>3747</v>
      </c>
      <c r="E305" s="658" t="s">
        <v>239</v>
      </c>
      <c r="F305" s="653"/>
      <c r="G305" s="654"/>
      <c r="H305" s="657">
        <v>1350</v>
      </c>
      <c r="I305" s="657">
        <v>1350</v>
      </c>
      <c r="J305" s="657"/>
      <c r="K305" s="657">
        <v>1350</v>
      </c>
      <c r="L305" s="657">
        <f t="shared" ref="L305" si="260">K305-I305</f>
        <v>0</v>
      </c>
    </row>
    <row r="306" spans="1:12">
      <c r="A306" s="658"/>
      <c r="B306" s="658"/>
      <c r="C306" s="658"/>
      <c r="D306" s="658"/>
      <c r="E306" s="658"/>
      <c r="F306" s="655"/>
      <c r="G306" s="656"/>
      <c r="H306" s="657"/>
      <c r="I306" s="657"/>
      <c r="J306" s="657"/>
      <c r="K306" s="657"/>
      <c r="L306" s="657"/>
    </row>
    <row r="307" spans="1:12">
      <c r="A307" s="658"/>
      <c r="B307" s="658"/>
      <c r="C307" s="658" t="s">
        <v>363</v>
      </c>
      <c r="D307" s="658" t="s">
        <v>3742</v>
      </c>
      <c r="E307" s="658" t="s">
        <v>3226</v>
      </c>
      <c r="F307" s="653"/>
      <c r="G307" s="654"/>
      <c r="H307" s="657">
        <v>270</v>
      </c>
      <c r="I307" s="657">
        <f t="shared" ref="I307" si="261">H307</f>
        <v>270</v>
      </c>
      <c r="J307" s="657"/>
      <c r="K307" s="657">
        <v>270</v>
      </c>
      <c r="L307" s="657">
        <f t="shared" ref="L307" si="262">K307-I307</f>
        <v>0</v>
      </c>
    </row>
    <row r="308" spans="1:12">
      <c r="A308" s="658"/>
      <c r="B308" s="658"/>
      <c r="C308" s="658"/>
      <c r="D308" s="658"/>
      <c r="E308" s="658"/>
      <c r="F308" s="655"/>
      <c r="G308" s="656"/>
      <c r="H308" s="657"/>
      <c r="I308" s="657"/>
      <c r="J308" s="657"/>
      <c r="K308" s="657"/>
      <c r="L308" s="657"/>
    </row>
    <row r="309" spans="1:12">
      <c r="A309" s="658"/>
      <c r="B309" s="658"/>
      <c r="C309" s="658" t="s">
        <v>382</v>
      </c>
      <c r="D309" s="658" t="s">
        <v>3743</v>
      </c>
      <c r="E309" s="658" t="s">
        <v>3741</v>
      </c>
      <c r="F309" s="653"/>
      <c r="G309" s="654"/>
      <c r="H309" s="657">
        <v>410</v>
      </c>
      <c r="I309" s="657">
        <f t="shared" ref="I309" si="263">H309</f>
        <v>410</v>
      </c>
      <c r="J309" s="657"/>
      <c r="K309" s="657">
        <v>410</v>
      </c>
      <c r="L309" s="657">
        <f t="shared" ref="L309" si="264">K309-I309</f>
        <v>0</v>
      </c>
    </row>
    <row r="310" spans="1:12">
      <c r="A310" s="658"/>
      <c r="B310" s="658"/>
      <c r="C310" s="658"/>
      <c r="D310" s="658"/>
      <c r="E310" s="658"/>
      <c r="F310" s="655"/>
      <c r="G310" s="656"/>
      <c r="H310" s="657"/>
      <c r="I310" s="657"/>
      <c r="J310" s="657"/>
      <c r="K310" s="657"/>
      <c r="L310" s="657"/>
    </row>
    <row r="311" spans="1:12">
      <c r="A311" s="658" t="s">
        <v>23</v>
      </c>
      <c r="B311" s="658" t="s">
        <v>3008</v>
      </c>
      <c r="C311" s="658" t="s">
        <v>3749</v>
      </c>
      <c r="D311" s="658" t="s">
        <v>3747</v>
      </c>
      <c r="E311" s="658" t="s">
        <v>239</v>
      </c>
      <c r="F311" s="653"/>
      <c r="G311" s="654"/>
      <c r="H311" s="657">
        <v>40426</v>
      </c>
      <c r="I311" s="657">
        <v>1350</v>
      </c>
      <c r="J311" s="657"/>
      <c r="K311" s="657">
        <v>1350</v>
      </c>
      <c r="L311" s="657">
        <f t="shared" ref="L311" si="265">K311-I311</f>
        <v>0</v>
      </c>
    </row>
    <row r="312" spans="1:12">
      <c r="A312" s="658"/>
      <c r="B312" s="658"/>
      <c r="C312" s="658"/>
      <c r="D312" s="658"/>
      <c r="E312" s="658"/>
      <c r="F312" s="655"/>
      <c r="G312" s="656"/>
      <c r="H312" s="657"/>
      <c r="I312" s="657"/>
      <c r="J312" s="657"/>
      <c r="K312" s="657"/>
      <c r="L312" s="657"/>
    </row>
    <row r="313" spans="1:12">
      <c r="A313" s="658"/>
      <c r="B313" s="658"/>
      <c r="C313" s="658" t="s">
        <v>366</v>
      </c>
      <c r="D313" s="658" t="s">
        <v>3742</v>
      </c>
      <c r="E313" s="658" t="s">
        <v>3515</v>
      </c>
      <c r="F313" s="653"/>
      <c r="G313" s="654"/>
      <c r="H313" s="657">
        <v>370</v>
      </c>
      <c r="I313" s="657">
        <f t="shared" ref="I313" si="266">H313</f>
        <v>370</v>
      </c>
      <c r="J313" s="657"/>
      <c r="K313" s="657">
        <v>370</v>
      </c>
      <c r="L313" s="657">
        <f t="shared" ref="L313" si="267">K313-I313</f>
        <v>0</v>
      </c>
    </row>
    <row r="314" spans="1:12">
      <c r="A314" s="658"/>
      <c r="B314" s="658"/>
      <c r="C314" s="658"/>
      <c r="D314" s="658"/>
      <c r="E314" s="658"/>
      <c r="F314" s="655"/>
      <c r="G314" s="656"/>
      <c r="H314" s="657"/>
      <c r="I314" s="657"/>
      <c r="J314" s="657"/>
      <c r="K314" s="657"/>
      <c r="L314" s="657"/>
    </row>
    <row r="315" spans="1:12">
      <c r="A315" s="658"/>
      <c r="B315" s="658"/>
      <c r="C315" s="658" t="s">
        <v>367</v>
      </c>
      <c r="D315" s="658" t="s">
        <v>3742</v>
      </c>
      <c r="E315" s="658" t="s">
        <v>3025</v>
      </c>
      <c r="F315" s="653"/>
      <c r="G315" s="654"/>
      <c r="H315" s="657">
        <v>95</v>
      </c>
      <c r="I315" s="657">
        <f t="shared" ref="I315" si="268">H315</f>
        <v>95</v>
      </c>
      <c r="J315" s="657"/>
      <c r="K315" s="657">
        <v>95</v>
      </c>
      <c r="L315" s="657">
        <f t="shared" ref="L315" si="269">K315-I315</f>
        <v>0</v>
      </c>
    </row>
    <row r="316" spans="1:12">
      <c r="A316" s="658"/>
      <c r="B316" s="658"/>
      <c r="C316" s="658"/>
      <c r="D316" s="658"/>
      <c r="E316" s="658"/>
      <c r="F316" s="655"/>
      <c r="G316" s="656"/>
      <c r="H316" s="657"/>
      <c r="I316" s="657"/>
      <c r="J316" s="657"/>
      <c r="K316" s="657"/>
      <c r="L316" s="657"/>
    </row>
    <row r="317" spans="1:12">
      <c r="A317" s="658" t="s">
        <v>164</v>
      </c>
      <c r="B317" s="658" t="s">
        <v>3298</v>
      </c>
      <c r="C317" s="658" t="s">
        <v>3773</v>
      </c>
      <c r="D317" s="658" t="s">
        <v>3742</v>
      </c>
      <c r="E317" s="658" t="s">
        <v>1873</v>
      </c>
      <c r="F317" s="653"/>
      <c r="G317" s="654"/>
      <c r="H317" s="657">
        <v>1350</v>
      </c>
      <c r="I317" s="657">
        <f t="shared" ref="I317" si="270">H317</f>
        <v>1350</v>
      </c>
      <c r="J317" s="657"/>
      <c r="K317" s="657">
        <v>1350</v>
      </c>
      <c r="L317" s="657">
        <f t="shared" ref="L317" si="271">K317-I317</f>
        <v>0</v>
      </c>
    </row>
    <row r="318" spans="1:12">
      <c r="A318" s="658"/>
      <c r="B318" s="658"/>
      <c r="C318" s="658"/>
      <c r="D318" s="658"/>
      <c r="E318" s="658"/>
      <c r="F318" s="655"/>
      <c r="G318" s="656"/>
      <c r="H318" s="657"/>
      <c r="I318" s="657"/>
      <c r="J318" s="657"/>
      <c r="K318" s="657"/>
      <c r="L318" s="657"/>
    </row>
    <row r="319" spans="1:12">
      <c r="A319" s="658"/>
      <c r="B319" s="658"/>
      <c r="C319" s="658" t="s">
        <v>1321</v>
      </c>
      <c r="D319" s="658" t="s">
        <v>3771</v>
      </c>
      <c r="E319" s="658" t="s">
        <v>2723</v>
      </c>
      <c r="F319" s="653"/>
      <c r="G319" s="654"/>
      <c r="H319" s="657">
        <v>20</v>
      </c>
      <c r="I319" s="657">
        <f t="shared" ref="I319" si="272">H319</f>
        <v>20</v>
      </c>
      <c r="J319" s="657"/>
      <c r="K319" s="657">
        <v>200</v>
      </c>
      <c r="L319" s="730">
        <f t="shared" ref="L319" si="273">K319-I319</f>
        <v>180</v>
      </c>
    </row>
    <row r="320" spans="1:12">
      <c r="A320" s="658"/>
      <c r="B320" s="658"/>
      <c r="C320" s="658"/>
      <c r="D320" s="658"/>
      <c r="E320" s="658"/>
      <c r="F320" s="655"/>
      <c r="G320" s="656"/>
      <c r="H320" s="657"/>
      <c r="I320" s="657"/>
      <c r="J320" s="657"/>
      <c r="K320" s="657"/>
      <c r="L320" s="730"/>
    </row>
    <row r="321" spans="1:12">
      <c r="A321" s="658"/>
      <c r="B321" s="658"/>
      <c r="C321" s="658" t="s">
        <v>369</v>
      </c>
      <c r="D321" s="658" t="s">
        <v>3771</v>
      </c>
      <c r="E321" s="658" t="s">
        <v>2723</v>
      </c>
      <c r="F321" s="653"/>
      <c r="G321" s="654"/>
      <c r="H321" s="657">
        <v>640</v>
      </c>
      <c r="I321" s="657">
        <f t="shared" ref="I321" si="274">H321</f>
        <v>640</v>
      </c>
      <c r="J321" s="657"/>
      <c r="K321" s="657">
        <v>640</v>
      </c>
      <c r="L321" s="657">
        <f t="shared" ref="L321" si="275">K321-I321</f>
        <v>0</v>
      </c>
    </row>
    <row r="322" spans="1:12">
      <c r="A322" s="658"/>
      <c r="B322" s="658"/>
      <c r="C322" s="658"/>
      <c r="D322" s="658"/>
      <c r="E322" s="658"/>
      <c r="F322" s="655"/>
      <c r="G322" s="656"/>
      <c r="H322" s="657"/>
      <c r="I322" s="657"/>
      <c r="J322" s="657"/>
      <c r="K322" s="657"/>
      <c r="L322" s="657"/>
    </row>
    <row r="323" spans="1:12">
      <c r="A323" s="658"/>
      <c r="B323" s="658"/>
      <c r="C323" s="658" t="s">
        <v>371</v>
      </c>
      <c r="D323" s="658" t="s">
        <v>3771</v>
      </c>
      <c r="E323" s="658" t="s">
        <v>2780</v>
      </c>
      <c r="F323" s="653"/>
      <c r="G323" s="654"/>
      <c r="H323" s="657">
        <v>400</v>
      </c>
      <c r="I323" s="657">
        <f t="shared" ref="I323" si="276">H323</f>
        <v>400</v>
      </c>
      <c r="J323" s="657"/>
      <c r="K323" s="657">
        <v>400</v>
      </c>
      <c r="L323" s="657">
        <f t="shared" ref="L323" si="277">K323-I323</f>
        <v>0</v>
      </c>
    </row>
    <row r="324" spans="1:12">
      <c r="A324" s="658"/>
      <c r="B324" s="658"/>
      <c r="C324" s="658"/>
      <c r="D324" s="658"/>
      <c r="E324" s="658"/>
      <c r="F324" s="655"/>
      <c r="G324" s="656"/>
      <c r="H324" s="657"/>
      <c r="I324" s="657"/>
      <c r="J324" s="657"/>
      <c r="K324" s="657"/>
      <c r="L324" s="657"/>
    </row>
    <row r="325" spans="1:12">
      <c r="A325" s="658" t="s">
        <v>165</v>
      </c>
      <c r="B325" s="658" t="s">
        <v>3281</v>
      </c>
      <c r="C325" s="658" t="s">
        <v>3774</v>
      </c>
      <c r="D325" s="658" t="s">
        <v>3771</v>
      </c>
      <c r="E325" s="658" t="s">
        <v>1873</v>
      </c>
      <c r="F325" s="653"/>
      <c r="G325" s="654"/>
      <c r="H325" s="657">
        <v>40539</v>
      </c>
      <c r="I325" s="657">
        <v>1350</v>
      </c>
      <c r="J325" s="657"/>
      <c r="K325" s="657">
        <v>1350</v>
      </c>
      <c r="L325" s="657">
        <f t="shared" ref="L325" si="278">K325-I325</f>
        <v>0</v>
      </c>
    </row>
    <row r="326" spans="1:12">
      <c r="A326" s="658"/>
      <c r="B326" s="658"/>
      <c r="C326" s="658"/>
      <c r="D326" s="658"/>
      <c r="E326" s="658"/>
      <c r="F326" s="655"/>
      <c r="G326" s="656"/>
      <c r="H326" s="657"/>
      <c r="I326" s="657"/>
      <c r="J326" s="657"/>
      <c r="K326" s="657"/>
      <c r="L326" s="657"/>
    </row>
    <row r="327" spans="1:12">
      <c r="A327" s="658"/>
      <c r="B327" s="658"/>
      <c r="C327" s="658" t="s">
        <v>375</v>
      </c>
      <c r="D327" s="658" t="s">
        <v>3767</v>
      </c>
      <c r="E327" s="658" t="s">
        <v>1601</v>
      </c>
      <c r="F327" s="653"/>
      <c r="G327" s="654"/>
      <c r="H327" s="657">
        <v>950</v>
      </c>
      <c r="I327" s="657">
        <f t="shared" ref="I327" si="279">H327</f>
        <v>950</v>
      </c>
      <c r="J327" s="657"/>
      <c r="K327" s="657">
        <v>950</v>
      </c>
      <c r="L327" s="657">
        <f t="shared" ref="L327" si="280">K327-I327</f>
        <v>0</v>
      </c>
    </row>
    <row r="328" spans="1:12">
      <c r="A328" s="658"/>
      <c r="B328" s="658"/>
      <c r="C328" s="658"/>
      <c r="D328" s="658"/>
      <c r="E328" s="658"/>
      <c r="F328" s="655"/>
      <c r="G328" s="656"/>
      <c r="H328" s="657"/>
      <c r="I328" s="657"/>
      <c r="J328" s="657"/>
      <c r="K328" s="657"/>
      <c r="L328" s="657"/>
    </row>
    <row r="329" spans="1:12">
      <c r="A329" s="658"/>
      <c r="B329" s="658"/>
      <c r="C329" s="658" t="s">
        <v>399</v>
      </c>
      <c r="D329" s="658" t="s">
        <v>3767</v>
      </c>
      <c r="E329" s="729" t="s">
        <v>3772</v>
      </c>
      <c r="F329" s="653"/>
      <c r="G329" s="654"/>
      <c r="H329" s="657">
        <v>12000</v>
      </c>
      <c r="I329" s="657">
        <v>401</v>
      </c>
      <c r="J329" s="657"/>
      <c r="K329" s="657">
        <v>401</v>
      </c>
      <c r="L329" s="657">
        <f t="shared" ref="L329" si="281">K329-I329</f>
        <v>0</v>
      </c>
    </row>
    <row r="330" spans="1:12">
      <c r="A330" s="658"/>
      <c r="B330" s="658"/>
      <c r="C330" s="658"/>
      <c r="D330" s="658"/>
      <c r="E330" s="729"/>
      <c r="F330" s="655"/>
      <c r="G330" s="656"/>
      <c r="H330" s="657"/>
      <c r="I330" s="657"/>
      <c r="J330" s="657"/>
      <c r="K330" s="657"/>
      <c r="L330" s="657"/>
    </row>
    <row r="331" spans="1:12">
      <c r="A331" s="658" t="s">
        <v>166</v>
      </c>
      <c r="B331" s="658" t="s">
        <v>3008</v>
      </c>
      <c r="C331" s="658" t="s">
        <v>3775</v>
      </c>
      <c r="D331" s="658" t="s">
        <v>3771</v>
      </c>
      <c r="E331" s="658" t="s">
        <v>1873</v>
      </c>
      <c r="F331" s="653"/>
      <c r="G331" s="654"/>
      <c r="H331" s="657">
        <v>1350</v>
      </c>
      <c r="I331" s="657">
        <f t="shared" ref="I331" si="282">H331</f>
        <v>1350</v>
      </c>
      <c r="J331" s="657"/>
      <c r="K331" s="657">
        <v>1350</v>
      </c>
      <c r="L331" s="657">
        <f t="shared" ref="L331" si="283">K331-I331</f>
        <v>0</v>
      </c>
    </row>
    <row r="332" spans="1:12">
      <c r="A332" s="658"/>
      <c r="B332" s="658"/>
      <c r="C332" s="658"/>
      <c r="D332" s="658"/>
      <c r="E332" s="658"/>
      <c r="F332" s="655"/>
      <c r="G332" s="656"/>
      <c r="H332" s="657"/>
      <c r="I332" s="657"/>
      <c r="J332" s="657"/>
      <c r="K332" s="657"/>
      <c r="L332" s="657"/>
    </row>
    <row r="333" spans="1:12">
      <c r="A333" s="658"/>
      <c r="B333" s="658"/>
      <c r="C333" s="658" t="s">
        <v>403</v>
      </c>
      <c r="D333" s="658" t="s">
        <v>3767</v>
      </c>
      <c r="E333" s="658" t="s">
        <v>3309</v>
      </c>
      <c r="F333" s="653"/>
      <c r="G333" s="654"/>
      <c r="H333" s="657">
        <v>630</v>
      </c>
      <c r="I333" s="657">
        <f t="shared" ref="I333" si="284">H333</f>
        <v>630</v>
      </c>
      <c r="J333" s="657"/>
      <c r="K333" s="657">
        <v>630</v>
      </c>
      <c r="L333" s="657">
        <f t="shared" ref="L333" si="285">K333-I333</f>
        <v>0</v>
      </c>
    </row>
    <row r="334" spans="1:12">
      <c r="A334" s="658"/>
      <c r="B334" s="658"/>
      <c r="C334" s="658"/>
      <c r="D334" s="658"/>
      <c r="E334" s="658"/>
      <c r="F334" s="655"/>
      <c r="G334" s="656"/>
      <c r="H334" s="657"/>
      <c r="I334" s="657"/>
      <c r="J334" s="657"/>
      <c r="K334" s="657"/>
      <c r="L334" s="657"/>
    </row>
    <row r="335" spans="1:12">
      <c r="A335" s="658"/>
      <c r="B335" s="658"/>
      <c r="C335" s="658" t="s">
        <v>405</v>
      </c>
      <c r="D335" s="658" t="s">
        <v>3767</v>
      </c>
      <c r="E335" s="658" t="s">
        <v>3768</v>
      </c>
      <c r="F335" s="653"/>
      <c r="G335" s="654"/>
      <c r="H335" s="657">
        <v>290</v>
      </c>
      <c r="I335" s="657">
        <f t="shared" ref="I335" si="286">H335</f>
        <v>290</v>
      </c>
      <c r="J335" s="657"/>
      <c r="K335" s="657">
        <v>290</v>
      </c>
      <c r="L335" s="657">
        <f t="shared" ref="L335" si="287">K335-I335</f>
        <v>0</v>
      </c>
    </row>
    <row r="336" spans="1:12">
      <c r="A336" s="658"/>
      <c r="B336" s="658"/>
      <c r="C336" s="658"/>
      <c r="D336" s="658"/>
      <c r="E336" s="658"/>
      <c r="F336" s="655"/>
      <c r="G336" s="656"/>
      <c r="H336" s="657"/>
      <c r="I336" s="657"/>
      <c r="J336" s="657"/>
      <c r="K336" s="657"/>
      <c r="L336" s="657"/>
    </row>
    <row r="337" spans="1:12">
      <c r="A337" s="658" t="s">
        <v>183</v>
      </c>
      <c r="B337" s="658" t="s">
        <v>3601</v>
      </c>
      <c r="C337" s="658" t="s">
        <v>3777</v>
      </c>
      <c r="D337" s="658" t="s">
        <v>3776</v>
      </c>
      <c r="E337" s="658" t="s">
        <v>1873</v>
      </c>
      <c r="F337" s="653"/>
      <c r="G337" s="654"/>
      <c r="H337" s="657">
        <v>40533</v>
      </c>
      <c r="I337" s="657">
        <v>1350</v>
      </c>
      <c r="J337" s="657"/>
      <c r="K337" s="657">
        <v>1350</v>
      </c>
      <c r="L337" s="657">
        <f t="shared" ref="L337" si="288">K337-I337</f>
        <v>0</v>
      </c>
    </row>
    <row r="338" spans="1:12">
      <c r="A338" s="658"/>
      <c r="B338" s="658"/>
      <c r="C338" s="658"/>
      <c r="D338" s="658"/>
      <c r="E338" s="658"/>
      <c r="F338" s="655"/>
      <c r="G338" s="656"/>
      <c r="H338" s="657"/>
      <c r="I338" s="657"/>
      <c r="J338" s="657"/>
      <c r="K338" s="657"/>
      <c r="L338" s="657"/>
    </row>
    <row r="339" spans="1:12">
      <c r="A339" s="658"/>
      <c r="B339" s="658"/>
      <c r="C339" s="658" t="s">
        <v>406</v>
      </c>
      <c r="D339" s="658" t="s">
        <v>3767</v>
      </c>
      <c r="E339" s="658" t="s">
        <v>3769</v>
      </c>
      <c r="F339" s="653"/>
      <c r="G339" s="654"/>
      <c r="H339" s="657">
        <v>500</v>
      </c>
      <c r="I339" s="657">
        <f t="shared" ref="I339" si="289">H339</f>
        <v>500</v>
      </c>
      <c r="J339" s="657"/>
      <c r="K339" s="657">
        <v>500</v>
      </c>
      <c r="L339" s="657">
        <f t="shared" ref="L339" si="290">K339-I339</f>
        <v>0</v>
      </c>
    </row>
    <row r="340" spans="1:12">
      <c r="A340" s="658"/>
      <c r="B340" s="658"/>
      <c r="C340" s="658"/>
      <c r="D340" s="658"/>
      <c r="E340" s="658"/>
      <c r="F340" s="655"/>
      <c r="G340" s="656"/>
      <c r="H340" s="657"/>
      <c r="I340" s="657"/>
      <c r="J340" s="657"/>
      <c r="K340" s="657"/>
      <c r="L340" s="657"/>
    </row>
    <row r="341" spans="1:12">
      <c r="A341" s="658"/>
      <c r="B341" s="658"/>
      <c r="C341" s="658" t="s">
        <v>413</v>
      </c>
      <c r="D341" s="658" t="s">
        <v>3767</v>
      </c>
      <c r="E341" s="658" t="s">
        <v>3025</v>
      </c>
      <c r="F341" s="653"/>
      <c r="G341" s="654"/>
      <c r="H341" s="657">
        <v>94</v>
      </c>
      <c r="I341" s="657">
        <f t="shared" ref="I341" si="291">H341</f>
        <v>94</v>
      </c>
      <c r="J341" s="657"/>
      <c r="K341" s="657">
        <v>94</v>
      </c>
      <c r="L341" s="657">
        <f t="shared" ref="L341" si="292">K341-I341</f>
        <v>0</v>
      </c>
    </row>
    <row r="342" spans="1:12">
      <c r="A342" s="658"/>
      <c r="B342" s="658"/>
      <c r="C342" s="658"/>
      <c r="D342" s="658"/>
      <c r="E342" s="658"/>
      <c r="F342" s="655"/>
      <c r="G342" s="656"/>
      <c r="H342" s="657"/>
      <c r="I342" s="657"/>
      <c r="J342" s="657"/>
      <c r="K342" s="657"/>
      <c r="L342" s="657"/>
    </row>
    <row r="343" spans="1:12">
      <c r="A343" s="658"/>
      <c r="B343" s="658"/>
      <c r="C343" s="658" t="s">
        <v>3770</v>
      </c>
      <c r="D343" s="658" t="s">
        <v>3767</v>
      </c>
      <c r="E343" s="658" t="s">
        <v>1873</v>
      </c>
      <c r="F343" s="653"/>
      <c r="G343" s="654"/>
      <c r="H343" s="657">
        <v>520</v>
      </c>
      <c r="I343" s="657">
        <f t="shared" ref="I343" si="293">H343</f>
        <v>520</v>
      </c>
      <c r="J343" s="657"/>
      <c r="K343" s="657">
        <v>520</v>
      </c>
      <c r="L343" s="657">
        <f t="shared" ref="L343" si="294">K343-I343</f>
        <v>0</v>
      </c>
    </row>
    <row r="344" spans="1:12">
      <c r="A344" s="658"/>
      <c r="B344" s="658"/>
      <c r="C344" s="658"/>
      <c r="D344" s="658"/>
      <c r="E344" s="658"/>
      <c r="F344" s="655"/>
      <c r="G344" s="656"/>
      <c r="H344" s="657"/>
      <c r="I344" s="657"/>
      <c r="J344" s="657"/>
      <c r="K344" s="657"/>
      <c r="L344" s="657"/>
    </row>
    <row r="345" spans="1:12">
      <c r="A345" s="658" t="s">
        <v>184</v>
      </c>
      <c r="B345" s="658" t="s">
        <v>3281</v>
      </c>
      <c r="C345" s="658" t="s">
        <v>3784</v>
      </c>
      <c r="D345" s="658" t="s">
        <v>3783</v>
      </c>
      <c r="E345" s="658" t="s">
        <v>239</v>
      </c>
      <c r="F345" s="653"/>
      <c r="G345" s="654"/>
      <c r="H345" s="657">
        <v>1350</v>
      </c>
      <c r="I345" s="657">
        <f t="shared" ref="I345:I347" si="295">H345</f>
        <v>1350</v>
      </c>
      <c r="J345" s="657"/>
      <c r="K345" s="657">
        <v>1350</v>
      </c>
      <c r="L345" s="657">
        <f t="shared" ref="L345:L347" si="296">K345-I345</f>
        <v>0</v>
      </c>
    </row>
    <row r="346" spans="1:12">
      <c r="A346" s="658"/>
      <c r="B346" s="658"/>
      <c r="C346" s="658"/>
      <c r="D346" s="658"/>
      <c r="E346" s="658"/>
      <c r="F346" s="655"/>
      <c r="G346" s="656"/>
      <c r="H346" s="657"/>
      <c r="I346" s="657"/>
      <c r="J346" s="657"/>
      <c r="K346" s="657"/>
      <c r="L346" s="657"/>
    </row>
    <row r="347" spans="1:12">
      <c r="A347" s="658"/>
      <c r="B347" s="658"/>
      <c r="C347" s="658" t="s">
        <v>420</v>
      </c>
      <c r="D347" s="658" t="s">
        <v>3780</v>
      </c>
      <c r="E347" s="658" t="s">
        <v>3025</v>
      </c>
      <c r="F347" s="653"/>
      <c r="G347" s="654"/>
      <c r="H347" s="657">
        <v>94</v>
      </c>
      <c r="I347" s="657">
        <f t="shared" si="295"/>
        <v>94</v>
      </c>
      <c r="J347" s="657"/>
      <c r="K347" s="657">
        <v>94</v>
      </c>
      <c r="L347" s="657">
        <f t="shared" si="296"/>
        <v>0</v>
      </c>
    </row>
    <row r="348" spans="1:12">
      <c r="A348" s="658"/>
      <c r="B348" s="658"/>
      <c r="C348" s="658"/>
      <c r="D348" s="658"/>
      <c r="E348" s="658"/>
      <c r="F348" s="655"/>
      <c r="G348" s="656"/>
      <c r="H348" s="657"/>
      <c r="I348" s="657"/>
      <c r="J348" s="657"/>
      <c r="K348" s="657"/>
      <c r="L348" s="657"/>
    </row>
    <row r="349" spans="1:12">
      <c r="A349" s="658"/>
      <c r="B349" s="658"/>
      <c r="C349" s="658" t="s">
        <v>432</v>
      </c>
      <c r="D349" s="658" t="s">
        <v>3780</v>
      </c>
      <c r="E349" s="658" t="s">
        <v>3778</v>
      </c>
      <c r="F349" s="653"/>
      <c r="G349" s="654"/>
      <c r="H349" s="657">
        <v>520</v>
      </c>
      <c r="I349" s="657">
        <f t="shared" ref="I349" si="297">H349</f>
        <v>520</v>
      </c>
      <c r="J349" s="657"/>
      <c r="K349" s="657"/>
      <c r="L349" s="657">
        <f t="shared" ref="L349" si="298">K349-I349</f>
        <v>-520</v>
      </c>
    </row>
    <row r="350" spans="1:12">
      <c r="A350" s="658"/>
      <c r="B350" s="658"/>
      <c r="C350" s="658"/>
      <c r="D350" s="658"/>
      <c r="E350" s="658"/>
      <c r="F350" s="655"/>
      <c r="G350" s="656"/>
      <c r="H350" s="657"/>
      <c r="I350" s="657"/>
      <c r="J350" s="657"/>
      <c r="K350" s="657"/>
      <c r="L350" s="657"/>
    </row>
    <row r="351" spans="1:12">
      <c r="A351" s="658" t="s">
        <v>188</v>
      </c>
      <c r="B351" s="658" t="s">
        <v>3298</v>
      </c>
      <c r="C351" s="658" t="s">
        <v>3770</v>
      </c>
      <c r="D351" s="658" t="s">
        <v>3767</v>
      </c>
      <c r="E351" s="658" t="s">
        <v>239</v>
      </c>
      <c r="F351" s="653"/>
      <c r="G351" s="654"/>
      <c r="H351" s="657">
        <v>40365</v>
      </c>
      <c r="I351" s="657">
        <v>1350</v>
      </c>
      <c r="J351" s="657"/>
      <c r="K351" s="657">
        <v>1350</v>
      </c>
      <c r="L351" s="657">
        <f t="shared" ref="L351" si="299">K351-I351</f>
        <v>0</v>
      </c>
    </row>
    <row r="352" spans="1:12">
      <c r="A352" s="658"/>
      <c r="B352" s="658"/>
      <c r="C352" s="658"/>
      <c r="D352" s="658"/>
      <c r="E352" s="658"/>
      <c r="F352" s="655"/>
      <c r="G352" s="656"/>
      <c r="H352" s="657"/>
      <c r="I352" s="657"/>
      <c r="J352" s="657"/>
      <c r="K352" s="657"/>
      <c r="L352" s="657"/>
    </row>
    <row r="353" spans="1:12">
      <c r="A353" s="658"/>
      <c r="B353" s="658"/>
      <c r="C353" s="658" t="s">
        <v>418</v>
      </c>
      <c r="D353" s="658" t="s">
        <v>3779</v>
      </c>
      <c r="E353" s="658" t="s">
        <v>3309</v>
      </c>
      <c r="F353" s="653"/>
      <c r="G353" s="654"/>
      <c r="H353" s="657">
        <v>480</v>
      </c>
      <c r="I353" s="657">
        <f t="shared" ref="I353" si="300">H353</f>
        <v>480</v>
      </c>
      <c r="J353" s="657"/>
      <c r="K353" s="657">
        <v>480</v>
      </c>
      <c r="L353" s="657">
        <f t="shared" ref="L353" si="301">K353-I353</f>
        <v>0</v>
      </c>
    </row>
    <row r="354" spans="1:12">
      <c r="A354" s="658"/>
      <c r="B354" s="658"/>
      <c r="C354" s="658"/>
      <c r="D354" s="658"/>
      <c r="E354" s="658"/>
      <c r="F354" s="655"/>
      <c r="G354" s="656"/>
      <c r="H354" s="657"/>
      <c r="I354" s="657"/>
      <c r="J354" s="657"/>
      <c r="K354" s="657"/>
      <c r="L354" s="657"/>
    </row>
    <row r="355" spans="1:12">
      <c r="A355" s="658"/>
      <c r="B355" s="658"/>
      <c r="C355" s="658" t="s">
        <v>416</v>
      </c>
      <c r="D355" s="658" t="s">
        <v>3779</v>
      </c>
      <c r="E355" s="658" t="s">
        <v>1140</v>
      </c>
      <c r="F355" s="653"/>
      <c r="G355" s="654"/>
      <c r="H355" s="657">
        <v>750</v>
      </c>
      <c r="I355" s="657">
        <f t="shared" ref="I355" si="302">H355</f>
        <v>750</v>
      </c>
      <c r="J355" s="657"/>
      <c r="K355" s="657">
        <v>750</v>
      </c>
      <c r="L355" s="657">
        <f t="shared" ref="L355" si="303">K355-I355</f>
        <v>0</v>
      </c>
    </row>
    <row r="356" spans="1:12">
      <c r="A356" s="658"/>
      <c r="B356" s="658"/>
      <c r="C356" s="658"/>
      <c r="D356" s="658"/>
      <c r="E356" s="658"/>
      <c r="F356" s="655"/>
      <c r="G356" s="656"/>
      <c r="H356" s="657"/>
      <c r="I356" s="657"/>
      <c r="J356" s="657"/>
      <c r="K356" s="657"/>
      <c r="L356" s="657"/>
    </row>
    <row r="357" spans="1:12">
      <c r="A357" s="658" t="s">
        <v>190</v>
      </c>
      <c r="B357" s="658" t="s">
        <v>3601</v>
      </c>
      <c r="C357" s="658" t="s">
        <v>3785</v>
      </c>
      <c r="D357" s="658" t="s">
        <v>3779</v>
      </c>
      <c r="E357" s="658" t="s">
        <v>239</v>
      </c>
      <c r="F357" s="653"/>
      <c r="G357" s="654"/>
      <c r="H357" s="657">
        <v>1400</v>
      </c>
      <c r="I357" s="657">
        <f t="shared" ref="I357" si="304">H357</f>
        <v>1400</v>
      </c>
      <c r="J357" s="657"/>
      <c r="K357" s="657">
        <v>1400</v>
      </c>
      <c r="L357" s="657">
        <f t="shared" ref="L357" si="305">K357-I357</f>
        <v>0</v>
      </c>
    </row>
    <row r="358" spans="1:12">
      <c r="A358" s="658"/>
      <c r="B358" s="658"/>
      <c r="C358" s="658"/>
      <c r="D358" s="658"/>
      <c r="E358" s="658"/>
      <c r="F358" s="655"/>
      <c r="G358" s="656"/>
      <c r="H358" s="657"/>
      <c r="I358" s="657"/>
      <c r="J358" s="657"/>
      <c r="K358" s="657"/>
      <c r="L358" s="657"/>
    </row>
    <row r="359" spans="1:12">
      <c r="A359" s="658"/>
      <c r="B359" s="658"/>
      <c r="C359" s="658" t="s">
        <v>433</v>
      </c>
      <c r="D359" s="658" t="s">
        <v>3781</v>
      </c>
      <c r="E359" s="658" t="s">
        <v>2348</v>
      </c>
      <c r="F359" s="653"/>
      <c r="G359" s="654"/>
      <c r="H359" s="657">
        <v>75</v>
      </c>
      <c r="I359" s="657">
        <f t="shared" ref="I359" si="306">H359</f>
        <v>75</v>
      </c>
      <c r="J359" s="657"/>
      <c r="K359" s="657">
        <v>75</v>
      </c>
      <c r="L359" s="657">
        <f t="shared" ref="L359" si="307">K359-I359</f>
        <v>0</v>
      </c>
    </row>
    <row r="360" spans="1:12">
      <c r="A360" s="658"/>
      <c r="B360" s="658"/>
      <c r="C360" s="658"/>
      <c r="D360" s="658"/>
      <c r="E360" s="658"/>
      <c r="F360" s="655"/>
      <c r="G360" s="656"/>
      <c r="H360" s="657"/>
      <c r="I360" s="657"/>
      <c r="J360" s="657"/>
      <c r="K360" s="657"/>
      <c r="L360" s="657"/>
    </row>
    <row r="361" spans="1:12">
      <c r="A361" s="658"/>
      <c r="B361" s="658"/>
      <c r="C361" s="658" t="s">
        <v>434</v>
      </c>
      <c r="D361" s="658" t="s">
        <v>3780</v>
      </c>
      <c r="E361" s="658" t="s">
        <v>2780</v>
      </c>
      <c r="F361" s="653"/>
      <c r="G361" s="654"/>
      <c r="H361" s="657">
        <v>270</v>
      </c>
      <c r="I361" s="657">
        <f t="shared" ref="I361" si="308">H361</f>
        <v>270</v>
      </c>
      <c r="J361" s="657"/>
      <c r="K361" s="657">
        <v>270</v>
      </c>
      <c r="L361" s="657">
        <f t="shared" ref="L361" si="309">K361-I361</f>
        <v>0</v>
      </c>
    </row>
    <row r="362" spans="1:12">
      <c r="A362" s="658"/>
      <c r="B362" s="658"/>
      <c r="C362" s="658"/>
      <c r="D362" s="658"/>
      <c r="E362" s="658"/>
      <c r="F362" s="655"/>
      <c r="G362" s="656"/>
      <c r="H362" s="657"/>
      <c r="I362" s="657"/>
      <c r="J362" s="657"/>
      <c r="K362" s="657"/>
      <c r="L362" s="657"/>
    </row>
    <row r="363" spans="1:12">
      <c r="A363" s="658"/>
      <c r="B363" s="658"/>
      <c r="C363" s="658" t="s">
        <v>435</v>
      </c>
      <c r="D363" s="658" t="s">
        <v>3780</v>
      </c>
      <c r="E363" s="658" t="s">
        <v>2780</v>
      </c>
      <c r="F363" s="653"/>
      <c r="G363" s="654"/>
      <c r="H363" s="657">
        <v>260</v>
      </c>
      <c r="I363" s="657">
        <f t="shared" ref="I363" si="310">H363</f>
        <v>260</v>
      </c>
      <c r="J363" s="657"/>
      <c r="K363" s="657">
        <v>260</v>
      </c>
      <c r="L363" s="657">
        <f t="shared" ref="L363" si="311">K363-I363</f>
        <v>0</v>
      </c>
    </row>
    <row r="364" spans="1:12">
      <c r="A364" s="658"/>
      <c r="B364" s="658"/>
      <c r="C364" s="658"/>
      <c r="D364" s="658"/>
      <c r="E364" s="658"/>
      <c r="F364" s="655"/>
      <c r="G364" s="656"/>
      <c r="H364" s="657"/>
      <c r="I364" s="657"/>
      <c r="J364" s="657"/>
      <c r="K364" s="657"/>
      <c r="L364" s="657"/>
    </row>
    <row r="365" spans="1:12">
      <c r="A365" s="658" t="s">
        <v>192</v>
      </c>
      <c r="B365" s="658" t="s">
        <v>3008</v>
      </c>
      <c r="C365" s="658" t="s">
        <v>3786</v>
      </c>
      <c r="D365" s="658" t="s">
        <v>3779</v>
      </c>
      <c r="E365" s="658" t="s">
        <v>239</v>
      </c>
      <c r="F365" s="653"/>
      <c r="G365" s="654"/>
      <c r="H365" s="657">
        <v>40255</v>
      </c>
      <c r="I365" s="657">
        <v>1350</v>
      </c>
      <c r="J365" s="657"/>
      <c r="K365" s="657">
        <v>1350</v>
      </c>
      <c r="L365" s="657">
        <f t="shared" ref="L365" si="312">K365-I365</f>
        <v>0</v>
      </c>
    </row>
    <row r="366" spans="1:12">
      <c r="A366" s="658"/>
      <c r="B366" s="658"/>
      <c r="C366" s="658"/>
      <c r="D366" s="658"/>
      <c r="E366" s="658"/>
      <c r="F366" s="655"/>
      <c r="G366" s="656"/>
      <c r="H366" s="657"/>
      <c r="I366" s="657"/>
      <c r="J366" s="657"/>
      <c r="K366" s="657"/>
      <c r="L366" s="657"/>
    </row>
    <row r="367" spans="1:12">
      <c r="A367" s="658"/>
      <c r="B367" s="658"/>
      <c r="C367" s="658" t="s">
        <v>436</v>
      </c>
      <c r="D367" s="658" t="s">
        <v>3782</v>
      </c>
      <c r="E367" s="658" t="s">
        <v>3388</v>
      </c>
      <c r="F367" s="653"/>
      <c r="G367" s="654"/>
      <c r="H367" s="657">
        <v>400</v>
      </c>
      <c r="I367" s="657">
        <f t="shared" ref="I367" si="313">H367</f>
        <v>400</v>
      </c>
      <c r="J367" s="657"/>
      <c r="K367" s="657">
        <v>400</v>
      </c>
      <c r="L367" s="657">
        <f t="shared" ref="L367" si="314">K367-I367</f>
        <v>0</v>
      </c>
    </row>
    <row r="368" spans="1:12">
      <c r="A368" s="658"/>
      <c r="B368" s="658"/>
      <c r="C368" s="658"/>
      <c r="D368" s="658"/>
      <c r="E368" s="658"/>
      <c r="F368" s="655"/>
      <c r="G368" s="656"/>
      <c r="H368" s="657"/>
      <c r="I368" s="657"/>
      <c r="J368" s="657"/>
      <c r="K368" s="657"/>
      <c r="L368" s="657"/>
    </row>
    <row r="369" spans="1:12">
      <c r="A369" s="658"/>
      <c r="B369" s="658"/>
      <c r="C369" s="658" t="s">
        <v>438</v>
      </c>
      <c r="D369" s="658" t="s">
        <v>3782</v>
      </c>
      <c r="E369" s="658" t="s">
        <v>3226</v>
      </c>
      <c r="F369" s="653"/>
      <c r="G369" s="654"/>
      <c r="H369" s="657">
        <v>350</v>
      </c>
      <c r="I369" s="657">
        <f t="shared" ref="I369" si="315">H369</f>
        <v>350</v>
      </c>
      <c r="J369" s="657"/>
      <c r="K369" s="657">
        <v>350</v>
      </c>
      <c r="L369" s="657">
        <f t="shared" ref="L369" si="316">K369-I369</f>
        <v>0</v>
      </c>
    </row>
    <row r="370" spans="1:12">
      <c r="A370" s="658"/>
      <c r="B370" s="658"/>
      <c r="C370" s="658"/>
      <c r="D370" s="658"/>
      <c r="E370" s="658"/>
      <c r="F370" s="655"/>
      <c r="G370" s="656"/>
      <c r="H370" s="657"/>
      <c r="I370" s="657"/>
      <c r="J370" s="657"/>
      <c r="K370" s="657"/>
      <c r="L370" s="657"/>
    </row>
    <row r="371" spans="1:12">
      <c r="A371" s="658" t="s">
        <v>194</v>
      </c>
      <c r="B371" s="658" t="s">
        <v>3298</v>
      </c>
      <c r="C371" s="658" t="s">
        <v>3789</v>
      </c>
      <c r="D371" s="658" t="s">
        <v>3788</v>
      </c>
      <c r="E371" s="658" t="s">
        <v>239</v>
      </c>
      <c r="F371" s="653"/>
      <c r="G371" s="654"/>
      <c r="H371" s="657">
        <v>1350</v>
      </c>
      <c r="I371" s="657">
        <f t="shared" ref="I371" si="317">H371</f>
        <v>1350</v>
      </c>
      <c r="J371" s="657"/>
      <c r="K371" s="657">
        <v>1350</v>
      </c>
      <c r="L371" s="657">
        <f t="shared" ref="L371" si="318">K371-I371</f>
        <v>0</v>
      </c>
    </row>
    <row r="372" spans="1:12">
      <c r="A372" s="658"/>
      <c r="B372" s="658"/>
      <c r="C372" s="658"/>
      <c r="D372" s="658"/>
      <c r="E372" s="658"/>
      <c r="F372" s="655"/>
      <c r="G372" s="656"/>
      <c r="H372" s="657"/>
      <c r="I372" s="657"/>
      <c r="J372" s="657"/>
      <c r="K372" s="657"/>
      <c r="L372" s="657"/>
    </row>
    <row r="373" spans="1:12">
      <c r="A373" s="658"/>
      <c r="B373" s="658"/>
      <c r="C373" s="658" t="s">
        <v>3787</v>
      </c>
      <c r="D373" s="658" t="s">
        <v>3782</v>
      </c>
      <c r="E373" s="658" t="s">
        <v>239</v>
      </c>
      <c r="F373" s="653"/>
      <c r="G373" s="654"/>
      <c r="H373" s="657">
        <v>150</v>
      </c>
      <c r="I373" s="657">
        <v>180</v>
      </c>
      <c r="J373" s="657"/>
      <c r="K373" s="657">
        <v>180</v>
      </c>
      <c r="L373" s="657">
        <f t="shared" ref="L373" si="319">K373-I373</f>
        <v>0</v>
      </c>
    </row>
    <row r="374" spans="1:12">
      <c r="A374" s="658"/>
      <c r="B374" s="658"/>
      <c r="C374" s="658"/>
      <c r="D374" s="658"/>
      <c r="E374" s="658"/>
      <c r="F374" s="655"/>
      <c r="G374" s="656"/>
      <c r="H374" s="657"/>
      <c r="I374" s="657"/>
      <c r="J374" s="657"/>
      <c r="K374" s="657"/>
      <c r="L374" s="657"/>
    </row>
    <row r="375" spans="1:12">
      <c r="A375" s="658"/>
      <c r="B375" s="658"/>
      <c r="C375" s="658" t="s">
        <v>457</v>
      </c>
      <c r="D375" s="658" t="s">
        <v>3780</v>
      </c>
      <c r="E375" s="658" t="s">
        <v>2376</v>
      </c>
      <c r="F375" s="653"/>
      <c r="G375" s="654"/>
      <c r="H375" s="657">
        <v>60</v>
      </c>
      <c r="I375" s="657">
        <f t="shared" ref="I375" si="320">H375</f>
        <v>60</v>
      </c>
      <c r="J375" s="657"/>
      <c r="K375" s="657">
        <v>50</v>
      </c>
      <c r="L375" s="657">
        <f t="shared" ref="L375" si="321">K375-I375</f>
        <v>-10</v>
      </c>
    </row>
    <row r="376" spans="1:12">
      <c r="A376" s="658"/>
      <c r="B376" s="658"/>
      <c r="C376" s="658"/>
      <c r="D376" s="658"/>
      <c r="E376" s="658"/>
      <c r="F376" s="655"/>
      <c r="G376" s="656"/>
      <c r="H376" s="657"/>
      <c r="I376" s="657"/>
      <c r="J376" s="657"/>
      <c r="K376" s="657"/>
      <c r="L376" s="657"/>
    </row>
    <row r="377" spans="1:12">
      <c r="A377" s="658"/>
      <c r="B377" s="658"/>
      <c r="C377" s="658" t="s">
        <v>458</v>
      </c>
      <c r="D377" s="658" t="s">
        <v>3780</v>
      </c>
      <c r="E377" s="658" t="s">
        <v>2517</v>
      </c>
      <c r="F377" s="653"/>
      <c r="G377" s="654"/>
      <c r="H377" s="657">
        <v>295</v>
      </c>
      <c r="I377" s="657">
        <f t="shared" ref="I377" si="322">H377</f>
        <v>295</v>
      </c>
      <c r="J377" s="657"/>
      <c r="K377" s="657">
        <v>295</v>
      </c>
      <c r="L377" s="657">
        <f t="shared" ref="L377" si="323">K377-I377</f>
        <v>0</v>
      </c>
    </row>
    <row r="378" spans="1:12">
      <c r="A378" s="658"/>
      <c r="B378" s="658"/>
      <c r="C378" s="658"/>
      <c r="D378" s="658"/>
      <c r="E378" s="658"/>
      <c r="F378" s="655"/>
      <c r="G378" s="656"/>
      <c r="H378" s="657"/>
      <c r="I378" s="657"/>
      <c r="J378" s="657"/>
      <c r="K378" s="657"/>
      <c r="L378" s="657"/>
    </row>
    <row r="379" spans="1:12">
      <c r="A379" s="658"/>
      <c r="B379" s="658"/>
      <c r="C379" s="658" t="s">
        <v>460</v>
      </c>
      <c r="D379" s="658" t="s">
        <v>3780</v>
      </c>
      <c r="E379" s="658" t="s">
        <v>2780</v>
      </c>
      <c r="F379" s="653"/>
      <c r="G379" s="654"/>
      <c r="H379" s="657">
        <v>550</v>
      </c>
      <c r="I379" s="657">
        <f t="shared" ref="I379" si="324">H379</f>
        <v>550</v>
      </c>
      <c r="J379" s="657"/>
      <c r="K379" s="657">
        <v>550</v>
      </c>
      <c r="L379" s="657">
        <f t="shared" ref="L379" si="325">K379-I379</f>
        <v>0</v>
      </c>
    </row>
    <row r="380" spans="1:12">
      <c r="A380" s="658"/>
      <c r="B380" s="658"/>
      <c r="C380" s="658"/>
      <c r="D380" s="658"/>
      <c r="E380" s="658"/>
      <c r="F380" s="655"/>
      <c r="G380" s="656"/>
      <c r="H380" s="657"/>
      <c r="I380" s="657"/>
      <c r="J380" s="657"/>
      <c r="K380" s="657"/>
      <c r="L380" s="657"/>
    </row>
    <row r="381" spans="1:12">
      <c r="A381" s="658" t="s">
        <v>201</v>
      </c>
      <c r="B381" s="658" t="s">
        <v>3008</v>
      </c>
      <c r="C381" s="658" t="s">
        <v>3799</v>
      </c>
      <c r="D381" s="658" t="s">
        <v>3800</v>
      </c>
      <c r="E381" s="658" t="s">
        <v>239</v>
      </c>
      <c r="F381" s="653"/>
      <c r="G381" s="654"/>
      <c r="H381" s="657">
        <v>40475</v>
      </c>
      <c r="I381" s="657">
        <v>1350</v>
      </c>
      <c r="J381" s="657"/>
      <c r="K381" s="657">
        <v>1350</v>
      </c>
      <c r="L381" s="657">
        <f t="shared" ref="L381" si="326">K381-I381</f>
        <v>0</v>
      </c>
    </row>
    <row r="382" spans="1:12">
      <c r="A382" s="658"/>
      <c r="B382" s="658"/>
      <c r="C382" s="658"/>
      <c r="D382" s="658"/>
      <c r="E382" s="658"/>
      <c r="F382" s="655"/>
      <c r="G382" s="656"/>
      <c r="H382" s="657"/>
      <c r="I382" s="657"/>
      <c r="J382" s="657"/>
      <c r="K382" s="657"/>
      <c r="L382" s="657"/>
    </row>
    <row r="383" spans="1:12">
      <c r="A383" s="658"/>
      <c r="B383" s="658"/>
      <c r="C383" s="658" t="s">
        <v>465</v>
      </c>
      <c r="D383" s="674" t="s">
        <v>3791</v>
      </c>
      <c r="E383" s="658" t="s">
        <v>1601</v>
      </c>
      <c r="F383" s="653"/>
      <c r="G383" s="654"/>
      <c r="H383" s="657">
        <v>1350</v>
      </c>
      <c r="I383" s="657">
        <f t="shared" ref="I383" si="327">H383</f>
        <v>1350</v>
      </c>
      <c r="J383" s="657"/>
      <c r="K383" s="657">
        <v>1350</v>
      </c>
      <c r="L383" s="657">
        <f t="shared" ref="L383" si="328">K383-I383</f>
        <v>0</v>
      </c>
    </row>
    <row r="384" spans="1:12">
      <c r="A384" s="658"/>
      <c r="B384" s="658"/>
      <c r="C384" s="658"/>
      <c r="D384" s="674"/>
      <c r="E384" s="658"/>
      <c r="F384" s="655"/>
      <c r="G384" s="656"/>
      <c r="H384" s="657"/>
      <c r="I384" s="657"/>
      <c r="J384" s="657"/>
      <c r="K384" s="657"/>
      <c r="L384" s="657"/>
    </row>
    <row r="385" spans="1:14">
      <c r="A385" s="658" t="s">
        <v>202</v>
      </c>
      <c r="B385" s="658" t="s">
        <v>3281</v>
      </c>
      <c r="C385" s="658" t="s">
        <v>3796</v>
      </c>
      <c r="D385" s="658" t="s">
        <v>3795</v>
      </c>
      <c r="E385" s="658" t="s">
        <v>239</v>
      </c>
      <c r="F385" s="653"/>
      <c r="G385" s="654"/>
      <c r="H385" s="657">
        <v>1350</v>
      </c>
      <c r="I385" s="657">
        <f t="shared" ref="I385" si="329">H385</f>
        <v>1350</v>
      </c>
      <c r="J385" s="657"/>
      <c r="K385" s="657">
        <v>1350</v>
      </c>
      <c r="L385" s="657">
        <f t="shared" ref="L385" si="330">K385-I385</f>
        <v>0</v>
      </c>
    </row>
    <row r="386" spans="1:14">
      <c r="A386" s="658"/>
      <c r="B386" s="658"/>
      <c r="C386" s="658"/>
      <c r="D386" s="658"/>
      <c r="E386" s="658"/>
      <c r="F386" s="655"/>
      <c r="G386" s="656"/>
      <c r="H386" s="657"/>
      <c r="I386" s="657"/>
      <c r="J386" s="657"/>
      <c r="K386" s="657"/>
      <c r="L386" s="657"/>
    </row>
    <row r="387" spans="1:14">
      <c r="A387" s="759" t="s">
        <v>329</v>
      </c>
      <c r="B387" s="760"/>
      <c r="C387" s="760"/>
      <c r="D387" s="760"/>
      <c r="E387" s="760"/>
      <c r="F387" s="760"/>
      <c r="G387" s="760"/>
      <c r="H387" s="760"/>
      <c r="I387" s="760"/>
      <c r="J387" s="760"/>
      <c r="K387" s="760"/>
      <c r="L387" s="761"/>
    </row>
    <row r="388" spans="1:14">
      <c r="A388" s="762"/>
      <c r="B388" s="763"/>
      <c r="C388" s="763"/>
      <c r="D388" s="763"/>
      <c r="E388" s="763"/>
      <c r="F388" s="763"/>
      <c r="G388" s="763"/>
      <c r="H388" s="763"/>
      <c r="I388" s="763"/>
      <c r="J388" s="763"/>
      <c r="K388" s="763"/>
      <c r="L388" s="764"/>
    </row>
    <row r="389" spans="1:14">
      <c r="A389" s="658"/>
      <c r="C389" s="658" t="s">
        <v>466</v>
      </c>
      <c r="D389" s="658" t="s">
        <v>3791</v>
      </c>
      <c r="E389" s="659" t="s">
        <v>3790</v>
      </c>
      <c r="F389" s="653"/>
      <c r="G389" s="654"/>
      <c r="H389" s="657">
        <v>9000</v>
      </c>
      <c r="I389" s="657">
        <v>295</v>
      </c>
      <c r="J389" s="657" t="s">
        <v>2258</v>
      </c>
      <c r="K389" s="657">
        <v>900</v>
      </c>
      <c r="L389" s="657">
        <f t="shared" ref="L389" si="331">K389-I389</f>
        <v>605</v>
      </c>
      <c r="M389" t="s">
        <v>3855</v>
      </c>
    </row>
    <row r="390" spans="1:14">
      <c r="A390" s="658"/>
      <c r="C390" s="658"/>
      <c r="D390" s="658"/>
      <c r="E390" s="660"/>
      <c r="F390" s="655"/>
      <c r="G390" s="656"/>
      <c r="H390" s="657"/>
      <c r="I390" s="657"/>
      <c r="J390" s="657"/>
      <c r="K390" s="657"/>
      <c r="L390" s="657"/>
      <c r="M390" s="6" t="s">
        <v>3909</v>
      </c>
    </row>
    <row r="391" spans="1:14">
      <c r="A391" s="658"/>
      <c r="B391" s="658"/>
      <c r="C391" s="658" t="s">
        <v>467</v>
      </c>
      <c r="D391" s="658" t="s">
        <v>3791</v>
      </c>
      <c r="E391" s="658" t="s">
        <v>2780</v>
      </c>
      <c r="F391" s="653"/>
      <c r="G391" s="654"/>
      <c r="H391" s="657">
        <v>280</v>
      </c>
      <c r="I391" s="657">
        <f t="shared" ref="I391" si="332">H391</f>
        <v>280</v>
      </c>
      <c r="J391" s="657"/>
      <c r="K391" s="657">
        <v>280</v>
      </c>
      <c r="L391" s="657">
        <f t="shared" ref="L391" si="333">K391-I391</f>
        <v>0</v>
      </c>
    </row>
    <row r="392" spans="1:14">
      <c r="A392" s="658"/>
      <c r="B392" s="658"/>
      <c r="C392" s="658"/>
      <c r="D392" s="658"/>
      <c r="E392" s="658"/>
      <c r="F392" s="655"/>
      <c r="G392" s="656"/>
      <c r="H392" s="657"/>
      <c r="I392" s="657"/>
      <c r="J392" s="657"/>
      <c r="K392" s="657"/>
      <c r="L392" s="657"/>
    </row>
    <row r="393" spans="1:14">
      <c r="A393" s="658"/>
      <c r="B393" s="658"/>
      <c r="C393" s="658" t="s">
        <v>468</v>
      </c>
      <c r="D393" s="658" t="s">
        <v>3791</v>
      </c>
      <c r="E393" s="658" t="s">
        <v>3792</v>
      </c>
      <c r="F393" s="653"/>
      <c r="G393" s="654"/>
      <c r="H393" s="657">
        <v>480</v>
      </c>
      <c r="I393" s="657">
        <f t="shared" ref="I393" si="334">H393</f>
        <v>480</v>
      </c>
      <c r="J393" s="657"/>
      <c r="K393" s="657">
        <v>480</v>
      </c>
      <c r="L393" s="657">
        <f t="shared" ref="L393" si="335">K393-I393</f>
        <v>0</v>
      </c>
      <c r="N393" s="572">
        <f>SUM(I383,I389:I506,I511,I519,I525)</f>
        <v>38837</v>
      </c>
    </row>
    <row r="394" spans="1:14">
      <c r="A394" s="658"/>
      <c r="B394" s="658"/>
      <c r="C394" s="658"/>
      <c r="D394" s="658"/>
      <c r="E394" s="658"/>
      <c r="F394" s="655"/>
      <c r="G394" s="656"/>
      <c r="H394" s="657"/>
      <c r="I394" s="657"/>
      <c r="J394" s="657"/>
      <c r="K394" s="657"/>
      <c r="L394" s="657"/>
    </row>
    <row r="395" spans="1:14">
      <c r="A395" s="658" t="s">
        <v>212</v>
      </c>
      <c r="B395" s="658" t="s">
        <v>3298</v>
      </c>
      <c r="C395" s="658" t="s">
        <v>3806</v>
      </c>
      <c r="D395" s="658" t="s">
        <v>3791</v>
      </c>
      <c r="E395" s="658" t="s">
        <v>239</v>
      </c>
      <c r="F395" s="653"/>
      <c r="G395" s="654"/>
      <c r="H395" s="657">
        <v>41155</v>
      </c>
      <c r="I395" s="657">
        <v>1350</v>
      </c>
      <c r="J395" s="657"/>
      <c r="K395" s="657">
        <v>1350</v>
      </c>
      <c r="L395" s="657">
        <f t="shared" ref="L395" si="336">K395-I395</f>
        <v>0</v>
      </c>
    </row>
    <row r="396" spans="1:14">
      <c r="A396" s="658"/>
      <c r="B396" s="658"/>
      <c r="C396" s="658"/>
      <c r="D396" s="658"/>
      <c r="E396" s="658"/>
      <c r="F396" s="655"/>
      <c r="G396" s="656"/>
      <c r="H396" s="657"/>
      <c r="I396" s="657"/>
      <c r="J396" s="657"/>
      <c r="K396" s="657"/>
      <c r="L396" s="657"/>
    </row>
    <row r="397" spans="1:14">
      <c r="A397" s="658"/>
      <c r="B397" s="658"/>
      <c r="C397" s="658" t="s">
        <v>472</v>
      </c>
      <c r="D397" s="658" t="s">
        <v>3804</v>
      </c>
      <c r="E397" s="658" t="s">
        <v>3801</v>
      </c>
      <c r="F397" s="653"/>
      <c r="G397" s="654"/>
      <c r="H397" s="657">
        <v>350</v>
      </c>
      <c r="I397" s="657">
        <f t="shared" ref="I397" si="337">H397</f>
        <v>350</v>
      </c>
      <c r="J397" s="657"/>
      <c r="K397" s="657">
        <v>350</v>
      </c>
      <c r="L397" s="657">
        <f t="shared" ref="L397" si="338">K397-I397</f>
        <v>0</v>
      </c>
    </row>
    <row r="398" spans="1:14">
      <c r="A398" s="658"/>
      <c r="B398" s="658"/>
      <c r="C398" s="658"/>
      <c r="D398" s="658"/>
      <c r="E398" s="658"/>
      <c r="F398" s="655"/>
      <c r="G398" s="656"/>
      <c r="H398" s="657"/>
      <c r="I398" s="657"/>
      <c r="J398" s="657"/>
      <c r="K398" s="657"/>
      <c r="L398" s="657"/>
    </row>
    <row r="399" spans="1:14">
      <c r="A399" s="658"/>
      <c r="B399" s="658"/>
      <c r="C399" s="658" t="s">
        <v>485</v>
      </c>
      <c r="D399" s="658" t="s">
        <v>3804</v>
      </c>
      <c r="E399" s="658" t="s">
        <v>2829</v>
      </c>
      <c r="F399" s="653"/>
      <c r="G399" s="654"/>
      <c r="H399" s="657">
        <v>380</v>
      </c>
      <c r="I399" s="657">
        <f t="shared" ref="I399" si="339">H399</f>
        <v>380</v>
      </c>
      <c r="J399" s="657"/>
      <c r="K399" s="657">
        <v>380</v>
      </c>
      <c r="L399" s="657">
        <f t="shared" ref="L399" si="340">K399-I399</f>
        <v>0</v>
      </c>
    </row>
    <row r="400" spans="1:14">
      <c r="A400" s="658"/>
      <c r="B400" s="658"/>
      <c r="C400" s="658"/>
      <c r="D400" s="658"/>
      <c r="E400" s="658"/>
      <c r="F400" s="655"/>
      <c r="G400" s="656"/>
      <c r="H400" s="657"/>
      <c r="I400" s="657"/>
      <c r="J400" s="657"/>
      <c r="K400" s="657"/>
      <c r="L400" s="657"/>
    </row>
    <row r="401" spans="1:12">
      <c r="A401" s="658"/>
      <c r="B401" s="658"/>
      <c r="C401" s="658" t="s">
        <v>486</v>
      </c>
      <c r="D401" s="658" t="s">
        <v>3804</v>
      </c>
      <c r="E401" s="658" t="s">
        <v>3802</v>
      </c>
      <c r="F401" s="653"/>
      <c r="G401" s="654"/>
      <c r="H401" s="657">
        <v>380</v>
      </c>
      <c r="I401" s="657">
        <f t="shared" ref="I401" si="341">H401</f>
        <v>380</v>
      </c>
      <c r="J401" s="657"/>
      <c r="K401" s="657">
        <v>380</v>
      </c>
      <c r="L401" s="657">
        <f t="shared" ref="L401" si="342">K401-I401</f>
        <v>0</v>
      </c>
    </row>
    <row r="402" spans="1:12">
      <c r="A402" s="658"/>
      <c r="B402" s="658"/>
      <c r="C402" s="658"/>
      <c r="D402" s="658"/>
      <c r="E402" s="658"/>
      <c r="F402" s="655"/>
      <c r="G402" s="656"/>
      <c r="H402" s="657"/>
      <c r="I402" s="657"/>
      <c r="J402" s="657"/>
      <c r="K402" s="657"/>
      <c r="L402" s="657"/>
    </row>
    <row r="403" spans="1:12">
      <c r="A403" s="658" t="s">
        <v>214</v>
      </c>
      <c r="B403" s="658" t="s">
        <v>3008</v>
      </c>
      <c r="C403" s="658" t="s">
        <v>3807</v>
      </c>
      <c r="D403" s="658" t="s">
        <v>3807</v>
      </c>
      <c r="E403" s="658" t="s">
        <v>239</v>
      </c>
      <c r="F403" s="653"/>
      <c r="G403" s="654"/>
      <c r="H403" s="657">
        <v>1350</v>
      </c>
      <c r="I403" s="657">
        <f t="shared" ref="I403" si="343">H403</f>
        <v>1350</v>
      </c>
      <c r="J403" s="657"/>
      <c r="K403" s="657">
        <v>1350</v>
      </c>
      <c r="L403" s="657">
        <f t="shared" ref="L403" si="344">K403-I403</f>
        <v>0</v>
      </c>
    </row>
    <row r="404" spans="1:12">
      <c r="A404" s="658"/>
      <c r="B404" s="658"/>
      <c r="C404" s="658"/>
      <c r="D404" s="658"/>
      <c r="E404" s="658"/>
      <c r="F404" s="655"/>
      <c r="G404" s="656"/>
      <c r="H404" s="657"/>
      <c r="I404" s="657"/>
      <c r="J404" s="657"/>
      <c r="K404" s="657"/>
      <c r="L404" s="657"/>
    </row>
    <row r="405" spans="1:12">
      <c r="A405" s="658"/>
      <c r="B405" s="658"/>
      <c r="C405" s="658" t="s">
        <v>3808</v>
      </c>
      <c r="D405" s="658" t="s">
        <v>3791</v>
      </c>
      <c r="E405" s="658" t="s">
        <v>239</v>
      </c>
      <c r="F405" s="653"/>
      <c r="G405" s="654"/>
      <c r="H405" s="657">
        <v>150</v>
      </c>
      <c r="I405" s="657">
        <v>180</v>
      </c>
      <c r="J405" s="657"/>
      <c r="K405" s="657">
        <v>180</v>
      </c>
      <c r="L405" s="657">
        <f t="shared" ref="L405" si="345">K405-I405</f>
        <v>0</v>
      </c>
    </row>
    <row r="406" spans="1:12">
      <c r="A406" s="658"/>
      <c r="B406" s="658"/>
      <c r="C406" s="658"/>
      <c r="D406" s="658"/>
      <c r="E406" s="658"/>
      <c r="F406" s="655"/>
      <c r="G406" s="656"/>
      <c r="H406" s="657"/>
      <c r="I406" s="657"/>
      <c r="J406" s="657"/>
      <c r="K406" s="657"/>
      <c r="L406" s="657"/>
    </row>
    <row r="407" spans="1:12">
      <c r="A407" s="658"/>
      <c r="B407" s="658"/>
      <c r="C407" s="658" t="s">
        <v>490</v>
      </c>
      <c r="D407" s="658" t="s">
        <v>3803</v>
      </c>
      <c r="E407" s="658" t="s">
        <v>2723</v>
      </c>
      <c r="F407" s="653"/>
      <c r="G407" s="654"/>
      <c r="H407" s="657">
        <v>350</v>
      </c>
      <c r="I407" s="657">
        <f t="shared" ref="I407" si="346">H407</f>
        <v>350</v>
      </c>
      <c r="J407" s="657"/>
      <c r="K407" s="657"/>
      <c r="L407" s="657">
        <f t="shared" ref="L407" si="347">K407-I407</f>
        <v>-350</v>
      </c>
    </row>
    <row r="408" spans="1:12">
      <c r="A408" s="658"/>
      <c r="B408" s="658"/>
      <c r="C408" s="658"/>
      <c r="D408" s="658"/>
      <c r="E408" s="658"/>
      <c r="F408" s="655"/>
      <c r="G408" s="656"/>
      <c r="H408" s="657"/>
      <c r="I408" s="657"/>
      <c r="J408" s="657"/>
      <c r="K408" s="657"/>
      <c r="L408" s="657"/>
    </row>
    <row r="409" spans="1:12">
      <c r="A409" s="658"/>
      <c r="B409" s="658"/>
      <c r="C409" s="658" t="s">
        <v>494</v>
      </c>
      <c r="D409" s="658" t="s">
        <v>3803</v>
      </c>
      <c r="E409" s="658" t="s">
        <v>2723</v>
      </c>
      <c r="F409" s="653"/>
      <c r="G409" s="654"/>
      <c r="H409" s="657">
        <v>300</v>
      </c>
      <c r="I409" s="657">
        <f t="shared" ref="I409" si="348">H409</f>
        <v>300</v>
      </c>
      <c r="J409" s="657"/>
      <c r="K409" s="657">
        <v>300</v>
      </c>
      <c r="L409" s="657">
        <f t="shared" ref="L409" si="349">K409-I409</f>
        <v>0</v>
      </c>
    </row>
    <row r="410" spans="1:12">
      <c r="A410" s="658"/>
      <c r="B410" s="658"/>
      <c r="C410" s="658"/>
      <c r="D410" s="658"/>
      <c r="E410" s="658"/>
      <c r="F410" s="655"/>
      <c r="G410" s="656"/>
      <c r="H410" s="657"/>
      <c r="I410" s="657"/>
      <c r="J410" s="657"/>
      <c r="K410" s="657"/>
      <c r="L410" s="657"/>
    </row>
    <row r="411" spans="1:12">
      <c r="A411" s="658"/>
      <c r="B411" s="658"/>
      <c r="C411" s="702">
        <v>134</v>
      </c>
      <c r="D411" s="658" t="s">
        <v>3803</v>
      </c>
      <c r="E411" s="658" t="s">
        <v>1140</v>
      </c>
      <c r="F411" s="653"/>
      <c r="G411" s="654"/>
      <c r="H411" s="657">
        <v>700</v>
      </c>
      <c r="I411" s="657">
        <f t="shared" ref="I411" si="350">H411</f>
        <v>700</v>
      </c>
      <c r="J411" s="657"/>
      <c r="K411" s="657">
        <v>700</v>
      </c>
      <c r="L411" s="657">
        <f t="shared" ref="L411" si="351">K411-I411</f>
        <v>0</v>
      </c>
    </row>
    <row r="412" spans="1:12">
      <c r="A412" s="658"/>
      <c r="B412" s="658"/>
      <c r="C412" s="658"/>
      <c r="D412" s="658"/>
      <c r="E412" s="658"/>
      <c r="F412" s="655"/>
      <c r="G412" s="656"/>
      <c r="H412" s="657"/>
      <c r="I412" s="657"/>
      <c r="J412" s="657"/>
      <c r="K412" s="657"/>
      <c r="L412" s="657"/>
    </row>
    <row r="413" spans="1:12">
      <c r="A413" s="658" t="s">
        <v>215</v>
      </c>
      <c r="B413" s="658" t="s">
        <v>3281</v>
      </c>
      <c r="C413" s="658" t="s">
        <v>3810</v>
      </c>
      <c r="D413" s="658" t="s">
        <v>3809</v>
      </c>
      <c r="E413" s="658" t="s">
        <v>239</v>
      </c>
      <c r="F413" s="653"/>
      <c r="G413" s="654"/>
      <c r="H413" s="657">
        <v>41190</v>
      </c>
      <c r="I413" s="657">
        <v>1350</v>
      </c>
      <c r="J413" s="657"/>
      <c r="K413" s="657">
        <v>1350</v>
      </c>
      <c r="L413" s="657">
        <f t="shared" ref="L413" si="352">K413-I413</f>
        <v>0</v>
      </c>
    </row>
    <row r="414" spans="1:12">
      <c r="A414" s="658"/>
      <c r="B414" s="658"/>
      <c r="C414" s="658"/>
      <c r="D414" s="658"/>
      <c r="E414" s="658"/>
      <c r="F414" s="655"/>
      <c r="G414" s="656"/>
      <c r="H414" s="657"/>
      <c r="I414" s="657"/>
      <c r="J414" s="657"/>
      <c r="K414" s="657"/>
      <c r="L414" s="657"/>
    </row>
    <row r="415" spans="1:12">
      <c r="A415" s="658"/>
      <c r="B415" s="658"/>
      <c r="C415" s="658" t="s">
        <v>491</v>
      </c>
      <c r="D415" s="658" t="s">
        <v>3803</v>
      </c>
      <c r="E415" s="658" t="s">
        <v>3025</v>
      </c>
      <c r="F415" s="653"/>
      <c r="G415" s="654"/>
      <c r="H415" s="657">
        <v>95</v>
      </c>
      <c r="I415" s="657">
        <f t="shared" ref="I415" si="353">H415</f>
        <v>95</v>
      </c>
      <c r="J415" s="657"/>
      <c r="K415" s="657"/>
      <c r="L415" s="657">
        <v>95</v>
      </c>
    </row>
    <row r="416" spans="1:12">
      <c r="A416" s="658"/>
      <c r="B416" s="658"/>
      <c r="C416" s="658"/>
      <c r="D416" s="658"/>
      <c r="E416" s="658"/>
      <c r="F416" s="655"/>
      <c r="G416" s="656"/>
      <c r="H416" s="657"/>
      <c r="I416" s="657"/>
      <c r="J416" s="657"/>
      <c r="K416" s="657"/>
      <c r="L416" s="657"/>
    </row>
    <row r="417" spans="1:13">
      <c r="A417" s="658"/>
      <c r="B417" s="658"/>
      <c r="C417" s="658" t="s">
        <v>495</v>
      </c>
      <c r="D417" s="658" t="s">
        <v>3803</v>
      </c>
      <c r="E417" s="658" t="s">
        <v>3805</v>
      </c>
      <c r="F417" s="653"/>
      <c r="G417" s="654"/>
      <c r="H417" s="657">
        <v>20</v>
      </c>
      <c r="I417" s="657">
        <f t="shared" ref="I417" si="354">H417</f>
        <v>20</v>
      </c>
      <c r="J417" s="657"/>
      <c r="K417" s="657">
        <v>20</v>
      </c>
      <c r="L417" s="657">
        <f t="shared" ref="L417" si="355">K417-I417</f>
        <v>0</v>
      </c>
    </row>
    <row r="418" spans="1:13">
      <c r="A418" s="658"/>
      <c r="B418" s="658"/>
      <c r="C418" s="658"/>
      <c r="D418" s="658"/>
      <c r="E418" s="658"/>
      <c r="F418" s="655"/>
      <c r="G418" s="656"/>
      <c r="H418" s="657"/>
      <c r="I418" s="657"/>
      <c r="J418" s="657"/>
      <c r="K418" s="657"/>
      <c r="L418" s="657"/>
    </row>
    <row r="419" spans="1:13">
      <c r="A419" s="658" t="s">
        <v>221</v>
      </c>
      <c r="B419" s="658" t="s">
        <v>3601</v>
      </c>
      <c r="C419" s="658" t="s">
        <v>3819</v>
      </c>
      <c r="D419" s="658" t="s">
        <v>3817</v>
      </c>
      <c r="E419" s="658" t="s">
        <v>239</v>
      </c>
      <c r="F419" s="653"/>
      <c r="G419" s="654"/>
      <c r="H419" s="657">
        <v>1350</v>
      </c>
      <c r="I419" s="657">
        <f t="shared" ref="I419" si="356">H419</f>
        <v>1350</v>
      </c>
      <c r="J419" s="657"/>
      <c r="K419" s="657">
        <v>1350</v>
      </c>
      <c r="L419" s="657">
        <f t="shared" ref="L419" si="357">K419-I419</f>
        <v>0</v>
      </c>
    </row>
    <row r="420" spans="1:13">
      <c r="A420" s="658"/>
      <c r="B420" s="658"/>
      <c r="C420" s="658"/>
      <c r="D420" s="658"/>
      <c r="E420" s="658"/>
      <c r="F420" s="655"/>
      <c r="G420" s="656"/>
      <c r="H420" s="657"/>
      <c r="I420" s="657"/>
      <c r="J420" s="657"/>
      <c r="K420" s="657"/>
      <c r="L420" s="657"/>
    </row>
    <row r="421" spans="1:13">
      <c r="A421" s="658"/>
      <c r="B421" s="658"/>
      <c r="C421" s="658" t="s">
        <v>503</v>
      </c>
      <c r="D421" s="658" t="s">
        <v>3813</v>
      </c>
      <c r="E421" s="658" t="s">
        <v>3811</v>
      </c>
      <c r="F421" s="653"/>
      <c r="G421" s="654"/>
      <c r="H421" s="657">
        <v>500</v>
      </c>
      <c r="I421" s="657">
        <f t="shared" ref="I421" si="358">H421</f>
        <v>500</v>
      </c>
      <c r="J421" s="657"/>
      <c r="K421" s="657">
        <v>500</v>
      </c>
      <c r="L421" s="657">
        <f t="shared" ref="L421" si="359">K421-I421</f>
        <v>0</v>
      </c>
    </row>
    <row r="422" spans="1:13">
      <c r="A422" s="658"/>
      <c r="B422" s="658"/>
      <c r="C422" s="658"/>
      <c r="D422" s="658"/>
      <c r="E422" s="658"/>
      <c r="F422" s="655"/>
      <c r="G422" s="656"/>
      <c r="H422" s="657"/>
      <c r="I422" s="657"/>
      <c r="J422" s="657"/>
      <c r="K422" s="657"/>
      <c r="L422" s="657"/>
    </row>
    <row r="423" spans="1:13">
      <c r="A423" s="658"/>
      <c r="B423" s="658"/>
      <c r="C423" s="658" t="s">
        <v>504</v>
      </c>
      <c r="D423" s="658" t="s">
        <v>3814</v>
      </c>
      <c r="E423" s="658" t="s">
        <v>3812</v>
      </c>
      <c r="F423" s="653"/>
      <c r="G423" s="654"/>
      <c r="H423" s="657">
        <v>15000</v>
      </c>
      <c r="I423" s="657">
        <v>491</v>
      </c>
      <c r="J423" s="657"/>
      <c r="K423" s="657">
        <v>491</v>
      </c>
      <c r="L423" s="657">
        <f t="shared" ref="L423" si="360">K423-I423</f>
        <v>0</v>
      </c>
      <c r="M423" t="s">
        <v>2258</v>
      </c>
    </row>
    <row r="424" spans="1:13">
      <c r="A424" s="658"/>
      <c r="B424" s="658"/>
      <c r="C424" s="658"/>
      <c r="D424" s="658"/>
      <c r="E424" s="658"/>
      <c r="F424" s="655"/>
      <c r="G424" s="656"/>
      <c r="H424" s="657"/>
      <c r="I424" s="657"/>
      <c r="J424" s="657"/>
      <c r="K424" s="657"/>
      <c r="L424" s="657"/>
    </row>
    <row r="425" spans="1:13">
      <c r="A425" s="658"/>
      <c r="B425" s="658"/>
      <c r="C425" s="658" t="s">
        <v>505</v>
      </c>
      <c r="D425" s="658" t="s">
        <v>3814</v>
      </c>
      <c r="E425" s="658" t="s">
        <v>2723</v>
      </c>
      <c r="F425" s="653"/>
      <c r="G425" s="654"/>
      <c r="H425" s="657">
        <v>270</v>
      </c>
      <c r="I425" s="657">
        <f t="shared" ref="I425" si="361">H425</f>
        <v>270</v>
      </c>
      <c r="J425" s="657"/>
      <c r="K425" s="657">
        <v>550</v>
      </c>
      <c r="L425" s="657">
        <f t="shared" ref="L425" si="362">K425-I425</f>
        <v>280</v>
      </c>
    </row>
    <row r="426" spans="1:13">
      <c r="A426" s="658"/>
      <c r="B426" s="658"/>
      <c r="C426" s="658"/>
      <c r="D426" s="658"/>
      <c r="E426" s="658"/>
      <c r="F426" s="655"/>
      <c r="G426" s="656"/>
      <c r="H426" s="657"/>
      <c r="I426" s="657"/>
      <c r="J426" s="657"/>
      <c r="K426" s="657"/>
      <c r="L426" s="657"/>
    </row>
    <row r="427" spans="1:13">
      <c r="A427" s="658" t="s">
        <v>222</v>
      </c>
      <c r="B427" s="658" t="s">
        <v>3298</v>
      </c>
      <c r="C427" s="658" t="s">
        <v>3818</v>
      </c>
      <c r="D427" s="658" t="s">
        <v>3817</v>
      </c>
      <c r="E427" s="658" t="s">
        <v>239</v>
      </c>
      <c r="F427" s="653"/>
      <c r="G427" s="654"/>
      <c r="H427" s="657">
        <v>41563</v>
      </c>
      <c r="I427" s="657">
        <v>1350</v>
      </c>
      <c r="J427" s="657"/>
      <c r="K427" s="657">
        <v>1350</v>
      </c>
      <c r="L427" s="657">
        <f t="shared" ref="L427" si="363">K427-I427</f>
        <v>0</v>
      </c>
    </row>
    <row r="428" spans="1:13">
      <c r="A428" s="658"/>
      <c r="B428" s="658"/>
      <c r="C428" s="658"/>
      <c r="D428" s="658"/>
      <c r="E428" s="658"/>
      <c r="F428" s="655"/>
      <c r="G428" s="656"/>
      <c r="H428" s="657"/>
      <c r="I428" s="657"/>
      <c r="J428" s="657"/>
      <c r="K428" s="657"/>
      <c r="L428" s="657"/>
    </row>
    <row r="429" spans="1:13">
      <c r="A429" s="658"/>
      <c r="B429" s="658"/>
      <c r="C429" s="658" t="s">
        <v>507</v>
      </c>
      <c r="D429" s="658" t="s">
        <v>3816</v>
      </c>
      <c r="E429" s="658" t="s">
        <v>3309</v>
      </c>
      <c r="F429" s="653"/>
      <c r="G429" s="654"/>
      <c r="H429" s="657">
        <v>620</v>
      </c>
      <c r="I429" s="657">
        <f t="shared" ref="I429" si="364">H429</f>
        <v>620</v>
      </c>
      <c r="J429" s="657"/>
      <c r="K429" s="657">
        <v>620</v>
      </c>
      <c r="L429" s="657">
        <f t="shared" ref="L429" si="365">K429-I429</f>
        <v>0</v>
      </c>
    </row>
    <row r="430" spans="1:13">
      <c r="A430" s="658"/>
      <c r="B430" s="658"/>
      <c r="C430" s="658"/>
      <c r="D430" s="658"/>
      <c r="E430" s="658"/>
      <c r="F430" s="655"/>
      <c r="G430" s="656"/>
      <c r="H430" s="657"/>
      <c r="I430" s="657"/>
      <c r="J430" s="657"/>
      <c r="K430" s="657"/>
      <c r="L430" s="657"/>
    </row>
    <row r="431" spans="1:13">
      <c r="A431" s="658"/>
      <c r="B431" s="658"/>
      <c r="C431" s="658" t="s">
        <v>508</v>
      </c>
      <c r="D431" s="658" t="s">
        <v>3816</v>
      </c>
      <c r="E431" s="658" t="s">
        <v>3815</v>
      </c>
      <c r="F431" s="653"/>
      <c r="G431" s="654"/>
      <c r="H431" s="657">
        <v>250</v>
      </c>
      <c r="I431" s="657">
        <f t="shared" ref="I431" si="366">H431</f>
        <v>250</v>
      </c>
      <c r="J431" s="657"/>
      <c r="K431" s="657">
        <v>250</v>
      </c>
      <c r="L431" s="657">
        <f t="shared" ref="L431" si="367">K431-I431</f>
        <v>0</v>
      </c>
    </row>
    <row r="432" spans="1:13">
      <c r="A432" s="658"/>
      <c r="B432" s="658"/>
      <c r="C432" s="658"/>
      <c r="D432" s="658"/>
      <c r="E432" s="658"/>
      <c r="F432" s="655"/>
      <c r="G432" s="656"/>
      <c r="H432" s="657"/>
      <c r="I432" s="657"/>
      <c r="J432" s="657"/>
      <c r="K432" s="657"/>
      <c r="L432" s="657"/>
    </row>
    <row r="433" spans="1:13">
      <c r="A433" s="658" t="s">
        <v>230</v>
      </c>
      <c r="B433" s="658" t="s">
        <v>3008</v>
      </c>
      <c r="C433" s="658" t="s">
        <v>3820</v>
      </c>
      <c r="D433" s="658" t="s">
        <v>3816</v>
      </c>
      <c r="E433" s="658" t="s">
        <v>239</v>
      </c>
      <c r="F433" s="653"/>
      <c r="G433" s="654"/>
      <c r="H433" s="657">
        <v>1350</v>
      </c>
      <c r="I433" s="657">
        <f t="shared" ref="I433" si="368">H433</f>
        <v>1350</v>
      </c>
      <c r="J433" s="657"/>
      <c r="K433" s="657">
        <v>1350</v>
      </c>
      <c r="L433" s="657">
        <f t="shared" ref="L433" si="369">K433-I433</f>
        <v>0</v>
      </c>
    </row>
    <row r="434" spans="1:13">
      <c r="A434" s="658"/>
      <c r="B434" s="658"/>
      <c r="C434" s="658"/>
      <c r="D434" s="658"/>
      <c r="E434" s="658"/>
      <c r="F434" s="655"/>
      <c r="G434" s="656"/>
      <c r="H434" s="657"/>
      <c r="I434" s="657"/>
      <c r="J434" s="657"/>
      <c r="K434" s="657"/>
      <c r="L434" s="657"/>
    </row>
    <row r="435" spans="1:13">
      <c r="A435" s="658"/>
      <c r="B435" s="658"/>
      <c r="C435" s="658" t="s">
        <v>509</v>
      </c>
      <c r="D435" s="658" t="s">
        <v>3814</v>
      </c>
      <c r="E435" s="658" t="s">
        <v>3309</v>
      </c>
      <c r="F435" s="653"/>
      <c r="G435" s="654"/>
      <c r="H435" s="657">
        <v>160</v>
      </c>
      <c r="I435" s="657">
        <f t="shared" ref="I435" si="370">H435</f>
        <v>160</v>
      </c>
      <c r="J435" s="657"/>
      <c r="K435" s="657">
        <v>160</v>
      </c>
      <c r="L435" s="657">
        <f t="shared" ref="L435" si="371">K435-I435</f>
        <v>0</v>
      </c>
    </row>
    <row r="436" spans="1:13">
      <c r="A436" s="658"/>
      <c r="B436" s="658"/>
      <c r="C436" s="658"/>
      <c r="D436" s="658"/>
      <c r="E436" s="658"/>
      <c r="F436" s="655"/>
      <c r="G436" s="656"/>
      <c r="H436" s="657"/>
      <c r="I436" s="657"/>
      <c r="J436" s="657"/>
      <c r="K436" s="657"/>
      <c r="L436" s="657"/>
    </row>
    <row r="437" spans="1:13">
      <c r="A437" s="658"/>
      <c r="B437" s="658"/>
      <c r="C437" s="658" t="s">
        <v>510</v>
      </c>
      <c r="D437" s="658" t="s">
        <v>3813</v>
      </c>
      <c r="E437" s="658" t="s">
        <v>3769</v>
      </c>
      <c r="F437" s="653"/>
      <c r="G437" s="654"/>
      <c r="H437" s="657">
        <v>370</v>
      </c>
      <c r="I437" s="657">
        <f t="shared" ref="I437" si="372">H437</f>
        <v>370</v>
      </c>
      <c r="J437" s="657"/>
      <c r="K437" s="657">
        <v>350</v>
      </c>
      <c r="L437" s="657">
        <f t="shared" ref="L437" si="373">K437-I437</f>
        <v>-20</v>
      </c>
      <c r="M437" s="624"/>
    </row>
    <row r="438" spans="1:13">
      <c r="A438" s="658"/>
      <c r="B438" s="658"/>
      <c r="C438" s="658"/>
      <c r="D438" s="658"/>
      <c r="E438" s="658"/>
      <c r="F438" s="655"/>
      <c r="G438" s="656"/>
      <c r="H438" s="657"/>
      <c r="I438" s="657"/>
      <c r="J438" s="657"/>
      <c r="K438" s="657"/>
      <c r="L438" s="657"/>
    </row>
    <row r="439" spans="1:13">
      <c r="A439" s="658"/>
      <c r="B439" s="658"/>
      <c r="C439" s="658" t="s">
        <v>526</v>
      </c>
      <c r="D439" s="658" t="s">
        <v>3813</v>
      </c>
      <c r="E439" s="658" t="s">
        <v>2348</v>
      </c>
      <c r="F439" s="653"/>
      <c r="G439" s="654"/>
      <c r="H439" s="657">
        <v>50</v>
      </c>
      <c r="I439" s="657">
        <f t="shared" ref="I439" si="374">H439</f>
        <v>50</v>
      </c>
      <c r="J439" s="657"/>
      <c r="K439" s="657">
        <v>50</v>
      </c>
      <c r="L439" s="657">
        <f t="shared" ref="L439" si="375">K439-I439</f>
        <v>0</v>
      </c>
    </row>
    <row r="440" spans="1:13">
      <c r="A440" s="658"/>
      <c r="B440" s="658"/>
      <c r="C440" s="658"/>
      <c r="D440" s="658"/>
      <c r="E440" s="658"/>
      <c r="F440" s="655"/>
      <c r="G440" s="656"/>
      <c r="H440" s="657"/>
      <c r="I440" s="657"/>
      <c r="J440" s="657"/>
      <c r="K440" s="657"/>
      <c r="L440" s="657"/>
    </row>
    <row r="441" spans="1:13">
      <c r="A441" s="658" t="s">
        <v>232</v>
      </c>
      <c r="B441" s="658" t="s">
        <v>3601</v>
      </c>
      <c r="C441" s="658" t="s">
        <v>3841</v>
      </c>
      <c r="D441" s="658" t="s">
        <v>3837</v>
      </c>
      <c r="E441" s="658" t="s">
        <v>239</v>
      </c>
      <c r="F441" s="653"/>
      <c r="G441" s="654"/>
      <c r="H441" s="657">
        <v>41015</v>
      </c>
      <c r="I441" s="657">
        <v>1350</v>
      </c>
      <c r="J441" s="657"/>
      <c r="K441" s="657">
        <v>1350</v>
      </c>
      <c r="L441" s="657">
        <f t="shared" ref="L441" si="376">K441-I441</f>
        <v>0</v>
      </c>
    </row>
    <row r="442" spans="1:13">
      <c r="A442" s="658"/>
      <c r="B442" s="658"/>
      <c r="C442" s="658"/>
      <c r="D442" s="658"/>
      <c r="E442" s="658"/>
      <c r="F442" s="655"/>
      <c r="G442" s="656"/>
      <c r="H442" s="657"/>
      <c r="I442" s="657"/>
      <c r="J442" s="657"/>
      <c r="K442" s="657"/>
      <c r="L442" s="657"/>
    </row>
    <row r="443" spans="1:13">
      <c r="A443" s="658"/>
      <c r="B443" s="658"/>
      <c r="C443" s="658" t="s">
        <v>529</v>
      </c>
      <c r="D443" s="658" t="s">
        <v>3833</v>
      </c>
      <c r="E443" s="658" t="s">
        <v>2723</v>
      </c>
      <c r="F443" s="653"/>
      <c r="G443" s="654"/>
      <c r="H443" s="657">
        <v>275</v>
      </c>
      <c r="I443" s="657">
        <f t="shared" ref="I443" si="377">H443</f>
        <v>275</v>
      </c>
      <c r="J443" s="657"/>
      <c r="K443" s="657">
        <v>280</v>
      </c>
      <c r="L443" s="657">
        <f t="shared" ref="L443" si="378">K443-I443</f>
        <v>5</v>
      </c>
    </row>
    <row r="444" spans="1:13">
      <c r="A444" s="658"/>
      <c r="B444" s="658"/>
      <c r="C444" s="658"/>
      <c r="D444" s="658"/>
      <c r="E444" s="658"/>
      <c r="F444" s="655"/>
      <c r="G444" s="656"/>
      <c r="H444" s="657"/>
      <c r="I444" s="657"/>
      <c r="J444" s="657"/>
      <c r="K444" s="657"/>
      <c r="L444" s="657"/>
    </row>
    <row r="445" spans="1:13">
      <c r="A445" s="658"/>
      <c r="B445" s="658"/>
      <c r="C445" s="658" t="s">
        <v>530</v>
      </c>
      <c r="D445" s="658" t="s">
        <v>3833</v>
      </c>
      <c r="E445" s="658" t="s">
        <v>2723</v>
      </c>
      <c r="F445" s="653"/>
      <c r="G445" s="654"/>
      <c r="H445" s="657">
        <v>275</v>
      </c>
      <c r="I445" s="657">
        <f t="shared" ref="I445" si="379">H445</f>
        <v>275</v>
      </c>
      <c r="J445" s="657"/>
      <c r="K445" s="657">
        <v>275</v>
      </c>
      <c r="L445" s="657">
        <f t="shared" ref="L445" si="380">K445-I445</f>
        <v>0</v>
      </c>
    </row>
    <row r="446" spans="1:13">
      <c r="A446" s="658"/>
      <c r="B446" s="658"/>
      <c r="C446" s="658"/>
      <c r="D446" s="658"/>
      <c r="E446" s="658"/>
      <c r="F446" s="655"/>
      <c r="G446" s="656"/>
      <c r="H446" s="657"/>
      <c r="I446" s="657"/>
      <c r="J446" s="657"/>
      <c r="K446" s="657"/>
      <c r="L446" s="657"/>
    </row>
    <row r="447" spans="1:13">
      <c r="A447" s="658"/>
      <c r="B447" s="658"/>
      <c r="C447" s="658" t="s">
        <v>531</v>
      </c>
      <c r="D447" s="658" t="s">
        <v>3833</v>
      </c>
      <c r="E447" s="658" t="s">
        <v>1601</v>
      </c>
      <c r="F447" s="653"/>
      <c r="G447" s="654"/>
      <c r="H447" s="657">
        <v>950</v>
      </c>
      <c r="I447" s="657">
        <f t="shared" ref="I447" si="381">H447</f>
        <v>950</v>
      </c>
      <c r="J447" s="657"/>
      <c r="K447" s="657">
        <v>950</v>
      </c>
      <c r="L447" s="657">
        <f t="shared" ref="L447" si="382">K447-I447</f>
        <v>0</v>
      </c>
    </row>
    <row r="448" spans="1:13">
      <c r="A448" s="658"/>
      <c r="B448" s="658"/>
      <c r="C448" s="658"/>
      <c r="D448" s="658"/>
      <c r="E448" s="658"/>
      <c r="F448" s="655"/>
      <c r="G448" s="656"/>
      <c r="H448" s="657"/>
      <c r="I448" s="657"/>
      <c r="J448" s="657"/>
      <c r="K448" s="657"/>
      <c r="L448" s="657"/>
    </row>
    <row r="449" spans="1:12">
      <c r="A449" s="658" t="s">
        <v>233</v>
      </c>
      <c r="B449" s="658" t="s">
        <v>3281</v>
      </c>
      <c r="C449" s="658" t="s">
        <v>3842</v>
      </c>
      <c r="D449" s="658" t="s">
        <v>3834</v>
      </c>
      <c r="E449" s="658" t="s">
        <v>239</v>
      </c>
      <c r="F449" s="653"/>
      <c r="G449" s="654"/>
      <c r="H449" s="657">
        <v>1350</v>
      </c>
      <c r="I449" s="657">
        <f t="shared" ref="I449" si="383">H449</f>
        <v>1350</v>
      </c>
      <c r="J449" s="657"/>
      <c r="K449" s="657">
        <v>1350</v>
      </c>
      <c r="L449" s="657">
        <f t="shared" ref="L449" si="384">K449-I449</f>
        <v>0</v>
      </c>
    </row>
    <row r="450" spans="1:12">
      <c r="A450" s="658"/>
      <c r="B450" s="658"/>
      <c r="C450" s="658"/>
      <c r="D450" s="658"/>
      <c r="E450" s="658"/>
      <c r="F450" s="655"/>
      <c r="G450" s="656"/>
      <c r="H450" s="657"/>
      <c r="I450" s="657"/>
      <c r="J450" s="657"/>
      <c r="K450" s="657"/>
      <c r="L450" s="657"/>
    </row>
    <row r="451" spans="1:12">
      <c r="A451" s="658"/>
      <c r="B451" s="658"/>
      <c r="C451" s="658" t="s">
        <v>535</v>
      </c>
      <c r="D451" s="658" t="s">
        <v>3833</v>
      </c>
      <c r="E451" s="658" t="s">
        <v>3025</v>
      </c>
      <c r="F451" s="653"/>
      <c r="G451" s="654"/>
      <c r="H451" s="657">
        <v>93</v>
      </c>
      <c r="I451" s="657">
        <f t="shared" ref="I451" si="385">H451</f>
        <v>93</v>
      </c>
      <c r="J451" s="657"/>
      <c r="K451" s="657">
        <v>93</v>
      </c>
      <c r="L451" s="657">
        <f t="shared" ref="L451" si="386">K451-I451</f>
        <v>0</v>
      </c>
    </row>
    <row r="452" spans="1:12">
      <c r="A452" s="658"/>
      <c r="B452" s="658"/>
      <c r="C452" s="658"/>
      <c r="D452" s="658"/>
      <c r="E452" s="658"/>
      <c r="F452" s="655"/>
      <c r="G452" s="656"/>
      <c r="H452" s="657"/>
      <c r="I452" s="657"/>
      <c r="J452" s="657"/>
      <c r="K452" s="657"/>
      <c r="L452" s="657"/>
    </row>
    <row r="453" spans="1:12">
      <c r="A453" s="658"/>
      <c r="B453" s="658"/>
      <c r="C453" s="658" t="s">
        <v>536</v>
      </c>
      <c r="D453" s="658" t="s">
        <v>3833</v>
      </c>
      <c r="E453" s="658" t="s">
        <v>2376</v>
      </c>
      <c r="F453" s="653"/>
      <c r="G453" s="654"/>
      <c r="H453" s="657">
        <v>100</v>
      </c>
      <c r="I453" s="657">
        <f t="shared" ref="I453" si="387">H453</f>
        <v>100</v>
      </c>
      <c r="J453" s="657"/>
      <c r="K453" s="657">
        <v>100</v>
      </c>
      <c r="L453" s="657">
        <f t="shared" ref="L453" si="388">K453-I453</f>
        <v>0</v>
      </c>
    </row>
    <row r="454" spans="1:12">
      <c r="A454" s="658"/>
      <c r="B454" s="658"/>
      <c r="C454" s="658"/>
      <c r="D454" s="658"/>
      <c r="E454" s="658"/>
      <c r="F454" s="655"/>
      <c r="G454" s="656"/>
      <c r="H454" s="657"/>
      <c r="I454" s="657"/>
      <c r="J454" s="657"/>
      <c r="K454" s="657"/>
      <c r="L454" s="657"/>
    </row>
    <row r="455" spans="1:12">
      <c r="A455" s="658" t="s">
        <v>254</v>
      </c>
      <c r="B455" s="658" t="s">
        <v>3298</v>
      </c>
      <c r="C455" s="658" t="s">
        <v>3840</v>
      </c>
      <c r="D455" s="658" t="s">
        <v>3814</v>
      </c>
      <c r="E455" s="658" t="s">
        <v>239</v>
      </c>
      <c r="F455" s="653"/>
      <c r="G455" s="654"/>
      <c r="H455" s="657">
        <v>41223</v>
      </c>
      <c r="I455" s="657">
        <v>1350</v>
      </c>
      <c r="J455" s="657"/>
      <c r="K455" s="657">
        <v>1350</v>
      </c>
      <c r="L455" s="657">
        <f t="shared" ref="L455" si="389">K455-I455</f>
        <v>0</v>
      </c>
    </row>
    <row r="456" spans="1:12">
      <c r="A456" s="658"/>
      <c r="B456" s="658"/>
      <c r="C456" s="658"/>
      <c r="D456" s="658"/>
      <c r="E456" s="658"/>
      <c r="F456" s="655"/>
      <c r="G456" s="656"/>
      <c r="H456" s="657"/>
      <c r="I456" s="657"/>
      <c r="J456" s="657"/>
      <c r="K456" s="657"/>
      <c r="L456" s="657"/>
    </row>
    <row r="457" spans="1:12">
      <c r="A457" s="658"/>
      <c r="B457" s="658"/>
      <c r="C457" s="658" t="s">
        <v>607</v>
      </c>
      <c r="D457" s="658" t="s">
        <v>3834</v>
      </c>
      <c r="E457" s="658" t="s">
        <v>3309</v>
      </c>
      <c r="F457" s="653"/>
      <c r="G457" s="654"/>
      <c r="H457" s="657">
        <v>580</v>
      </c>
      <c r="I457" s="657">
        <f t="shared" ref="I457" si="390">H457</f>
        <v>580</v>
      </c>
      <c r="J457" s="657"/>
      <c r="K457" s="657">
        <v>580</v>
      </c>
      <c r="L457" s="657">
        <f t="shared" ref="L457" si="391">K457-I457</f>
        <v>0</v>
      </c>
    </row>
    <row r="458" spans="1:12">
      <c r="A458" s="658"/>
      <c r="B458" s="658"/>
      <c r="C458" s="658"/>
      <c r="D458" s="658"/>
      <c r="E458" s="658"/>
      <c r="F458" s="655"/>
      <c r="G458" s="656"/>
      <c r="H458" s="657"/>
      <c r="I458" s="657"/>
      <c r="J458" s="657"/>
      <c r="K458" s="657"/>
      <c r="L458" s="657"/>
    </row>
    <row r="459" spans="1:12">
      <c r="A459" s="658"/>
      <c r="B459" s="658"/>
      <c r="C459" s="658" t="s">
        <v>613</v>
      </c>
      <c r="D459" s="658" t="s">
        <v>3835</v>
      </c>
      <c r="E459" s="658" t="s">
        <v>2723</v>
      </c>
      <c r="F459" s="653"/>
      <c r="G459" s="654"/>
      <c r="H459" s="657">
        <v>390</v>
      </c>
      <c r="I459" s="657">
        <v>390</v>
      </c>
      <c r="J459" s="657"/>
      <c r="K459" s="657">
        <v>390</v>
      </c>
      <c r="L459" s="657">
        <f t="shared" ref="L459" si="392">K459-I459</f>
        <v>0</v>
      </c>
    </row>
    <row r="460" spans="1:12">
      <c r="A460" s="658"/>
      <c r="B460" s="658"/>
      <c r="C460" s="658"/>
      <c r="D460" s="658"/>
      <c r="E460" s="658"/>
      <c r="F460" s="655"/>
      <c r="G460" s="656"/>
      <c r="H460" s="657"/>
      <c r="I460" s="657"/>
      <c r="J460" s="657"/>
      <c r="K460" s="657"/>
      <c r="L460" s="657"/>
    </row>
    <row r="461" spans="1:12">
      <c r="A461" s="658"/>
      <c r="B461" s="658"/>
      <c r="C461" s="658" t="s">
        <v>614</v>
      </c>
      <c r="D461" s="658" t="s">
        <v>3834</v>
      </c>
      <c r="E461" s="658" t="s">
        <v>1661</v>
      </c>
      <c r="F461" s="653"/>
      <c r="G461" s="654"/>
      <c r="H461" s="657">
        <v>270</v>
      </c>
      <c r="I461" s="657">
        <f t="shared" ref="I461" si="393">H461</f>
        <v>270</v>
      </c>
      <c r="J461" s="657"/>
      <c r="K461" s="657">
        <v>270</v>
      </c>
      <c r="L461" s="657">
        <f t="shared" ref="L461" si="394">K461-I461</f>
        <v>0</v>
      </c>
    </row>
    <row r="462" spans="1:12">
      <c r="A462" s="658"/>
      <c r="B462" s="658"/>
      <c r="C462" s="658"/>
      <c r="D462" s="658"/>
      <c r="E462" s="658"/>
      <c r="F462" s="655"/>
      <c r="G462" s="656"/>
      <c r="H462" s="657"/>
      <c r="I462" s="657"/>
      <c r="J462" s="657"/>
      <c r="K462" s="657"/>
      <c r="L462" s="657"/>
    </row>
    <row r="463" spans="1:12">
      <c r="A463" s="658"/>
      <c r="B463" s="658"/>
      <c r="C463" s="658" t="s">
        <v>619</v>
      </c>
      <c r="D463" s="658" t="s">
        <v>3835</v>
      </c>
      <c r="E463" s="658" t="s">
        <v>2723</v>
      </c>
      <c r="F463" s="653"/>
      <c r="G463" s="654"/>
      <c r="H463" s="657">
        <v>30</v>
      </c>
      <c r="I463" s="657">
        <v>30</v>
      </c>
      <c r="J463" s="657"/>
      <c r="K463" s="657"/>
      <c r="L463" s="657">
        <f t="shared" ref="L463" si="395">K463-I463</f>
        <v>-30</v>
      </c>
    </row>
    <row r="464" spans="1:12">
      <c r="A464" s="658"/>
      <c r="B464" s="658"/>
      <c r="C464" s="658"/>
      <c r="D464" s="658"/>
      <c r="E464" s="658"/>
      <c r="F464" s="655"/>
      <c r="G464" s="656"/>
      <c r="H464" s="657"/>
      <c r="I464" s="657"/>
      <c r="J464" s="657"/>
      <c r="K464" s="657"/>
      <c r="L464" s="657"/>
    </row>
    <row r="465" spans="1:12">
      <c r="E465" s="13"/>
    </row>
    <row r="466" spans="1:12">
      <c r="E466" s="13"/>
    </row>
    <row r="467" spans="1:12">
      <c r="A467" s="658" t="s">
        <v>255</v>
      </c>
      <c r="B467" s="658" t="s">
        <v>3298</v>
      </c>
      <c r="C467" s="658" t="s">
        <v>3849</v>
      </c>
      <c r="D467" s="658" t="s">
        <v>3833</v>
      </c>
      <c r="E467" s="658" t="s">
        <v>239</v>
      </c>
      <c r="F467" s="653"/>
      <c r="G467" s="654"/>
      <c r="H467" s="657">
        <v>1350</v>
      </c>
      <c r="I467" s="657">
        <f t="shared" ref="I467" si="396">H467</f>
        <v>1350</v>
      </c>
      <c r="J467" s="657"/>
      <c r="K467" s="657">
        <v>1350</v>
      </c>
      <c r="L467" s="657">
        <f t="shared" ref="L467" si="397">K467-I467</f>
        <v>0</v>
      </c>
    </row>
    <row r="468" spans="1:12">
      <c r="A468" s="658"/>
      <c r="B468" s="658"/>
      <c r="C468" s="658"/>
      <c r="D468" s="658"/>
      <c r="E468" s="658"/>
      <c r="F468" s="655"/>
      <c r="G468" s="656"/>
      <c r="H468" s="657"/>
      <c r="I468" s="657"/>
      <c r="J468" s="657"/>
      <c r="K468" s="657"/>
      <c r="L468" s="657"/>
    </row>
    <row r="469" spans="1:12">
      <c r="A469" s="658"/>
      <c r="B469" s="658"/>
      <c r="C469" s="658" t="s">
        <v>621</v>
      </c>
      <c r="D469" s="658" t="s">
        <v>3847</v>
      </c>
      <c r="E469" s="658" t="s">
        <v>2723</v>
      </c>
      <c r="F469" s="653"/>
      <c r="G469" s="654"/>
      <c r="H469" s="657">
        <v>600</v>
      </c>
      <c r="I469" s="657">
        <f t="shared" ref="I469" si="398">H469</f>
        <v>600</v>
      </c>
      <c r="J469" s="657"/>
      <c r="K469" s="657">
        <v>600</v>
      </c>
      <c r="L469" s="657">
        <f t="shared" ref="L469" si="399">K469-I469</f>
        <v>0</v>
      </c>
    </row>
    <row r="470" spans="1:12">
      <c r="A470" s="658"/>
      <c r="B470" s="658"/>
      <c r="C470" s="658"/>
      <c r="D470" s="658"/>
      <c r="E470" s="658"/>
      <c r="F470" s="655"/>
      <c r="G470" s="656"/>
      <c r="H470" s="657"/>
      <c r="I470" s="657"/>
      <c r="J470" s="657"/>
      <c r="K470" s="657"/>
      <c r="L470" s="657"/>
    </row>
    <row r="471" spans="1:12">
      <c r="A471" s="658"/>
      <c r="B471" s="658"/>
      <c r="C471" s="658" t="s">
        <v>623</v>
      </c>
      <c r="D471" s="658" t="s">
        <v>3847</v>
      </c>
      <c r="E471" s="658" t="s">
        <v>2723</v>
      </c>
      <c r="F471" s="653"/>
      <c r="G471" s="654"/>
      <c r="H471" s="657">
        <v>370</v>
      </c>
      <c r="I471" s="657">
        <f t="shared" ref="I471" si="400">H471</f>
        <v>370</v>
      </c>
      <c r="J471" s="657"/>
      <c r="K471" s="657">
        <v>370</v>
      </c>
      <c r="L471" s="657">
        <f t="shared" ref="L471" si="401">K471-I471</f>
        <v>0</v>
      </c>
    </row>
    <row r="472" spans="1:12">
      <c r="A472" s="658"/>
      <c r="B472" s="658"/>
      <c r="C472" s="658"/>
      <c r="D472" s="658"/>
      <c r="E472" s="658"/>
      <c r="F472" s="655"/>
      <c r="G472" s="656"/>
      <c r="H472" s="657"/>
      <c r="I472" s="657"/>
      <c r="J472" s="657"/>
      <c r="K472" s="657"/>
      <c r="L472" s="657"/>
    </row>
    <row r="473" spans="1:12">
      <c r="A473" s="658"/>
      <c r="B473" s="658"/>
      <c r="C473" s="658" t="s">
        <v>624</v>
      </c>
      <c r="D473" s="658" t="s">
        <v>3846</v>
      </c>
      <c r="E473" s="658" t="s">
        <v>2348</v>
      </c>
      <c r="F473" s="653"/>
      <c r="G473" s="654"/>
      <c r="H473" s="657">
        <v>50</v>
      </c>
      <c r="I473" s="657">
        <f t="shared" ref="I473" si="402">H473</f>
        <v>50</v>
      </c>
      <c r="J473" s="657"/>
      <c r="K473" s="657">
        <v>50</v>
      </c>
      <c r="L473" s="657">
        <f t="shared" ref="L473" si="403">K473-I473</f>
        <v>0</v>
      </c>
    </row>
    <row r="474" spans="1:12">
      <c r="A474" s="658"/>
      <c r="B474" s="658"/>
      <c r="C474" s="658"/>
      <c r="D474" s="658"/>
      <c r="E474" s="658"/>
      <c r="F474" s="655"/>
      <c r="G474" s="656"/>
      <c r="H474" s="657"/>
      <c r="I474" s="657"/>
      <c r="J474" s="657"/>
      <c r="K474" s="657"/>
      <c r="L474" s="657"/>
    </row>
    <row r="475" spans="1:12">
      <c r="A475" s="658" t="s">
        <v>272</v>
      </c>
      <c r="B475" s="658" t="s">
        <v>3281</v>
      </c>
      <c r="C475" s="658" t="s">
        <v>3854</v>
      </c>
      <c r="D475" s="658" t="s">
        <v>3852</v>
      </c>
      <c r="E475" s="658" t="s">
        <v>239</v>
      </c>
      <c r="F475" s="653"/>
      <c r="G475" s="654"/>
      <c r="H475" s="657">
        <v>42761</v>
      </c>
      <c r="I475" s="657">
        <v>1400</v>
      </c>
      <c r="J475" s="657"/>
      <c r="K475" s="657">
        <v>1400</v>
      </c>
      <c r="L475" s="657">
        <f t="shared" ref="L475" si="404">K475-I475</f>
        <v>0</v>
      </c>
    </row>
    <row r="476" spans="1:12">
      <c r="A476" s="658"/>
      <c r="B476" s="658"/>
      <c r="C476" s="658"/>
      <c r="D476" s="658"/>
      <c r="E476" s="658"/>
      <c r="F476" s="655"/>
      <c r="G476" s="656"/>
      <c r="H476" s="657"/>
      <c r="I476" s="657"/>
      <c r="J476" s="657"/>
      <c r="K476" s="657"/>
      <c r="L476" s="657"/>
    </row>
    <row r="477" spans="1:12">
      <c r="A477" s="658"/>
      <c r="B477" s="658"/>
      <c r="C477" s="658" t="s">
        <v>631</v>
      </c>
      <c r="D477" s="658" t="s">
        <v>3848</v>
      </c>
      <c r="E477" s="658" t="s">
        <v>2723</v>
      </c>
      <c r="F477" s="653"/>
      <c r="G477" s="654"/>
      <c r="H477" s="657">
        <v>550</v>
      </c>
      <c r="I477" s="657">
        <f t="shared" ref="I477" si="405">H477</f>
        <v>550</v>
      </c>
      <c r="J477" s="657"/>
      <c r="K477" s="657">
        <v>550</v>
      </c>
      <c r="L477" s="657">
        <f t="shared" ref="L477" si="406">K477-I477</f>
        <v>0</v>
      </c>
    </row>
    <row r="478" spans="1:12">
      <c r="A478" s="658"/>
      <c r="B478" s="658"/>
      <c r="C478" s="658"/>
      <c r="D478" s="658"/>
      <c r="E478" s="658"/>
      <c r="F478" s="655"/>
      <c r="G478" s="656"/>
      <c r="H478" s="657"/>
      <c r="I478" s="657"/>
      <c r="J478" s="657"/>
      <c r="K478" s="657"/>
      <c r="L478" s="657"/>
    </row>
    <row r="479" spans="1:12">
      <c r="A479" s="658"/>
      <c r="B479" s="658"/>
      <c r="C479" s="658" t="s">
        <v>632</v>
      </c>
      <c r="D479" s="658" t="s">
        <v>3848</v>
      </c>
      <c r="E479" s="658" t="s">
        <v>3025</v>
      </c>
      <c r="F479" s="653"/>
      <c r="G479" s="654"/>
      <c r="H479" s="657">
        <v>93</v>
      </c>
      <c r="I479" s="657">
        <f t="shared" ref="I479" si="407">H479</f>
        <v>93</v>
      </c>
      <c r="J479" s="657"/>
      <c r="K479" s="657">
        <v>93</v>
      </c>
      <c r="L479" s="657">
        <f t="shared" ref="L479" si="408">K479-I479</f>
        <v>0</v>
      </c>
    </row>
    <row r="480" spans="1:12">
      <c r="A480" s="658"/>
      <c r="B480" s="658"/>
      <c r="C480" s="658"/>
      <c r="D480" s="658"/>
      <c r="E480" s="658"/>
      <c r="F480" s="655"/>
      <c r="G480" s="656"/>
      <c r="H480" s="657"/>
      <c r="I480" s="657"/>
      <c r="J480" s="657"/>
      <c r="K480" s="657"/>
      <c r="L480" s="657"/>
    </row>
    <row r="481" spans="1:12">
      <c r="A481" s="658" t="s">
        <v>273</v>
      </c>
      <c r="B481" s="658" t="s">
        <v>3008</v>
      </c>
      <c r="C481" s="658" t="s">
        <v>3853</v>
      </c>
      <c r="D481" s="658" t="s">
        <v>3852</v>
      </c>
      <c r="E481" s="658" t="s">
        <v>239</v>
      </c>
      <c r="F481" s="653"/>
      <c r="G481" s="654"/>
      <c r="H481" s="657">
        <v>1350</v>
      </c>
      <c r="I481" s="657">
        <f t="shared" ref="I481" si="409">H481</f>
        <v>1350</v>
      </c>
      <c r="J481" s="657"/>
      <c r="K481" s="657">
        <v>1350</v>
      </c>
      <c r="L481" s="657">
        <f t="shared" ref="L481" si="410">K481-I481</f>
        <v>0</v>
      </c>
    </row>
    <row r="482" spans="1:12">
      <c r="A482" s="658"/>
      <c r="B482" s="658"/>
      <c r="C482" s="658"/>
      <c r="D482" s="658"/>
      <c r="E482" s="658"/>
      <c r="F482" s="655"/>
      <c r="G482" s="656"/>
      <c r="H482" s="657"/>
      <c r="I482" s="657"/>
      <c r="J482" s="657"/>
      <c r="K482" s="657"/>
      <c r="L482" s="657"/>
    </row>
    <row r="483" spans="1:12">
      <c r="A483" s="658"/>
      <c r="B483" s="658"/>
      <c r="C483" s="658" t="s">
        <v>633</v>
      </c>
      <c r="D483" s="658" t="s">
        <v>3848</v>
      </c>
      <c r="E483" s="658" t="s">
        <v>1601</v>
      </c>
      <c r="F483" s="653"/>
      <c r="G483" s="654"/>
      <c r="H483" s="657">
        <v>200</v>
      </c>
      <c r="I483" s="657">
        <f t="shared" ref="I483" si="411">H483</f>
        <v>200</v>
      </c>
      <c r="J483" s="657"/>
      <c r="K483" s="657">
        <v>200</v>
      </c>
      <c r="L483" s="657">
        <f t="shared" ref="L483" si="412">K483-I483</f>
        <v>0</v>
      </c>
    </row>
    <row r="484" spans="1:12">
      <c r="A484" s="658"/>
      <c r="B484" s="658"/>
      <c r="C484" s="658"/>
      <c r="D484" s="658"/>
      <c r="E484" s="658"/>
      <c r="F484" s="655"/>
      <c r="G484" s="656"/>
      <c r="H484" s="657"/>
      <c r="I484" s="657"/>
      <c r="J484" s="657"/>
      <c r="K484" s="657"/>
      <c r="L484" s="657"/>
    </row>
    <row r="485" spans="1:12">
      <c r="A485" s="658"/>
      <c r="B485" s="658"/>
      <c r="C485" s="658" t="s">
        <v>634</v>
      </c>
      <c r="D485" s="658" t="s">
        <v>3848</v>
      </c>
      <c r="E485" s="658" t="s">
        <v>3309</v>
      </c>
      <c r="F485" s="653"/>
      <c r="G485" s="654"/>
      <c r="H485" s="657">
        <v>320</v>
      </c>
      <c r="I485" s="657">
        <f t="shared" ref="I485" si="413">H485</f>
        <v>320</v>
      </c>
      <c r="J485" s="657"/>
      <c r="K485" s="657">
        <v>320</v>
      </c>
      <c r="L485" s="657">
        <f t="shared" ref="L485" si="414">K485-I485</f>
        <v>0</v>
      </c>
    </row>
    <row r="486" spans="1:12">
      <c r="A486" s="658"/>
      <c r="B486" s="658"/>
      <c r="C486" s="658"/>
      <c r="D486" s="658"/>
      <c r="E486" s="658"/>
      <c r="F486" s="655"/>
      <c r="G486" s="656"/>
      <c r="H486" s="657"/>
      <c r="I486" s="657"/>
      <c r="J486" s="657"/>
      <c r="K486" s="657"/>
      <c r="L486" s="657"/>
    </row>
    <row r="487" spans="1:12">
      <c r="A487" s="658"/>
      <c r="B487" s="658"/>
      <c r="C487" s="658" t="s">
        <v>642</v>
      </c>
      <c r="D487" s="658" t="s">
        <v>3848</v>
      </c>
      <c r="E487" s="658" t="s">
        <v>1140</v>
      </c>
      <c r="F487" s="653"/>
      <c r="G487" s="654"/>
      <c r="H487" s="657">
        <v>500</v>
      </c>
      <c r="I487" s="657">
        <f t="shared" ref="I487" si="415">H487</f>
        <v>500</v>
      </c>
      <c r="J487" s="657"/>
      <c r="K487" s="657">
        <v>500</v>
      </c>
      <c r="L487" s="657">
        <f t="shared" ref="L487" si="416">K487-I487</f>
        <v>0</v>
      </c>
    </row>
    <row r="488" spans="1:12">
      <c r="A488" s="658"/>
      <c r="B488" s="658"/>
      <c r="C488" s="658"/>
      <c r="D488" s="658"/>
      <c r="E488" s="658"/>
      <c r="F488" s="655"/>
      <c r="G488" s="656"/>
      <c r="H488" s="657"/>
      <c r="I488" s="657"/>
      <c r="J488" s="657"/>
      <c r="K488" s="657"/>
      <c r="L488" s="657"/>
    </row>
    <row r="489" spans="1:12">
      <c r="A489" s="658" t="s">
        <v>274</v>
      </c>
      <c r="B489" s="658" t="s">
        <v>3601</v>
      </c>
      <c r="C489" s="658" t="s">
        <v>3851</v>
      </c>
      <c r="D489" s="658" t="s">
        <v>3850</v>
      </c>
      <c r="E489" s="658" t="s">
        <v>239</v>
      </c>
      <c r="F489" s="653"/>
      <c r="G489" s="654"/>
      <c r="H489" s="657">
        <v>41214</v>
      </c>
      <c r="I489" s="657">
        <v>1350</v>
      </c>
      <c r="J489" s="657"/>
      <c r="K489" s="657">
        <v>1350</v>
      </c>
      <c r="L489" s="657">
        <f t="shared" ref="L489" si="417">K489-I489</f>
        <v>0</v>
      </c>
    </row>
    <row r="490" spans="1:12">
      <c r="A490" s="658"/>
      <c r="B490" s="658"/>
      <c r="C490" s="658"/>
      <c r="D490" s="658"/>
      <c r="E490" s="658"/>
      <c r="F490" s="655"/>
      <c r="G490" s="656"/>
      <c r="H490" s="657"/>
      <c r="I490" s="657"/>
      <c r="J490" s="657"/>
      <c r="K490" s="657"/>
      <c r="L490" s="657"/>
    </row>
    <row r="491" spans="1:12">
      <c r="A491" s="658"/>
      <c r="B491" s="658"/>
      <c r="C491" s="658" t="s">
        <v>646</v>
      </c>
      <c r="D491" s="658" t="s">
        <v>3846</v>
      </c>
      <c r="E491" s="658" t="s">
        <v>2517</v>
      </c>
      <c r="F491" s="653"/>
      <c r="G491" s="654"/>
      <c r="H491" s="657">
        <v>200</v>
      </c>
      <c r="I491" s="657">
        <f t="shared" ref="I491" si="418">H491</f>
        <v>200</v>
      </c>
      <c r="J491" s="657"/>
      <c r="K491" s="657">
        <v>200</v>
      </c>
      <c r="L491" s="657">
        <f t="shared" ref="L491" si="419">K491-I491</f>
        <v>0</v>
      </c>
    </row>
    <row r="492" spans="1:12">
      <c r="A492" s="658"/>
      <c r="B492" s="658"/>
      <c r="C492" s="658"/>
      <c r="D492" s="658"/>
      <c r="E492" s="658"/>
      <c r="F492" s="655"/>
      <c r="G492" s="656"/>
      <c r="H492" s="657"/>
      <c r="I492" s="657"/>
      <c r="J492" s="657"/>
      <c r="K492" s="657"/>
      <c r="L492" s="657"/>
    </row>
    <row r="493" spans="1:12">
      <c r="A493" s="658"/>
      <c r="B493" s="658"/>
      <c r="C493" s="658" t="s">
        <v>648</v>
      </c>
      <c r="D493" s="658" t="s">
        <v>3846</v>
      </c>
      <c r="E493" s="658" t="s">
        <v>2517</v>
      </c>
      <c r="F493" s="653"/>
      <c r="G493" s="654"/>
      <c r="H493" s="657">
        <v>410</v>
      </c>
      <c r="I493" s="657">
        <f t="shared" ref="I493" si="420">H493</f>
        <v>410</v>
      </c>
      <c r="J493" s="657"/>
      <c r="K493" s="657">
        <v>410</v>
      </c>
      <c r="L493" s="657">
        <f t="shared" ref="L493" si="421">K493-I493</f>
        <v>0</v>
      </c>
    </row>
    <row r="494" spans="1:12">
      <c r="A494" s="658"/>
      <c r="B494" s="658"/>
      <c r="C494" s="658"/>
      <c r="D494" s="658"/>
      <c r="E494" s="658"/>
      <c r="F494" s="655"/>
      <c r="G494" s="656"/>
      <c r="H494" s="657"/>
      <c r="I494" s="657"/>
      <c r="J494" s="657"/>
      <c r="K494" s="657"/>
      <c r="L494" s="657"/>
    </row>
    <row r="495" spans="1:12">
      <c r="A495" s="658"/>
      <c r="B495" s="658"/>
      <c r="C495" s="658" t="s">
        <v>650</v>
      </c>
      <c r="D495" s="658" t="s">
        <v>3846</v>
      </c>
      <c r="E495" s="658" t="s">
        <v>3844</v>
      </c>
      <c r="F495" s="653"/>
      <c r="G495" s="654"/>
      <c r="H495" s="657">
        <v>450</v>
      </c>
      <c r="I495" s="657">
        <f t="shared" ref="I495" si="422">H495</f>
        <v>450</v>
      </c>
      <c r="J495" s="657"/>
      <c r="K495" s="657">
        <v>450</v>
      </c>
      <c r="L495" s="657">
        <f t="shared" ref="L495" si="423">K495-I495</f>
        <v>0</v>
      </c>
    </row>
    <row r="496" spans="1:12">
      <c r="A496" s="658"/>
      <c r="B496" s="658"/>
      <c r="C496" s="658"/>
      <c r="D496" s="658"/>
      <c r="E496" s="658"/>
      <c r="F496" s="655"/>
      <c r="G496" s="656"/>
      <c r="H496" s="657"/>
      <c r="I496" s="657"/>
      <c r="J496" s="657"/>
      <c r="K496" s="657"/>
      <c r="L496" s="657"/>
    </row>
    <row r="497" spans="1:14">
      <c r="A497" s="658"/>
      <c r="B497" s="658"/>
      <c r="C497" s="658" t="s">
        <v>652</v>
      </c>
      <c r="D497" s="658" t="s">
        <v>3846</v>
      </c>
      <c r="E497" s="658" t="s">
        <v>3845</v>
      </c>
      <c r="F497" s="653"/>
      <c r="G497" s="654"/>
      <c r="H497" s="657">
        <v>400</v>
      </c>
      <c r="I497" s="657">
        <f t="shared" ref="I497" si="424">H497</f>
        <v>400</v>
      </c>
      <c r="J497" s="657"/>
      <c r="K497" s="657">
        <v>400</v>
      </c>
      <c r="L497" s="657">
        <f t="shared" ref="L497" si="425">K497-I497</f>
        <v>0</v>
      </c>
    </row>
    <row r="498" spans="1:14">
      <c r="A498" s="658"/>
      <c r="B498" s="658"/>
      <c r="C498" s="658"/>
      <c r="D498" s="658"/>
      <c r="E498" s="658"/>
      <c r="F498" s="655"/>
      <c r="G498" s="656"/>
      <c r="H498" s="657"/>
      <c r="I498" s="657"/>
      <c r="J498" s="657"/>
      <c r="K498" s="657"/>
      <c r="L498" s="657"/>
    </row>
    <row r="499" spans="1:14">
      <c r="A499" s="658" t="s">
        <v>276</v>
      </c>
      <c r="B499" s="658" t="s">
        <v>3298</v>
      </c>
      <c r="C499" s="658" t="s">
        <v>3857</v>
      </c>
      <c r="D499" s="658" t="s">
        <v>3848</v>
      </c>
      <c r="E499" s="658" t="s">
        <v>239</v>
      </c>
      <c r="F499" s="653"/>
      <c r="G499" s="654"/>
      <c r="H499" s="657">
        <v>1350</v>
      </c>
      <c r="I499" s="657">
        <f t="shared" ref="I499" si="426">H499</f>
        <v>1350</v>
      </c>
      <c r="J499" s="657"/>
      <c r="K499" s="657">
        <v>1350</v>
      </c>
      <c r="L499" s="657">
        <f t="shared" ref="L499" si="427">K499-I499</f>
        <v>0</v>
      </c>
    </row>
    <row r="500" spans="1:14">
      <c r="A500" s="658"/>
      <c r="B500" s="658"/>
      <c r="C500" s="658"/>
      <c r="D500" s="658"/>
      <c r="E500" s="658"/>
      <c r="F500" s="655"/>
      <c r="G500" s="656"/>
      <c r="H500" s="657"/>
      <c r="I500" s="657"/>
      <c r="J500" s="657"/>
      <c r="K500" s="657"/>
      <c r="L500" s="657"/>
    </row>
    <row r="501" spans="1:14">
      <c r="A501" s="658"/>
      <c r="B501" s="658"/>
      <c r="C501" s="658" t="s">
        <v>653</v>
      </c>
      <c r="D501" s="658" t="s">
        <v>3859</v>
      </c>
      <c r="E501" s="658" t="s">
        <v>3256</v>
      </c>
      <c r="F501" s="653"/>
      <c r="G501" s="654"/>
      <c r="H501" s="657">
        <v>220</v>
      </c>
      <c r="I501" s="657">
        <f t="shared" ref="I501" si="428">H501</f>
        <v>220</v>
      </c>
      <c r="J501" s="657"/>
      <c r="K501" s="657">
        <v>220</v>
      </c>
      <c r="L501" s="657">
        <f t="shared" ref="L501" si="429">K501-I501</f>
        <v>0</v>
      </c>
    </row>
    <row r="502" spans="1:14">
      <c r="A502" s="658"/>
      <c r="B502" s="658"/>
      <c r="C502" s="658"/>
      <c r="D502" s="658"/>
      <c r="E502" s="658"/>
      <c r="F502" s="655"/>
      <c r="G502" s="656"/>
      <c r="H502" s="657"/>
      <c r="I502" s="657"/>
      <c r="J502" s="657"/>
      <c r="K502" s="657"/>
      <c r="L502" s="657"/>
    </row>
    <row r="503" spans="1:14">
      <c r="A503" s="658"/>
      <c r="B503" s="658"/>
      <c r="C503" s="658" t="s">
        <v>654</v>
      </c>
      <c r="D503" s="658" t="s">
        <v>3859</v>
      </c>
      <c r="E503" s="658" t="s">
        <v>3309</v>
      </c>
      <c r="F503" s="653"/>
      <c r="G503" s="654"/>
      <c r="H503" s="657">
        <v>370</v>
      </c>
      <c r="I503" s="657">
        <f t="shared" ref="I503" si="430">H503</f>
        <v>370</v>
      </c>
      <c r="J503" s="657"/>
      <c r="K503" s="657">
        <v>370</v>
      </c>
      <c r="L503" s="657">
        <f t="shared" ref="L503" si="431">K503-I503</f>
        <v>0</v>
      </c>
    </row>
    <row r="504" spans="1:14">
      <c r="A504" s="658"/>
      <c r="B504" s="658"/>
      <c r="C504" s="658"/>
      <c r="D504" s="658"/>
      <c r="E504" s="658"/>
      <c r="F504" s="655"/>
      <c r="G504" s="656"/>
      <c r="H504" s="657"/>
      <c r="I504" s="657"/>
      <c r="J504" s="657"/>
      <c r="K504" s="657"/>
      <c r="L504" s="657"/>
    </row>
    <row r="505" spans="1:14">
      <c r="A505" s="658"/>
      <c r="B505" s="658"/>
      <c r="C505" s="658" t="s">
        <v>655</v>
      </c>
      <c r="D505" s="658" t="s">
        <v>3859</v>
      </c>
      <c r="E505" s="658" t="s">
        <v>3858</v>
      </c>
      <c r="F505" s="653"/>
      <c r="G505" s="654"/>
      <c r="H505" s="657">
        <v>270</v>
      </c>
      <c r="I505" s="657">
        <f t="shared" ref="I505" si="432">H505</f>
        <v>270</v>
      </c>
      <c r="J505" s="657"/>
      <c r="K505" s="657">
        <v>270</v>
      </c>
      <c r="L505" s="657">
        <f t="shared" ref="L505" si="433">K505-I505</f>
        <v>0</v>
      </c>
    </row>
    <row r="506" spans="1:14">
      <c r="A506" s="658"/>
      <c r="B506" s="658"/>
      <c r="C506" s="658"/>
      <c r="D506" s="658"/>
      <c r="E506" s="658"/>
      <c r="F506" s="655"/>
      <c r="G506" s="656"/>
      <c r="H506" s="657"/>
      <c r="I506" s="657"/>
      <c r="J506" s="657"/>
      <c r="K506" s="657"/>
      <c r="L506" s="657"/>
    </row>
    <row r="507" spans="1:14">
      <c r="A507" s="695" t="s">
        <v>387</v>
      </c>
      <c r="B507" s="696"/>
      <c r="C507" s="696"/>
      <c r="D507" s="696"/>
      <c r="E507" s="696"/>
      <c r="F507" s="696"/>
      <c r="G507" s="696"/>
      <c r="H507" s="696"/>
      <c r="I507" s="696"/>
      <c r="J507" s="696"/>
      <c r="K507" s="696"/>
      <c r="L507" s="697"/>
    </row>
    <row r="508" spans="1:14">
      <c r="A508" s="698"/>
      <c r="B508" s="699"/>
      <c r="C508" s="699"/>
      <c r="D508" s="699"/>
      <c r="E508" s="699"/>
      <c r="F508" s="699"/>
      <c r="G508" s="699"/>
      <c r="H508" s="699"/>
      <c r="I508" s="699"/>
      <c r="J508" s="699"/>
      <c r="K508" s="699"/>
      <c r="L508" s="700"/>
    </row>
    <row r="509" spans="1:14">
      <c r="A509" s="658" t="s">
        <v>234</v>
      </c>
      <c r="B509" s="658" t="s">
        <v>3839</v>
      </c>
      <c r="C509" s="658" t="s">
        <v>620</v>
      </c>
      <c r="D509" s="701" t="s">
        <v>3899</v>
      </c>
      <c r="E509" s="658" t="s">
        <v>3836</v>
      </c>
      <c r="F509" s="653"/>
      <c r="G509" s="654"/>
      <c r="H509" s="657">
        <v>250</v>
      </c>
      <c r="I509" s="657">
        <v>300</v>
      </c>
      <c r="J509" s="657" t="s">
        <v>3838</v>
      </c>
      <c r="K509" s="657"/>
      <c r="L509" s="657">
        <f t="shared" ref="L509" si="434">K509-I509</f>
        <v>-300</v>
      </c>
    </row>
    <row r="510" spans="1:14">
      <c r="A510" s="658"/>
      <c r="B510" s="658"/>
      <c r="C510" s="658"/>
      <c r="D510" s="701"/>
      <c r="E510" s="658"/>
      <c r="F510" s="655"/>
      <c r="G510" s="656"/>
      <c r="H510" s="657"/>
      <c r="I510" s="657"/>
      <c r="J510" s="657"/>
      <c r="K510" s="657"/>
      <c r="L510" s="657"/>
      <c r="M510" s="6" t="s">
        <v>2503</v>
      </c>
      <c r="N510" s="572">
        <f>SUM(I509,I513:I518,I521:I524,I527:I554,I555:I620,I623,I629)-I513</f>
        <v>36188</v>
      </c>
    </row>
    <row r="511" spans="1:14">
      <c r="A511" s="658" t="s">
        <v>277</v>
      </c>
      <c r="B511" s="658" t="s">
        <v>3281</v>
      </c>
      <c r="C511" s="658" t="s">
        <v>3863</v>
      </c>
      <c r="D511" s="674" t="s">
        <v>3859</v>
      </c>
      <c r="E511" s="658" t="s">
        <v>239</v>
      </c>
      <c r="F511" s="653"/>
      <c r="G511" s="654"/>
      <c r="H511" s="657">
        <v>40924</v>
      </c>
      <c r="I511" s="657">
        <v>1350</v>
      </c>
      <c r="J511" s="657"/>
      <c r="K511" s="657">
        <v>1350</v>
      </c>
      <c r="L511" s="657">
        <f t="shared" ref="L511" si="435">K511-I511</f>
        <v>0</v>
      </c>
      <c r="M511" s="6" t="s">
        <v>3993</v>
      </c>
    </row>
    <row r="512" spans="1:14">
      <c r="A512" s="658"/>
      <c r="B512" s="658"/>
      <c r="C512" s="658"/>
      <c r="D512" s="674"/>
      <c r="E512" s="658"/>
      <c r="F512" s="655"/>
      <c r="G512" s="656"/>
      <c r="H512" s="657"/>
      <c r="I512" s="657"/>
      <c r="J512" s="657"/>
      <c r="K512" s="657"/>
      <c r="L512" s="657"/>
    </row>
    <row r="513" spans="1:12">
      <c r="A513" s="658"/>
      <c r="B513" s="658"/>
      <c r="C513" s="658" t="s">
        <v>3867</v>
      </c>
      <c r="D513" s="658" t="s">
        <v>3848</v>
      </c>
      <c r="E513" s="658" t="s">
        <v>239</v>
      </c>
      <c r="F513" s="653"/>
      <c r="G513" s="654"/>
      <c r="H513" s="657">
        <v>150</v>
      </c>
      <c r="I513" s="657">
        <v>180</v>
      </c>
      <c r="J513" s="657"/>
      <c r="K513" s="657">
        <v>180</v>
      </c>
      <c r="L513" s="657">
        <f t="shared" ref="L513" si="436">K513-I513</f>
        <v>0</v>
      </c>
    </row>
    <row r="514" spans="1:12">
      <c r="A514" s="658"/>
      <c r="B514" s="658"/>
      <c r="C514" s="658"/>
      <c r="D514" s="658"/>
      <c r="E514" s="658"/>
      <c r="F514" s="655"/>
      <c r="G514" s="656"/>
      <c r="H514" s="657"/>
      <c r="I514" s="657"/>
      <c r="J514" s="657"/>
      <c r="K514" s="657"/>
      <c r="L514" s="657"/>
    </row>
    <row r="515" spans="1:12">
      <c r="A515" s="658"/>
      <c r="B515" s="658"/>
      <c r="C515" s="658" t="s">
        <v>660</v>
      </c>
      <c r="D515" s="658" t="s">
        <v>3861</v>
      </c>
      <c r="E515" s="658" t="s">
        <v>3025</v>
      </c>
      <c r="F515" s="653"/>
      <c r="G515" s="654"/>
      <c r="H515" s="657">
        <v>93</v>
      </c>
      <c r="I515" s="657">
        <f t="shared" ref="I515" si="437">H515</f>
        <v>93</v>
      </c>
      <c r="J515" s="657"/>
      <c r="K515" s="657">
        <v>93</v>
      </c>
      <c r="L515" s="657">
        <f t="shared" ref="L515" si="438">K515-I515</f>
        <v>0</v>
      </c>
    </row>
    <row r="516" spans="1:12">
      <c r="A516" s="658"/>
      <c r="B516" s="658"/>
      <c r="C516" s="658"/>
      <c r="D516" s="658"/>
      <c r="E516" s="658"/>
      <c r="F516" s="655"/>
      <c r="G516" s="656"/>
      <c r="H516" s="657"/>
      <c r="I516" s="657"/>
      <c r="J516" s="657"/>
      <c r="K516" s="657"/>
      <c r="L516" s="657"/>
    </row>
    <row r="517" spans="1:12">
      <c r="A517" s="658"/>
      <c r="B517" s="658"/>
      <c r="C517" s="658" t="s">
        <v>666</v>
      </c>
      <c r="D517" s="658" t="s">
        <v>3861</v>
      </c>
      <c r="E517" s="658" t="s">
        <v>3860</v>
      </c>
      <c r="F517" s="653"/>
      <c r="G517" s="654"/>
      <c r="H517" s="657">
        <v>490</v>
      </c>
      <c r="I517" s="657">
        <f t="shared" ref="I517" si="439">H517</f>
        <v>490</v>
      </c>
      <c r="J517" s="657"/>
      <c r="K517" s="657">
        <v>490</v>
      </c>
      <c r="L517" s="657">
        <f t="shared" ref="L517" si="440">K517-I517</f>
        <v>0</v>
      </c>
    </row>
    <row r="518" spans="1:12">
      <c r="A518" s="658"/>
      <c r="B518" s="658"/>
      <c r="C518" s="658"/>
      <c r="D518" s="658"/>
      <c r="E518" s="658"/>
      <c r="F518" s="655"/>
      <c r="G518" s="656"/>
      <c r="H518" s="657"/>
      <c r="I518" s="657"/>
      <c r="J518" s="657"/>
      <c r="K518" s="657"/>
      <c r="L518" s="657"/>
    </row>
    <row r="519" spans="1:12">
      <c r="A519" s="658" t="s">
        <v>278</v>
      </c>
      <c r="B519" s="658" t="s">
        <v>3008</v>
      </c>
      <c r="C519" s="658" t="s">
        <v>3864</v>
      </c>
      <c r="D519" s="674" t="s">
        <v>3859</v>
      </c>
      <c r="E519" s="658" t="s">
        <v>239</v>
      </c>
      <c r="F519" s="653"/>
      <c r="G519" s="654"/>
      <c r="H519" s="657">
        <v>1350</v>
      </c>
      <c r="I519" s="657">
        <f t="shared" ref="I519" si="441">H519</f>
        <v>1350</v>
      </c>
      <c r="J519" s="657"/>
      <c r="K519" s="657">
        <v>1350</v>
      </c>
      <c r="L519" s="657">
        <f t="shared" ref="L519" si="442">K519-I519</f>
        <v>0</v>
      </c>
    </row>
    <row r="520" spans="1:12">
      <c r="A520" s="658"/>
      <c r="B520" s="658"/>
      <c r="C520" s="658"/>
      <c r="D520" s="674"/>
      <c r="E520" s="658"/>
      <c r="F520" s="655"/>
      <c r="G520" s="656"/>
      <c r="H520" s="657"/>
      <c r="I520" s="657"/>
      <c r="J520" s="657"/>
      <c r="K520" s="657"/>
      <c r="L520" s="657"/>
    </row>
    <row r="521" spans="1:12">
      <c r="A521" s="658"/>
      <c r="B521" s="658"/>
      <c r="C521" s="658" t="s">
        <v>675</v>
      </c>
      <c r="D521" s="658" t="s">
        <v>3861</v>
      </c>
      <c r="E521" s="658" t="s">
        <v>1601</v>
      </c>
      <c r="F521" s="653"/>
      <c r="G521" s="654"/>
      <c r="H521" s="657">
        <v>1050</v>
      </c>
      <c r="I521" s="657">
        <f t="shared" ref="I521" si="443">H521</f>
        <v>1050</v>
      </c>
      <c r="J521" s="657"/>
      <c r="K521" s="657">
        <v>1050</v>
      </c>
      <c r="L521" s="657">
        <f t="shared" ref="L521" si="444">K521-I521</f>
        <v>0</v>
      </c>
    </row>
    <row r="522" spans="1:12">
      <c r="A522" s="658"/>
      <c r="B522" s="658"/>
      <c r="C522" s="658"/>
      <c r="D522" s="658"/>
      <c r="E522" s="658"/>
      <c r="F522" s="655"/>
      <c r="G522" s="656"/>
      <c r="H522" s="657"/>
      <c r="I522" s="657"/>
      <c r="J522" s="657"/>
      <c r="K522" s="657"/>
      <c r="L522" s="657"/>
    </row>
    <row r="523" spans="1:12">
      <c r="A523" s="658"/>
      <c r="B523" s="658"/>
      <c r="C523" s="658" t="s">
        <v>3869</v>
      </c>
      <c r="D523" s="658" t="s">
        <v>3861</v>
      </c>
      <c r="E523" s="658" t="s">
        <v>239</v>
      </c>
      <c r="F523" s="653"/>
      <c r="G523" s="654"/>
      <c r="H523" s="657">
        <v>150</v>
      </c>
      <c r="I523" s="657">
        <f t="shared" ref="I523" si="445">H523</f>
        <v>150</v>
      </c>
      <c r="J523" s="657"/>
      <c r="K523" s="657">
        <v>150</v>
      </c>
      <c r="L523" s="657">
        <f t="shared" ref="L523" si="446">K523-I523</f>
        <v>0</v>
      </c>
    </row>
    <row r="524" spans="1:12">
      <c r="A524" s="658"/>
      <c r="B524" s="658"/>
      <c r="C524" s="658"/>
      <c r="D524" s="658"/>
      <c r="E524" s="658"/>
      <c r="F524" s="655"/>
      <c r="G524" s="656"/>
      <c r="H524" s="657"/>
      <c r="I524" s="657"/>
      <c r="J524" s="657"/>
      <c r="K524" s="657"/>
      <c r="L524" s="657"/>
    </row>
    <row r="525" spans="1:12">
      <c r="A525" s="658" t="s">
        <v>279</v>
      </c>
      <c r="B525" s="658" t="s">
        <v>3601</v>
      </c>
      <c r="C525" s="658" t="s">
        <v>3865</v>
      </c>
      <c r="D525" s="674" t="s">
        <v>3859</v>
      </c>
      <c r="E525" s="658" t="s">
        <v>239</v>
      </c>
      <c r="F525" s="653"/>
      <c r="G525" s="654"/>
      <c r="H525" s="657">
        <v>40924</v>
      </c>
      <c r="I525" s="657">
        <v>1350</v>
      </c>
      <c r="J525" s="657"/>
      <c r="K525" s="657">
        <v>1350</v>
      </c>
      <c r="L525" s="657">
        <f t="shared" ref="L525" si="447">K525-I525</f>
        <v>0</v>
      </c>
    </row>
    <row r="526" spans="1:12">
      <c r="A526" s="658"/>
      <c r="B526" s="658"/>
      <c r="C526" s="658"/>
      <c r="D526" s="674"/>
      <c r="E526" s="658"/>
      <c r="F526" s="655"/>
      <c r="G526" s="656"/>
      <c r="H526" s="657"/>
      <c r="I526" s="657"/>
      <c r="J526" s="657"/>
      <c r="K526" s="657"/>
      <c r="L526" s="657"/>
    </row>
    <row r="527" spans="1:12">
      <c r="A527" s="658"/>
      <c r="B527" s="658"/>
      <c r="C527" s="658" t="s">
        <v>676</v>
      </c>
      <c r="D527" s="658" t="s">
        <v>3868</v>
      </c>
      <c r="E527" s="658" t="s">
        <v>3862</v>
      </c>
      <c r="F527" s="653"/>
      <c r="G527" s="654"/>
      <c r="H527" s="657">
        <v>450</v>
      </c>
      <c r="I527" s="657">
        <f t="shared" ref="I527" si="448">H527</f>
        <v>450</v>
      </c>
      <c r="J527" s="657"/>
      <c r="K527" s="657">
        <v>450</v>
      </c>
      <c r="L527" s="657">
        <f t="shared" ref="L527" si="449">K527-I527</f>
        <v>0</v>
      </c>
    </row>
    <row r="528" spans="1:12">
      <c r="A528" s="658"/>
      <c r="B528" s="658"/>
      <c r="C528" s="658"/>
      <c r="D528" s="658"/>
      <c r="E528" s="658"/>
      <c r="F528" s="655"/>
      <c r="G528" s="656"/>
      <c r="H528" s="657"/>
      <c r="I528" s="657"/>
      <c r="J528" s="657"/>
      <c r="K528" s="657"/>
      <c r="L528" s="657"/>
    </row>
    <row r="529" spans="1:17">
      <c r="A529" s="658" t="s">
        <v>286</v>
      </c>
      <c r="B529" s="658" t="s">
        <v>3298</v>
      </c>
      <c r="C529" s="658" t="s">
        <v>3871</v>
      </c>
      <c r="D529" s="658" t="s">
        <v>3861</v>
      </c>
      <c r="E529" s="658" t="s">
        <v>239</v>
      </c>
      <c r="F529" s="653"/>
      <c r="G529" s="654"/>
      <c r="H529" s="657">
        <v>1470</v>
      </c>
      <c r="I529" s="657">
        <f t="shared" ref="I529" si="450">H529</f>
        <v>1470</v>
      </c>
      <c r="J529" s="657"/>
      <c r="K529" s="657">
        <v>1470</v>
      </c>
      <c r="L529" s="657">
        <f t="shared" ref="L529" si="451">K529-I529</f>
        <v>0</v>
      </c>
    </row>
    <row r="530" spans="1:17">
      <c r="A530" s="658"/>
      <c r="B530" s="658"/>
      <c r="C530" s="658"/>
      <c r="D530" s="658"/>
      <c r="E530" s="658"/>
      <c r="F530" s="655"/>
      <c r="G530" s="656"/>
      <c r="H530" s="657"/>
      <c r="I530" s="657"/>
      <c r="J530" s="657"/>
      <c r="K530" s="657"/>
      <c r="L530" s="657"/>
    </row>
    <row r="531" spans="1:17">
      <c r="A531" s="658"/>
      <c r="B531" s="658"/>
      <c r="C531" s="658" t="s">
        <v>679</v>
      </c>
      <c r="D531" s="658" t="s">
        <v>3870</v>
      </c>
      <c r="E531" s="658" t="s">
        <v>2723</v>
      </c>
      <c r="F531" s="653"/>
      <c r="G531" s="654"/>
      <c r="H531" s="657">
        <v>675</v>
      </c>
      <c r="I531" s="657">
        <f t="shared" ref="I531" si="452">H531</f>
        <v>675</v>
      </c>
      <c r="J531" s="657"/>
      <c r="K531" s="657">
        <v>675</v>
      </c>
      <c r="L531" s="657">
        <f t="shared" ref="L531" si="453">K531-I531</f>
        <v>0</v>
      </c>
    </row>
    <row r="532" spans="1:17">
      <c r="A532" s="658"/>
      <c r="B532" s="658"/>
      <c r="C532" s="658"/>
      <c r="D532" s="658"/>
      <c r="E532" s="658"/>
      <c r="F532" s="655"/>
      <c r="G532" s="656"/>
      <c r="H532" s="657"/>
      <c r="I532" s="657"/>
      <c r="J532" s="657"/>
      <c r="K532" s="657"/>
      <c r="L532" s="657"/>
    </row>
    <row r="533" spans="1:17">
      <c r="A533" s="658"/>
      <c r="B533" s="658"/>
      <c r="C533" s="658" t="s">
        <v>681</v>
      </c>
      <c r="D533" s="658" t="s">
        <v>3870</v>
      </c>
      <c r="E533" s="658" t="s">
        <v>2723</v>
      </c>
      <c r="F533" s="653"/>
      <c r="G533" s="654"/>
      <c r="H533" s="657">
        <v>470</v>
      </c>
      <c r="I533" s="657">
        <f t="shared" ref="I533" si="454">H533</f>
        <v>470</v>
      </c>
      <c r="J533" s="657"/>
      <c r="K533" s="657">
        <v>470</v>
      </c>
      <c r="L533" s="657">
        <f t="shared" ref="L533" si="455">K533-I533</f>
        <v>0</v>
      </c>
      <c r="Q533" t="s">
        <v>3929</v>
      </c>
    </row>
    <row r="534" spans="1:17">
      <c r="A534" s="658"/>
      <c r="B534" s="658"/>
      <c r="C534" s="658"/>
      <c r="D534" s="658"/>
      <c r="E534" s="658"/>
      <c r="F534" s="655"/>
      <c r="G534" s="656"/>
      <c r="H534" s="657"/>
      <c r="I534" s="657"/>
      <c r="J534" s="657"/>
      <c r="K534" s="657"/>
      <c r="L534" s="657"/>
    </row>
    <row r="535" spans="1:17">
      <c r="A535" s="658" t="s">
        <v>287</v>
      </c>
      <c r="B535" s="658" t="s">
        <v>3008</v>
      </c>
      <c r="C535" s="658" t="s">
        <v>3874</v>
      </c>
      <c r="D535" s="658" t="s">
        <v>3873</v>
      </c>
      <c r="E535" s="658" t="s">
        <v>1873</v>
      </c>
      <c r="F535" s="653"/>
      <c r="G535" s="654"/>
      <c r="H535" s="657">
        <v>46441</v>
      </c>
      <c r="I535" s="657">
        <v>1530</v>
      </c>
      <c r="J535" s="657"/>
      <c r="K535" s="657">
        <v>46441</v>
      </c>
      <c r="L535" s="657">
        <f t="shared" ref="L535" si="456">K535-I535</f>
        <v>44911</v>
      </c>
    </row>
    <row r="536" spans="1:17">
      <c r="A536" s="658"/>
      <c r="B536" s="658"/>
      <c r="C536" s="658"/>
      <c r="D536" s="658"/>
      <c r="E536" s="658"/>
      <c r="F536" s="655"/>
      <c r="G536" s="656"/>
      <c r="H536" s="657"/>
      <c r="I536" s="657"/>
      <c r="J536" s="657"/>
      <c r="K536" s="657"/>
      <c r="L536" s="657"/>
    </row>
    <row r="537" spans="1:17">
      <c r="A537" s="658"/>
      <c r="B537" s="658"/>
      <c r="C537" s="658" t="s">
        <v>682</v>
      </c>
      <c r="D537" s="658" t="s">
        <v>3872</v>
      </c>
      <c r="E537" s="658" t="s">
        <v>3025</v>
      </c>
      <c r="F537" s="653"/>
      <c r="G537" s="654"/>
      <c r="H537" s="657">
        <v>94</v>
      </c>
      <c r="I537" s="657">
        <f t="shared" ref="I537" si="457">H537</f>
        <v>94</v>
      </c>
      <c r="J537" s="657"/>
      <c r="K537" s="657">
        <v>94</v>
      </c>
      <c r="L537" s="657">
        <f t="shared" ref="L537" si="458">K537-I537</f>
        <v>0</v>
      </c>
    </row>
    <row r="538" spans="1:17">
      <c r="A538" s="658"/>
      <c r="B538" s="658"/>
      <c r="C538" s="658"/>
      <c r="D538" s="658"/>
      <c r="E538" s="658"/>
      <c r="F538" s="655"/>
      <c r="G538" s="656"/>
      <c r="H538" s="657"/>
      <c r="I538" s="657"/>
      <c r="J538" s="657"/>
      <c r="K538" s="657"/>
      <c r="L538" s="657"/>
    </row>
    <row r="539" spans="1:17">
      <c r="A539" s="658"/>
      <c r="B539" s="658"/>
      <c r="C539" s="658" t="s">
        <v>694</v>
      </c>
      <c r="D539" s="658" t="s">
        <v>3872</v>
      </c>
      <c r="E539" s="658" t="s">
        <v>2376</v>
      </c>
      <c r="F539" s="653"/>
      <c r="G539" s="654"/>
      <c r="H539" s="657">
        <v>60</v>
      </c>
      <c r="I539" s="657">
        <f t="shared" ref="I539" si="459">H539</f>
        <v>60</v>
      </c>
      <c r="J539" s="657"/>
      <c r="K539" s="657">
        <v>60</v>
      </c>
      <c r="L539" s="657">
        <f t="shared" ref="L539" si="460">K539-I539</f>
        <v>0</v>
      </c>
    </row>
    <row r="540" spans="1:17">
      <c r="A540" s="658"/>
      <c r="B540" s="658"/>
      <c r="C540" s="658"/>
      <c r="D540" s="658"/>
      <c r="E540" s="658"/>
      <c r="F540" s="655"/>
      <c r="G540" s="656"/>
      <c r="H540" s="657"/>
      <c r="I540" s="657"/>
      <c r="J540" s="657"/>
      <c r="K540" s="657"/>
      <c r="L540" s="657"/>
    </row>
    <row r="541" spans="1:17">
      <c r="A541" s="658"/>
      <c r="B541" s="658"/>
      <c r="C541" s="658" t="s">
        <v>683</v>
      </c>
      <c r="D541" s="658" t="s">
        <v>3872</v>
      </c>
      <c r="E541" s="658" t="s">
        <v>3309</v>
      </c>
      <c r="F541" s="653"/>
      <c r="G541" s="654"/>
      <c r="H541" s="657">
        <v>420</v>
      </c>
      <c r="I541" s="657">
        <f t="shared" ref="I541" si="461">H541</f>
        <v>420</v>
      </c>
      <c r="J541" s="657"/>
      <c r="K541" s="657">
        <v>420</v>
      </c>
      <c r="L541" s="657">
        <f t="shared" ref="L541" si="462">K541-I541</f>
        <v>0</v>
      </c>
    </row>
    <row r="542" spans="1:17">
      <c r="A542" s="658"/>
      <c r="B542" s="658"/>
      <c r="C542" s="658"/>
      <c r="D542" s="658"/>
      <c r="E542" s="658"/>
      <c r="F542" s="655"/>
      <c r="G542" s="656"/>
      <c r="H542" s="657"/>
      <c r="I542" s="657"/>
      <c r="J542" s="657"/>
      <c r="K542" s="657"/>
      <c r="L542" s="657"/>
    </row>
    <row r="543" spans="1:17">
      <c r="A543" s="658" t="s">
        <v>290</v>
      </c>
      <c r="B543" s="658" t="s">
        <v>3601</v>
      </c>
      <c r="C543" s="658" t="s">
        <v>3875</v>
      </c>
      <c r="D543" s="658" t="s">
        <v>3873</v>
      </c>
      <c r="E543" s="658" t="s">
        <v>1873</v>
      </c>
      <c r="F543" s="653"/>
      <c r="G543" s="654"/>
      <c r="H543" s="657">
        <v>1470</v>
      </c>
      <c r="I543" s="657">
        <f t="shared" ref="I543" si="463">H543</f>
        <v>1470</v>
      </c>
      <c r="J543" s="657"/>
      <c r="K543" s="657">
        <v>1470</v>
      </c>
      <c r="L543" s="657">
        <f t="shared" ref="L543" si="464">K543-I543</f>
        <v>0</v>
      </c>
    </row>
    <row r="544" spans="1:17">
      <c r="A544" s="658"/>
      <c r="B544" s="658"/>
      <c r="C544" s="658"/>
      <c r="D544" s="658"/>
      <c r="E544" s="658"/>
      <c r="F544" s="655"/>
      <c r="G544" s="656"/>
      <c r="H544" s="657"/>
      <c r="I544" s="657"/>
      <c r="J544" s="657"/>
      <c r="K544" s="657"/>
      <c r="L544" s="657"/>
    </row>
    <row r="545" spans="1:12">
      <c r="A545" s="658"/>
      <c r="B545" s="658"/>
      <c r="C545" s="658" t="s">
        <v>693</v>
      </c>
      <c r="D545" s="658" t="s">
        <v>3872</v>
      </c>
      <c r="E545" s="658" t="s">
        <v>3226</v>
      </c>
      <c r="F545" s="653"/>
      <c r="G545" s="654"/>
      <c r="H545" s="657">
        <v>430</v>
      </c>
      <c r="I545" s="657">
        <f t="shared" ref="I545" si="465">H545</f>
        <v>430</v>
      </c>
      <c r="J545" s="657"/>
      <c r="K545" s="657">
        <v>430</v>
      </c>
      <c r="L545" s="657">
        <f t="shared" ref="L545" si="466">K545-I545</f>
        <v>0</v>
      </c>
    </row>
    <row r="546" spans="1:12">
      <c r="A546" s="658"/>
      <c r="B546" s="658"/>
      <c r="C546" s="658"/>
      <c r="D546" s="658"/>
      <c r="E546" s="658"/>
      <c r="F546" s="655"/>
      <c r="G546" s="656"/>
      <c r="H546" s="657"/>
      <c r="I546" s="657"/>
      <c r="J546" s="657"/>
      <c r="K546" s="657"/>
      <c r="L546" s="657"/>
    </row>
    <row r="547" spans="1:12">
      <c r="A547" s="658" t="s">
        <v>292</v>
      </c>
      <c r="B547" s="658" t="s">
        <v>3839</v>
      </c>
      <c r="C547" s="658" t="s">
        <v>721</v>
      </c>
      <c r="D547" s="658" t="s">
        <v>3897</v>
      </c>
      <c r="E547" s="658" t="s">
        <v>3836</v>
      </c>
      <c r="F547" s="653"/>
      <c r="G547" s="654"/>
      <c r="H547" s="657" t="s">
        <v>3898</v>
      </c>
      <c r="I547" s="657">
        <v>200</v>
      </c>
      <c r="J547" s="657" t="s">
        <v>3838</v>
      </c>
      <c r="K547" s="657"/>
      <c r="L547" s="657">
        <f t="shared" ref="L547" si="467">K547-I547</f>
        <v>-200</v>
      </c>
    </row>
    <row r="548" spans="1:12">
      <c r="A548" s="658"/>
      <c r="B548" s="658"/>
      <c r="C548" s="658"/>
      <c r="D548" s="658"/>
      <c r="E548" s="658"/>
      <c r="F548" s="655"/>
      <c r="G548" s="656"/>
      <c r="H548" s="657"/>
      <c r="I548" s="657"/>
      <c r="J548" s="657"/>
      <c r="K548" s="657"/>
      <c r="L548" s="657"/>
    </row>
    <row r="549" spans="1:12">
      <c r="A549" s="658" t="s">
        <v>293</v>
      </c>
      <c r="B549" s="658" t="s">
        <v>3281</v>
      </c>
      <c r="C549" s="658" t="s">
        <v>3891</v>
      </c>
      <c r="D549" s="658" t="s">
        <v>3890</v>
      </c>
      <c r="E549" s="658" t="s">
        <v>239</v>
      </c>
      <c r="F549" s="653"/>
      <c r="G549" s="654"/>
      <c r="H549" s="657">
        <v>1470</v>
      </c>
      <c r="I549" s="657">
        <f t="shared" ref="I549" si="468">H549</f>
        <v>1470</v>
      </c>
      <c r="J549" s="657"/>
      <c r="K549" s="657">
        <v>1470</v>
      </c>
      <c r="L549" s="657">
        <f t="shared" ref="L549" si="469">K549-I549</f>
        <v>0</v>
      </c>
    </row>
    <row r="550" spans="1:12">
      <c r="A550" s="658"/>
      <c r="B550" s="658"/>
      <c r="C550" s="658"/>
      <c r="D550" s="658"/>
      <c r="E550" s="658"/>
      <c r="F550" s="655"/>
      <c r="G550" s="656"/>
      <c r="H550" s="657"/>
      <c r="I550" s="657"/>
      <c r="J550" s="657"/>
      <c r="K550" s="657"/>
      <c r="L550" s="657"/>
    </row>
    <row r="551" spans="1:12">
      <c r="A551" s="658"/>
      <c r="B551" s="658"/>
      <c r="C551" s="658" t="s">
        <v>700</v>
      </c>
      <c r="D551" s="658" t="s">
        <v>3887</v>
      </c>
      <c r="E551" s="658" t="s">
        <v>3812</v>
      </c>
      <c r="F551" s="653"/>
      <c r="G551" s="654"/>
      <c r="H551" s="657">
        <v>15000</v>
      </c>
      <c r="I551" s="657">
        <v>492</v>
      </c>
      <c r="J551" s="657"/>
      <c r="K551" s="657">
        <v>492</v>
      </c>
      <c r="L551" s="657">
        <f t="shared" ref="L551" si="470">K551-I551</f>
        <v>0</v>
      </c>
    </row>
    <row r="552" spans="1:12">
      <c r="A552" s="658"/>
      <c r="B552" s="658"/>
      <c r="C552" s="658"/>
      <c r="D552" s="658"/>
      <c r="E552" s="658"/>
      <c r="F552" s="655"/>
      <c r="G552" s="656"/>
      <c r="H552" s="657"/>
      <c r="I552" s="657"/>
      <c r="J552" s="657"/>
      <c r="K552" s="657"/>
      <c r="L552" s="657"/>
    </row>
    <row r="553" spans="1:12">
      <c r="A553" s="658"/>
      <c r="B553" s="658"/>
      <c r="C553" s="658" t="s">
        <v>701</v>
      </c>
      <c r="D553" s="658" t="s">
        <v>3887</v>
      </c>
      <c r="E553" s="658" t="s">
        <v>2723</v>
      </c>
      <c r="F553" s="653"/>
      <c r="G553" s="654"/>
      <c r="H553" s="657">
        <v>110</v>
      </c>
      <c r="I553" s="657">
        <f t="shared" ref="I553" si="471">H553</f>
        <v>110</v>
      </c>
      <c r="J553" s="657"/>
      <c r="K553" s="657">
        <v>110</v>
      </c>
      <c r="L553" s="657">
        <f t="shared" ref="L553" si="472">K553-I553</f>
        <v>0</v>
      </c>
    </row>
    <row r="554" spans="1:12">
      <c r="A554" s="658"/>
      <c r="B554" s="658"/>
      <c r="C554" s="658"/>
      <c r="D554" s="658"/>
      <c r="E554" s="658"/>
      <c r="F554" s="655"/>
      <c r="G554" s="656"/>
      <c r="H554" s="657"/>
      <c r="I554" s="657"/>
      <c r="J554" s="657"/>
      <c r="K554" s="657"/>
      <c r="L554" s="657"/>
    </row>
    <row r="555" spans="1:12">
      <c r="A555" s="658"/>
      <c r="B555" s="658"/>
      <c r="C555" s="658" t="s">
        <v>702</v>
      </c>
      <c r="D555" s="658" t="s">
        <v>3887</v>
      </c>
      <c r="E555" s="658" t="s">
        <v>2780</v>
      </c>
      <c r="F555" s="653"/>
      <c r="G555" s="654"/>
      <c r="H555" s="657">
        <v>500</v>
      </c>
      <c r="I555" s="657">
        <f t="shared" ref="I555" si="473">H555</f>
        <v>500</v>
      </c>
      <c r="J555" s="657"/>
      <c r="K555" s="657">
        <v>500</v>
      </c>
      <c r="L555" s="657">
        <f t="shared" ref="L555" si="474">K555-I555</f>
        <v>0</v>
      </c>
    </row>
    <row r="556" spans="1:12">
      <c r="A556" s="658"/>
      <c r="B556" s="658"/>
      <c r="C556" s="658"/>
      <c r="D556" s="658"/>
      <c r="E556" s="658"/>
      <c r="F556" s="655"/>
      <c r="G556" s="656"/>
      <c r="H556" s="657"/>
      <c r="I556" s="657"/>
      <c r="J556" s="657"/>
      <c r="K556" s="657"/>
      <c r="L556" s="657"/>
    </row>
    <row r="557" spans="1:12">
      <c r="A557" s="658" t="s">
        <v>294</v>
      </c>
      <c r="B557" s="658" t="s">
        <v>3298</v>
      </c>
      <c r="C557" s="658" t="s">
        <v>3892</v>
      </c>
      <c r="D557" s="658" t="s">
        <v>3890</v>
      </c>
      <c r="E557" s="658" t="s">
        <v>239</v>
      </c>
      <c r="F557" s="653"/>
      <c r="G557" s="654"/>
      <c r="H557" s="657">
        <v>44754</v>
      </c>
      <c r="I557" s="657">
        <v>1470</v>
      </c>
      <c r="J557" s="657"/>
      <c r="K557" s="657">
        <v>1470</v>
      </c>
      <c r="L557" s="657">
        <f t="shared" ref="L557" si="475">K557-I557</f>
        <v>0</v>
      </c>
    </row>
    <row r="558" spans="1:12">
      <c r="A558" s="658"/>
      <c r="B558" s="658"/>
      <c r="C558" s="658"/>
      <c r="D558" s="658"/>
      <c r="E558" s="658"/>
      <c r="F558" s="655"/>
      <c r="G558" s="656"/>
      <c r="H558" s="657"/>
      <c r="I558" s="657"/>
      <c r="J558" s="657"/>
      <c r="K558" s="657"/>
      <c r="L558" s="657"/>
    </row>
    <row r="559" spans="1:12">
      <c r="A559" s="658"/>
      <c r="B559" s="658"/>
      <c r="C559" s="658" t="s">
        <v>704</v>
      </c>
      <c r="D559" s="658" t="s">
        <v>3887</v>
      </c>
      <c r="E559" s="658" t="s">
        <v>2780</v>
      </c>
      <c r="F559" s="653"/>
      <c r="G559" s="654"/>
      <c r="H559" s="657">
        <v>480</v>
      </c>
      <c r="I559" s="657">
        <f t="shared" ref="I559" si="476">H559</f>
        <v>480</v>
      </c>
      <c r="J559" s="657"/>
      <c r="K559" s="657">
        <v>480</v>
      </c>
      <c r="L559" s="657">
        <f t="shared" ref="L559" si="477">K559-I559</f>
        <v>0</v>
      </c>
    </row>
    <row r="560" spans="1:12">
      <c r="A560" s="658"/>
      <c r="B560" s="658"/>
      <c r="C560" s="658"/>
      <c r="D560" s="658"/>
      <c r="E560" s="658"/>
      <c r="F560" s="655"/>
      <c r="G560" s="656"/>
      <c r="H560" s="657"/>
      <c r="I560" s="657"/>
      <c r="J560" s="657"/>
      <c r="K560" s="657"/>
      <c r="L560" s="657"/>
    </row>
    <row r="561" spans="1:12">
      <c r="A561" s="658"/>
      <c r="B561" s="658"/>
      <c r="C561" s="658" t="s">
        <v>708</v>
      </c>
      <c r="D561" s="658" t="s">
        <v>3887</v>
      </c>
      <c r="E561" s="658" t="s">
        <v>3884</v>
      </c>
      <c r="F561" s="653"/>
      <c r="G561" s="654"/>
      <c r="H561" s="657">
        <v>380</v>
      </c>
      <c r="I561" s="657">
        <f t="shared" ref="I561" si="478">H561</f>
        <v>380</v>
      </c>
      <c r="J561" s="657"/>
      <c r="K561" s="657">
        <v>380</v>
      </c>
      <c r="L561" s="657">
        <f t="shared" ref="L561" si="479">K561-I561</f>
        <v>0</v>
      </c>
    </row>
    <row r="562" spans="1:12">
      <c r="A562" s="658"/>
      <c r="B562" s="658"/>
      <c r="C562" s="658"/>
      <c r="D562" s="658"/>
      <c r="E562" s="658"/>
      <c r="F562" s="655"/>
      <c r="G562" s="656"/>
      <c r="H562" s="657"/>
      <c r="I562" s="657"/>
      <c r="J562" s="657"/>
      <c r="K562" s="657"/>
      <c r="L562" s="657"/>
    </row>
    <row r="563" spans="1:12">
      <c r="A563" s="658" t="s">
        <v>295</v>
      </c>
      <c r="B563" s="658" t="s">
        <v>3008</v>
      </c>
      <c r="C563" s="658" t="s">
        <v>3894</v>
      </c>
      <c r="D563" s="658" t="s">
        <v>3893</v>
      </c>
      <c r="E563" s="658" t="s">
        <v>239</v>
      </c>
      <c r="F563" s="653"/>
      <c r="G563" s="654"/>
      <c r="H563" s="657">
        <v>1470</v>
      </c>
      <c r="I563" s="657">
        <f t="shared" ref="I563" si="480">H563</f>
        <v>1470</v>
      </c>
      <c r="J563" s="657"/>
      <c r="K563" s="657">
        <v>1470</v>
      </c>
      <c r="L563" s="657">
        <f t="shared" ref="L563" si="481">K563-I563</f>
        <v>0</v>
      </c>
    </row>
    <row r="564" spans="1:12">
      <c r="A564" s="658"/>
      <c r="B564" s="658"/>
      <c r="C564" s="658"/>
      <c r="D564" s="658"/>
      <c r="E564" s="658"/>
      <c r="F564" s="655"/>
      <c r="G564" s="656"/>
      <c r="H564" s="657"/>
      <c r="I564" s="657"/>
      <c r="J564" s="657"/>
      <c r="K564" s="657"/>
      <c r="L564" s="657"/>
    </row>
    <row r="565" spans="1:12">
      <c r="A565" s="658"/>
      <c r="B565" s="658"/>
      <c r="C565" s="658" t="s">
        <v>709</v>
      </c>
      <c r="D565" s="658" t="s">
        <v>3889</v>
      </c>
      <c r="E565" s="658" t="s">
        <v>2723</v>
      </c>
      <c r="F565" s="653"/>
      <c r="G565" s="654"/>
      <c r="H565" s="657">
        <v>470</v>
      </c>
      <c r="I565" s="657">
        <f t="shared" ref="I565" si="482">H565</f>
        <v>470</v>
      </c>
      <c r="J565" s="657"/>
      <c r="K565" s="657">
        <v>470</v>
      </c>
      <c r="L565" s="657">
        <f t="shared" ref="L565" si="483">K565-I565</f>
        <v>0</v>
      </c>
    </row>
    <row r="566" spans="1:12">
      <c r="A566" s="658"/>
      <c r="B566" s="658"/>
      <c r="C566" s="658"/>
      <c r="D566" s="658"/>
      <c r="E566" s="658"/>
      <c r="F566" s="655"/>
      <c r="G566" s="656"/>
      <c r="H566" s="657"/>
      <c r="I566" s="657"/>
      <c r="J566" s="657"/>
      <c r="K566" s="657"/>
      <c r="L566" s="657"/>
    </row>
    <row r="567" spans="1:12">
      <c r="A567" s="658"/>
      <c r="B567" s="658"/>
      <c r="C567" s="658" t="s">
        <v>710</v>
      </c>
      <c r="D567" s="658" t="s">
        <v>3889</v>
      </c>
      <c r="E567" s="658" t="s">
        <v>3885</v>
      </c>
      <c r="F567" s="653"/>
      <c r="G567" s="654"/>
      <c r="H567" s="657">
        <v>420</v>
      </c>
      <c r="I567" s="657">
        <f t="shared" ref="I567" si="484">H567</f>
        <v>420</v>
      </c>
      <c r="J567" s="657"/>
      <c r="K567" s="657">
        <v>420</v>
      </c>
      <c r="L567" s="657">
        <f t="shared" ref="L567" si="485">K567-I567</f>
        <v>0</v>
      </c>
    </row>
    <row r="568" spans="1:12">
      <c r="A568" s="658"/>
      <c r="B568" s="658"/>
      <c r="C568" s="658"/>
      <c r="D568" s="658"/>
      <c r="E568" s="658"/>
      <c r="F568" s="655"/>
      <c r="G568" s="656"/>
      <c r="H568" s="657"/>
      <c r="I568" s="657"/>
      <c r="J568" s="657"/>
      <c r="K568" s="657"/>
      <c r="L568" s="657"/>
    </row>
    <row r="569" spans="1:12">
      <c r="A569" s="658"/>
      <c r="B569" s="658"/>
      <c r="C569" s="658" t="s">
        <v>711</v>
      </c>
      <c r="D569" s="658" t="s">
        <v>3889</v>
      </c>
      <c r="E569" s="658" t="s">
        <v>3025</v>
      </c>
      <c r="F569" s="653"/>
      <c r="G569" s="654"/>
      <c r="H569" s="657">
        <v>94</v>
      </c>
      <c r="I569" s="657">
        <f t="shared" ref="I569" si="486">H569</f>
        <v>94</v>
      </c>
      <c r="J569" s="657"/>
      <c r="K569" s="657">
        <v>94</v>
      </c>
      <c r="L569" s="657">
        <f t="shared" ref="L569" si="487">K569-I569</f>
        <v>0</v>
      </c>
    </row>
    <row r="570" spans="1:12">
      <c r="A570" s="658"/>
      <c r="B570" s="658"/>
      <c r="C570" s="658"/>
      <c r="D570" s="658"/>
      <c r="E570" s="658"/>
      <c r="F570" s="655"/>
      <c r="G570" s="656"/>
      <c r="H570" s="657"/>
      <c r="I570" s="657"/>
      <c r="J570" s="657"/>
      <c r="K570" s="657"/>
      <c r="L570" s="657"/>
    </row>
    <row r="571" spans="1:12">
      <c r="A571" s="658" t="s">
        <v>296</v>
      </c>
      <c r="B571" s="658" t="s">
        <v>3601</v>
      </c>
      <c r="C571" s="658" t="s">
        <v>3896</v>
      </c>
      <c r="D571" s="658" t="s">
        <v>3895</v>
      </c>
      <c r="E571" s="658" t="s">
        <v>239</v>
      </c>
      <c r="F571" s="653"/>
      <c r="G571" s="654"/>
      <c r="H571" s="657">
        <v>44641</v>
      </c>
      <c r="I571" s="657">
        <v>1470</v>
      </c>
      <c r="J571" s="657"/>
      <c r="K571" s="657">
        <v>1470</v>
      </c>
      <c r="L571" s="657">
        <f t="shared" ref="L571" si="488">K571-I571</f>
        <v>0</v>
      </c>
    </row>
    <row r="572" spans="1:12">
      <c r="A572" s="658"/>
      <c r="B572" s="658"/>
      <c r="C572" s="658"/>
      <c r="D572" s="658"/>
      <c r="E572" s="658"/>
      <c r="F572" s="655"/>
      <c r="G572" s="656"/>
      <c r="H572" s="657"/>
      <c r="I572" s="657"/>
      <c r="J572" s="657"/>
      <c r="K572" s="657"/>
      <c r="L572" s="657"/>
    </row>
    <row r="573" spans="1:12">
      <c r="A573" s="658"/>
      <c r="B573" s="658"/>
      <c r="C573" s="658" t="s">
        <v>716</v>
      </c>
      <c r="D573" s="658" t="s">
        <v>3889</v>
      </c>
      <c r="E573" s="658" t="s">
        <v>1140</v>
      </c>
      <c r="F573" s="653"/>
      <c r="G573" s="654"/>
      <c r="H573" s="657">
        <v>300</v>
      </c>
      <c r="I573" s="657">
        <f t="shared" ref="I573" si="489">H573</f>
        <v>300</v>
      </c>
      <c r="J573" s="657"/>
      <c r="K573" s="657">
        <v>300</v>
      </c>
      <c r="L573" s="657">
        <f t="shared" ref="L573" si="490">K573-I573</f>
        <v>0</v>
      </c>
    </row>
    <row r="574" spans="1:12">
      <c r="A574" s="658"/>
      <c r="B574" s="658"/>
      <c r="C574" s="658"/>
      <c r="D574" s="658"/>
      <c r="E574" s="658"/>
      <c r="F574" s="655"/>
      <c r="G574" s="656"/>
      <c r="H574" s="657"/>
      <c r="I574" s="657"/>
      <c r="J574" s="657"/>
      <c r="K574" s="657"/>
      <c r="L574" s="657"/>
    </row>
    <row r="575" spans="1:12">
      <c r="A575" s="658"/>
      <c r="B575" s="658"/>
      <c r="C575" s="658" t="s">
        <v>717</v>
      </c>
      <c r="D575" s="658" t="s">
        <v>3889</v>
      </c>
      <c r="E575" s="658" t="s">
        <v>2517</v>
      </c>
      <c r="F575" s="653"/>
      <c r="G575" s="654"/>
      <c r="H575" s="657">
        <v>274</v>
      </c>
      <c r="I575" s="657">
        <f t="shared" ref="I575" si="491">H575</f>
        <v>274</v>
      </c>
      <c r="J575" s="657"/>
      <c r="K575" s="657">
        <v>274</v>
      </c>
      <c r="L575" s="657">
        <f t="shared" ref="L575" si="492">K575-I575</f>
        <v>0</v>
      </c>
    </row>
    <row r="576" spans="1:12">
      <c r="A576" s="658"/>
      <c r="B576" s="658"/>
      <c r="C576" s="658"/>
      <c r="D576" s="658"/>
      <c r="E576" s="658"/>
      <c r="F576" s="655"/>
      <c r="G576" s="656"/>
      <c r="H576" s="657"/>
      <c r="I576" s="657"/>
      <c r="J576" s="657"/>
      <c r="K576" s="657"/>
      <c r="L576" s="657"/>
    </row>
    <row r="577" spans="1:12">
      <c r="A577" s="658"/>
      <c r="B577" s="658"/>
      <c r="C577" s="658" t="s">
        <v>720</v>
      </c>
      <c r="D577" s="659" t="s">
        <v>3888</v>
      </c>
      <c r="E577" s="658" t="s">
        <v>3886</v>
      </c>
      <c r="F577" s="653"/>
      <c r="G577" s="654"/>
      <c r="H577" s="657">
        <v>570</v>
      </c>
      <c r="I577" s="657">
        <f t="shared" ref="I577" si="493">H577</f>
        <v>570</v>
      </c>
      <c r="J577" s="657"/>
      <c r="K577" s="657">
        <v>570</v>
      </c>
      <c r="L577" s="657">
        <f t="shared" ref="L577" si="494">K577-I577</f>
        <v>0</v>
      </c>
    </row>
    <row r="578" spans="1:12">
      <c r="A578" s="658"/>
      <c r="B578" s="658"/>
      <c r="C578" s="658"/>
      <c r="D578" s="660"/>
      <c r="E578" s="658"/>
      <c r="F578" s="655"/>
      <c r="G578" s="656"/>
      <c r="H578" s="657"/>
      <c r="I578" s="657"/>
      <c r="J578" s="657"/>
      <c r="K578" s="657"/>
      <c r="L578" s="657"/>
    </row>
    <row r="579" spans="1:12">
      <c r="A579" s="658" t="s">
        <v>311</v>
      </c>
      <c r="B579" s="658" t="s">
        <v>3298</v>
      </c>
      <c r="C579" s="658" t="s">
        <v>3904</v>
      </c>
      <c r="D579" s="658" t="s">
        <v>3889</v>
      </c>
      <c r="E579" s="658" t="s">
        <v>239</v>
      </c>
      <c r="F579" s="653"/>
      <c r="G579" s="654"/>
      <c r="H579" s="657">
        <v>44965</v>
      </c>
      <c r="I579" s="657">
        <v>1470</v>
      </c>
      <c r="J579" s="657"/>
      <c r="K579" s="657">
        <v>1470</v>
      </c>
      <c r="L579" s="657">
        <f t="shared" ref="L579" si="495">K579-I579</f>
        <v>0</v>
      </c>
    </row>
    <row r="580" spans="1:12">
      <c r="A580" s="658"/>
      <c r="B580" s="658"/>
      <c r="C580" s="658"/>
      <c r="D580" s="658"/>
      <c r="E580" s="658"/>
      <c r="F580" s="655"/>
      <c r="G580" s="656"/>
      <c r="H580" s="657"/>
      <c r="I580" s="657"/>
      <c r="J580" s="657"/>
      <c r="K580" s="657"/>
      <c r="L580" s="657"/>
    </row>
    <row r="581" spans="1:12">
      <c r="A581" s="658"/>
      <c r="B581" s="658"/>
      <c r="C581" s="658" t="s">
        <v>728</v>
      </c>
      <c r="D581" s="658" t="s">
        <v>3903</v>
      </c>
      <c r="E581" s="658" t="s">
        <v>2723</v>
      </c>
      <c r="F581" s="653"/>
      <c r="G581" s="654"/>
      <c r="H581" s="657">
        <v>400</v>
      </c>
      <c r="I581" s="657">
        <f t="shared" ref="I581" si="496">H581</f>
        <v>400</v>
      </c>
      <c r="J581" s="657"/>
      <c r="K581" s="657">
        <v>400</v>
      </c>
      <c r="L581" s="657">
        <f t="shared" ref="L581" si="497">K581-I581</f>
        <v>0</v>
      </c>
    </row>
    <row r="582" spans="1:12">
      <c r="A582" s="658"/>
      <c r="B582" s="658"/>
      <c r="C582" s="658"/>
      <c r="D582" s="658"/>
      <c r="E582" s="658"/>
      <c r="F582" s="655"/>
      <c r="G582" s="656"/>
      <c r="H582" s="657"/>
      <c r="I582" s="657"/>
      <c r="J582" s="657"/>
      <c r="K582" s="657"/>
      <c r="L582" s="657"/>
    </row>
    <row r="583" spans="1:12">
      <c r="A583" s="658"/>
      <c r="B583" s="658"/>
      <c r="C583" s="658" t="s">
        <v>732</v>
      </c>
      <c r="D583" s="658" t="s">
        <v>3903</v>
      </c>
      <c r="E583" s="658" t="s">
        <v>2723</v>
      </c>
      <c r="F583" s="653"/>
      <c r="G583" s="654"/>
      <c r="H583" s="657">
        <v>780</v>
      </c>
      <c r="I583" s="657">
        <f t="shared" ref="I583" si="498">H583</f>
        <v>780</v>
      </c>
      <c r="J583" s="657"/>
      <c r="K583" s="657">
        <v>780</v>
      </c>
      <c r="L583" s="657">
        <f t="shared" ref="L583" si="499">K583-I583</f>
        <v>0</v>
      </c>
    </row>
    <row r="584" spans="1:12">
      <c r="A584" s="658"/>
      <c r="B584" s="658"/>
      <c r="C584" s="658"/>
      <c r="D584" s="658"/>
      <c r="E584" s="658"/>
      <c r="F584" s="655"/>
      <c r="G584" s="656"/>
      <c r="H584" s="657"/>
      <c r="I584" s="657"/>
      <c r="J584" s="657"/>
      <c r="K584" s="657"/>
      <c r="L584" s="657"/>
    </row>
    <row r="585" spans="1:12">
      <c r="A585" s="658"/>
      <c r="B585" s="658"/>
      <c r="C585" s="658" t="s">
        <v>734</v>
      </c>
      <c r="D585" s="658" t="s">
        <v>3903</v>
      </c>
      <c r="E585" s="658" t="s">
        <v>2348</v>
      </c>
      <c r="F585" s="653"/>
      <c r="G585" s="654"/>
      <c r="H585" s="657">
        <v>50</v>
      </c>
      <c r="I585" s="657">
        <f t="shared" ref="I585" si="500">H585</f>
        <v>50</v>
      </c>
      <c r="J585" s="657"/>
      <c r="K585" s="657">
        <v>50</v>
      </c>
      <c r="L585" s="657">
        <f t="shared" ref="L585" si="501">K585-I585</f>
        <v>0</v>
      </c>
    </row>
    <row r="586" spans="1:12">
      <c r="A586" s="658"/>
      <c r="B586" s="658"/>
      <c r="C586" s="658"/>
      <c r="D586" s="658"/>
      <c r="E586" s="658"/>
      <c r="F586" s="655"/>
      <c r="G586" s="656"/>
      <c r="H586" s="657"/>
      <c r="I586" s="657"/>
      <c r="J586" s="657"/>
      <c r="K586" s="657"/>
      <c r="L586" s="657"/>
    </row>
    <row r="587" spans="1:12">
      <c r="A587" s="658"/>
      <c r="B587" s="658"/>
      <c r="C587" s="658" t="s">
        <v>3905</v>
      </c>
      <c r="D587" s="658" t="s">
        <v>3903</v>
      </c>
      <c r="E587" s="658" t="s">
        <v>239</v>
      </c>
      <c r="F587" s="653"/>
      <c r="G587" s="654"/>
      <c r="H587" s="657">
        <v>120</v>
      </c>
      <c r="I587" s="657">
        <f t="shared" ref="I587" si="502">H587</f>
        <v>120</v>
      </c>
      <c r="J587" s="657"/>
      <c r="K587" s="657">
        <v>120</v>
      </c>
      <c r="L587" s="657">
        <f t="shared" ref="L587" si="503">K587-I587</f>
        <v>0</v>
      </c>
    </row>
    <row r="588" spans="1:12">
      <c r="A588" s="658"/>
      <c r="B588" s="658"/>
      <c r="C588" s="658"/>
      <c r="D588" s="658"/>
      <c r="E588" s="658"/>
      <c r="F588" s="655"/>
      <c r="G588" s="656"/>
      <c r="H588" s="657"/>
      <c r="I588" s="657"/>
      <c r="J588" s="657"/>
      <c r="K588" s="657"/>
      <c r="L588" s="657"/>
    </row>
    <row r="589" spans="1:12">
      <c r="A589" s="658" t="s">
        <v>312</v>
      </c>
      <c r="B589" s="658" t="s">
        <v>3008</v>
      </c>
      <c r="C589" s="658" t="s">
        <v>3907</v>
      </c>
      <c r="D589" s="658" t="s">
        <v>3906</v>
      </c>
      <c r="E589" s="658" t="s">
        <v>239</v>
      </c>
      <c r="F589" s="653"/>
      <c r="G589" s="654"/>
      <c r="H589" s="657">
        <v>2080</v>
      </c>
      <c r="I589" s="657">
        <f t="shared" ref="I589" si="504">H589</f>
        <v>2080</v>
      </c>
      <c r="J589" s="657"/>
      <c r="K589" s="657">
        <v>2080</v>
      </c>
      <c r="L589" s="657">
        <f t="shared" ref="L589" si="505">K589-I589</f>
        <v>0</v>
      </c>
    </row>
    <row r="590" spans="1:12">
      <c r="A590" s="658"/>
      <c r="B590" s="658"/>
      <c r="C590" s="658"/>
      <c r="D590" s="658"/>
      <c r="E590" s="658"/>
      <c r="F590" s="655"/>
      <c r="G590" s="656"/>
      <c r="H590" s="657"/>
      <c r="I590" s="657"/>
      <c r="J590" s="657"/>
      <c r="K590" s="657"/>
      <c r="L590" s="657"/>
    </row>
    <row r="591" spans="1:12">
      <c r="A591" s="658"/>
      <c r="B591" s="658"/>
      <c r="C591" s="658" t="s">
        <v>741</v>
      </c>
      <c r="D591" s="658" t="s">
        <v>3902</v>
      </c>
      <c r="E591" s="658" t="s">
        <v>3309</v>
      </c>
      <c r="F591" s="653"/>
      <c r="G591" s="654"/>
      <c r="H591" s="657">
        <v>320</v>
      </c>
      <c r="I591" s="657">
        <f t="shared" ref="I591" si="506">H591</f>
        <v>320</v>
      </c>
      <c r="J591" s="657"/>
      <c r="K591" s="657">
        <v>320</v>
      </c>
      <c r="L591" s="657">
        <f t="shared" ref="L591" si="507">K591-I591</f>
        <v>0</v>
      </c>
    </row>
    <row r="592" spans="1:12">
      <c r="A592" s="658"/>
      <c r="B592" s="658"/>
      <c r="C592" s="658"/>
      <c r="D592" s="658"/>
      <c r="E592" s="658"/>
      <c r="F592" s="655"/>
      <c r="G592" s="656"/>
      <c r="H592" s="657"/>
      <c r="I592" s="657"/>
      <c r="J592" s="657"/>
      <c r="K592" s="657"/>
      <c r="L592" s="657"/>
    </row>
    <row r="593" spans="1:13">
      <c r="A593" s="658"/>
      <c r="B593" s="658"/>
      <c r="C593" s="658" t="s">
        <v>736</v>
      </c>
      <c r="D593" s="658" t="s">
        <v>3902</v>
      </c>
      <c r="E593" s="658" t="s">
        <v>3025</v>
      </c>
      <c r="F593" s="653"/>
      <c r="G593" s="654"/>
      <c r="H593" s="657">
        <v>96</v>
      </c>
      <c r="I593" s="657">
        <f t="shared" ref="I593" si="508">H593</f>
        <v>96</v>
      </c>
      <c r="J593" s="657"/>
      <c r="K593" s="657">
        <v>96</v>
      </c>
      <c r="L593" s="657">
        <f t="shared" ref="L593" si="509">K593-I593</f>
        <v>0</v>
      </c>
    </row>
    <row r="594" spans="1:13">
      <c r="A594" s="658"/>
      <c r="B594" s="658"/>
      <c r="C594" s="658"/>
      <c r="D594" s="658"/>
      <c r="E594" s="658"/>
      <c r="F594" s="655"/>
      <c r="G594" s="656"/>
      <c r="H594" s="657"/>
      <c r="I594" s="657"/>
      <c r="J594" s="657"/>
      <c r="K594" s="657"/>
      <c r="L594" s="657"/>
    </row>
    <row r="595" spans="1:13">
      <c r="A595" s="658" t="s">
        <v>315</v>
      </c>
      <c r="B595" s="658" t="s">
        <v>3601</v>
      </c>
      <c r="C595" s="658" t="s">
        <v>3908</v>
      </c>
      <c r="D595" s="658" t="s">
        <v>3900</v>
      </c>
      <c r="E595" s="658" t="s">
        <v>239</v>
      </c>
      <c r="F595" s="653"/>
      <c r="G595" s="654"/>
      <c r="H595" s="657">
        <v>45335</v>
      </c>
      <c r="I595" s="657">
        <v>1470</v>
      </c>
      <c r="J595" s="657"/>
      <c r="K595" s="657">
        <v>1470</v>
      </c>
      <c r="L595" s="657">
        <f t="shared" ref="L595" si="510">K595-I595</f>
        <v>0</v>
      </c>
    </row>
    <row r="596" spans="1:13">
      <c r="A596" s="658"/>
      <c r="B596" s="658"/>
      <c r="C596" s="658"/>
      <c r="D596" s="658"/>
      <c r="E596" s="658"/>
      <c r="F596" s="655"/>
      <c r="G596" s="656"/>
      <c r="H596" s="657"/>
      <c r="I596" s="657"/>
      <c r="J596" s="657"/>
      <c r="K596" s="657"/>
      <c r="L596" s="657"/>
    </row>
    <row r="597" spans="1:13">
      <c r="A597" s="658"/>
      <c r="B597" s="658"/>
      <c r="C597" s="658" t="s">
        <v>740</v>
      </c>
      <c r="D597" s="658" t="s">
        <v>3902</v>
      </c>
      <c r="E597" s="658" t="s">
        <v>1601</v>
      </c>
      <c r="F597" s="653"/>
      <c r="G597" s="654"/>
      <c r="H597" s="657">
        <v>1350</v>
      </c>
      <c r="I597" s="657">
        <f t="shared" ref="I597" si="511">H597</f>
        <v>1350</v>
      </c>
      <c r="J597" s="657"/>
      <c r="K597" s="657">
        <v>1350</v>
      </c>
      <c r="L597" s="657">
        <f t="shared" ref="L597" si="512">K597-I597</f>
        <v>0</v>
      </c>
    </row>
    <row r="598" spans="1:13">
      <c r="A598" s="658"/>
      <c r="B598" s="658"/>
      <c r="C598" s="658"/>
      <c r="D598" s="658"/>
      <c r="E598" s="658"/>
      <c r="F598" s="655"/>
      <c r="G598" s="656"/>
      <c r="H598" s="657"/>
      <c r="I598" s="657"/>
      <c r="J598" s="657"/>
      <c r="K598" s="657"/>
      <c r="L598" s="657"/>
    </row>
    <row r="599" spans="1:13">
      <c r="A599" s="658" t="s">
        <v>316</v>
      </c>
      <c r="B599" s="658" t="s">
        <v>3281</v>
      </c>
      <c r="C599" s="658" t="s">
        <v>722</v>
      </c>
      <c r="D599" s="658" t="s">
        <v>3900</v>
      </c>
      <c r="E599" s="658" t="s">
        <v>3901</v>
      </c>
      <c r="F599" s="653"/>
      <c r="G599" s="654"/>
      <c r="H599" s="657">
        <v>200</v>
      </c>
      <c r="I599" s="657">
        <v>240</v>
      </c>
      <c r="J599" s="657" t="s">
        <v>3838</v>
      </c>
      <c r="K599" s="657"/>
      <c r="L599" s="657">
        <f t="shared" ref="L599" si="513">K599-I599</f>
        <v>-240</v>
      </c>
      <c r="M599" t="s">
        <v>3981</v>
      </c>
    </row>
    <row r="600" spans="1:13">
      <c r="A600" s="658"/>
      <c r="B600" s="658"/>
      <c r="C600" s="658"/>
      <c r="D600" s="658"/>
      <c r="E600" s="658"/>
      <c r="F600" s="655"/>
      <c r="G600" s="656"/>
      <c r="H600" s="657"/>
      <c r="I600" s="657"/>
      <c r="J600" s="657"/>
      <c r="K600" s="657"/>
      <c r="L600" s="657"/>
    </row>
    <row r="601" spans="1:13">
      <c r="A601" s="658" t="s">
        <v>316</v>
      </c>
      <c r="B601" s="658" t="s">
        <v>3281</v>
      </c>
      <c r="C601" s="658" t="s">
        <v>3921</v>
      </c>
      <c r="D601" s="658" t="s">
        <v>3920</v>
      </c>
      <c r="E601" s="658" t="s">
        <v>239</v>
      </c>
      <c r="F601" s="653"/>
      <c r="G601" s="654"/>
      <c r="H601" s="657">
        <v>45142</v>
      </c>
      <c r="I601" s="657">
        <v>1470</v>
      </c>
      <c r="J601" s="657"/>
      <c r="K601" s="657">
        <v>1470</v>
      </c>
      <c r="L601" s="657">
        <f t="shared" ref="L601" si="514">K601-I601</f>
        <v>0</v>
      </c>
    </row>
    <row r="602" spans="1:13">
      <c r="A602" s="658"/>
      <c r="B602" s="658"/>
      <c r="C602" s="658"/>
      <c r="D602" s="658"/>
      <c r="E602" s="658"/>
      <c r="F602" s="655"/>
      <c r="G602" s="656"/>
      <c r="H602" s="657"/>
      <c r="I602" s="657"/>
      <c r="J602" s="657"/>
      <c r="K602" s="657"/>
      <c r="L602" s="657"/>
    </row>
    <row r="603" spans="1:13">
      <c r="A603" s="658"/>
      <c r="B603" s="658"/>
      <c r="C603" s="658" t="s">
        <v>735</v>
      </c>
      <c r="D603" s="658" t="s">
        <v>3910</v>
      </c>
      <c r="E603" s="658" t="s">
        <v>3226</v>
      </c>
      <c r="F603" s="653"/>
      <c r="G603" s="654"/>
      <c r="H603" s="657">
        <v>280</v>
      </c>
      <c r="I603" s="657">
        <f t="shared" ref="I603" si="515">H603</f>
        <v>280</v>
      </c>
      <c r="J603" s="657"/>
      <c r="K603" s="657">
        <v>280</v>
      </c>
      <c r="L603" s="657">
        <f t="shared" ref="L603" si="516">K603-I603</f>
        <v>0</v>
      </c>
    </row>
    <row r="604" spans="1:13">
      <c r="A604" s="658"/>
      <c r="B604" s="658"/>
      <c r="C604" s="658"/>
      <c r="D604" s="658"/>
      <c r="E604" s="658"/>
      <c r="F604" s="655"/>
      <c r="G604" s="656"/>
      <c r="H604" s="657"/>
      <c r="I604" s="657"/>
      <c r="J604" s="657"/>
      <c r="K604" s="657"/>
      <c r="L604" s="657"/>
    </row>
    <row r="605" spans="1:13">
      <c r="A605" s="658"/>
      <c r="B605" s="658"/>
      <c r="C605" s="658" t="s">
        <v>742</v>
      </c>
      <c r="D605" s="658" t="s">
        <v>3910</v>
      </c>
      <c r="E605" s="658" t="s">
        <v>2723</v>
      </c>
      <c r="F605" s="653"/>
      <c r="G605" s="654"/>
      <c r="H605" s="657">
        <v>370</v>
      </c>
      <c r="I605" s="657">
        <f t="shared" ref="I605" si="517">H605</f>
        <v>370</v>
      </c>
      <c r="J605" s="657"/>
      <c r="K605" s="657">
        <v>370</v>
      </c>
      <c r="L605" s="657">
        <f t="shared" ref="L605" si="518">K605-I605</f>
        <v>0</v>
      </c>
    </row>
    <row r="606" spans="1:13">
      <c r="A606" s="658"/>
      <c r="B606" s="658"/>
      <c r="C606" s="658"/>
      <c r="D606" s="658"/>
      <c r="E606" s="658"/>
      <c r="F606" s="655"/>
      <c r="G606" s="656"/>
      <c r="H606" s="657"/>
      <c r="I606" s="657"/>
      <c r="J606" s="657"/>
      <c r="K606" s="657"/>
      <c r="L606" s="657"/>
    </row>
    <row r="607" spans="1:13">
      <c r="A607" s="658"/>
      <c r="B607" s="658"/>
      <c r="C607" s="658" t="s">
        <v>762</v>
      </c>
      <c r="D607" s="658" t="s">
        <v>3910</v>
      </c>
      <c r="E607" s="658" t="s">
        <v>57</v>
      </c>
      <c r="F607" s="653"/>
      <c r="G607" s="654"/>
      <c r="H607" s="657">
        <v>500</v>
      </c>
      <c r="I607" s="657">
        <f t="shared" ref="I607" si="519">H607</f>
        <v>500</v>
      </c>
      <c r="J607" s="657"/>
      <c r="K607" s="657">
        <v>500</v>
      </c>
      <c r="L607" s="657">
        <f t="shared" ref="L607" si="520">K607-I607</f>
        <v>0</v>
      </c>
    </row>
    <row r="608" spans="1:13">
      <c r="A608" s="658"/>
      <c r="B608" s="658"/>
      <c r="C608" s="658"/>
      <c r="D608" s="658"/>
      <c r="E608" s="658"/>
      <c r="F608" s="655"/>
      <c r="G608" s="656"/>
      <c r="H608" s="657"/>
      <c r="I608" s="657"/>
      <c r="J608" s="657"/>
      <c r="K608" s="657"/>
      <c r="L608" s="657"/>
    </row>
    <row r="609" spans="1:13">
      <c r="A609" s="658"/>
      <c r="B609" s="658"/>
      <c r="C609" s="658" t="s">
        <v>800</v>
      </c>
      <c r="D609" s="658" t="s">
        <v>3910</v>
      </c>
      <c r="E609" s="658" t="s">
        <v>57</v>
      </c>
      <c r="F609" s="653"/>
      <c r="G609" s="654"/>
      <c r="H609" s="657">
        <v>150</v>
      </c>
      <c r="I609" s="657">
        <f t="shared" ref="I609" si="521">H609</f>
        <v>150</v>
      </c>
      <c r="J609" s="657"/>
      <c r="K609" s="657">
        <v>150</v>
      </c>
      <c r="L609" s="657">
        <f t="shared" ref="L609" si="522">K609-I609</f>
        <v>0</v>
      </c>
    </row>
    <row r="610" spans="1:13">
      <c r="A610" s="658"/>
      <c r="B610" s="658"/>
      <c r="C610" s="658"/>
      <c r="D610" s="658"/>
      <c r="E610" s="658"/>
      <c r="F610" s="655"/>
      <c r="G610" s="656"/>
      <c r="H610" s="657"/>
      <c r="I610" s="657"/>
      <c r="J610" s="657"/>
      <c r="K610" s="657"/>
      <c r="L610" s="657"/>
    </row>
    <row r="611" spans="1:13">
      <c r="A611" s="658"/>
      <c r="B611" s="658"/>
      <c r="C611" s="658" t="s">
        <v>763</v>
      </c>
      <c r="D611" s="694" t="s">
        <v>3911</v>
      </c>
      <c r="E611" s="658" t="s">
        <v>2376</v>
      </c>
      <c r="F611" s="653"/>
      <c r="G611" s="654"/>
      <c r="H611" s="657">
        <v>60</v>
      </c>
      <c r="I611" s="657">
        <f t="shared" ref="I611" si="523">H611</f>
        <v>60</v>
      </c>
      <c r="J611" s="657"/>
      <c r="K611" s="657"/>
      <c r="L611" s="657">
        <f t="shared" ref="L611" si="524">K611-I611</f>
        <v>-60</v>
      </c>
    </row>
    <row r="612" spans="1:13">
      <c r="A612" s="658"/>
      <c r="B612" s="658"/>
      <c r="C612" s="658"/>
      <c r="D612" s="694"/>
      <c r="E612" s="658"/>
      <c r="F612" s="655"/>
      <c r="G612" s="656"/>
      <c r="H612" s="657"/>
      <c r="I612" s="657"/>
      <c r="J612" s="657"/>
      <c r="K612" s="657"/>
      <c r="L612" s="657"/>
    </row>
    <row r="613" spans="1:13">
      <c r="A613" s="658" t="s">
        <v>317</v>
      </c>
      <c r="B613" s="658" t="s">
        <v>3601</v>
      </c>
      <c r="C613" s="658" t="s">
        <v>3917</v>
      </c>
      <c r="D613" s="658" t="s">
        <v>3914</v>
      </c>
      <c r="E613" s="658" t="s">
        <v>239</v>
      </c>
      <c r="F613" s="653"/>
      <c r="G613" s="654"/>
      <c r="H613" s="657">
        <v>1530</v>
      </c>
      <c r="I613" s="657">
        <f t="shared" ref="I613" si="525">H613</f>
        <v>1530</v>
      </c>
      <c r="J613" s="657"/>
      <c r="K613" s="657">
        <v>1530</v>
      </c>
      <c r="L613" s="657">
        <f t="shared" ref="L613" si="526">K613-I613</f>
        <v>0</v>
      </c>
    </row>
    <row r="614" spans="1:13">
      <c r="A614" s="658"/>
      <c r="B614" s="658"/>
      <c r="C614" s="658"/>
      <c r="D614" s="658"/>
      <c r="E614" s="658"/>
      <c r="F614" s="655"/>
      <c r="G614" s="656"/>
      <c r="H614" s="657"/>
      <c r="I614" s="657"/>
      <c r="J614" s="657"/>
      <c r="K614" s="657"/>
      <c r="L614" s="657"/>
    </row>
    <row r="615" spans="1:13">
      <c r="A615" s="658"/>
      <c r="B615" s="658"/>
      <c r="C615" s="658" t="s">
        <v>772</v>
      </c>
      <c r="D615" s="658" t="s">
        <v>3910</v>
      </c>
      <c r="E615" s="658" t="s">
        <v>2780</v>
      </c>
      <c r="F615" s="653"/>
      <c r="G615" s="654"/>
      <c r="H615" s="657">
        <v>500</v>
      </c>
      <c r="I615" s="657">
        <f t="shared" ref="I615" si="527">H615</f>
        <v>500</v>
      </c>
      <c r="J615" s="657"/>
      <c r="K615" s="657">
        <v>500</v>
      </c>
      <c r="L615" s="657">
        <f t="shared" ref="L615" si="528">K615-I615</f>
        <v>0</v>
      </c>
    </row>
    <row r="616" spans="1:13">
      <c r="A616" s="658"/>
      <c r="B616" s="658"/>
      <c r="C616" s="658"/>
      <c r="D616" s="658"/>
      <c r="E616" s="658"/>
      <c r="F616" s="655"/>
      <c r="G616" s="656"/>
      <c r="H616" s="657"/>
      <c r="I616" s="657"/>
      <c r="J616" s="657"/>
      <c r="K616" s="657"/>
      <c r="L616" s="657"/>
    </row>
    <row r="617" spans="1:13">
      <c r="A617" s="658"/>
      <c r="B617" s="658"/>
      <c r="C617" s="658" t="s">
        <v>773</v>
      </c>
      <c r="D617" s="658" t="s">
        <v>3910</v>
      </c>
      <c r="E617" s="658" t="s">
        <v>3912</v>
      </c>
      <c r="F617" s="653"/>
      <c r="G617" s="654"/>
      <c r="H617" s="657">
        <v>400</v>
      </c>
      <c r="I617" s="657">
        <f t="shared" ref="I617" si="529">H617</f>
        <v>400</v>
      </c>
      <c r="J617" s="657"/>
      <c r="K617" s="657">
        <v>400</v>
      </c>
      <c r="L617" s="657">
        <f t="shared" ref="L617" si="530">K617-I617</f>
        <v>0</v>
      </c>
    </row>
    <row r="618" spans="1:13">
      <c r="A618" s="658"/>
      <c r="B618" s="658"/>
      <c r="C618" s="658"/>
      <c r="D618" s="658"/>
      <c r="E618" s="658"/>
      <c r="F618" s="655"/>
      <c r="G618" s="656"/>
      <c r="H618" s="657"/>
      <c r="I618" s="657"/>
      <c r="J618" s="657"/>
      <c r="K618" s="657"/>
      <c r="L618" s="657"/>
    </row>
    <row r="619" spans="1:13">
      <c r="A619" s="658" t="s">
        <v>333</v>
      </c>
      <c r="B619" s="658" t="s">
        <v>3839</v>
      </c>
      <c r="C619" s="659" t="s">
        <v>801</v>
      </c>
      <c r="D619" s="658" t="s">
        <v>3914</v>
      </c>
      <c r="E619" s="690" t="s">
        <v>3836</v>
      </c>
      <c r="F619" s="653"/>
      <c r="G619" s="654"/>
      <c r="H619" s="657">
        <v>250</v>
      </c>
      <c r="I619" s="657">
        <v>300</v>
      </c>
      <c r="J619" s="657" t="s">
        <v>3838</v>
      </c>
      <c r="K619" s="657"/>
      <c r="L619" s="657">
        <f t="shared" ref="L619" si="531">K619-I619</f>
        <v>-300</v>
      </c>
    </row>
    <row r="620" spans="1:13">
      <c r="A620" s="658"/>
      <c r="B620" s="658"/>
      <c r="C620" s="660"/>
      <c r="D620" s="658"/>
      <c r="E620" s="690"/>
      <c r="F620" s="655"/>
      <c r="G620" s="656"/>
      <c r="H620" s="657"/>
      <c r="I620" s="657"/>
      <c r="J620" s="657"/>
      <c r="K620" s="657"/>
      <c r="L620" s="657"/>
    </row>
    <row r="621" spans="1:13">
      <c r="A621" s="765" t="s">
        <v>502</v>
      </c>
      <c r="B621" s="766"/>
      <c r="C621" s="766"/>
      <c r="D621" s="766"/>
      <c r="E621" s="766"/>
      <c r="F621" s="766"/>
      <c r="G621" s="766"/>
      <c r="H621" s="766"/>
      <c r="I621" s="766"/>
      <c r="J621" s="766"/>
      <c r="K621" s="766"/>
      <c r="L621" s="767"/>
    </row>
    <row r="622" spans="1:13">
      <c r="A622" s="768"/>
      <c r="B622" s="769"/>
      <c r="C622" s="769"/>
      <c r="D622" s="769"/>
      <c r="E622" s="769"/>
      <c r="F622" s="769"/>
      <c r="G622" s="769"/>
      <c r="H622" s="769"/>
      <c r="I622" s="769"/>
      <c r="J622" s="769"/>
      <c r="K622" s="769"/>
      <c r="L622" s="770"/>
    </row>
    <row r="623" spans="1:13">
      <c r="A623" s="658" t="s">
        <v>318</v>
      </c>
      <c r="B623" s="658" t="s">
        <v>2983</v>
      </c>
      <c r="C623" s="658" t="s">
        <v>3918</v>
      </c>
      <c r="D623" s="693" t="s">
        <v>3911</v>
      </c>
      <c r="E623" s="658" t="s">
        <v>239</v>
      </c>
      <c r="F623" s="653"/>
      <c r="G623" s="654"/>
      <c r="H623" s="657">
        <v>47099</v>
      </c>
      <c r="I623" s="657">
        <v>1530</v>
      </c>
      <c r="J623" s="657"/>
      <c r="K623" s="657">
        <v>1530</v>
      </c>
      <c r="L623" s="657">
        <f t="shared" ref="L623" si="532">K623-I623</f>
        <v>0</v>
      </c>
    </row>
    <row r="624" spans="1:13">
      <c r="A624" s="658"/>
      <c r="B624" s="658"/>
      <c r="C624" s="658"/>
      <c r="D624" s="693"/>
      <c r="E624" s="658"/>
      <c r="F624" s="655"/>
      <c r="G624" s="656"/>
      <c r="H624" s="657"/>
      <c r="I624" s="657"/>
      <c r="J624" s="657"/>
      <c r="K624" s="657"/>
      <c r="L624" s="657"/>
      <c r="M624">
        <f>SUM(I625:I628,I631:I742)</f>
        <v>38111</v>
      </c>
    </row>
    <row r="625" spans="1:13">
      <c r="A625" s="658"/>
      <c r="B625" s="658"/>
      <c r="C625" s="658" t="s">
        <v>778</v>
      </c>
      <c r="D625" s="658" t="s">
        <v>3916</v>
      </c>
      <c r="E625" s="658" t="s">
        <v>3309</v>
      </c>
      <c r="F625" s="653"/>
      <c r="G625" s="654"/>
      <c r="H625" s="657">
        <v>570</v>
      </c>
      <c r="I625" s="657">
        <f t="shared" ref="I625" si="533">H625</f>
        <v>570</v>
      </c>
      <c r="J625" s="657"/>
      <c r="K625" s="657"/>
      <c r="L625" s="657">
        <f t="shared" ref="L625" si="534">K625-I625</f>
        <v>-570</v>
      </c>
      <c r="M625" t="s">
        <v>2503</v>
      </c>
    </row>
    <row r="626" spans="1:13">
      <c r="A626" s="658"/>
      <c r="B626" s="658"/>
      <c r="C626" s="658"/>
      <c r="D626" s="658"/>
      <c r="E626" s="658"/>
      <c r="F626" s="655"/>
      <c r="G626" s="656"/>
      <c r="H626" s="657"/>
      <c r="I626" s="657"/>
      <c r="J626" s="657"/>
      <c r="K626" s="657"/>
      <c r="L626" s="657"/>
      <c r="M626" t="s">
        <v>3994</v>
      </c>
    </row>
    <row r="627" spans="1:13">
      <c r="A627" s="658"/>
      <c r="B627" s="658"/>
      <c r="C627" s="658" t="s">
        <v>779</v>
      </c>
      <c r="D627" s="658" t="s">
        <v>3916</v>
      </c>
      <c r="E627" s="658" t="s">
        <v>3025</v>
      </c>
      <c r="F627" s="653"/>
      <c r="G627" s="654"/>
      <c r="H627" s="657">
        <v>97</v>
      </c>
      <c r="I627" s="657">
        <f t="shared" ref="I627" si="535">H627</f>
        <v>97</v>
      </c>
      <c r="J627" s="657"/>
      <c r="K627" s="657">
        <v>97</v>
      </c>
      <c r="L627" s="657">
        <f t="shared" ref="L627" si="536">K627-I627</f>
        <v>0</v>
      </c>
    </row>
    <row r="628" spans="1:13">
      <c r="A628" s="658"/>
      <c r="B628" s="658"/>
      <c r="C628" s="658"/>
      <c r="D628" s="658"/>
      <c r="E628" s="658"/>
      <c r="F628" s="655"/>
      <c r="G628" s="656"/>
      <c r="H628" s="657"/>
      <c r="I628" s="657"/>
      <c r="J628" s="657"/>
      <c r="K628" s="657"/>
      <c r="L628" s="657"/>
    </row>
    <row r="629" spans="1:13">
      <c r="A629" s="658" t="s">
        <v>332</v>
      </c>
      <c r="B629" s="658" t="s">
        <v>3298</v>
      </c>
      <c r="C629" s="658" t="s">
        <v>3915</v>
      </c>
      <c r="D629" s="693" t="s">
        <v>3911</v>
      </c>
      <c r="E629" s="658" t="s">
        <v>239</v>
      </c>
      <c r="F629" s="653"/>
      <c r="G629" s="654"/>
      <c r="H629" s="657">
        <v>1400</v>
      </c>
      <c r="I629" s="657">
        <f t="shared" ref="I629" si="537">H629</f>
        <v>1400</v>
      </c>
      <c r="J629" s="657"/>
      <c r="K629" s="657">
        <v>1400</v>
      </c>
      <c r="L629" s="657">
        <f t="shared" ref="L629" si="538">K629-I629</f>
        <v>0</v>
      </c>
    </row>
    <row r="630" spans="1:13">
      <c r="A630" s="658"/>
      <c r="B630" s="658"/>
      <c r="C630" s="658"/>
      <c r="D630" s="693"/>
      <c r="E630" s="658"/>
      <c r="F630" s="655"/>
      <c r="G630" s="656"/>
      <c r="H630" s="657"/>
      <c r="I630" s="657"/>
      <c r="J630" s="657"/>
      <c r="K630" s="657"/>
      <c r="L630" s="657"/>
    </row>
    <row r="631" spans="1:13">
      <c r="A631" s="658"/>
      <c r="B631" s="658"/>
      <c r="C631" s="658" t="s">
        <v>782</v>
      </c>
      <c r="D631" s="658" t="s">
        <v>3916</v>
      </c>
      <c r="E631" s="658" t="s">
        <v>1601</v>
      </c>
      <c r="F631" s="653"/>
      <c r="G631" s="654"/>
      <c r="H631" s="657">
        <v>350</v>
      </c>
      <c r="I631" s="657">
        <f t="shared" ref="I631" si="539">H631</f>
        <v>350</v>
      </c>
      <c r="J631" s="657"/>
      <c r="K631" s="657">
        <v>350</v>
      </c>
      <c r="L631" s="657">
        <f t="shared" ref="L631" si="540">K631-I631</f>
        <v>0</v>
      </c>
    </row>
    <row r="632" spans="1:13">
      <c r="A632" s="658"/>
      <c r="B632" s="658"/>
      <c r="C632" s="658"/>
      <c r="D632" s="658"/>
      <c r="E632" s="658"/>
      <c r="F632" s="655"/>
      <c r="G632" s="656"/>
      <c r="H632" s="657"/>
      <c r="I632" s="657"/>
      <c r="J632" s="657"/>
      <c r="K632" s="657"/>
      <c r="L632" s="657"/>
    </row>
    <row r="633" spans="1:13">
      <c r="A633" s="658"/>
      <c r="B633" s="658"/>
      <c r="C633" s="658" t="s">
        <v>799</v>
      </c>
      <c r="D633" s="658" t="s">
        <v>3916</v>
      </c>
      <c r="E633" s="658" t="s">
        <v>1140</v>
      </c>
      <c r="F633" s="653"/>
      <c r="G633" s="654"/>
      <c r="H633" s="657">
        <v>900</v>
      </c>
      <c r="I633" s="657">
        <f t="shared" ref="I633" si="541">H633</f>
        <v>900</v>
      </c>
      <c r="J633" s="657"/>
      <c r="K633" s="657">
        <v>900</v>
      </c>
      <c r="L633" s="657">
        <f t="shared" ref="L633" si="542">K633-I633</f>
        <v>0</v>
      </c>
    </row>
    <row r="634" spans="1:13">
      <c r="A634" s="658"/>
      <c r="B634" s="658"/>
      <c r="C634" s="658"/>
      <c r="D634" s="658"/>
      <c r="E634" s="658"/>
      <c r="F634" s="655"/>
      <c r="G634" s="656"/>
      <c r="H634" s="657"/>
      <c r="I634" s="657"/>
      <c r="J634" s="657"/>
      <c r="K634" s="657"/>
      <c r="L634" s="657"/>
    </row>
    <row r="635" spans="1:13">
      <c r="A635" s="658"/>
      <c r="B635" s="658"/>
      <c r="C635" s="658" t="s">
        <v>3913</v>
      </c>
      <c r="D635" s="658" t="s">
        <v>3916</v>
      </c>
      <c r="E635" s="658" t="s">
        <v>239</v>
      </c>
      <c r="F635" s="653"/>
      <c r="G635" s="654"/>
      <c r="H635" s="657">
        <v>120</v>
      </c>
      <c r="I635" s="657">
        <f t="shared" ref="I635" si="543">H635</f>
        <v>120</v>
      </c>
      <c r="J635" s="657"/>
      <c r="K635" s="657">
        <v>120</v>
      </c>
      <c r="L635" s="657">
        <f t="shared" ref="L635" si="544">K635-I635</f>
        <v>0</v>
      </c>
    </row>
    <row r="636" spans="1:13">
      <c r="A636" s="658"/>
      <c r="B636" s="658"/>
      <c r="C636" s="658"/>
      <c r="D636" s="658"/>
      <c r="E636" s="658"/>
      <c r="F636" s="655"/>
      <c r="G636" s="656"/>
      <c r="H636" s="657"/>
      <c r="I636" s="657"/>
      <c r="J636" s="657"/>
      <c r="K636" s="657"/>
      <c r="L636" s="657"/>
    </row>
    <row r="637" spans="1:13">
      <c r="A637" s="658" t="s">
        <v>334</v>
      </c>
      <c r="B637" s="658" t="s">
        <v>3281</v>
      </c>
      <c r="C637" s="659" t="s">
        <v>3924</v>
      </c>
      <c r="D637" s="658" t="s">
        <v>3923</v>
      </c>
      <c r="E637" s="658" t="s">
        <v>239</v>
      </c>
      <c r="F637" s="653"/>
      <c r="G637" s="654"/>
      <c r="H637" s="657">
        <v>44947</v>
      </c>
      <c r="I637" s="657">
        <v>1470</v>
      </c>
      <c r="J637" s="657"/>
      <c r="K637" s="657">
        <v>1470</v>
      </c>
      <c r="L637" s="657">
        <f>K637-I637</f>
        <v>0</v>
      </c>
    </row>
    <row r="638" spans="1:13">
      <c r="A638" s="658"/>
      <c r="B638" s="658"/>
      <c r="C638" s="660"/>
      <c r="D638" s="658"/>
      <c r="E638" s="658"/>
      <c r="F638" s="655"/>
      <c r="G638" s="656"/>
      <c r="H638" s="657"/>
      <c r="I638" s="657"/>
      <c r="J638" s="657"/>
      <c r="K638" s="657"/>
      <c r="L638" s="657"/>
    </row>
    <row r="639" spans="1:13">
      <c r="A639" s="658"/>
      <c r="B639" s="658"/>
      <c r="C639" s="658" t="s">
        <v>807</v>
      </c>
      <c r="D639" s="658" t="s">
        <v>3922</v>
      </c>
      <c r="E639" s="658" t="s">
        <v>2780</v>
      </c>
      <c r="F639" s="653"/>
      <c r="G639" s="654"/>
      <c r="H639" s="657">
        <v>490</v>
      </c>
      <c r="I639" s="657">
        <f t="shared" ref="I639" si="545">H639</f>
        <v>490</v>
      </c>
      <c r="J639" s="657"/>
      <c r="K639" s="657">
        <v>490</v>
      </c>
      <c r="L639" s="657">
        <f t="shared" ref="L639" si="546">K639-I639</f>
        <v>0</v>
      </c>
    </row>
    <row r="640" spans="1:13">
      <c r="A640" s="658"/>
      <c r="B640" s="658"/>
      <c r="C640" s="658"/>
      <c r="D640" s="658"/>
      <c r="E640" s="658"/>
      <c r="F640" s="655"/>
      <c r="G640" s="656"/>
      <c r="H640" s="657"/>
      <c r="I640" s="657"/>
      <c r="J640" s="657"/>
      <c r="K640" s="657"/>
      <c r="L640" s="657"/>
    </row>
    <row r="641" spans="1:12">
      <c r="A641" s="658"/>
      <c r="B641" s="658"/>
      <c r="C641" s="658" t="s">
        <v>810</v>
      </c>
      <c r="D641" s="658" t="s">
        <v>3922</v>
      </c>
      <c r="E641" s="658" t="s">
        <v>1661</v>
      </c>
      <c r="F641" s="653"/>
      <c r="G641" s="654"/>
      <c r="H641" s="657">
        <v>600</v>
      </c>
      <c r="I641" s="657">
        <f t="shared" ref="I641" si="547">H641</f>
        <v>600</v>
      </c>
      <c r="J641" s="657"/>
      <c r="K641" s="657">
        <v>600</v>
      </c>
      <c r="L641" s="657">
        <f t="shared" ref="L641" si="548">K641-I641</f>
        <v>0</v>
      </c>
    </row>
    <row r="642" spans="1:12">
      <c r="A642" s="658"/>
      <c r="B642" s="658"/>
      <c r="C642" s="658"/>
      <c r="D642" s="658"/>
      <c r="E642" s="658"/>
      <c r="F642" s="655"/>
      <c r="G642" s="656"/>
      <c r="H642" s="657"/>
      <c r="I642" s="657"/>
      <c r="J642" s="657"/>
      <c r="K642" s="657"/>
      <c r="L642" s="657"/>
    </row>
    <row r="643" spans="1:12">
      <c r="A643" s="658" t="s">
        <v>335</v>
      </c>
      <c r="B643" s="658" t="s">
        <v>3298</v>
      </c>
      <c r="C643" s="658" t="s">
        <v>3927</v>
      </c>
      <c r="D643" s="658" t="s">
        <v>3926</v>
      </c>
      <c r="E643" s="658" t="s">
        <v>239</v>
      </c>
      <c r="F643" s="653"/>
      <c r="G643" s="654"/>
      <c r="H643" s="657">
        <v>1470</v>
      </c>
      <c r="I643" s="657">
        <f t="shared" ref="I643" si="549">H643</f>
        <v>1470</v>
      </c>
      <c r="J643" s="657"/>
      <c r="K643" s="657">
        <v>1470</v>
      </c>
      <c r="L643" s="657">
        <f t="shared" ref="L643" si="550">K643-I643</f>
        <v>0</v>
      </c>
    </row>
    <row r="644" spans="1:12">
      <c r="A644" s="658"/>
      <c r="B644" s="658"/>
      <c r="C644" s="658"/>
      <c r="D644" s="658"/>
      <c r="E644" s="658"/>
      <c r="F644" s="655"/>
      <c r="G644" s="656"/>
      <c r="H644" s="657"/>
      <c r="I644" s="657"/>
      <c r="J644" s="657"/>
      <c r="K644" s="657"/>
      <c r="L644" s="657"/>
    </row>
    <row r="645" spans="1:12">
      <c r="A645" s="658"/>
      <c r="B645" s="658"/>
      <c r="C645" s="658" t="s">
        <v>811</v>
      </c>
      <c r="D645" s="658" t="s">
        <v>3925</v>
      </c>
      <c r="E645" s="658" t="s">
        <v>3388</v>
      </c>
      <c r="F645" s="653"/>
      <c r="G645" s="654"/>
      <c r="H645" s="657">
        <v>400</v>
      </c>
      <c r="I645" s="657">
        <f t="shared" ref="I645" si="551">H645</f>
        <v>400</v>
      </c>
      <c r="J645" s="657"/>
      <c r="K645" s="657">
        <v>400</v>
      </c>
      <c r="L645" s="657">
        <f t="shared" ref="L645" si="552">K645-I645</f>
        <v>0</v>
      </c>
    </row>
    <row r="646" spans="1:12">
      <c r="A646" s="658"/>
      <c r="B646" s="658"/>
      <c r="C646" s="658"/>
      <c r="D646" s="658"/>
      <c r="E646" s="658"/>
      <c r="F646" s="655"/>
      <c r="G646" s="656"/>
      <c r="H646" s="657"/>
      <c r="I646" s="657"/>
      <c r="J646" s="657"/>
      <c r="K646" s="657"/>
      <c r="L646" s="657"/>
    </row>
    <row r="647" spans="1:12">
      <c r="A647" s="658"/>
      <c r="B647" s="658"/>
      <c r="C647" s="658" t="s">
        <v>812</v>
      </c>
      <c r="D647" s="658" t="s">
        <v>3925</v>
      </c>
      <c r="E647" s="658" t="s">
        <v>3309</v>
      </c>
      <c r="F647" s="653"/>
      <c r="G647" s="654"/>
      <c r="H647" s="657">
        <v>320</v>
      </c>
      <c r="I647" s="657">
        <f t="shared" ref="I647" si="553">H647</f>
        <v>320</v>
      </c>
      <c r="J647" s="657"/>
      <c r="K647" s="657"/>
      <c r="L647" s="657">
        <f t="shared" ref="L647" si="554">K647-I647</f>
        <v>-320</v>
      </c>
    </row>
    <row r="648" spans="1:12">
      <c r="A648" s="658"/>
      <c r="B648" s="658"/>
      <c r="C648" s="658"/>
      <c r="D648" s="658"/>
      <c r="E648" s="658"/>
      <c r="F648" s="655"/>
      <c r="G648" s="656"/>
      <c r="H648" s="657"/>
      <c r="I648" s="657"/>
      <c r="J648" s="657"/>
      <c r="K648" s="657"/>
      <c r="L648" s="657"/>
    </row>
    <row r="649" spans="1:12">
      <c r="A649" s="658"/>
      <c r="B649" s="658"/>
      <c r="C649" s="658" t="s">
        <v>813</v>
      </c>
      <c r="D649" s="658" t="s">
        <v>3925</v>
      </c>
      <c r="E649" s="658" t="s">
        <v>3025</v>
      </c>
      <c r="F649" s="653"/>
      <c r="G649" s="654"/>
      <c r="H649" s="657">
        <v>99</v>
      </c>
      <c r="I649" s="657">
        <f t="shared" ref="I649" si="555">H649</f>
        <v>99</v>
      </c>
      <c r="J649" s="657"/>
      <c r="K649" s="657">
        <v>99</v>
      </c>
      <c r="L649" s="657">
        <f t="shared" ref="L649" si="556">K649-I649</f>
        <v>0</v>
      </c>
    </row>
    <row r="650" spans="1:12">
      <c r="A650" s="658"/>
      <c r="B650" s="658"/>
      <c r="C650" s="658"/>
      <c r="D650" s="658"/>
      <c r="E650" s="658"/>
      <c r="F650" s="655"/>
      <c r="G650" s="656"/>
      <c r="H650" s="657"/>
      <c r="I650" s="657"/>
      <c r="J650" s="657"/>
      <c r="K650" s="657"/>
      <c r="L650" s="657"/>
    </row>
    <row r="651" spans="1:12">
      <c r="A651" s="658" t="s">
        <v>336</v>
      </c>
      <c r="B651" s="658" t="s">
        <v>3008</v>
      </c>
      <c r="C651" s="658" t="s">
        <v>3928</v>
      </c>
      <c r="D651" s="658" t="s">
        <v>3922</v>
      </c>
      <c r="E651" s="658" t="s">
        <v>239</v>
      </c>
      <c r="F651" s="653"/>
      <c r="G651" s="654"/>
      <c r="H651" s="657">
        <v>44799</v>
      </c>
      <c r="I651" s="657">
        <v>1470</v>
      </c>
      <c r="J651" s="657"/>
      <c r="K651" s="657">
        <v>1470</v>
      </c>
      <c r="L651" s="657">
        <f t="shared" ref="L651" si="557">K651-I651</f>
        <v>0</v>
      </c>
    </row>
    <row r="652" spans="1:12">
      <c r="A652" s="658"/>
      <c r="B652" s="658"/>
      <c r="C652" s="658"/>
      <c r="D652" s="658"/>
      <c r="E652" s="658"/>
      <c r="F652" s="655"/>
      <c r="G652" s="656"/>
      <c r="H652" s="657"/>
      <c r="I652" s="657"/>
      <c r="J652" s="657"/>
      <c r="K652" s="657"/>
      <c r="L652" s="657"/>
    </row>
    <row r="653" spans="1:12">
      <c r="A653" s="658"/>
      <c r="B653" s="658"/>
      <c r="C653" s="658" t="s">
        <v>820</v>
      </c>
      <c r="D653" s="658" t="s">
        <v>3925</v>
      </c>
      <c r="E653" s="658" t="s">
        <v>1601</v>
      </c>
      <c r="F653" s="653"/>
      <c r="G653" s="654"/>
      <c r="H653" s="657">
        <v>850</v>
      </c>
      <c r="I653" s="657">
        <f t="shared" ref="I653" si="558">H653</f>
        <v>850</v>
      </c>
      <c r="J653" s="657"/>
      <c r="K653" s="657">
        <v>850</v>
      </c>
      <c r="L653" s="657">
        <f t="shared" ref="L653" si="559">K653-I653</f>
        <v>0</v>
      </c>
    </row>
    <row r="654" spans="1:12">
      <c r="A654" s="658"/>
      <c r="B654" s="658"/>
      <c r="C654" s="658"/>
      <c r="D654" s="658"/>
      <c r="E654" s="658"/>
      <c r="F654" s="655"/>
      <c r="G654" s="656"/>
      <c r="H654" s="657"/>
      <c r="I654" s="657"/>
      <c r="J654" s="657"/>
      <c r="K654" s="657"/>
      <c r="L654" s="657"/>
    </row>
    <row r="655" spans="1:12">
      <c r="A655" s="658"/>
      <c r="B655" s="658"/>
      <c r="C655" s="658" t="s">
        <v>821</v>
      </c>
      <c r="D655" s="658" t="s">
        <v>3925</v>
      </c>
      <c r="E655" s="658" t="s">
        <v>3309</v>
      </c>
      <c r="F655" s="653"/>
      <c r="G655" s="654"/>
      <c r="H655" s="657">
        <v>360</v>
      </c>
      <c r="I655" s="657">
        <f t="shared" ref="I655" si="560">H655</f>
        <v>360</v>
      </c>
      <c r="J655" s="657"/>
      <c r="K655" s="657"/>
      <c r="L655" s="657">
        <f t="shared" ref="L655" si="561">K655-I655</f>
        <v>-360</v>
      </c>
    </row>
    <row r="656" spans="1:12">
      <c r="A656" s="658"/>
      <c r="B656" s="658"/>
      <c r="C656" s="658"/>
      <c r="D656" s="658"/>
      <c r="E656" s="658"/>
      <c r="F656" s="655"/>
      <c r="G656" s="656"/>
      <c r="H656" s="657"/>
      <c r="I656" s="657"/>
      <c r="J656" s="657"/>
      <c r="K656" s="657"/>
      <c r="L656" s="657"/>
    </row>
    <row r="657" spans="1:12">
      <c r="A657" s="658" t="s">
        <v>337</v>
      </c>
      <c r="B657" s="658" t="s">
        <v>3601</v>
      </c>
      <c r="C657" s="658" t="s">
        <v>3960</v>
      </c>
      <c r="D657" s="658" t="s">
        <v>3925</v>
      </c>
      <c r="E657" s="658" t="s">
        <v>239</v>
      </c>
      <c r="F657" s="653"/>
      <c r="G657" s="654"/>
      <c r="H657" s="657">
        <v>1470</v>
      </c>
      <c r="I657" s="657">
        <f t="shared" ref="I657" si="562">H657</f>
        <v>1470</v>
      </c>
      <c r="J657" s="657"/>
      <c r="K657" s="657">
        <v>1470</v>
      </c>
      <c r="L657" s="657">
        <f t="shared" ref="L657" si="563">K657-I657</f>
        <v>0</v>
      </c>
    </row>
    <row r="658" spans="1:12">
      <c r="A658" s="658"/>
      <c r="B658" s="658"/>
      <c r="C658" s="658"/>
      <c r="D658" s="658"/>
      <c r="E658" s="658"/>
      <c r="F658" s="655"/>
      <c r="G658" s="656"/>
      <c r="H658" s="657"/>
      <c r="I658" s="657"/>
      <c r="J658" s="657"/>
      <c r="K658" s="657"/>
      <c r="L658" s="657"/>
    </row>
    <row r="659" spans="1:12">
      <c r="A659" s="658"/>
      <c r="B659" s="658"/>
      <c r="C659" s="658" t="s">
        <v>824</v>
      </c>
      <c r="D659" s="658" t="s">
        <v>3956</v>
      </c>
      <c r="E659" s="658" t="s">
        <v>2723</v>
      </c>
      <c r="F659" s="653"/>
      <c r="G659" s="654"/>
      <c r="H659" s="657">
        <v>300</v>
      </c>
      <c r="I659" s="657">
        <f t="shared" ref="I659" si="564">H659</f>
        <v>300</v>
      </c>
      <c r="J659" s="657"/>
      <c r="K659" s="657">
        <v>300</v>
      </c>
      <c r="L659" s="657">
        <f t="shared" ref="L659" si="565">K659-I659</f>
        <v>0</v>
      </c>
    </row>
    <row r="660" spans="1:12">
      <c r="A660" s="658"/>
      <c r="B660" s="658"/>
      <c r="C660" s="658"/>
      <c r="D660" s="658"/>
      <c r="E660" s="658"/>
      <c r="F660" s="655"/>
      <c r="G660" s="656"/>
      <c r="H660" s="657"/>
      <c r="I660" s="657"/>
      <c r="J660" s="657"/>
      <c r="K660" s="657"/>
      <c r="L660" s="657"/>
    </row>
    <row r="661" spans="1:12">
      <c r="A661" s="658"/>
      <c r="B661" s="658"/>
      <c r="C661" s="658" t="s">
        <v>826</v>
      </c>
      <c r="D661" s="658" t="s">
        <v>3956</v>
      </c>
      <c r="E661" s="658" t="s">
        <v>2517</v>
      </c>
      <c r="F661" s="653"/>
      <c r="G661" s="654"/>
      <c r="H661" s="657">
        <v>190</v>
      </c>
      <c r="I661" s="657">
        <f t="shared" ref="I661" si="566">H661</f>
        <v>190</v>
      </c>
      <c r="J661" s="657"/>
      <c r="K661" s="657">
        <v>190</v>
      </c>
      <c r="L661" s="657">
        <f t="shared" ref="L661" si="567">K661-I661</f>
        <v>0</v>
      </c>
    </row>
    <row r="662" spans="1:12">
      <c r="A662" s="658"/>
      <c r="B662" s="658"/>
      <c r="C662" s="658"/>
      <c r="D662" s="658"/>
      <c r="E662" s="658"/>
      <c r="F662" s="655"/>
      <c r="G662" s="656"/>
      <c r="H662" s="657"/>
      <c r="I662" s="657"/>
      <c r="J662" s="657"/>
      <c r="K662" s="657"/>
      <c r="L662" s="657"/>
    </row>
    <row r="663" spans="1:12">
      <c r="A663" s="658"/>
      <c r="B663" s="658"/>
      <c r="C663" s="658" t="s">
        <v>833</v>
      </c>
      <c r="D663" s="658" t="s">
        <v>3956</v>
      </c>
      <c r="E663" s="658" t="s">
        <v>2517</v>
      </c>
      <c r="F663" s="653"/>
      <c r="G663" s="654"/>
      <c r="H663" s="657">
        <v>400</v>
      </c>
      <c r="I663" s="657">
        <f t="shared" ref="I663" si="568">H663</f>
        <v>400</v>
      </c>
      <c r="J663" s="657"/>
      <c r="K663" s="657">
        <v>400</v>
      </c>
      <c r="L663" s="657">
        <f t="shared" ref="L663" si="569">K663-I663</f>
        <v>0</v>
      </c>
    </row>
    <row r="664" spans="1:12">
      <c r="A664" s="658"/>
      <c r="B664" s="658"/>
      <c r="C664" s="658"/>
      <c r="D664" s="658"/>
      <c r="E664" s="658"/>
      <c r="F664" s="655"/>
      <c r="G664" s="656"/>
      <c r="H664" s="657"/>
      <c r="I664" s="657"/>
      <c r="J664" s="657"/>
      <c r="K664" s="657"/>
      <c r="L664" s="657"/>
    </row>
    <row r="665" spans="1:12">
      <c r="A665" s="658" t="s">
        <v>338</v>
      </c>
      <c r="B665" s="658" t="s">
        <v>3281</v>
      </c>
      <c r="C665" s="658" t="s">
        <v>3963</v>
      </c>
      <c r="D665" s="658" t="s">
        <v>3961</v>
      </c>
      <c r="E665" s="658" t="s">
        <v>239</v>
      </c>
      <c r="F665" s="653"/>
      <c r="G665" s="654"/>
      <c r="H665" s="657">
        <v>44928</v>
      </c>
      <c r="I665" s="657">
        <v>1470</v>
      </c>
      <c r="J665" s="657"/>
      <c r="K665" s="657">
        <v>1470</v>
      </c>
      <c r="L665" s="657">
        <f t="shared" ref="L665" si="570">K665-I665</f>
        <v>0</v>
      </c>
    </row>
    <row r="666" spans="1:12">
      <c r="A666" s="658"/>
      <c r="B666" s="658"/>
      <c r="C666" s="658"/>
      <c r="D666" s="658"/>
      <c r="E666" s="658"/>
      <c r="F666" s="655"/>
      <c r="G666" s="656"/>
      <c r="H666" s="657"/>
      <c r="I666" s="657"/>
      <c r="J666" s="657"/>
      <c r="K666" s="657"/>
      <c r="L666" s="657"/>
    </row>
    <row r="667" spans="1:12">
      <c r="A667" s="658"/>
      <c r="B667" s="658"/>
      <c r="C667" s="658" t="s">
        <v>841</v>
      </c>
      <c r="D667" s="658" t="s">
        <v>3957</v>
      </c>
      <c r="E667" s="658" t="s">
        <v>3427</v>
      </c>
      <c r="F667" s="653"/>
      <c r="G667" s="654"/>
      <c r="H667" s="657">
        <v>390</v>
      </c>
      <c r="I667" s="657">
        <f t="shared" ref="I667" si="571">H667</f>
        <v>390</v>
      </c>
      <c r="J667" s="657"/>
      <c r="K667" s="657">
        <v>390</v>
      </c>
      <c r="L667" s="657">
        <f t="shared" ref="L667" si="572">K667-I667</f>
        <v>0</v>
      </c>
    </row>
    <row r="668" spans="1:12">
      <c r="A668" s="658"/>
      <c r="B668" s="658"/>
      <c r="C668" s="658"/>
      <c r="D668" s="658"/>
      <c r="E668" s="658"/>
      <c r="F668" s="655"/>
      <c r="G668" s="656"/>
      <c r="H668" s="657"/>
      <c r="I668" s="657"/>
      <c r="J668" s="657"/>
      <c r="K668" s="657"/>
      <c r="L668" s="657"/>
    </row>
    <row r="669" spans="1:12">
      <c r="A669" s="658"/>
      <c r="B669" s="658"/>
      <c r="C669" s="658" t="s">
        <v>842</v>
      </c>
      <c r="D669" s="658" t="s">
        <v>3957</v>
      </c>
      <c r="E669" s="658" t="s">
        <v>3955</v>
      </c>
      <c r="F669" s="653"/>
      <c r="G669" s="654"/>
      <c r="H669" s="657">
        <v>500</v>
      </c>
      <c r="I669" s="657">
        <f t="shared" ref="I669" si="573">H669</f>
        <v>500</v>
      </c>
      <c r="J669" s="657"/>
      <c r="K669" s="657">
        <v>500</v>
      </c>
      <c r="L669" s="657">
        <f t="shared" ref="L669" si="574">K669-I669</f>
        <v>0</v>
      </c>
    </row>
    <row r="670" spans="1:12">
      <c r="A670" s="658"/>
      <c r="B670" s="658"/>
      <c r="C670" s="658"/>
      <c r="D670" s="658"/>
      <c r="E670" s="658"/>
      <c r="F670" s="655"/>
      <c r="G670" s="656"/>
      <c r="H670" s="657"/>
      <c r="I670" s="657"/>
      <c r="J670" s="657"/>
      <c r="K670" s="657"/>
      <c r="L670" s="657"/>
    </row>
    <row r="671" spans="1:12">
      <c r="A671" s="658"/>
      <c r="B671" s="658"/>
      <c r="C671" s="658" t="s">
        <v>1642</v>
      </c>
      <c r="D671" s="658" t="s">
        <v>3957</v>
      </c>
      <c r="E671" s="658" t="s">
        <v>2723</v>
      </c>
      <c r="F671" s="653"/>
      <c r="G671" s="654"/>
      <c r="H671" s="657">
        <v>275</v>
      </c>
      <c r="I671" s="657">
        <f t="shared" ref="I671" si="575">H671</f>
        <v>275</v>
      </c>
      <c r="J671" s="657"/>
      <c r="K671" s="657"/>
      <c r="L671" s="657">
        <f t="shared" ref="L671" si="576">K671-I671</f>
        <v>-275</v>
      </c>
    </row>
    <row r="672" spans="1:12">
      <c r="A672" s="658"/>
      <c r="B672" s="658"/>
      <c r="C672" s="658"/>
      <c r="D672" s="658"/>
      <c r="E672" s="658"/>
      <c r="F672" s="655"/>
      <c r="G672" s="656"/>
      <c r="H672" s="657"/>
      <c r="I672" s="657"/>
      <c r="J672" s="657"/>
      <c r="K672" s="657"/>
      <c r="L672" s="657"/>
    </row>
    <row r="673" spans="1:12">
      <c r="A673" s="658" t="s">
        <v>348</v>
      </c>
      <c r="B673" s="658" t="s">
        <v>3298</v>
      </c>
      <c r="C673" s="658" t="s">
        <v>3962</v>
      </c>
      <c r="D673" s="658" t="s">
        <v>3961</v>
      </c>
      <c r="E673" s="658" t="s">
        <v>239</v>
      </c>
      <c r="F673" s="653"/>
      <c r="G673" s="654"/>
      <c r="H673" s="657">
        <v>1470</v>
      </c>
      <c r="I673" s="657">
        <f t="shared" ref="I673" si="577">H673</f>
        <v>1470</v>
      </c>
      <c r="J673" s="657"/>
      <c r="K673" s="657">
        <v>1470</v>
      </c>
      <c r="L673" s="657">
        <f t="shared" ref="L673" si="578">K673-I673</f>
        <v>0</v>
      </c>
    </row>
    <row r="674" spans="1:12">
      <c r="A674" s="658"/>
      <c r="B674" s="658"/>
      <c r="C674" s="658"/>
      <c r="D674" s="658"/>
      <c r="E674" s="658"/>
      <c r="F674" s="655"/>
      <c r="G674" s="656"/>
      <c r="H674" s="657"/>
      <c r="I674" s="657"/>
      <c r="J674" s="657"/>
      <c r="K674" s="657"/>
      <c r="L674" s="657"/>
    </row>
    <row r="675" spans="1:12">
      <c r="A675" s="658"/>
      <c r="B675" s="658"/>
      <c r="C675" s="658" t="s">
        <v>843</v>
      </c>
      <c r="D675" s="658" t="s">
        <v>3958</v>
      </c>
      <c r="E675" s="658" t="s">
        <v>3959</v>
      </c>
      <c r="F675" s="653"/>
      <c r="G675" s="654"/>
      <c r="H675" s="657">
        <v>500</v>
      </c>
      <c r="I675" s="657">
        <f t="shared" ref="I675" si="579">H675</f>
        <v>500</v>
      </c>
      <c r="J675" s="657"/>
      <c r="K675" s="657">
        <v>500</v>
      </c>
      <c r="L675" s="657">
        <f t="shared" ref="L675" si="580">K675-I675</f>
        <v>0</v>
      </c>
    </row>
    <row r="676" spans="1:12">
      <c r="A676" s="658"/>
      <c r="B676" s="658"/>
      <c r="C676" s="658"/>
      <c r="D676" s="658"/>
      <c r="E676" s="658"/>
      <c r="F676" s="655"/>
      <c r="G676" s="656"/>
      <c r="H676" s="657"/>
      <c r="I676" s="657"/>
      <c r="J676" s="657"/>
      <c r="K676" s="657"/>
      <c r="L676" s="657"/>
    </row>
    <row r="677" spans="1:12">
      <c r="A677" s="658"/>
      <c r="B677" s="658"/>
      <c r="C677" s="658" t="s">
        <v>844</v>
      </c>
      <c r="D677" s="658" t="s">
        <v>3958</v>
      </c>
      <c r="E677" s="658" t="s">
        <v>3964</v>
      </c>
      <c r="F677" s="653"/>
      <c r="G677" s="654"/>
      <c r="H677" s="657">
        <v>380</v>
      </c>
      <c r="I677" s="657">
        <f t="shared" ref="I677" si="581">H677</f>
        <v>380</v>
      </c>
      <c r="J677" s="657"/>
      <c r="K677" s="657">
        <v>380</v>
      </c>
      <c r="L677" s="657">
        <f t="shared" ref="L677" si="582">K677-I677</f>
        <v>0</v>
      </c>
    </row>
    <row r="678" spans="1:12">
      <c r="A678" s="658"/>
      <c r="B678" s="658"/>
      <c r="C678" s="658"/>
      <c r="D678" s="658"/>
      <c r="E678" s="658"/>
      <c r="F678" s="655"/>
      <c r="G678" s="656"/>
      <c r="H678" s="657"/>
      <c r="I678" s="657"/>
      <c r="J678" s="657"/>
      <c r="K678" s="657"/>
      <c r="L678" s="657"/>
    </row>
    <row r="679" spans="1:12">
      <c r="A679" s="658"/>
      <c r="B679" s="658"/>
      <c r="C679" s="658" t="s">
        <v>845</v>
      </c>
      <c r="D679" s="658" t="s">
        <v>3958</v>
      </c>
      <c r="E679" s="658" t="s">
        <v>3025</v>
      </c>
      <c r="F679" s="653"/>
      <c r="G679" s="654"/>
      <c r="H679" s="657">
        <v>98</v>
      </c>
      <c r="I679" s="657">
        <f t="shared" ref="I679" si="583">H679</f>
        <v>98</v>
      </c>
      <c r="J679" s="657"/>
      <c r="K679" s="657"/>
      <c r="L679" s="657">
        <f t="shared" ref="L679" si="584">K679-I679</f>
        <v>-98</v>
      </c>
    </row>
    <row r="680" spans="1:12">
      <c r="A680" s="658"/>
      <c r="B680" s="658"/>
      <c r="C680" s="658"/>
      <c r="D680" s="658"/>
      <c r="E680" s="658"/>
      <c r="F680" s="655"/>
      <c r="G680" s="656"/>
      <c r="H680" s="657"/>
      <c r="I680" s="657"/>
      <c r="J680" s="657"/>
      <c r="K680" s="657"/>
      <c r="L680" s="657"/>
    </row>
    <row r="681" spans="1:12">
      <c r="A681" s="658" t="s">
        <v>350</v>
      </c>
      <c r="B681" s="658" t="s">
        <v>3008</v>
      </c>
      <c r="C681" s="658" t="s">
        <v>3970</v>
      </c>
      <c r="D681" s="658" t="s">
        <v>3958</v>
      </c>
      <c r="E681" s="658" t="s">
        <v>239</v>
      </c>
      <c r="F681" s="653"/>
      <c r="G681" s="654"/>
      <c r="H681" s="657">
        <v>44724</v>
      </c>
      <c r="I681" s="657">
        <v>1470</v>
      </c>
      <c r="J681" s="657"/>
      <c r="K681" s="657">
        <v>1470</v>
      </c>
      <c r="L681" s="657">
        <f t="shared" ref="L681" si="585">K681-I681</f>
        <v>0</v>
      </c>
    </row>
    <row r="682" spans="1:12">
      <c r="A682" s="658"/>
      <c r="B682" s="658"/>
      <c r="C682" s="658"/>
      <c r="D682" s="658"/>
      <c r="E682" s="658"/>
      <c r="F682" s="655"/>
      <c r="G682" s="656"/>
      <c r="H682" s="657"/>
      <c r="I682" s="657"/>
      <c r="J682" s="657"/>
      <c r="K682" s="657"/>
      <c r="L682" s="657"/>
    </row>
    <row r="683" spans="1:12">
      <c r="A683" s="658"/>
      <c r="B683" s="658"/>
      <c r="C683" s="658" t="s">
        <v>855</v>
      </c>
      <c r="D683" s="658" t="s">
        <v>3967</v>
      </c>
      <c r="E683" s="692" t="s">
        <v>3515</v>
      </c>
      <c r="F683" s="653"/>
      <c r="G683" s="654"/>
      <c r="H683" s="657">
        <v>800</v>
      </c>
      <c r="I683" s="657">
        <f t="shared" ref="I683" si="586">H683</f>
        <v>800</v>
      </c>
      <c r="J683" s="657"/>
      <c r="K683" s="657">
        <v>800</v>
      </c>
      <c r="L683" s="657">
        <f t="shared" ref="L683" si="587">K683-I683</f>
        <v>0</v>
      </c>
    </row>
    <row r="684" spans="1:12">
      <c r="A684" s="658"/>
      <c r="B684" s="658"/>
      <c r="C684" s="658"/>
      <c r="D684" s="658"/>
      <c r="E684" s="692"/>
      <c r="F684" s="655"/>
      <c r="G684" s="656"/>
      <c r="H684" s="657"/>
      <c r="I684" s="657"/>
      <c r="J684" s="657"/>
      <c r="K684" s="657"/>
      <c r="L684" s="657"/>
    </row>
    <row r="685" spans="1:12">
      <c r="A685" s="658"/>
      <c r="B685" s="658"/>
      <c r="C685" s="658" t="s">
        <v>856</v>
      </c>
      <c r="D685" s="658" t="s">
        <v>3967</v>
      </c>
      <c r="E685" s="658" t="s">
        <v>1661</v>
      </c>
      <c r="F685" s="653"/>
      <c r="G685" s="654"/>
      <c r="H685" s="657">
        <v>230</v>
      </c>
      <c r="I685" s="657">
        <f t="shared" ref="I685" si="588">H685</f>
        <v>230</v>
      </c>
      <c r="J685" s="657"/>
      <c r="K685" s="657">
        <v>230</v>
      </c>
      <c r="L685" s="657">
        <f t="shared" ref="L685" si="589">K685-I685</f>
        <v>0</v>
      </c>
    </row>
    <row r="686" spans="1:12">
      <c r="A686" s="658"/>
      <c r="B686" s="658"/>
      <c r="C686" s="658"/>
      <c r="D686" s="658"/>
      <c r="E686" s="658"/>
      <c r="F686" s="655"/>
      <c r="G686" s="656"/>
      <c r="H686" s="657"/>
      <c r="I686" s="657"/>
      <c r="J686" s="657"/>
      <c r="K686" s="657"/>
      <c r="L686" s="657"/>
    </row>
    <row r="687" spans="1:12">
      <c r="A687" s="658"/>
      <c r="B687" s="658"/>
      <c r="C687" s="658" t="s">
        <v>866</v>
      </c>
      <c r="D687" s="658" t="s">
        <v>3967</v>
      </c>
      <c r="E687" s="658" t="s">
        <v>2723</v>
      </c>
      <c r="F687" s="653"/>
      <c r="G687" s="654"/>
      <c r="H687" s="657">
        <v>260</v>
      </c>
      <c r="I687" s="657">
        <f t="shared" ref="I687" si="590">H687</f>
        <v>260</v>
      </c>
      <c r="J687" s="657"/>
      <c r="K687" s="657"/>
      <c r="L687" s="657">
        <f t="shared" ref="L687" si="591">K687-I687</f>
        <v>-260</v>
      </c>
    </row>
    <row r="688" spans="1:12">
      <c r="A688" s="658"/>
      <c r="B688" s="658"/>
      <c r="C688" s="658"/>
      <c r="D688" s="658"/>
      <c r="E688" s="658"/>
      <c r="F688" s="655"/>
      <c r="G688" s="656"/>
      <c r="H688" s="657"/>
      <c r="I688" s="657"/>
      <c r="J688" s="657"/>
      <c r="K688" s="657"/>
      <c r="L688" s="657"/>
    </row>
    <row r="689" spans="1:12">
      <c r="A689" s="658" t="s">
        <v>358</v>
      </c>
      <c r="B689" s="658" t="s">
        <v>3281</v>
      </c>
      <c r="C689" s="658" t="s">
        <v>3972</v>
      </c>
      <c r="D689" s="658" t="s">
        <v>3971</v>
      </c>
      <c r="E689" s="658" t="s">
        <v>239</v>
      </c>
      <c r="F689" s="653"/>
      <c r="G689" s="654"/>
      <c r="H689" s="657">
        <v>48340</v>
      </c>
      <c r="I689" s="657">
        <v>1590</v>
      </c>
      <c r="J689" s="657"/>
      <c r="K689" s="657">
        <v>1590</v>
      </c>
      <c r="L689" s="657">
        <f t="shared" ref="L689" si="592">K689-I689</f>
        <v>0</v>
      </c>
    </row>
    <row r="690" spans="1:12">
      <c r="A690" s="658"/>
      <c r="B690" s="658"/>
      <c r="C690" s="658"/>
      <c r="D690" s="658"/>
      <c r="E690" s="658"/>
      <c r="F690" s="655"/>
      <c r="G690" s="656"/>
      <c r="H690" s="657"/>
      <c r="I690" s="657"/>
      <c r="J690" s="657"/>
      <c r="K690" s="657"/>
      <c r="L690" s="657"/>
    </row>
    <row r="691" spans="1:12">
      <c r="A691" s="658"/>
      <c r="B691" s="658"/>
      <c r="C691" s="658" t="s">
        <v>867</v>
      </c>
      <c r="D691" s="658" t="s">
        <v>3968</v>
      </c>
      <c r="E691" s="658" t="s">
        <v>3965</v>
      </c>
      <c r="F691" s="653"/>
      <c r="G691" s="654"/>
      <c r="H691" s="657">
        <v>500</v>
      </c>
      <c r="I691" s="657">
        <f t="shared" ref="I691" si="593">H691</f>
        <v>500</v>
      </c>
      <c r="J691" s="657"/>
      <c r="K691" s="657">
        <v>500</v>
      </c>
      <c r="L691" s="657">
        <f t="shared" ref="L691" si="594">K691-I691</f>
        <v>0</v>
      </c>
    </row>
    <row r="692" spans="1:12">
      <c r="A692" s="658"/>
      <c r="B692" s="658"/>
      <c r="C692" s="658"/>
      <c r="D692" s="658"/>
      <c r="E692" s="658"/>
      <c r="F692" s="655"/>
      <c r="G692" s="656"/>
      <c r="H692" s="657"/>
      <c r="I692" s="657"/>
      <c r="J692" s="657"/>
      <c r="K692" s="657"/>
      <c r="L692" s="657"/>
    </row>
    <row r="693" spans="1:12">
      <c r="A693" s="658"/>
      <c r="B693" s="658"/>
      <c r="C693" s="658" t="s">
        <v>868</v>
      </c>
      <c r="D693" s="658" t="s">
        <v>3968</v>
      </c>
      <c r="E693" s="658" t="s">
        <v>2723</v>
      </c>
      <c r="F693" s="653"/>
      <c r="G693" s="654"/>
      <c r="H693" s="657">
        <v>430</v>
      </c>
      <c r="I693" s="657">
        <f t="shared" ref="I693" si="595">H693</f>
        <v>430</v>
      </c>
      <c r="J693" s="657"/>
      <c r="K693" s="657"/>
      <c r="L693" s="657">
        <f t="shared" ref="L693" si="596">K693-I693</f>
        <v>-430</v>
      </c>
    </row>
    <row r="694" spans="1:12">
      <c r="A694" s="658"/>
      <c r="B694" s="658"/>
      <c r="C694" s="658"/>
      <c r="D694" s="658"/>
      <c r="E694" s="658"/>
      <c r="F694" s="655"/>
      <c r="G694" s="656"/>
      <c r="H694" s="657"/>
      <c r="I694" s="657"/>
      <c r="J694" s="657"/>
      <c r="K694" s="657"/>
      <c r="L694" s="657"/>
    </row>
    <row r="695" spans="1:12">
      <c r="A695" s="658"/>
      <c r="B695" s="658"/>
      <c r="C695" s="658" t="s">
        <v>877</v>
      </c>
      <c r="D695" s="658" t="s">
        <v>3968</v>
      </c>
      <c r="E695" s="658" t="s">
        <v>2723</v>
      </c>
      <c r="F695" s="653"/>
      <c r="G695" s="654"/>
      <c r="H695" s="657">
        <v>337</v>
      </c>
      <c r="I695" s="657">
        <f t="shared" ref="I695" si="597">H695</f>
        <v>337</v>
      </c>
      <c r="J695" s="657"/>
      <c r="K695" s="657"/>
      <c r="L695" s="657">
        <f t="shared" ref="L695" si="598">K695-I695</f>
        <v>-337</v>
      </c>
    </row>
    <row r="696" spans="1:12">
      <c r="A696" s="658"/>
      <c r="B696" s="658"/>
      <c r="C696" s="658"/>
      <c r="D696" s="658"/>
      <c r="E696" s="658"/>
      <c r="F696" s="655"/>
      <c r="G696" s="656"/>
      <c r="H696" s="657"/>
      <c r="I696" s="657"/>
      <c r="J696" s="657"/>
      <c r="K696" s="657"/>
      <c r="L696" s="657"/>
    </row>
    <row r="697" spans="1:12">
      <c r="A697" s="658"/>
      <c r="B697" s="658"/>
      <c r="C697" s="658" t="s">
        <v>3973</v>
      </c>
      <c r="D697" s="658" t="s">
        <v>3968</v>
      </c>
      <c r="E697" s="658" t="s">
        <v>239</v>
      </c>
      <c r="F697" s="653"/>
      <c r="G697" s="654"/>
      <c r="H697" s="657">
        <v>200</v>
      </c>
      <c r="I697" s="657">
        <f t="shared" ref="I697" si="599">H697</f>
        <v>200</v>
      </c>
      <c r="J697" s="657"/>
      <c r="K697" s="657">
        <v>200</v>
      </c>
      <c r="L697" s="657">
        <f t="shared" ref="L697" si="600">K697-I697</f>
        <v>0</v>
      </c>
    </row>
    <row r="698" spans="1:12">
      <c r="A698" s="658"/>
      <c r="B698" s="658"/>
      <c r="C698" s="658"/>
      <c r="D698" s="658"/>
      <c r="E698" s="658"/>
      <c r="F698" s="655"/>
      <c r="G698" s="656"/>
      <c r="H698" s="657"/>
      <c r="I698" s="657"/>
      <c r="J698" s="657"/>
      <c r="K698" s="657"/>
      <c r="L698" s="657"/>
    </row>
    <row r="699" spans="1:12">
      <c r="A699" s="658" t="s">
        <v>1310</v>
      </c>
      <c r="B699" s="658" t="s">
        <v>3298</v>
      </c>
      <c r="C699" s="658" t="s">
        <v>3974</v>
      </c>
      <c r="D699" s="658" t="s">
        <v>3971</v>
      </c>
      <c r="E699" s="658" t="s">
        <v>239</v>
      </c>
      <c r="F699" s="653"/>
      <c r="G699" s="654"/>
      <c r="H699" s="657">
        <v>1470</v>
      </c>
      <c r="I699" s="657">
        <v>1470</v>
      </c>
      <c r="J699" s="657"/>
      <c r="K699" s="657">
        <v>1470</v>
      </c>
      <c r="L699" s="657">
        <f t="shared" ref="L699" si="601">K699-I699</f>
        <v>0</v>
      </c>
    </row>
    <row r="700" spans="1:12">
      <c r="A700" s="658"/>
      <c r="B700" s="658"/>
      <c r="C700" s="658"/>
      <c r="D700" s="658"/>
      <c r="E700" s="658"/>
      <c r="F700" s="655"/>
      <c r="G700" s="656"/>
      <c r="H700" s="657"/>
      <c r="I700" s="657"/>
      <c r="J700" s="657"/>
      <c r="K700" s="657"/>
      <c r="L700" s="657"/>
    </row>
    <row r="701" spans="1:12">
      <c r="A701" s="658"/>
      <c r="B701" s="658"/>
      <c r="C701" s="658" t="s">
        <v>878</v>
      </c>
      <c r="D701" s="658" t="s">
        <v>3967</v>
      </c>
      <c r="E701" s="658" t="s">
        <v>1601</v>
      </c>
      <c r="F701" s="653"/>
      <c r="G701" s="654"/>
      <c r="H701" s="657">
        <v>1350</v>
      </c>
      <c r="I701" s="657">
        <f t="shared" ref="I701" si="602">H701</f>
        <v>1350</v>
      </c>
      <c r="J701" s="657"/>
      <c r="K701" s="657">
        <v>1350</v>
      </c>
      <c r="L701" s="657">
        <f t="shared" ref="L701" si="603">K701-I701</f>
        <v>0</v>
      </c>
    </row>
    <row r="702" spans="1:12">
      <c r="A702" s="658"/>
      <c r="B702" s="658"/>
      <c r="C702" s="658"/>
      <c r="D702" s="658"/>
      <c r="E702" s="658"/>
      <c r="F702" s="655"/>
      <c r="G702" s="656"/>
      <c r="H702" s="657"/>
      <c r="I702" s="657"/>
      <c r="J702" s="657"/>
      <c r="K702" s="657"/>
      <c r="L702" s="657"/>
    </row>
    <row r="703" spans="1:12">
      <c r="A703" s="658" t="s">
        <v>359</v>
      </c>
      <c r="B703" s="658" t="s">
        <v>3601</v>
      </c>
      <c r="C703" s="658" t="s">
        <v>3976</v>
      </c>
      <c r="D703" s="658" t="s">
        <v>3975</v>
      </c>
      <c r="E703" s="658" t="s">
        <v>239</v>
      </c>
      <c r="F703" s="653"/>
      <c r="G703" s="654"/>
      <c r="H703" s="657">
        <v>1470</v>
      </c>
      <c r="I703" s="657">
        <f t="shared" ref="I703" si="604">H703</f>
        <v>1470</v>
      </c>
      <c r="J703" s="657"/>
      <c r="K703" s="657">
        <v>1470</v>
      </c>
      <c r="L703" s="657">
        <f t="shared" ref="L703" si="605">K703-I703</f>
        <v>0</v>
      </c>
    </row>
    <row r="704" spans="1:12">
      <c r="A704" s="658"/>
      <c r="B704" s="658"/>
      <c r="C704" s="658"/>
      <c r="D704" s="658"/>
      <c r="E704" s="658"/>
      <c r="F704" s="655"/>
      <c r="G704" s="656"/>
      <c r="H704" s="657"/>
      <c r="I704" s="657"/>
      <c r="J704" s="657"/>
      <c r="K704" s="657"/>
      <c r="L704" s="657"/>
    </row>
    <row r="705" spans="1:12">
      <c r="A705" s="658"/>
      <c r="B705" s="658"/>
      <c r="C705" s="658" t="s">
        <v>851</v>
      </c>
      <c r="D705" s="658" t="s">
        <v>3975</v>
      </c>
      <c r="E705" s="658" t="s">
        <v>3966</v>
      </c>
      <c r="F705" s="653"/>
      <c r="G705" s="654"/>
      <c r="H705" s="657">
        <v>20000</v>
      </c>
      <c r="I705" s="657">
        <v>658</v>
      </c>
      <c r="J705" s="657" t="s">
        <v>3969</v>
      </c>
      <c r="K705" s="657">
        <v>658</v>
      </c>
      <c r="L705" s="657">
        <f>K705-I705</f>
        <v>0</v>
      </c>
    </row>
    <row r="706" spans="1:12">
      <c r="A706" s="658"/>
      <c r="B706" s="658"/>
      <c r="C706" s="658"/>
      <c r="D706" s="658"/>
      <c r="E706" s="658"/>
      <c r="F706" s="655"/>
      <c r="G706" s="656"/>
      <c r="H706" s="657"/>
      <c r="I706" s="657"/>
      <c r="J706" s="657"/>
      <c r="K706" s="657"/>
      <c r="L706" s="657"/>
    </row>
    <row r="707" spans="1:12">
      <c r="A707" s="658"/>
      <c r="B707" s="658"/>
      <c r="C707" s="658" t="s">
        <v>879</v>
      </c>
      <c r="D707" s="658" t="s">
        <v>3967</v>
      </c>
      <c r="E707" s="658" t="s">
        <v>2348</v>
      </c>
      <c r="F707" s="653"/>
      <c r="G707" s="654"/>
      <c r="H707" s="657">
        <v>50</v>
      </c>
      <c r="I707" s="657">
        <f t="shared" ref="I707" si="606">H707</f>
        <v>50</v>
      </c>
      <c r="J707" s="657"/>
      <c r="K707" s="657">
        <v>50</v>
      </c>
      <c r="L707" s="657">
        <f t="shared" ref="L707" si="607">K707-I707</f>
        <v>0</v>
      </c>
    </row>
    <row r="708" spans="1:12">
      <c r="A708" s="658"/>
      <c r="B708" s="658"/>
      <c r="C708" s="658"/>
      <c r="D708" s="658"/>
      <c r="E708" s="658"/>
      <c r="F708" s="655"/>
      <c r="G708" s="656"/>
      <c r="H708" s="657"/>
      <c r="I708" s="657"/>
      <c r="J708" s="657"/>
      <c r="K708" s="657"/>
      <c r="L708" s="657"/>
    </row>
    <row r="709" spans="1:12">
      <c r="A709" s="658"/>
      <c r="B709" s="658"/>
      <c r="C709" s="658" t="s">
        <v>884</v>
      </c>
      <c r="D709" s="658" t="s">
        <v>3967</v>
      </c>
      <c r="E709" s="658" t="s">
        <v>3886</v>
      </c>
      <c r="F709" s="653"/>
      <c r="G709" s="654"/>
      <c r="H709" s="657">
        <v>550</v>
      </c>
      <c r="I709" s="657">
        <f t="shared" ref="I709" si="608">H709</f>
        <v>550</v>
      </c>
      <c r="J709" s="657"/>
      <c r="K709" s="657">
        <v>550</v>
      </c>
      <c r="L709" s="657">
        <f t="shared" ref="L709" si="609">K709-I709</f>
        <v>0</v>
      </c>
    </row>
    <row r="710" spans="1:12">
      <c r="A710" s="658"/>
      <c r="B710" s="658"/>
      <c r="C710" s="658"/>
      <c r="D710" s="658"/>
      <c r="E710" s="658"/>
      <c r="F710" s="655"/>
      <c r="G710" s="656"/>
      <c r="H710" s="657"/>
      <c r="I710" s="657"/>
      <c r="J710" s="657"/>
      <c r="K710" s="657"/>
      <c r="L710" s="657"/>
    </row>
    <row r="711" spans="1:12">
      <c r="A711" s="658"/>
      <c r="B711" s="658"/>
      <c r="C711" s="658" t="s">
        <v>885</v>
      </c>
      <c r="D711" s="658" t="s">
        <v>3967</v>
      </c>
      <c r="E711" s="658" t="s">
        <v>3025</v>
      </c>
      <c r="F711" s="653"/>
      <c r="G711" s="654"/>
      <c r="H711" s="657">
        <v>97</v>
      </c>
      <c r="I711" s="657">
        <f t="shared" ref="I711" si="610">H711</f>
        <v>97</v>
      </c>
      <c r="J711" s="657"/>
      <c r="K711" s="657"/>
      <c r="L711" s="657">
        <f t="shared" ref="L711" si="611">K711-I711</f>
        <v>-97</v>
      </c>
    </row>
    <row r="712" spans="1:12">
      <c r="A712" s="658"/>
      <c r="B712" s="658"/>
      <c r="C712" s="658"/>
      <c r="D712" s="658"/>
      <c r="E712" s="658"/>
      <c r="F712" s="655"/>
      <c r="G712" s="656"/>
      <c r="H712" s="657"/>
      <c r="I712" s="657"/>
      <c r="J712" s="657"/>
      <c r="K712" s="657"/>
      <c r="L712" s="657"/>
    </row>
    <row r="713" spans="1:12">
      <c r="A713" s="658" t="s">
        <v>360</v>
      </c>
      <c r="B713" s="658" t="s">
        <v>3281</v>
      </c>
      <c r="C713" s="658" t="s">
        <v>3983</v>
      </c>
      <c r="D713" s="658" t="s">
        <v>3982</v>
      </c>
      <c r="E713" s="658" t="s">
        <v>239</v>
      </c>
      <c r="F713" s="653"/>
      <c r="G713" s="654"/>
      <c r="H713" s="657">
        <v>45192</v>
      </c>
      <c r="I713" s="657">
        <v>1470</v>
      </c>
      <c r="J713" s="657"/>
      <c r="K713" s="657">
        <v>1470</v>
      </c>
      <c r="L713" s="657">
        <f t="shared" ref="L713" si="612">K713-I713</f>
        <v>0</v>
      </c>
    </row>
    <row r="714" spans="1:12">
      <c r="A714" s="658"/>
      <c r="B714" s="658"/>
      <c r="C714" s="658"/>
      <c r="D714" s="658"/>
      <c r="E714" s="658"/>
      <c r="F714" s="655"/>
      <c r="G714" s="656"/>
      <c r="H714" s="657"/>
      <c r="I714" s="657"/>
      <c r="J714" s="657"/>
      <c r="K714" s="657"/>
      <c r="L714" s="657"/>
    </row>
    <row r="715" spans="1:12">
      <c r="A715" s="658"/>
      <c r="B715" s="658"/>
      <c r="C715" s="658" t="s">
        <v>886</v>
      </c>
      <c r="D715" s="658" t="s">
        <v>3980</v>
      </c>
      <c r="E715" s="658" t="s">
        <v>1661</v>
      </c>
      <c r="F715" s="653"/>
      <c r="G715" s="654"/>
      <c r="H715" s="657">
        <v>250</v>
      </c>
      <c r="I715" s="657">
        <f t="shared" ref="I715" si="613">H715</f>
        <v>250</v>
      </c>
      <c r="J715" s="657"/>
      <c r="K715" s="657">
        <v>250</v>
      </c>
      <c r="L715" s="657">
        <f t="shared" ref="L715" si="614">K715-I715</f>
        <v>0</v>
      </c>
    </row>
    <row r="716" spans="1:12">
      <c r="A716" s="658"/>
      <c r="B716" s="658"/>
      <c r="C716" s="658"/>
      <c r="D716" s="658"/>
      <c r="E716" s="658"/>
      <c r="F716" s="655"/>
      <c r="G716" s="656"/>
      <c r="H716" s="657"/>
      <c r="I716" s="657"/>
      <c r="J716" s="657"/>
      <c r="K716" s="657"/>
      <c r="L716" s="657"/>
    </row>
    <row r="717" spans="1:12">
      <c r="A717" s="658"/>
      <c r="B717" s="658"/>
      <c r="C717" s="658" t="s">
        <v>893</v>
      </c>
      <c r="D717" s="658" t="s">
        <v>3980</v>
      </c>
      <c r="E717" s="658" t="s">
        <v>3257</v>
      </c>
      <c r="F717" s="653"/>
      <c r="G717" s="654"/>
      <c r="H717" s="657">
        <v>400</v>
      </c>
      <c r="I717" s="657">
        <f t="shared" ref="I717" si="615">H717</f>
        <v>400</v>
      </c>
      <c r="J717" s="657"/>
      <c r="K717" s="657">
        <v>400</v>
      </c>
      <c r="L717" s="657">
        <f t="shared" ref="L717" si="616">K717-I717</f>
        <v>0</v>
      </c>
    </row>
    <row r="718" spans="1:12">
      <c r="A718" s="658"/>
      <c r="B718" s="658"/>
      <c r="C718" s="658"/>
      <c r="D718" s="658"/>
      <c r="E718" s="658"/>
      <c r="F718" s="655"/>
      <c r="G718" s="656"/>
      <c r="H718" s="657"/>
      <c r="I718" s="657"/>
      <c r="J718" s="657"/>
      <c r="K718" s="657"/>
      <c r="L718" s="657"/>
    </row>
    <row r="719" spans="1:12">
      <c r="A719" s="658"/>
      <c r="B719" s="658"/>
      <c r="C719" s="658" t="s">
        <v>896</v>
      </c>
      <c r="D719" s="658" t="s">
        <v>3980</v>
      </c>
      <c r="E719" s="658" t="s">
        <v>2780</v>
      </c>
      <c r="F719" s="653"/>
      <c r="G719" s="654"/>
      <c r="H719" s="657">
        <v>480</v>
      </c>
      <c r="I719" s="657">
        <f t="shared" ref="I719" si="617">H719</f>
        <v>480</v>
      </c>
      <c r="J719" s="657"/>
      <c r="K719" s="657">
        <v>480</v>
      </c>
      <c r="L719" s="657">
        <f t="shared" ref="L719" si="618">K719-I719</f>
        <v>0</v>
      </c>
    </row>
    <row r="720" spans="1:12">
      <c r="A720" s="658"/>
      <c r="B720" s="658"/>
      <c r="C720" s="658"/>
      <c r="D720" s="658"/>
      <c r="E720" s="658"/>
      <c r="F720" s="655"/>
      <c r="G720" s="656"/>
      <c r="H720" s="657"/>
      <c r="I720" s="657"/>
      <c r="J720" s="657"/>
      <c r="K720" s="657"/>
      <c r="L720" s="657"/>
    </row>
    <row r="721" spans="1:12">
      <c r="A721" s="658" t="s">
        <v>361</v>
      </c>
      <c r="B721" s="658" t="s">
        <v>3008</v>
      </c>
      <c r="C721" s="658" t="s">
        <v>3985</v>
      </c>
      <c r="D721" s="658" t="s">
        <v>3984</v>
      </c>
      <c r="E721" s="658" t="s">
        <v>239</v>
      </c>
      <c r="F721" s="653"/>
      <c r="G721" s="654"/>
      <c r="H721" s="657">
        <v>1470</v>
      </c>
      <c r="I721" s="657">
        <f t="shared" ref="I721" si="619">H721</f>
        <v>1470</v>
      </c>
      <c r="J721" s="657"/>
      <c r="K721" s="657">
        <v>1470</v>
      </c>
      <c r="L721" s="657">
        <f t="shared" ref="L721" si="620">K721-I721</f>
        <v>0</v>
      </c>
    </row>
    <row r="722" spans="1:12">
      <c r="A722" s="658"/>
      <c r="B722" s="658"/>
      <c r="C722" s="658"/>
      <c r="D722" s="658"/>
      <c r="E722" s="658"/>
      <c r="F722" s="655"/>
      <c r="G722" s="656"/>
      <c r="H722" s="657"/>
      <c r="I722" s="657"/>
      <c r="J722" s="657"/>
      <c r="K722" s="657"/>
      <c r="L722" s="657"/>
    </row>
    <row r="723" spans="1:12">
      <c r="A723" s="658"/>
      <c r="B723" s="658"/>
      <c r="C723" s="658" t="s">
        <v>903</v>
      </c>
      <c r="D723" s="658" t="s">
        <v>3979</v>
      </c>
      <c r="E723" s="658" t="s">
        <v>3860</v>
      </c>
      <c r="F723" s="653"/>
      <c r="G723" s="654"/>
      <c r="H723" s="657">
        <v>350</v>
      </c>
      <c r="I723" s="657">
        <f t="shared" ref="I723" si="621">H723</f>
        <v>350</v>
      </c>
      <c r="J723" s="657"/>
      <c r="K723" s="657">
        <v>350</v>
      </c>
      <c r="L723" s="657">
        <f t="shared" ref="L723" si="622">K723-I723</f>
        <v>0</v>
      </c>
    </row>
    <row r="724" spans="1:12">
      <c r="A724" s="658"/>
      <c r="B724" s="658"/>
      <c r="C724" s="658"/>
      <c r="D724" s="658"/>
      <c r="E724" s="658"/>
      <c r="F724" s="655"/>
      <c r="G724" s="656"/>
      <c r="H724" s="657"/>
      <c r="I724" s="657"/>
      <c r="J724" s="657"/>
      <c r="K724" s="657"/>
      <c r="L724" s="657"/>
    </row>
    <row r="725" spans="1:12">
      <c r="A725" s="658"/>
      <c r="B725" s="658"/>
      <c r="C725" s="658" t="s">
        <v>910</v>
      </c>
      <c r="D725" s="658" t="s">
        <v>3979</v>
      </c>
      <c r="E725" s="658" t="s">
        <v>2843</v>
      </c>
      <c r="F725" s="653"/>
      <c r="G725" s="654"/>
      <c r="H725" s="657">
        <v>400</v>
      </c>
      <c r="I725" s="657">
        <f t="shared" ref="I725" si="623">H725</f>
        <v>400</v>
      </c>
      <c r="J725" s="657"/>
      <c r="K725" s="657">
        <v>400</v>
      </c>
      <c r="L725" s="657">
        <f t="shared" ref="L725" si="624">K725-I725</f>
        <v>0</v>
      </c>
    </row>
    <row r="726" spans="1:12">
      <c r="A726" s="658"/>
      <c r="B726" s="658"/>
      <c r="C726" s="658"/>
      <c r="D726" s="658"/>
      <c r="E726" s="658"/>
      <c r="F726" s="655"/>
      <c r="G726" s="656"/>
      <c r="H726" s="657"/>
      <c r="I726" s="657"/>
      <c r="J726" s="657"/>
      <c r="K726" s="657"/>
      <c r="L726" s="657"/>
    </row>
    <row r="727" spans="1:12">
      <c r="A727" s="658"/>
      <c r="B727" s="658"/>
      <c r="C727" s="658" t="s">
        <v>913</v>
      </c>
      <c r="D727" s="658" t="s">
        <v>3979</v>
      </c>
      <c r="E727" s="658" t="s">
        <v>3805</v>
      </c>
      <c r="F727" s="653"/>
      <c r="G727" s="654"/>
      <c r="H727" s="657">
        <v>100</v>
      </c>
      <c r="I727" s="657">
        <f t="shared" ref="I727" si="625">H727</f>
        <v>100</v>
      </c>
      <c r="J727" s="657"/>
      <c r="K727" s="657">
        <v>100</v>
      </c>
      <c r="L727" s="657">
        <f t="shared" ref="L727" si="626">K727-I727</f>
        <v>0</v>
      </c>
    </row>
    <row r="728" spans="1:12">
      <c r="A728" s="658"/>
      <c r="B728" s="658"/>
      <c r="C728" s="658"/>
      <c r="D728" s="658"/>
      <c r="E728" s="658"/>
      <c r="F728" s="655"/>
      <c r="G728" s="656"/>
      <c r="H728" s="657"/>
      <c r="I728" s="657"/>
      <c r="J728" s="657"/>
      <c r="K728" s="657"/>
      <c r="L728" s="657"/>
    </row>
    <row r="729" spans="1:12">
      <c r="A729" s="658"/>
      <c r="B729" s="658"/>
      <c r="C729" s="658" t="s">
        <v>914</v>
      </c>
      <c r="D729" s="658" t="s">
        <v>3979</v>
      </c>
      <c r="E729" s="658" t="s">
        <v>2723</v>
      </c>
      <c r="F729" s="653"/>
      <c r="G729" s="654"/>
      <c r="H729" s="657">
        <v>63</v>
      </c>
      <c r="I729" s="657">
        <f t="shared" ref="I729" si="627">H729</f>
        <v>63</v>
      </c>
      <c r="J729" s="657"/>
      <c r="K729" s="657"/>
      <c r="L729" s="657">
        <f t="shared" ref="L729" si="628">K729-I729</f>
        <v>-63</v>
      </c>
    </row>
    <row r="730" spans="1:12">
      <c r="A730" s="658"/>
      <c r="B730" s="658"/>
      <c r="C730" s="658"/>
      <c r="D730" s="658"/>
      <c r="E730" s="658"/>
      <c r="F730" s="655"/>
      <c r="G730" s="656"/>
      <c r="H730" s="657"/>
      <c r="I730" s="657"/>
      <c r="J730" s="657"/>
      <c r="K730" s="657"/>
      <c r="L730" s="657"/>
    </row>
    <row r="731" spans="1:12">
      <c r="A731" s="658" t="s">
        <v>363</v>
      </c>
      <c r="B731" s="658" t="s">
        <v>3601</v>
      </c>
      <c r="C731" s="658" t="s">
        <v>3986</v>
      </c>
      <c r="D731" s="658" t="s">
        <v>3982</v>
      </c>
      <c r="E731" s="658" t="s">
        <v>239</v>
      </c>
      <c r="F731" s="653"/>
      <c r="G731" s="654"/>
      <c r="H731" s="657">
        <v>45192</v>
      </c>
      <c r="I731" s="657">
        <v>1470</v>
      </c>
      <c r="J731" s="657"/>
      <c r="K731" s="657">
        <v>1470</v>
      </c>
      <c r="L731" s="657">
        <f t="shared" ref="L731" si="629">K731-I731</f>
        <v>0</v>
      </c>
    </row>
    <row r="732" spans="1:12">
      <c r="A732" s="658"/>
      <c r="B732" s="658"/>
      <c r="C732" s="658"/>
      <c r="D732" s="658"/>
      <c r="E732" s="658"/>
      <c r="F732" s="655"/>
      <c r="G732" s="656"/>
      <c r="H732" s="657"/>
      <c r="I732" s="657"/>
      <c r="J732" s="657"/>
      <c r="K732" s="657"/>
      <c r="L732" s="657"/>
    </row>
    <row r="733" spans="1:12">
      <c r="A733" s="658"/>
      <c r="B733" s="658"/>
      <c r="C733" s="658" t="s">
        <v>918</v>
      </c>
      <c r="D733" s="658" t="s">
        <v>2415</v>
      </c>
      <c r="E733" s="658" t="s">
        <v>3977</v>
      </c>
      <c r="F733" s="653"/>
      <c r="G733" s="654"/>
      <c r="H733" s="657">
        <v>800</v>
      </c>
      <c r="I733" s="657">
        <f t="shared" ref="I733" si="630">H733</f>
        <v>800</v>
      </c>
      <c r="J733" s="657"/>
      <c r="K733" s="657">
        <v>800</v>
      </c>
      <c r="L733" s="657">
        <f t="shared" ref="L733" si="631">K733-I733</f>
        <v>0</v>
      </c>
    </row>
    <row r="734" spans="1:12">
      <c r="A734" s="658"/>
      <c r="B734" s="658"/>
      <c r="C734" s="658"/>
      <c r="D734" s="658"/>
      <c r="E734" s="658"/>
      <c r="F734" s="655"/>
      <c r="G734" s="656"/>
      <c r="H734" s="657"/>
      <c r="I734" s="657"/>
      <c r="J734" s="657"/>
      <c r="K734" s="657"/>
      <c r="L734" s="657"/>
    </row>
    <row r="735" spans="1:12">
      <c r="A735" s="658"/>
      <c r="B735" s="658"/>
      <c r="C735" s="658" t="s">
        <v>921</v>
      </c>
      <c r="D735" s="658" t="s">
        <v>2415</v>
      </c>
      <c r="E735" s="658" t="s">
        <v>3978</v>
      </c>
      <c r="F735" s="653"/>
      <c r="G735" s="654"/>
      <c r="H735" s="657">
        <v>400</v>
      </c>
      <c r="I735" s="657">
        <f t="shared" ref="I735" si="632">H735</f>
        <v>400</v>
      </c>
      <c r="J735" s="657"/>
      <c r="K735" s="657">
        <v>400</v>
      </c>
      <c r="L735" s="657">
        <f t="shared" ref="L735" si="633">K735-I735</f>
        <v>0</v>
      </c>
    </row>
    <row r="736" spans="1:12">
      <c r="A736" s="658"/>
      <c r="B736" s="658"/>
      <c r="C736" s="658"/>
      <c r="D736" s="658"/>
      <c r="E736" s="658"/>
      <c r="F736" s="655"/>
      <c r="G736" s="656"/>
      <c r="H736" s="657"/>
      <c r="I736" s="657"/>
      <c r="J736" s="657"/>
      <c r="K736" s="657"/>
      <c r="L736" s="657"/>
    </row>
    <row r="737" spans="1:13">
      <c r="A737" s="658" t="s">
        <v>382</v>
      </c>
      <c r="B737" s="658" t="s">
        <v>3298</v>
      </c>
      <c r="C737" s="658" t="s">
        <v>3987</v>
      </c>
      <c r="D737" s="658" t="s">
        <v>2415</v>
      </c>
      <c r="E737" s="658" t="s">
        <v>239</v>
      </c>
      <c r="F737" s="653"/>
      <c r="G737" s="654"/>
      <c r="H737" s="657">
        <v>1470</v>
      </c>
      <c r="I737" s="657">
        <f t="shared" ref="I737" si="634">H737</f>
        <v>1470</v>
      </c>
      <c r="J737" s="657"/>
      <c r="K737" s="657">
        <v>1470</v>
      </c>
      <c r="L737" s="657">
        <f t="shared" ref="L737" si="635">K737-I737</f>
        <v>0</v>
      </c>
    </row>
    <row r="738" spans="1:13">
      <c r="A738" s="658"/>
      <c r="B738" s="658"/>
      <c r="C738" s="658"/>
      <c r="D738" s="658"/>
      <c r="E738" s="658"/>
      <c r="F738" s="655"/>
      <c r="G738" s="656"/>
      <c r="H738" s="657"/>
      <c r="I738" s="657"/>
      <c r="J738" s="657"/>
      <c r="K738" s="657"/>
      <c r="L738" s="657"/>
    </row>
    <row r="739" spans="1:13">
      <c r="A739" s="658"/>
      <c r="B739" s="658"/>
      <c r="C739" s="658" t="s">
        <v>922</v>
      </c>
      <c r="D739" s="658" t="s">
        <v>3980</v>
      </c>
      <c r="E739" s="658" t="s">
        <v>3309</v>
      </c>
      <c r="F739" s="653"/>
      <c r="G739" s="654"/>
      <c r="H739" s="657">
        <v>420</v>
      </c>
      <c r="I739" s="657">
        <f t="shared" ref="I739" si="636">H739</f>
        <v>420</v>
      </c>
      <c r="J739" s="657"/>
      <c r="K739" s="657">
        <v>420</v>
      </c>
      <c r="L739" s="657">
        <f t="shared" ref="L739" si="637">K739-I739</f>
        <v>0</v>
      </c>
    </row>
    <row r="740" spans="1:13">
      <c r="A740" s="658"/>
      <c r="B740" s="658"/>
      <c r="C740" s="658"/>
      <c r="D740" s="658"/>
      <c r="E740" s="658"/>
      <c r="F740" s="655"/>
      <c r="G740" s="656"/>
      <c r="H740" s="657"/>
      <c r="I740" s="657"/>
      <c r="J740" s="657"/>
      <c r="K740" s="657"/>
      <c r="L740" s="657"/>
    </row>
    <row r="741" spans="1:13">
      <c r="A741" s="658"/>
      <c r="B741" s="658"/>
      <c r="C741" s="658" t="s">
        <v>927</v>
      </c>
      <c r="D741" s="658" t="s">
        <v>3980</v>
      </c>
      <c r="E741" s="658" t="s">
        <v>3025</v>
      </c>
      <c r="F741" s="653"/>
      <c r="G741" s="654"/>
      <c r="H741" s="657">
        <v>97</v>
      </c>
      <c r="I741" s="657">
        <f t="shared" ref="I741" si="638">H741</f>
        <v>97</v>
      </c>
      <c r="J741" s="657"/>
      <c r="K741" s="657"/>
      <c r="L741" s="657">
        <f t="shared" ref="L741" si="639">K741-I741</f>
        <v>-97</v>
      </c>
    </row>
    <row r="742" spans="1:13">
      <c r="A742" s="658"/>
      <c r="B742" s="658"/>
      <c r="C742" s="658"/>
      <c r="D742" s="658"/>
      <c r="E742" s="658"/>
      <c r="F742" s="655"/>
      <c r="G742" s="656"/>
      <c r="H742" s="657"/>
      <c r="I742" s="657"/>
      <c r="J742" s="657"/>
      <c r="K742" s="657"/>
      <c r="L742" s="657"/>
    </row>
    <row r="743" spans="1:13">
      <c r="A743" s="771" t="s">
        <v>640</v>
      </c>
      <c r="B743" s="772"/>
      <c r="C743" s="772"/>
      <c r="D743" s="772"/>
      <c r="E743" s="772"/>
      <c r="F743" s="772"/>
      <c r="G743" s="772"/>
      <c r="H743" s="772"/>
      <c r="I743" s="772"/>
      <c r="J743" s="772"/>
      <c r="K743" s="772"/>
      <c r="L743" s="773"/>
    </row>
    <row r="744" spans="1:13">
      <c r="A744" s="774"/>
      <c r="B744" s="775"/>
      <c r="C744" s="775"/>
      <c r="D744" s="775"/>
      <c r="E744" s="775"/>
      <c r="F744" s="775"/>
      <c r="G744" s="775"/>
      <c r="H744" s="775"/>
      <c r="I744" s="775"/>
      <c r="J744" s="775"/>
      <c r="K744" s="775"/>
      <c r="L744" s="776"/>
    </row>
    <row r="745" spans="1:13">
      <c r="A745" s="658" t="s">
        <v>366</v>
      </c>
      <c r="B745" s="658" t="s">
        <v>3601</v>
      </c>
      <c r="C745" s="658" t="s">
        <v>3996</v>
      </c>
      <c r="D745" s="658" t="s">
        <v>3995</v>
      </c>
      <c r="E745" s="658" t="s">
        <v>239</v>
      </c>
      <c r="F745" s="653"/>
      <c r="G745" s="654"/>
      <c r="H745" s="657">
        <v>45411</v>
      </c>
      <c r="I745" s="657">
        <v>1470</v>
      </c>
      <c r="J745" s="657"/>
      <c r="K745" s="657">
        <v>1470</v>
      </c>
      <c r="L745" s="657">
        <f t="shared" ref="L745" si="640">K745-I745</f>
        <v>0</v>
      </c>
    </row>
    <row r="746" spans="1:13">
      <c r="A746" s="658"/>
      <c r="B746" s="658"/>
      <c r="C746" s="658"/>
      <c r="D746" s="658"/>
      <c r="E746" s="658"/>
      <c r="F746" s="655"/>
      <c r="G746" s="656"/>
      <c r="H746" s="657"/>
      <c r="I746" s="657"/>
      <c r="J746" s="657"/>
      <c r="K746" s="657"/>
      <c r="L746" s="657"/>
      <c r="M746">
        <f>SUM(I745:I846,I853,I863)</f>
        <v>38754</v>
      </c>
    </row>
    <row r="747" spans="1:13">
      <c r="A747" s="658"/>
      <c r="B747" s="658"/>
      <c r="C747" s="658" t="s">
        <v>928</v>
      </c>
      <c r="D747" s="658" t="s">
        <v>3989</v>
      </c>
      <c r="E747" s="658" t="s">
        <v>1140</v>
      </c>
      <c r="F747" s="653"/>
      <c r="G747" s="654"/>
      <c r="H747" s="657">
        <v>900</v>
      </c>
      <c r="I747" s="657">
        <f t="shared" ref="I747" si="641">H747</f>
        <v>900</v>
      </c>
      <c r="J747" s="657"/>
      <c r="K747" s="657">
        <v>900</v>
      </c>
      <c r="L747" s="657">
        <f t="shared" ref="L747" si="642">K747-I747</f>
        <v>0</v>
      </c>
    </row>
    <row r="748" spans="1:13">
      <c r="A748" s="658"/>
      <c r="B748" s="658"/>
      <c r="C748" s="658"/>
      <c r="D748" s="658"/>
      <c r="E748" s="658"/>
      <c r="F748" s="655"/>
      <c r="G748" s="656"/>
      <c r="H748" s="657"/>
      <c r="I748" s="657"/>
      <c r="J748" s="657"/>
      <c r="K748" s="657"/>
      <c r="L748" s="657"/>
      <c r="M748" s="6" t="s">
        <v>4105</v>
      </c>
    </row>
    <row r="749" spans="1:13">
      <c r="A749" s="658"/>
      <c r="B749" s="658"/>
      <c r="C749" s="658" t="s">
        <v>941</v>
      </c>
      <c r="D749" s="658" t="s">
        <v>3989</v>
      </c>
      <c r="E749" s="658" t="s">
        <v>2723</v>
      </c>
      <c r="F749" s="653"/>
      <c r="G749" s="654"/>
      <c r="H749" s="657">
        <v>370</v>
      </c>
      <c r="I749" s="657">
        <f t="shared" ref="I749" si="643">H749</f>
        <v>370</v>
      </c>
      <c r="J749" s="657"/>
      <c r="K749" s="657"/>
      <c r="L749" s="657">
        <f t="shared" ref="L749" si="644">K749-I749</f>
        <v>-370</v>
      </c>
      <c r="M749" s="6" t="s">
        <v>4145</v>
      </c>
    </row>
    <row r="750" spans="1:13">
      <c r="A750" s="658"/>
      <c r="B750" s="658"/>
      <c r="C750" s="658"/>
      <c r="D750" s="658"/>
      <c r="E750" s="658"/>
      <c r="F750" s="655"/>
      <c r="G750" s="656"/>
      <c r="H750" s="657"/>
      <c r="I750" s="657"/>
      <c r="J750" s="657"/>
      <c r="K750" s="657"/>
      <c r="L750" s="657"/>
    </row>
    <row r="751" spans="1:13">
      <c r="A751" s="658"/>
      <c r="B751" s="658"/>
      <c r="C751" s="658" t="s">
        <v>944</v>
      </c>
      <c r="D751" s="658" t="s">
        <v>3989</v>
      </c>
      <c r="E751" s="658" t="s">
        <v>2348</v>
      </c>
      <c r="F751" s="653"/>
      <c r="G751" s="654"/>
      <c r="H751" s="657">
        <v>50</v>
      </c>
      <c r="I751" s="657">
        <f t="shared" ref="I751" si="645">H751</f>
        <v>50</v>
      </c>
      <c r="J751" s="657"/>
      <c r="K751" s="657">
        <v>50</v>
      </c>
      <c r="L751" s="657">
        <f t="shared" ref="L751" si="646">K751-I751</f>
        <v>0</v>
      </c>
    </row>
    <row r="752" spans="1:13">
      <c r="A752" s="658"/>
      <c r="B752" s="658"/>
      <c r="C752" s="658"/>
      <c r="D752" s="658"/>
      <c r="E752" s="658"/>
      <c r="F752" s="655"/>
      <c r="G752" s="656"/>
      <c r="H752" s="657"/>
      <c r="I752" s="657"/>
      <c r="J752" s="657"/>
      <c r="K752" s="657"/>
      <c r="L752" s="657"/>
    </row>
    <row r="753" spans="1:12">
      <c r="A753" s="658" t="s">
        <v>367</v>
      </c>
      <c r="B753" s="658" t="s">
        <v>3281</v>
      </c>
      <c r="C753" s="658" t="s">
        <v>3998</v>
      </c>
      <c r="D753" s="658" t="s">
        <v>3997</v>
      </c>
      <c r="E753" s="658" t="s">
        <v>239</v>
      </c>
      <c r="F753" s="653"/>
      <c r="G753" s="654"/>
      <c r="H753" s="657">
        <v>1470</v>
      </c>
      <c r="I753" s="657">
        <f t="shared" ref="I753" si="647">H753</f>
        <v>1470</v>
      </c>
      <c r="J753" s="657"/>
      <c r="K753" s="657">
        <v>1470</v>
      </c>
      <c r="L753" s="657">
        <f t="shared" ref="L753" si="648">K753-I753</f>
        <v>0</v>
      </c>
    </row>
    <row r="754" spans="1:12">
      <c r="A754" s="658"/>
      <c r="B754" s="658"/>
      <c r="C754" s="658"/>
      <c r="D754" s="658"/>
      <c r="E754" s="658"/>
      <c r="F754" s="655"/>
      <c r="G754" s="656"/>
      <c r="H754" s="657"/>
      <c r="I754" s="657"/>
      <c r="J754" s="657"/>
      <c r="K754" s="657"/>
      <c r="L754" s="657"/>
    </row>
    <row r="755" spans="1:12">
      <c r="A755" s="658"/>
      <c r="B755" s="658"/>
      <c r="C755" s="658" t="s">
        <v>945</v>
      </c>
      <c r="D755" s="658" t="s">
        <v>3991</v>
      </c>
      <c r="E755" s="658" t="s">
        <v>2376</v>
      </c>
      <c r="F755" s="653"/>
      <c r="G755" s="654"/>
      <c r="H755" s="657">
        <v>60</v>
      </c>
      <c r="I755" s="657">
        <f t="shared" ref="I755" si="649">H755</f>
        <v>60</v>
      </c>
      <c r="J755" s="657"/>
      <c r="K755" s="657"/>
      <c r="L755" s="657">
        <f t="shared" ref="L755" si="650">K755-I755</f>
        <v>-60</v>
      </c>
    </row>
    <row r="756" spans="1:12">
      <c r="A756" s="658"/>
      <c r="B756" s="658"/>
      <c r="C756" s="658"/>
      <c r="D756" s="658"/>
      <c r="E756" s="658"/>
      <c r="F756" s="655"/>
      <c r="G756" s="656"/>
      <c r="H756" s="657"/>
      <c r="I756" s="657"/>
      <c r="J756" s="657"/>
      <c r="K756" s="657"/>
      <c r="L756" s="657"/>
    </row>
    <row r="757" spans="1:12">
      <c r="A757" s="658"/>
      <c r="B757" s="658"/>
      <c r="C757" s="658" t="s">
        <v>946</v>
      </c>
      <c r="D757" s="658" t="s">
        <v>3992</v>
      </c>
      <c r="E757" s="658" t="s">
        <v>2375</v>
      </c>
      <c r="F757" s="653"/>
      <c r="G757" s="654"/>
      <c r="H757" s="657">
        <v>40</v>
      </c>
      <c r="I757" s="657">
        <f t="shared" ref="I757" si="651">H757</f>
        <v>40</v>
      </c>
      <c r="J757" s="657"/>
      <c r="K757" s="657">
        <v>40</v>
      </c>
      <c r="L757" s="657">
        <f t="shared" ref="L757" si="652">K757-I757</f>
        <v>0</v>
      </c>
    </row>
    <row r="758" spans="1:12">
      <c r="A758" s="658"/>
      <c r="B758" s="658"/>
      <c r="C758" s="658"/>
      <c r="D758" s="658"/>
      <c r="E758" s="658"/>
      <c r="F758" s="655"/>
      <c r="G758" s="656"/>
      <c r="H758" s="657"/>
      <c r="I758" s="657"/>
      <c r="J758" s="657"/>
      <c r="K758" s="657"/>
      <c r="L758" s="657"/>
    </row>
    <row r="759" spans="1:12">
      <c r="A759" s="658"/>
      <c r="B759" s="658"/>
      <c r="C759" s="658" t="s">
        <v>948</v>
      </c>
      <c r="D759" s="658" t="s">
        <v>3991</v>
      </c>
      <c r="E759" s="658" t="s">
        <v>3025</v>
      </c>
      <c r="F759" s="653"/>
      <c r="G759" s="654"/>
      <c r="H759" s="657">
        <v>98</v>
      </c>
      <c r="I759" s="657">
        <f t="shared" ref="I759" si="653">H759</f>
        <v>98</v>
      </c>
      <c r="J759" s="657"/>
      <c r="K759" s="657"/>
      <c r="L759" s="657">
        <f t="shared" ref="L759" si="654">K759-I759</f>
        <v>-98</v>
      </c>
    </row>
    <row r="760" spans="1:12">
      <c r="A760" s="658"/>
      <c r="B760" s="658"/>
      <c r="C760" s="658"/>
      <c r="D760" s="658"/>
      <c r="E760" s="658"/>
      <c r="F760" s="655"/>
      <c r="G760" s="656"/>
      <c r="H760" s="657"/>
      <c r="I760" s="657"/>
      <c r="J760" s="657"/>
      <c r="K760" s="657"/>
      <c r="L760" s="657"/>
    </row>
    <row r="761" spans="1:12">
      <c r="A761" s="658" t="s">
        <v>368</v>
      </c>
      <c r="B761" s="658" t="s">
        <v>3298</v>
      </c>
      <c r="C761" s="658" t="s">
        <v>4000</v>
      </c>
      <c r="D761" s="658" t="s">
        <v>3999</v>
      </c>
      <c r="E761" s="658" t="s">
        <v>239</v>
      </c>
      <c r="F761" s="653"/>
      <c r="G761" s="654"/>
      <c r="H761" s="657">
        <v>45645</v>
      </c>
      <c r="I761" s="657">
        <v>1470</v>
      </c>
      <c r="J761" s="657"/>
      <c r="K761" s="657">
        <v>45645</v>
      </c>
      <c r="L761" s="657">
        <f t="shared" ref="L761" si="655">K761-I761</f>
        <v>44175</v>
      </c>
    </row>
    <row r="762" spans="1:12">
      <c r="A762" s="658"/>
      <c r="B762" s="658"/>
      <c r="C762" s="658"/>
      <c r="D762" s="658"/>
      <c r="E762" s="658"/>
      <c r="F762" s="655"/>
      <c r="G762" s="656"/>
      <c r="H762" s="657"/>
      <c r="I762" s="657"/>
      <c r="J762" s="657"/>
      <c r="K762" s="657"/>
      <c r="L762" s="657"/>
    </row>
    <row r="763" spans="1:12">
      <c r="A763" s="658"/>
      <c r="B763" s="658"/>
      <c r="C763" s="658" t="s">
        <v>958</v>
      </c>
      <c r="D763" s="658" t="s">
        <v>3991</v>
      </c>
      <c r="E763" s="658" t="s">
        <v>3990</v>
      </c>
      <c r="F763" s="653"/>
      <c r="G763" s="654"/>
      <c r="H763" s="657">
        <v>1150</v>
      </c>
      <c r="I763" s="657">
        <f t="shared" ref="I763" si="656">H763</f>
        <v>1150</v>
      </c>
      <c r="J763" s="657"/>
      <c r="K763" s="657">
        <v>1150</v>
      </c>
      <c r="L763" s="657">
        <f t="shared" ref="L763" si="657">K763-I763</f>
        <v>0</v>
      </c>
    </row>
    <row r="764" spans="1:12">
      <c r="A764" s="658"/>
      <c r="B764" s="658"/>
      <c r="C764" s="658"/>
      <c r="D764" s="658"/>
      <c r="E764" s="658"/>
      <c r="F764" s="655"/>
      <c r="G764" s="656"/>
      <c r="H764" s="657"/>
      <c r="I764" s="657"/>
      <c r="J764" s="657"/>
      <c r="K764" s="657"/>
      <c r="L764" s="657"/>
    </row>
    <row r="765" spans="1:12">
      <c r="A765" s="658" t="s">
        <v>1321</v>
      </c>
      <c r="B765" s="658" t="s">
        <v>3601</v>
      </c>
      <c r="C765" s="658" t="s">
        <v>4002</v>
      </c>
      <c r="D765" s="658" t="s">
        <v>3991</v>
      </c>
      <c r="E765" s="658" t="s">
        <v>239</v>
      </c>
      <c r="F765" s="653"/>
      <c r="G765" s="654"/>
      <c r="H765" s="657">
        <v>45467</v>
      </c>
      <c r="I765" s="657">
        <v>1470</v>
      </c>
      <c r="J765" s="657"/>
      <c r="K765" s="657">
        <v>1470</v>
      </c>
      <c r="L765" s="657">
        <f t="shared" ref="L765" si="658">K765-I765</f>
        <v>0</v>
      </c>
    </row>
    <row r="766" spans="1:12">
      <c r="A766" s="658"/>
      <c r="B766" s="658"/>
      <c r="C766" s="658"/>
      <c r="D766" s="658"/>
      <c r="E766" s="658"/>
      <c r="F766" s="655"/>
      <c r="G766" s="656"/>
      <c r="H766" s="657"/>
      <c r="I766" s="657"/>
      <c r="J766" s="657"/>
      <c r="K766" s="657"/>
      <c r="L766" s="657"/>
    </row>
    <row r="767" spans="1:12">
      <c r="A767" s="658"/>
      <c r="B767" s="658"/>
      <c r="C767" s="658" t="s">
        <v>963</v>
      </c>
      <c r="D767" s="658" t="s">
        <v>4001</v>
      </c>
      <c r="E767" s="658" t="s">
        <v>2723</v>
      </c>
      <c r="F767" s="653"/>
      <c r="G767" s="654"/>
      <c r="H767" s="657">
        <v>20</v>
      </c>
      <c r="I767" s="657">
        <f t="shared" ref="I767" si="659">H767</f>
        <v>20</v>
      </c>
      <c r="J767" s="657"/>
      <c r="K767" s="657"/>
      <c r="L767" s="657">
        <f t="shared" ref="L767" si="660">K767-I767</f>
        <v>-20</v>
      </c>
    </row>
    <row r="768" spans="1:12">
      <c r="A768" s="658"/>
      <c r="B768" s="658"/>
      <c r="C768" s="658"/>
      <c r="D768" s="658"/>
      <c r="E768" s="658"/>
      <c r="F768" s="655"/>
      <c r="G768" s="656"/>
      <c r="H768" s="657"/>
      <c r="I768" s="657"/>
      <c r="J768" s="657"/>
      <c r="K768" s="657"/>
      <c r="L768" s="657"/>
    </row>
    <row r="769" spans="1:12">
      <c r="A769" s="658"/>
      <c r="B769" s="658"/>
      <c r="C769" s="658" t="s">
        <v>968</v>
      </c>
      <c r="D769" s="658" t="s">
        <v>4001</v>
      </c>
      <c r="E769" s="658" t="s">
        <v>2723</v>
      </c>
      <c r="F769" s="653"/>
      <c r="G769" s="654"/>
      <c r="H769" s="657">
        <v>580</v>
      </c>
      <c r="I769" s="657">
        <f t="shared" ref="I769" si="661">H769</f>
        <v>580</v>
      </c>
      <c r="J769" s="657"/>
      <c r="K769" s="657"/>
      <c r="L769" s="657">
        <f t="shared" ref="L769" si="662">K769-I769</f>
        <v>-580</v>
      </c>
    </row>
    <row r="770" spans="1:12">
      <c r="A770" s="658"/>
      <c r="B770" s="658"/>
      <c r="C770" s="658"/>
      <c r="D770" s="658"/>
      <c r="E770" s="658"/>
      <c r="F770" s="655"/>
      <c r="G770" s="656"/>
      <c r="H770" s="657"/>
      <c r="I770" s="657"/>
      <c r="J770" s="657"/>
      <c r="K770" s="657"/>
      <c r="L770" s="657"/>
    </row>
    <row r="771" spans="1:12">
      <c r="A771" s="658" t="s">
        <v>369</v>
      </c>
      <c r="B771" s="658" t="s">
        <v>3281</v>
      </c>
      <c r="C771" s="658" t="s">
        <v>4033</v>
      </c>
      <c r="D771" s="658" t="s">
        <v>4031</v>
      </c>
      <c r="E771" s="658" t="s">
        <v>239</v>
      </c>
      <c r="F771" s="653"/>
      <c r="G771" s="654"/>
      <c r="H771" s="657">
        <v>1470</v>
      </c>
      <c r="I771" s="657">
        <f t="shared" ref="I771" si="663">H771</f>
        <v>1470</v>
      </c>
      <c r="J771" s="657"/>
      <c r="K771" s="657">
        <v>1470</v>
      </c>
      <c r="L771" s="657">
        <f t="shared" ref="L771" si="664">K771-I771</f>
        <v>0</v>
      </c>
    </row>
    <row r="772" spans="1:12">
      <c r="A772" s="658"/>
      <c r="B772" s="658"/>
      <c r="C772" s="658"/>
      <c r="D772" s="658"/>
      <c r="E772" s="658"/>
      <c r="F772" s="655"/>
      <c r="G772" s="656"/>
      <c r="H772" s="657"/>
      <c r="I772" s="657"/>
      <c r="J772" s="657"/>
      <c r="K772" s="657"/>
      <c r="L772" s="657"/>
    </row>
    <row r="773" spans="1:12">
      <c r="A773" s="658"/>
      <c r="B773" s="658"/>
      <c r="C773" s="658" t="s">
        <v>959</v>
      </c>
      <c r="D773" s="658" t="s">
        <v>4030</v>
      </c>
      <c r="E773" s="658" t="s">
        <v>2723</v>
      </c>
      <c r="F773" s="653"/>
      <c r="G773" s="654"/>
      <c r="H773" s="657">
        <v>520</v>
      </c>
      <c r="I773" s="657">
        <f t="shared" ref="I773" si="665">H773</f>
        <v>520</v>
      </c>
      <c r="J773" s="657"/>
      <c r="K773" s="657"/>
      <c r="L773" s="657">
        <f t="shared" ref="L773" si="666">K773-I773</f>
        <v>-520</v>
      </c>
    </row>
    <row r="774" spans="1:12">
      <c r="A774" s="658"/>
      <c r="B774" s="658"/>
      <c r="C774" s="658"/>
      <c r="D774" s="658"/>
      <c r="E774" s="658"/>
      <c r="F774" s="655"/>
      <c r="G774" s="656"/>
      <c r="H774" s="657"/>
      <c r="I774" s="657"/>
      <c r="J774" s="657"/>
      <c r="K774" s="657"/>
      <c r="L774" s="657"/>
    </row>
    <row r="775" spans="1:12">
      <c r="A775" s="658"/>
      <c r="B775" s="658"/>
      <c r="C775" s="658" t="s">
        <v>960</v>
      </c>
      <c r="D775" s="658" t="s">
        <v>4030</v>
      </c>
      <c r="E775" s="658" t="s">
        <v>4003</v>
      </c>
      <c r="F775" s="653"/>
      <c r="G775" s="654"/>
      <c r="H775" s="657">
        <v>300</v>
      </c>
      <c r="I775" s="657">
        <f t="shared" ref="I775" si="667">H775</f>
        <v>300</v>
      </c>
      <c r="J775" s="657"/>
      <c r="K775" s="657">
        <v>300</v>
      </c>
      <c r="L775" s="657">
        <f t="shared" ref="L775" si="668">K775-I775</f>
        <v>0</v>
      </c>
    </row>
    <row r="776" spans="1:12">
      <c r="A776" s="658"/>
      <c r="B776" s="658"/>
      <c r="C776" s="658"/>
      <c r="D776" s="658"/>
      <c r="E776" s="658"/>
      <c r="F776" s="655"/>
      <c r="G776" s="656"/>
      <c r="H776" s="657"/>
      <c r="I776" s="657"/>
      <c r="J776" s="657"/>
      <c r="K776" s="657"/>
      <c r="L776" s="657"/>
    </row>
    <row r="777" spans="1:12">
      <c r="A777" s="627"/>
      <c r="B777" s="658"/>
      <c r="C777" s="658" t="s">
        <v>962</v>
      </c>
      <c r="D777" s="658" t="s">
        <v>4030</v>
      </c>
      <c r="E777" s="658" t="s">
        <v>4004</v>
      </c>
      <c r="F777" s="653"/>
      <c r="G777" s="654"/>
      <c r="H777" s="657">
        <v>350</v>
      </c>
      <c r="I777" s="657">
        <f t="shared" ref="I777" si="669">H777</f>
        <v>350</v>
      </c>
      <c r="J777" s="657"/>
      <c r="K777" s="657">
        <v>350</v>
      </c>
      <c r="L777" s="657">
        <f t="shared" ref="L777" si="670">K777-I777</f>
        <v>0</v>
      </c>
    </row>
    <row r="778" spans="1:12">
      <c r="A778" s="627"/>
      <c r="B778" s="658"/>
      <c r="C778" s="658"/>
      <c r="D778" s="658"/>
      <c r="E778" s="658"/>
      <c r="F778" s="655"/>
      <c r="G778" s="656"/>
      <c r="H778" s="657"/>
      <c r="I778" s="657"/>
      <c r="J778" s="657"/>
      <c r="K778" s="657"/>
      <c r="L778" s="657"/>
    </row>
    <row r="779" spans="1:12">
      <c r="A779" s="658" t="s">
        <v>371</v>
      </c>
      <c r="B779" s="658" t="s">
        <v>3298</v>
      </c>
      <c r="C779" s="658" t="s">
        <v>4032</v>
      </c>
      <c r="D779" s="658" t="s">
        <v>4031</v>
      </c>
      <c r="E779" s="658" t="s">
        <v>239</v>
      </c>
      <c r="F779" s="653"/>
      <c r="G779" s="654"/>
      <c r="H779" s="657">
        <v>45154</v>
      </c>
      <c r="I779" s="657">
        <v>1470</v>
      </c>
      <c r="J779" s="657"/>
      <c r="K779" s="657"/>
      <c r="L779" s="657">
        <f t="shared" ref="L779" si="671">K779-I779</f>
        <v>-1470</v>
      </c>
    </row>
    <row r="780" spans="1:12">
      <c r="A780" s="658"/>
      <c r="B780" s="658"/>
      <c r="C780" s="658"/>
      <c r="D780" s="658"/>
      <c r="E780" s="658"/>
      <c r="F780" s="655"/>
      <c r="G780" s="656"/>
      <c r="H780" s="657"/>
      <c r="I780" s="657"/>
      <c r="J780" s="657"/>
      <c r="K780" s="657"/>
      <c r="L780" s="657"/>
    </row>
    <row r="781" spans="1:12">
      <c r="A781" s="658"/>
      <c r="B781" s="658"/>
      <c r="C781" s="658" t="s">
        <v>969</v>
      </c>
      <c r="D781" s="658" t="s">
        <v>4030</v>
      </c>
      <c r="E781" s="658" t="s">
        <v>3025</v>
      </c>
      <c r="F781" s="653"/>
      <c r="G781" s="654"/>
      <c r="H781" s="657">
        <v>97</v>
      </c>
      <c r="I781" s="657">
        <f t="shared" ref="I781" si="672">H781</f>
        <v>97</v>
      </c>
      <c r="J781" s="657"/>
      <c r="K781" s="657"/>
      <c r="L781" s="657">
        <f t="shared" ref="L781" si="673">K781-I781</f>
        <v>-97</v>
      </c>
    </row>
    <row r="782" spans="1:12">
      <c r="A782" s="658"/>
      <c r="B782" s="658"/>
      <c r="C782" s="658"/>
      <c r="D782" s="658"/>
      <c r="E782" s="658"/>
      <c r="F782" s="655"/>
      <c r="G782" s="656"/>
      <c r="H782" s="657"/>
      <c r="I782" s="657"/>
      <c r="J782" s="657"/>
      <c r="K782" s="657"/>
      <c r="L782" s="657"/>
    </row>
    <row r="783" spans="1:12">
      <c r="A783" s="658"/>
      <c r="B783" s="658"/>
      <c r="C783" s="658" t="s">
        <v>972</v>
      </c>
      <c r="D783" s="658" t="s">
        <v>4030</v>
      </c>
      <c r="E783" s="658" t="s">
        <v>2517</v>
      </c>
      <c r="F783" s="653"/>
      <c r="G783" s="654"/>
      <c r="H783" s="657">
        <v>516</v>
      </c>
      <c r="I783" s="657">
        <f t="shared" ref="I783" si="674">H783</f>
        <v>516</v>
      </c>
      <c r="J783" s="657"/>
      <c r="K783" s="657">
        <v>516</v>
      </c>
      <c r="L783" s="657">
        <f t="shared" ref="L783" si="675">K783-I783</f>
        <v>0</v>
      </c>
    </row>
    <row r="784" spans="1:12">
      <c r="A784" s="658"/>
      <c r="B784" s="658"/>
      <c r="C784" s="658"/>
      <c r="D784" s="658"/>
      <c r="E784" s="658"/>
      <c r="F784" s="655"/>
      <c r="G784" s="656"/>
      <c r="H784" s="657"/>
      <c r="I784" s="657"/>
      <c r="J784" s="657"/>
      <c r="K784" s="657"/>
      <c r="L784" s="657"/>
    </row>
    <row r="785" spans="1:12">
      <c r="A785" s="658"/>
      <c r="B785" s="658"/>
      <c r="C785" s="658" t="s">
        <v>977</v>
      </c>
      <c r="D785" s="658" t="s">
        <v>4030</v>
      </c>
      <c r="E785" s="658" t="s">
        <v>4005</v>
      </c>
      <c r="F785" s="653"/>
      <c r="G785" s="654"/>
      <c r="H785" s="657">
        <v>350</v>
      </c>
      <c r="I785" s="657">
        <f t="shared" ref="I785" si="676">H785</f>
        <v>350</v>
      </c>
      <c r="J785" s="657"/>
      <c r="K785" s="657">
        <v>350</v>
      </c>
      <c r="L785" s="657">
        <f t="shared" ref="L785" si="677">K785-I785</f>
        <v>0</v>
      </c>
    </row>
    <row r="786" spans="1:12">
      <c r="A786" s="658"/>
      <c r="B786" s="658"/>
      <c r="C786" s="658"/>
      <c r="D786" s="658"/>
      <c r="E786" s="658"/>
      <c r="F786" s="655"/>
      <c r="G786" s="656"/>
      <c r="H786" s="657"/>
      <c r="I786" s="657"/>
      <c r="J786" s="657"/>
      <c r="K786" s="657"/>
      <c r="L786" s="657"/>
    </row>
    <row r="787" spans="1:12" ht="12.75" customHeight="1">
      <c r="A787" s="659" t="s">
        <v>375</v>
      </c>
      <c r="B787" s="658" t="s">
        <v>3839</v>
      </c>
      <c r="C787" s="658" t="s">
        <v>978</v>
      </c>
      <c r="D787" s="658" t="s">
        <v>4031</v>
      </c>
      <c r="E787" s="690" t="s">
        <v>4034</v>
      </c>
      <c r="F787" s="653"/>
      <c r="G787" s="654"/>
      <c r="H787" s="657">
        <v>250</v>
      </c>
      <c r="I787" s="657">
        <v>300</v>
      </c>
      <c r="J787" s="657"/>
      <c r="K787" s="657"/>
      <c r="L787" s="657">
        <f t="shared" ref="L787" si="678">K787-I787</f>
        <v>-300</v>
      </c>
    </row>
    <row r="788" spans="1:12">
      <c r="A788" s="660"/>
      <c r="B788" s="658"/>
      <c r="C788" s="658"/>
      <c r="D788" s="658"/>
      <c r="E788" s="690"/>
      <c r="F788" s="655"/>
      <c r="G788" s="656"/>
      <c r="H788" s="657"/>
      <c r="I788" s="657"/>
      <c r="J788" s="657"/>
      <c r="K788" s="657"/>
      <c r="L788" s="657"/>
    </row>
    <row r="789" spans="1:12" ht="12.75" customHeight="1">
      <c r="A789" s="659" t="s">
        <v>399</v>
      </c>
      <c r="B789" s="658" t="s">
        <v>3601</v>
      </c>
      <c r="C789" s="658" t="s">
        <v>4043</v>
      </c>
      <c r="D789" s="658" t="s">
        <v>4042</v>
      </c>
      <c r="E789" s="658" t="s">
        <v>239</v>
      </c>
      <c r="F789" s="653"/>
      <c r="G789" s="654"/>
      <c r="H789" s="657">
        <v>1530</v>
      </c>
      <c r="I789" s="657">
        <f t="shared" ref="I789" si="679">H789</f>
        <v>1530</v>
      </c>
      <c r="J789" s="657"/>
      <c r="K789" s="657">
        <v>1530</v>
      </c>
      <c r="L789" s="657">
        <f t="shared" ref="L789" si="680">K789-I789</f>
        <v>0</v>
      </c>
    </row>
    <row r="790" spans="1:12">
      <c r="A790" s="660"/>
      <c r="B790" s="658"/>
      <c r="C790" s="658"/>
      <c r="D790" s="658"/>
      <c r="E790" s="658"/>
      <c r="F790" s="655"/>
      <c r="G790" s="656"/>
      <c r="H790" s="657"/>
      <c r="I790" s="657"/>
      <c r="J790" s="657"/>
      <c r="K790" s="657"/>
      <c r="L790" s="657"/>
    </row>
    <row r="791" spans="1:12">
      <c r="A791" s="659"/>
      <c r="B791" s="658"/>
      <c r="C791" s="658" t="s">
        <v>983</v>
      </c>
      <c r="D791" s="658" t="s">
        <v>4039</v>
      </c>
      <c r="E791" s="658" t="s">
        <v>2780</v>
      </c>
      <c r="F791" s="653"/>
      <c r="G791" s="654"/>
      <c r="H791" s="657">
        <v>380</v>
      </c>
      <c r="I791" s="657">
        <f t="shared" ref="I791" si="681">H791</f>
        <v>380</v>
      </c>
      <c r="J791" s="657"/>
      <c r="K791" s="657"/>
      <c r="L791" s="657">
        <f t="shared" ref="L791" si="682">K791-I791</f>
        <v>-380</v>
      </c>
    </row>
    <row r="792" spans="1:12">
      <c r="A792" s="660"/>
      <c r="B792" s="658"/>
      <c r="C792" s="658"/>
      <c r="D792" s="658"/>
      <c r="E792" s="658"/>
      <c r="F792" s="655"/>
      <c r="G792" s="656"/>
      <c r="H792" s="657"/>
      <c r="I792" s="657"/>
      <c r="J792" s="657"/>
      <c r="K792" s="657"/>
      <c r="L792" s="657"/>
    </row>
    <row r="793" spans="1:12">
      <c r="A793" s="659"/>
      <c r="B793" s="658"/>
      <c r="C793" s="658" t="s">
        <v>988</v>
      </c>
      <c r="D793" s="658" t="s">
        <v>4039</v>
      </c>
      <c r="E793" s="658" t="s">
        <v>4035</v>
      </c>
      <c r="F793" s="653"/>
      <c r="G793" s="654"/>
      <c r="H793" s="657">
        <v>520</v>
      </c>
      <c r="I793" s="657">
        <f t="shared" ref="I793" si="683">H793</f>
        <v>520</v>
      </c>
      <c r="J793" s="657"/>
      <c r="K793" s="657">
        <v>520</v>
      </c>
      <c r="L793" s="657">
        <f t="shared" ref="L793" si="684">K793-I793</f>
        <v>0</v>
      </c>
    </row>
    <row r="794" spans="1:12">
      <c r="A794" s="660"/>
      <c r="B794" s="658"/>
      <c r="C794" s="658"/>
      <c r="D794" s="658"/>
      <c r="E794" s="658"/>
      <c r="F794" s="655"/>
      <c r="G794" s="656"/>
      <c r="H794" s="657"/>
      <c r="I794" s="657"/>
      <c r="J794" s="657"/>
      <c r="K794" s="657"/>
      <c r="L794" s="657"/>
    </row>
    <row r="795" spans="1:12">
      <c r="A795" s="658" t="s">
        <v>403</v>
      </c>
      <c r="B795" s="658" t="s">
        <v>3008</v>
      </c>
      <c r="C795" s="658" t="s">
        <v>4046</v>
      </c>
      <c r="D795" s="658" t="s">
        <v>4042</v>
      </c>
      <c r="E795" s="658" t="s">
        <v>239</v>
      </c>
      <c r="F795" s="653"/>
      <c r="G795" s="654"/>
      <c r="H795" s="657">
        <v>1470</v>
      </c>
      <c r="I795" s="657">
        <v>1470</v>
      </c>
      <c r="J795" s="657"/>
      <c r="K795" s="657">
        <v>1470</v>
      </c>
      <c r="L795" s="657">
        <f t="shared" ref="L795" si="685">K795-I795</f>
        <v>0</v>
      </c>
    </row>
    <row r="796" spans="1:12">
      <c r="A796" s="658"/>
      <c r="B796" s="658"/>
      <c r="C796" s="658"/>
      <c r="D796" s="658"/>
      <c r="E796" s="658"/>
      <c r="F796" s="655"/>
      <c r="G796" s="656"/>
      <c r="H796" s="657"/>
      <c r="I796" s="657"/>
      <c r="J796" s="657"/>
      <c r="K796" s="657"/>
      <c r="L796" s="657"/>
    </row>
    <row r="797" spans="1:12">
      <c r="A797" s="658"/>
      <c r="B797" s="658"/>
      <c r="C797" s="658" t="s">
        <v>993</v>
      </c>
      <c r="D797" s="658" t="s">
        <v>4039</v>
      </c>
      <c r="E797" s="658" t="s">
        <v>4040</v>
      </c>
      <c r="F797" s="653"/>
      <c r="G797" s="654"/>
      <c r="H797" s="657">
        <v>50</v>
      </c>
      <c r="I797" s="657">
        <f t="shared" ref="I797" si="686">H797</f>
        <v>50</v>
      </c>
      <c r="J797" s="657"/>
      <c r="K797" s="657"/>
      <c r="L797" s="657">
        <f t="shared" ref="L797" si="687">K797-I797</f>
        <v>-50</v>
      </c>
    </row>
    <row r="798" spans="1:12">
      <c r="A798" s="658"/>
      <c r="B798" s="658"/>
      <c r="C798" s="658"/>
      <c r="D798" s="658"/>
      <c r="E798" s="658"/>
      <c r="F798" s="655"/>
      <c r="G798" s="656"/>
      <c r="H798" s="657"/>
      <c r="I798" s="657"/>
      <c r="J798" s="657"/>
      <c r="K798" s="657"/>
      <c r="L798" s="657"/>
    </row>
    <row r="799" spans="1:12">
      <c r="A799" s="658"/>
      <c r="B799" s="658"/>
      <c r="C799" s="658" t="s">
        <v>554</v>
      </c>
      <c r="D799" s="658" t="s">
        <v>4039</v>
      </c>
      <c r="E799" s="658" t="s">
        <v>4036</v>
      </c>
      <c r="F799" s="653"/>
      <c r="G799" s="654"/>
      <c r="H799" s="657">
        <v>430</v>
      </c>
      <c r="I799" s="657">
        <f t="shared" ref="I799" si="688">H799</f>
        <v>430</v>
      </c>
      <c r="J799" s="657"/>
      <c r="K799" s="657">
        <v>430</v>
      </c>
      <c r="L799" s="657">
        <f t="shared" ref="L799" si="689">K799-I799</f>
        <v>0</v>
      </c>
    </row>
    <row r="800" spans="1:12">
      <c r="A800" s="658"/>
      <c r="B800" s="658"/>
      <c r="C800" s="658"/>
      <c r="D800" s="658"/>
      <c r="E800" s="658"/>
      <c r="F800" s="655"/>
      <c r="G800" s="656"/>
      <c r="H800" s="657"/>
      <c r="I800" s="657"/>
      <c r="J800" s="657"/>
      <c r="K800" s="657"/>
      <c r="L800" s="657"/>
    </row>
    <row r="801" spans="1:13">
      <c r="A801" s="658" t="s">
        <v>405</v>
      </c>
      <c r="B801" s="658" t="s">
        <v>4037</v>
      </c>
      <c r="C801" s="658" t="s">
        <v>4047</v>
      </c>
      <c r="D801" s="658" t="s">
        <v>4044</v>
      </c>
      <c r="E801" s="658" t="s">
        <v>239</v>
      </c>
      <c r="F801" s="653"/>
      <c r="G801" s="654"/>
      <c r="H801" s="657">
        <v>45174</v>
      </c>
      <c r="I801" s="657">
        <v>1470</v>
      </c>
      <c r="J801" s="657"/>
      <c r="K801" s="657">
        <v>1470</v>
      </c>
      <c r="L801" s="657">
        <f t="shared" ref="L801" si="690">K801-I801</f>
        <v>0</v>
      </c>
    </row>
    <row r="802" spans="1:13">
      <c r="A802" s="658"/>
      <c r="B802" s="658"/>
      <c r="C802" s="658"/>
      <c r="D802" s="658"/>
      <c r="E802" s="658"/>
      <c r="F802" s="655"/>
      <c r="G802" s="656"/>
      <c r="H802" s="657"/>
      <c r="I802" s="657"/>
      <c r="J802" s="657"/>
      <c r="K802" s="657"/>
      <c r="L802" s="657"/>
    </row>
    <row r="803" spans="1:13">
      <c r="A803" s="658"/>
      <c r="B803" s="658" t="s">
        <v>4038</v>
      </c>
      <c r="C803" s="658" t="s">
        <v>994</v>
      </c>
      <c r="D803" s="658" t="s">
        <v>4041</v>
      </c>
      <c r="E803" s="658" t="s">
        <v>1601</v>
      </c>
      <c r="F803" s="653"/>
      <c r="G803" s="654"/>
      <c r="H803" s="657">
        <v>1350</v>
      </c>
      <c r="I803" s="657">
        <f t="shared" ref="I803" si="691">H803</f>
        <v>1350</v>
      </c>
      <c r="J803" s="657"/>
      <c r="K803" s="657">
        <v>1350</v>
      </c>
      <c r="L803" s="657">
        <f t="shared" ref="L803" si="692">K803-I803</f>
        <v>0</v>
      </c>
    </row>
    <row r="804" spans="1:13">
      <c r="A804" s="658"/>
      <c r="B804" s="658"/>
      <c r="C804" s="658"/>
      <c r="D804" s="658"/>
      <c r="E804" s="658"/>
      <c r="F804" s="655"/>
      <c r="G804" s="656"/>
      <c r="H804" s="657"/>
      <c r="I804" s="657"/>
      <c r="J804" s="657"/>
      <c r="K804" s="657"/>
      <c r="L804" s="657"/>
    </row>
    <row r="805" spans="1:13">
      <c r="A805" s="658" t="s">
        <v>406</v>
      </c>
      <c r="B805" s="658" t="s">
        <v>3298</v>
      </c>
      <c r="C805" s="658" t="s">
        <v>4045</v>
      </c>
      <c r="D805" s="658" t="s">
        <v>4044</v>
      </c>
      <c r="E805" s="658" t="s">
        <v>239</v>
      </c>
      <c r="F805" s="653"/>
      <c r="G805" s="654"/>
      <c r="H805" s="657">
        <v>45174</v>
      </c>
      <c r="I805" s="657">
        <v>1470</v>
      </c>
      <c r="J805" s="657"/>
      <c r="K805" s="657">
        <v>1470</v>
      </c>
      <c r="L805" s="657">
        <f t="shared" ref="L805" si="693">K805-I805</f>
        <v>0</v>
      </c>
    </row>
    <row r="806" spans="1:13">
      <c r="A806" s="658"/>
      <c r="B806" s="658"/>
      <c r="C806" s="658"/>
      <c r="D806" s="658"/>
      <c r="E806" s="658"/>
      <c r="F806" s="655"/>
      <c r="G806" s="656"/>
      <c r="H806" s="657"/>
      <c r="I806" s="657"/>
      <c r="J806" s="657"/>
      <c r="K806" s="657"/>
      <c r="L806" s="657"/>
    </row>
    <row r="807" spans="1:13">
      <c r="A807" s="658"/>
      <c r="B807" s="658"/>
      <c r="C807" s="658" t="s">
        <v>1000</v>
      </c>
      <c r="D807" s="658" t="s">
        <v>4041</v>
      </c>
      <c r="E807" s="658" t="s">
        <v>3287</v>
      </c>
      <c r="F807" s="653"/>
      <c r="G807" s="654"/>
      <c r="H807" s="657">
        <v>380</v>
      </c>
      <c r="I807" s="657">
        <f t="shared" ref="I807" si="694">H807</f>
        <v>380</v>
      </c>
      <c r="J807" s="657"/>
      <c r="K807" s="657">
        <v>380</v>
      </c>
      <c r="L807" s="657">
        <f t="shared" ref="L807" si="695">K807-I807</f>
        <v>0</v>
      </c>
      <c r="M807" s="578">
        <v>43024</v>
      </c>
    </row>
    <row r="808" spans="1:13">
      <c r="A808" s="658"/>
      <c r="B808" s="658"/>
      <c r="C808" s="658"/>
      <c r="D808" s="658"/>
      <c r="E808" s="658"/>
      <c r="F808" s="655"/>
      <c r="G808" s="656"/>
      <c r="H808" s="657"/>
      <c r="I808" s="657"/>
      <c r="J808" s="657"/>
      <c r="K808" s="657"/>
      <c r="L808" s="657"/>
    </row>
    <row r="809" spans="1:13">
      <c r="A809" s="658"/>
      <c r="B809" s="658"/>
      <c r="C809" s="658" t="s">
        <v>1001</v>
      </c>
      <c r="D809" s="658" t="s">
        <v>4041</v>
      </c>
      <c r="E809" s="658" t="s">
        <v>2723</v>
      </c>
      <c r="F809" s="653"/>
      <c r="G809" s="654"/>
      <c r="H809" s="657">
        <v>470</v>
      </c>
      <c r="I809" s="657">
        <f t="shared" ref="I809" si="696">H809</f>
        <v>470</v>
      </c>
      <c r="J809" s="657"/>
      <c r="K809" s="657"/>
      <c r="L809" s="657">
        <f t="shared" ref="L809" si="697">K809-I809</f>
        <v>-470</v>
      </c>
    </row>
    <row r="810" spans="1:13">
      <c r="A810" s="658"/>
      <c r="B810" s="658"/>
      <c r="C810" s="658"/>
      <c r="D810" s="658"/>
      <c r="E810" s="658"/>
      <c r="F810" s="655"/>
      <c r="G810" s="656"/>
      <c r="H810" s="657"/>
      <c r="I810" s="657"/>
      <c r="J810" s="657"/>
      <c r="K810" s="657"/>
      <c r="L810" s="657"/>
    </row>
    <row r="811" spans="1:13">
      <c r="A811" s="658"/>
      <c r="B811" s="658"/>
      <c r="C811" s="658" t="s">
        <v>1002</v>
      </c>
      <c r="D811" s="658" t="s">
        <v>4041</v>
      </c>
      <c r="E811" s="658" t="s">
        <v>3025</v>
      </c>
      <c r="F811" s="653"/>
      <c r="G811" s="654"/>
      <c r="H811" s="657">
        <v>98</v>
      </c>
      <c r="I811" s="657">
        <f t="shared" ref="I811" si="698">H811</f>
        <v>98</v>
      </c>
      <c r="J811" s="657"/>
      <c r="K811" s="657"/>
      <c r="L811" s="657">
        <f t="shared" ref="L811" si="699">K811-I811</f>
        <v>-98</v>
      </c>
    </row>
    <row r="812" spans="1:13">
      <c r="A812" s="658"/>
      <c r="B812" s="658"/>
      <c r="C812" s="658"/>
      <c r="D812" s="658"/>
      <c r="E812" s="658"/>
      <c r="F812" s="655"/>
      <c r="G812" s="656"/>
      <c r="H812" s="657"/>
      <c r="I812" s="657"/>
      <c r="J812" s="657"/>
      <c r="K812" s="657"/>
      <c r="L812" s="657"/>
    </row>
    <row r="813" spans="1:13">
      <c r="A813" s="658" t="s">
        <v>416</v>
      </c>
      <c r="B813" s="658" t="s">
        <v>4048</v>
      </c>
      <c r="C813" s="658" t="s">
        <v>4060</v>
      </c>
      <c r="D813" s="658" t="s">
        <v>4059</v>
      </c>
      <c r="E813" s="658" t="s">
        <v>1873</v>
      </c>
      <c r="F813" s="653"/>
      <c r="G813" s="654"/>
      <c r="H813" s="657">
        <v>1470</v>
      </c>
      <c r="I813" s="657">
        <f t="shared" ref="I813" si="700">H813</f>
        <v>1470</v>
      </c>
      <c r="J813" s="657"/>
      <c r="K813" s="657">
        <v>1470</v>
      </c>
      <c r="L813" s="657">
        <f t="shared" ref="L813" si="701">K813-I813</f>
        <v>0</v>
      </c>
    </row>
    <row r="814" spans="1:13">
      <c r="A814" s="658"/>
      <c r="B814" s="658"/>
      <c r="C814" s="658"/>
      <c r="D814" s="658"/>
      <c r="E814" s="658"/>
      <c r="F814" s="655"/>
      <c r="G814" s="656"/>
      <c r="H814" s="657"/>
      <c r="I814" s="657"/>
      <c r="J814" s="657"/>
      <c r="K814" s="657"/>
      <c r="L814" s="657"/>
    </row>
    <row r="815" spans="1:13">
      <c r="A815" s="658"/>
      <c r="B815" s="658" t="s">
        <v>4049</v>
      </c>
      <c r="C815" s="658" t="s">
        <v>1011</v>
      </c>
      <c r="D815" s="658" t="s">
        <v>4053</v>
      </c>
      <c r="E815" s="658" t="s">
        <v>2780</v>
      </c>
      <c r="F815" s="653"/>
      <c r="G815" s="654"/>
      <c r="H815" s="657">
        <v>520</v>
      </c>
      <c r="I815" s="657">
        <f t="shared" ref="I815" si="702">H815</f>
        <v>520</v>
      </c>
      <c r="J815" s="657"/>
      <c r="K815" s="657"/>
      <c r="L815" s="657">
        <f t="shared" ref="L815" si="703">K815-I815</f>
        <v>-520</v>
      </c>
    </row>
    <row r="816" spans="1:13">
      <c r="A816" s="658"/>
      <c r="B816" s="658"/>
      <c r="C816" s="658"/>
      <c r="D816" s="658"/>
      <c r="E816" s="658"/>
      <c r="F816" s="655"/>
      <c r="G816" s="656"/>
      <c r="H816" s="657"/>
      <c r="I816" s="657"/>
      <c r="J816" s="657"/>
      <c r="K816" s="657"/>
      <c r="L816" s="657"/>
    </row>
    <row r="817" spans="1:13">
      <c r="A817" s="658"/>
      <c r="B817" s="658"/>
      <c r="C817" s="658" t="s">
        <v>1012</v>
      </c>
      <c r="D817" s="658" t="s">
        <v>4056</v>
      </c>
      <c r="E817" s="658" t="s">
        <v>4050</v>
      </c>
      <c r="F817" s="653"/>
      <c r="G817" s="654"/>
      <c r="H817" s="657">
        <v>500</v>
      </c>
      <c r="I817" s="657">
        <f t="shared" ref="I817" si="704">H817</f>
        <v>500</v>
      </c>
      <c r="J817" s="657" t="s">
        <v>4058</v>
      </c>
      <c r="K817" s="657">
        <v>500</v>
      </c>
      <c r="L817" s="657">
        <f t="shared" ref="L817" si="705">K817-I817</f>
        <v>0</v>
      </c>
    </row>
    <row r="818" spans="1:13">
      <c r="A818" s="658"/>
      <c r="B818" s="658"/>
      <c r="C818" s="658"/>
      <c r="D818" s="658"/>
      <c r="E818" s="658"/>
      <c r="F818" s="655"/>
      <c r="G818" s="656"/>
      <c r="H818" s="657"/>
      <c r="I818" s="657"/>
      <c r="J818" s="657"/>
      <c r="K818" s="657"/>
      <c r="L818" s="657"/>
    </row>
    <row r="819" spans="1:13">
      <c r="A819" s="658" t="s">
        <v>418</v>
      </c>
      <c r="B819" s="658" t="s">
        <v>3008</v>
      </c>
      <c r="C819" s="658" t="s">
        <v>4061</v>
      </c>
      <c r="D819" s="658" t="s">
        <v>4041</v>
      </c>
      <c r="E819" s="658" t="s">
        <v>1873</v>
      </c>
      <c r="F819" s="653"/>
      <c r="G819" s="654"/>
      <c r="H819" s="657">
        <v>45024</v>
      </c>
      <c r="I819" s="657">
        <v>1470</v>
      </c>
      <c r="J819" s="657"/>
      <c r="K819" s="657"/>
      <c r="L819" s="657">
        <f t="shared" ref="L819" si="706">K819-I819</f>
        <v>-1470</v>
      </c>
    </row>
    <row r="820" spans="1:13">
      <c r="A820" s="658"/>
      <c r="B820" s="658"/>
      <c r="C820" s="658"/>
      <c r="D820" s="658"/>
      <c r="E820" s="658"/>
      <c r="F820" s="655"/>
      <c r="G820" s="656"/>
      <c r="H820" s="657"/>
      <c r="I820" s="657"/>
      <c r="J820" s="657"/>
      <c r="K820" s="657"/>
      <c r="L820" s="657"/>
    </row>
    <row r="821" spans="1:13">
      <c r="A821" s="658"/>
      <c r="B821" s="658"/>
      <c r="C821" s="658" t="s">
        <v>1013</v>
      </c>
      <c r="D821" s="658" t="s">
        <v>4053</v>
      </c>
      <c r="E821" s="658" t="s">
        <v>4051</v>
      </c>
      <c r="F821" s="653"/>
      <c r="G821" s="654"/>
      <c r="H821" s="657">
        <v>12000</v>
      </c>
      <c r="I821" s="657">
        <v>392</v>
      </c>
      <c r="J821" s="657" t="s">
        <v>3262</v>
      </c>
      <c r="K821" s="657">
        <v>407</v>
      </c>
      <c r="L821" s="657">
        <f t="shared" ref="L821" si="707">K821-I821</f>
        <v>15</v>
      </c>
      <c r="M821" t="s">
        <v>4250</v>
      </c>
    </row>
    <row r="822" spans="1:13">
      <c r="A822" s="658"/>
      <c r="B822" s="658"/>
      <c r="C822" s="658"/>
      <c r="D822" s="658"/>
      <c r="E822" s="658"/>
      <c r="F822" s="655"/>
      <c r="G822" s="656"/>
      <c r="H822" s="657"/>
      <c r="I822" s="657"/>
      <c r="J822" s="657"/>
      <c r="K822" s="657"/>
      <c r="L822" s="657"/>
    </row>
    <row r="823" spans="1:13">
      <c r="A823" s="658"/>
      <c r="B823" s="658"/>
      <c r="C823" s="658" t="s">
        <v>1019</v>
      </c>
      <c r="D823" s="658" t="s">
        <v>4053</v>
      </c>
      <c r="E823" s="658" t="s">
        <v>4057</v>
      </c>
      <c r="F823" s="653"/>
      <c r="G823" s="654"/>
      <c r="H823" s="657">
        <v>11000</v>
      </c>
      <c r="I823" s="657">
        <v>360</v>
      </c>
      <c r="J823" s="657" t="s">
        <v>3262</v>
      </c>
      <c r="K823" s="657">
        <v>360</v>
      </c>
      <c r="L823" s="657">
        <f t="shared" ref="L823" si="708">K823-I823</f>
        <v>0</v>
      </c>
    </row>
    <row r="824" spans="1:13">
      <c r="A824" s="658"/>
      <c r="B824" s="658"/>
      <c r="C824" s="658"/>
      <c r="D824" s="658"/>
      <c r="E824" s="658"/>
      <c r="F824" s="655"/>
      <c r="G824" s="656"/>
      <c r="H824" s="657"/>
      <c r="I824" s="657"/>
      <c r="J824" s="657"/>
      <c r="K824" s="657"/>
      <c r="L824" s="657"/>
    </row>
    <row r="825" spans="1:13">
      <c r="A825" s="658"/>
      <c r="B825" s="658"/>
      <c r="C825" s="658" t="s">
        <v>1020</v>
      </c>
      <c r="D825" s="658" t="s">
        <v>4053</v>
      </c>
      <c r="E825" s="658" t="s">
        <v>4052</v>
      </c>
      <c r="F825" s="653"/>
      <c r="G825" s="654"/>
      <c r="H825" s="657">
        <v>400</v>
      </c>
      <c r="I825" s="657">
        <f t="shared" ref="I825" si="709">H825</f>
        <v>400</v>
      </c>
      <c r="J825" s="657"/>
      <c r="K825" s="657"/>
      <c r="L825" s="657">
        <f t="shared" ref="L825" si="710">K825-I825</f>
        <v>-400</v>
      </c>
    </row>
    <row r="826" spans="1:13">
      <c r="A826" s="658"/>
      <c r="B826" s="658"/>
      <c r="C826" s="658"/>
      <c r="D826" s="658"/>
      <c r="E826" s="658"/>
      <c r="F826" s="655"/>
      <c r="G826" s="656"/>
      <c r="H826" s="657"/>
      <c r="I826" s="657"/>
      <c r="J826" s="657"/>
      <c r="K826" s="657"/>
      <c r="L826" s="657"/>
    </row>
    <row r="827" spans="1:13">
      <c r="A827" s="658" t="s">
        <v>420</v>
      </c>
      <c r="B827" s="658" t="s">
        <v>3298</v>
      </c>
      <c r="C827" s="658" t="s">
        <v>4063</v>
      </c>
      <c r="D827" s="658" t="s">
        <v>4062</v>
      </c>
      <c r="E827" s="658" t="s">
        <v>1873</v>
      </c>
      <c r="F827" s="653"/>
      <c r="G827" s="654"/>
      <c r="H827" s="657">
        <v>1470</v>
      </c>
      <c r="I827" s="657">
        <f t="shared" ref="I827" si="711">H827</f>
        <v>1470</v>
      </c>
      <c r="J827" s="657"/>
      <c r="K827" s="657">
        <v>1470</v>
      </c>
      <c r="L827" s="657">
        <f t="shared" ref="L827" si="712">K827-I827</f>
        <v>0</v>
      </c>
    </row>
    <row r="828" spans="1:13">
      <c r="A828" s="658"/>
      <c r="B828" s="658"/>
      <c r="C828" s="658"/>
      <c r="D828" s="658"/>
      <c r="E828" s="658"/>
      <c r="F828" s="655"/>
      <c r="G828" s="656"/>
      <c r="H828" s="657"/>
      <c r="I828" s="657"/>
      <c r="J828" s="657"/>
      <c r="K828" s="657"/>
      <c r="L828" s="657"/>
    </row>
    <row r="829" spans="1:13">
      <c r="A829" s="658"/>
      <c r="B829" s="658"/>
      <c r="C829" s="658" t="s">
        <v>1030</v>
      </c>
      <c r="D829" s="658" t="s">
        <v>4053</v>
      </c>
      <c r="E829" s="658" t="s">
        <v>2376</v>
      </c>
      <c r="F829" s="653"/>
      <c r="G829" s="654"/>
      <c r="H829" s="657">
        <v>78</v>
      </c>
      <c r="I829" s="657">
        <f t="shared" ref="I829" si="713">H829</f>
        <v>78</v>
      </c>
      <c r="J829" s="657">
        <v>40</v>
      </c>
      <c r="K829" s="657"/>
      <c r="L829" s="657">
        <f t="shared" ref="L829" si="714">K829-I829</f>
        <v>-78</v>
      </c>
    </row>
    <row r="830" spans="1:13">
      <c r="A830" s="658"/>
      <c r="B830" s="658"/>
      <c r="C830" s="658"/>
      <c r="D830" s="658"/>
      <c r="E830" s="658"/>
      <c r="F830" s="655"/>
      <c r="G830" s="656"/>
      <c r="H830" s="657"/>
      <c r="I830" s="657"/>
      <c r="J830" s="657"/>
      <c r="K830" s="657"/>
      <c r="L830" s="657"/>
    </row>
    <row r="831" spans="1:13">
      <c r="A831" s="658"/>
      <c r="B831" s="658"/>
      <c r="C831" s="658" t="s">
        <v>1038</v>
      </c>
      <c r="D831" s="658" t="s">
        <v>4053</v>
      </c>
      <c r="E831" s="658" t="s">
        <v>2375</v>
      </c>
      <c r="F831" s="653"/>
      <c r="G831" s="654"/>
      <c r="H831" s="657">
        <v>88</v>
      </c>
      <c r="I831" s="657">
        <f t="shared" ref="I831" si="715">H831</f>
        <v>88</v>
      </c>
      <c r="J831" s="657">
        <v>45</v>
      </c>
      <c r="K831" s="657">
        <v>88</v>
      </c>
      <c r="L831" s="657">
        <f t="shared" ref="L831" si="716">K831-I831</f>
        <v>0</v>
      </c>
    </row>
    <row r="832" spans="1:13">
      <c r="A832" s="658"/>
      <c r="B832" s="658"/>
      <c r="C832" s="658"/>
      <c r="D832" s="658"/>
      <c r="E832" s="658"/>
      <c r="F832" s="655"/>
      <c r="G832" s="656"/>
      <c r="H832" s="657"/>
      <c r="I832" s="657"/>
      <c r="J832" s="657"/>
      <c r="K832" s="657"/>
      <c r="L832" s="657"/>
    </row>
    <row r="833" spans="1:13">
      <c r="A833" s="658"/>
      <c r="B833" s="658"/>
      <c r="C833" s="658" t="s">
        <v>1031</v>
      </c>
      <c r="D833" s="658" t="s">
        <v>4053</v>
      </c>
      <c r="E833" s="658" t="s">
        <v>3025</v>
      </c>
      <c r="F833" s="653"/>
      <c r="G833" s="654"/>
      <c r="H833" s="657">
        <v>97</v>
      </c>
      <c r="I833" s="657">
        <f t="shared" ref="I833" si="717">H833</f>
        <v>97</v>
      </c>
      <c r="J833" s="657"/>
      <c r="K833" s="657"/>
      <c r="L833" s="657">
        <f t="shared" ref="L833" si="718">K833-I833</f>
        <v>-97</v>
      </c>
    </row>
    <row r="834" spans="1:13">
      <c r="A834" s="658"/>
      <c r="B834" s="658"/>
      <c r="C834" s="658"/>
      <c r="D834" s="658"/>
      <c r="E834" s="658"/>
      <c r="F834" s="655"/>
      <c r="G834" s="656"/>
      <c r="H834" s="657"/>
      <c r="I834" s="657"/>
      <c r="J834" s="657"/>
      <c r="K834" s="657"/>
      <c r="L834" s="657"/>
    </row>
    <row r="835" spans="1:13">
      <c r="A835" s="658"/>
      <c r="B835" s="658"/>
      <c r="C835" s="658" t="s">
        <v>1035</v>
      </c>
      <c r="D835" s="658" t="s">
        <v>4053</v>
      </c>
      <c r="E835" s="658" t="s">
        <v>3309</v>
      </c>
      <c r="F835" s="653"/>
      <c r="G835" s="654"/>
      <c r="H835" s="657">
        <v>480</v>
      </c>
      <c r="I835" s="657">
        <f>H835</f>
        <v>480</v>
      </c>
      <c r="J835" s="657"/>
      <c r="K835" s="657">
        <v>480</v>
      </c>
      <c r="L835" s="657">
        <f>K835-авг17!F93</f>
        <v>0</v>
      </c>
    </row>
    <row r="836" spans="1:13">
      <c r="A836" s="658"/>
      <c r="B836" s="658"/>
      <c r="C836" s="658"/>
      <c r="D836" s="658"/>
      <c r="E836" s="658"/>
      <c r="F836" s="655"/>
      <c r="G836" s="656"/>
      <c r="H836" s="657"/>
      <c r="I836" s="657"/>
      <c r="J836" s="657"/>
      <c r="K836" s="657"/>
      <c r="L836" s="657"/>
    </row>
    <row r="837" spans="1:13">
      <c r="A837" s="658" t="s">
        <v>432</v>
      </c>
      <c r="B837" s="658" t="s">
        <v>3281</v>
      </c>
      <c r="C837" s="658" t="s">
        <v>4065</v>
      </c>
      <c r="D837" s="658" t="s">
        <v>4064</v>
      </c>
      <c r="E837" s="658" t="s">
        <v>1873</v>
      </c>
      <c r="F837" s="653"/>
      <c r="G837" s="654"/>
      <c r="H837" s="657">
        <v>44976</v>
      </c>
      <c r="I837" s="657">
        <v>1470</v>
      </c>
      <c r="J837" s="657"/>
      <c r="K837" s="657"/>
      <c r="L837" s="657">
        <f>K837-авг17!F95</f>
        <v>-1470</v>
      </c>
    </row>
    <row r="838" spans="1:13">
      <c r="A838" s="658"/>
      <c r="B838" s="658"/>
      <c r="C838" s="658"/>
      <c r="D838" s="658"/>
      <c r="E838" s="658"/>
      <c r="F838" s="655"/>
      <c r="G838" s="656"/>
      <c r="H838" s="657"/>
      <c r="I838" s="657"/>
      <c r="J838" s="657"/>
      <c r="K838" s="657"/>
      <c r="L838" s="657"/>
    </row>
    <row r="839" spans="1:13">
      <c r="A839" s="658"/>
      <c r="B839" s="658"/>
      <c r="C839" s="658" t="s">
        <v>1036</v>
      </c>
      <c r="D839" s="658" t="s">
        <v>4053</v>
      </c>
      <c r="E839" s="658" t="s">
        <v>4054</v>
      </c>
      <c r="F839" s="653"/>
      <c r="G839" s="654"/>
      <c r="H839" s="657">
        <v>550</v>
      </c>
      <c r="I839" s="657">
        <f>H839</f>
        <v>550</v>
      </c>
      <c r="J839" s="657"/>
      <c r="K839" s="657">
        <v>550</v>
      </c>
      <c r="L839" s="657">
        <f>K839-авг17!F97</f>
        <v>0</v>
      </c>
    </row>
    <row r="840" spans="1:13">
      <c r="A840" s="658"/>
      <c r="B840" s="658"/>
      <c r="C840" s="658"/>
      <c r="D840" s="658"/>
      <c r="E840" s="658"/>
      <c r="F840" s="655"/>
      <c r="G840" s="656"/>
      <c r="H840" s="657"/>
      <c r="I840" s="657"/>
      <c r="J840" s="657"/>
      <c r="K840" s="657"/>
      <c r="L840" s="657"/>
    </row>
    <row r="841" spans="1:13">
      <c r="A841" s="658"/>
      <c r="B841" s="658"/>
      <c r="C841" s="658" t="s">
        <v>1037</v>
      </c>
      <c r="D841" s="658" t="s">
        <v>4053</v>
      </c>
      <c r="E841" s="658" t="s">
        <v>4054</v>
      </c>
      <c r="F841" s="653"/>
      <c r="G841" s="654"/>
      <c r="H841" s="657">
        <v>500</v>
      </c>
      <c r="I841" s="657">
        <f>H841</f>
        <v>500</v>
      </c>
      <c r="J841" s="657"/>
      <c r="K841" s="657">
        <v>500</v>
      </c>
      <c r="L841" s="657">
        <f>K841-авг17!F99</f>
        <v>0</v>
      </c>
    </row>
    <row r="842" spans="1:13">
      <c r="A842" s="658"/>
      <c r="B842" s="658"/>
      <c r="C842" s="658"/>
      <c r="D842" s="658"/>
      <c r="E842" s="658"/>
      <c r="F842" s="655"/>
      <c r="G842" s="656"/>
      <c r="H842" s="657"/>
      <c r="I842" s="657"/>
      <c r="J842" s="657"/>
      <c r="K842" s="657"/>
      <c r="L842" s="657"/>
    </row>
    <row r="843" spans="1:13">
      <c r="A843" s="658" t="s">
        <v>433</v>
      </c>
      <c r="B843" s="658" t="s">
        <v>3839</v>
      </c>
      <c r="C843" s="658" t="s">
        <v>1045</v>
      </c>
      <c r="D843" s="658" t="s">
        <v>4041</v>
      </c>
      <c r="E843" s="690" t="s">
        <v>3836</v>
      </c>
      <c r="F843" s="653"/>
      <c r="G843" s="654"/>
      <c r="H843" s="657">
        <v>250</v>
      </c>
      <c r="I843" s="657">
        <v>300</v>
      </c>
      <c r="J843" s="657" t="s">
        <v>4055</v>
      </c>
      <c r="K843" s="657"/>
      <c r="L843" s="657">
        <f>K843-авг17!F101</f>
        <v>-300</v>
      </c>
    </row>
    <row r="844" spans="1:13">
      <c r="A844" s="658"/>
      <c r="B844" s="658"/>
      <c r="C844" s="658"/>
      <c r="D844" s="658"/>
      <c r="E844" s="690"/>
      <c r="F844" s="655"/>
      <c r="G844" s="656"/>
      <c r="H844" s="657"/>
      <c r="I844" s="657"/>
      <c r="J844" s="657"/>
      <c r="K844" s="657"/>
      <c r="L844" s="657"/>
    </row>
    <row r="845" spans="1:13">
      <c r="A845" s="658" t="s">
        <v>435</v>
      </c>
      <c r="B845" s="658" t="s">
        <v>3008</v>
      </c>
      <c r="C845" s="658" t="s">
        <v>4067</v>
      </c>
      <c r="D845" s="658" t="s">
        <v>4067</v>
      </c>
      <c r="E845" s="658" t="s">
        <v>239</v>
      </c>
      <c r="F845" s="653"/>
      <c r="G845" s="654"/>
      <c r="H845" s="657">
        <v>1470</v>
      </c>
      <c r="I845" s="657">
        <f>H845</f>
        <v>1470</v>
      </c>
      <c r="J845" s="657"/>
      <c r="K845" s="657">
        <v>1470</v>
      </c>
      <c r="L845" s="657">
        <f>K845-авг17!F103</f>
        <v>0</v>
      </c>
      <c r="M845">
        <v>17</v>
      </c>
    </row>
    <row r="846" spans="1:13">
      <c r="A846" s="658"/>
      <c r="B846" s="658"/>
      <c r="C846" s="658"/>
      <c r="D846" s="658"/>
      <c r="E846" s="658"/>
      <c r="F846" s="655"/>
      <c r="G846" s="656"/>
      <c r="H846" s="657"/>
      <c r="I846" s="657"/>
      <c r="J846" s="657"/>
      <c r="K846" s="657"/>
      <c r="L846" s="657"/>
    </row>
    <row r="847" spans="1:13">
      <c r="A847" s="703" t="s">
        <v>4071</v>
      </c>
      <c r="B847" s="704"/>
      <c r="C847" s="704"/>
      <c r="D847" s="704"/>
      <c r="E847" s="704"/>
      <c r="F847" s="704"/>
      <c r="G847" s="704"/>
      <c r="H847" s="704"/>
      <c r="I847" s="704"/>
      <c r="J847" s="704"/>
      <c r="K847" s="704"/>
      <c r="L847" s="705"/>
    </row>
    <row r="848" spans="1:13">
      <c r="A848" s="706"/>
      <c r="B848" s="707"/>
      <c r="C848" s="707"/>
      <c r="D848" s="707"/>
      <c r="E848" s="707"/>
      <c r="F848" s="707"/>
      <c r="G848" s="707"/>
      <c r="H848" s="707"/>
      <c r="I848" s="707"/>
      <c r="J848" s="707"/>
      <c r="K848" s="707"/>
      <c r="L848" s="708"/>
    </row>
    <row r="849" spans="1:14">
      <c r="A849" s="658"/>
      <c r="B849" s="658"/>
      <c r="C849" s="658" t="s">
        <v>1046</v>
      </c>
      <c r="D849" s="658" t="s">
        <v>4072</v>
      </c>
      <c r="E849" s="658" t="s">
        <v>1601</v>
      </c>
      <c r="F849" s="653"/>
      <c r="G849" s="654"/>
      <c r="H849" s="657">
        <v>850</v>
      </c>
      <c r="I849" s="657">
        <f t="shared" ref="I849" si="719">H849</f>
        <v>850</v>
      </c>
      <c r="J849" s="657"/>
      <c r="K849" s="657">
        <v>850</v>
      </c>
      <c r="L849" s="657">
        <f t="shared" ref="L849" si="720">K849-I849</f>
        <v>0</v>
      </c>
    </row>
    <row r="850" spans="1:14">
      <c r="A850" s="658"/>
      <c r="B850" s="658"/>
      <c r="C850" s="658"/>
      <c r="D850" s="658"/>
      <c r="E850" s="658"/>
      <c r="F850" s="655"/>
      <c r="G850" s="656"/>
      <c r="H850" s="657"/>
      <c r="I850" s="657"/>
      <c r="J850" s="657"/>
      <c r="K850" s="657"/>
      <c r="L850" s="657"/>
      <c r="N850" s="572">
        <f>SUM(I849,I851,I855:I862,I865:I894,I895:I922,I923:I950,I953,I959)</f>
        <v>34802</v>
      </c>
    </row>
    <row r="851" spans="1:14">
      <c r="A851" s="658"/>
      <c r="B851" s="658"/>
      <c r="C851" s="658" t="s">
        <v>1052</v>
      </c>
      <c r="D851" s="658" t="s">
        <v>4072</v>
      </c>
      <c r="E851" s="658" t="s">
        <v>2780</v>
      </c>
      <c r="F851" s="653"/>
      <c r="G851" s="654"/>
      <c r="H851" s="657">
        <v>350</v>
      </c>
      <c r="I851" s="657">
        <f t="shared" ref="I851" si="721">H851</f>
        <v>350</v>
      </c>
      <c r="J851" s="657"/>
      <c r="K851" s="657"/>
      <c r="L851" s="657">
        <f t="shared" ref="L851" si="722">K851-I851</f>
        <v>-350</v>
      </c>
      <c r="M851" t="s">
        <v>4146</v>
      </c>
    </row>
    <row r="852" spans="1:14">
      <c r="A852" s="658"/>
      <c r="B852" s="658"/>
      <c r="C852" s="658"/>
      <c r="D852" s="658"/>
      <c r="E852" s="658"/>
      <c r="F852" s="655"/>
      <c r="G852" s="656"/>
      <c r="H852" s="657"/>
      <c r="I852" s="657"/>
      <c r="J852" s="657"/>
      <c r="K852" s="657"/>
      <c r="L852" s="657"/>
      <c r="M852" s="6" t="s">
        <v>4199</v>
      </c>
    </row>
    <row r="853" spans="1:14">
      <c r="A853" s="658" t="s">
        <v>436</v>
      </c>
      <c r="B853" s="658" t="s">
        <v>3298</v>
      </c>
      <c r="C853" s="658" t="s">
        <v>4068</v>
      </c>
      <c r="D853" s="674" t="s">
        <v>4067</v>
      </c>
      <c r="E853" s="658" t="s">
        <v>239</v>
      </c>
      <c r="F853" s="653"/>
      <c r="G853" s="654"/>
      <c r="H853" s="657">
        <v>1470</v>
      </c>
      <c r="I853" s="657">
        <f t="shared" ref="I853" si="723">H853</f>
        <v>1470</v>
      </c>
      <c r="J853" s="657"/>
      <c r="K853" s="657">
        <v>1470</v>
      </c>
      <c r="L853" s="657">
        <f t="shared" ref="L853" si="724">K853-I853</f>
        <v>0</v>
      </c>
    </row>
    <row r="854" spans="1:14">
      <c r="A854" s="658"/>
      <c r="B854" s="658"/>
      <c r="C854" s="658"/>
      <c r="D854" s="674"/>
      <c r="E854" s="658"/>
      <c r="F854" s="655"/>
      <c r="G854" s="656"/>
      <c r="H854" s="657"/>
      <c r="I854" s="657"/>
      <c r="J854" s="657"/>
      <c r="K854" s="657"/>
      <c r="L854" s="657"/>
    </row>
    <row r="855" spans="1:14">
      <c r="A855" s="658"/>
      <c r="B855" s="658"/>
      <c r="C855" s="658" t="s">
        <v>1053</v>
      </c>
      <c r="D855" s="658" t="s">
        <v>4072</v>
      </c>
      <c r="E855" s="658" t="s">
        <v>2517</v>
      </c>
      <c r="F855" s="653"/>
      <c r="G855" s="654"/>
      <c r="H855" s="657">
        <v>410</v>
      </c>
      <c r="I855" s="657">
        <f t="shared" ref="I855" si="725">H855</f>
        <v>410</v>
      </c>
      <c r="J855" s="657"/>
      <c r="K855" s="657">
        <v>410</v>
      </c>
      <c r="L855" s="657">
        <f t="shared" ref="L855" si="726">K855-I855</f>
        <v>0</v>
      </c>
    </row>
    <row r="856" spans="1:14">
      <c r="A856" s="658"/>
      <c r="B856" s="658"/>
      <c r="C856" s="658"/>
      <c r="D856" s="658"/>
      <c r="E856" s="658"/>
      <c r="F856" s="655"/>
      <c r="G856" s="656"/>
      <c r="H856" s="657"/>
      <c r="I856" s="657"/>
      <c r="J856" s="657"/>
      <c r="K856" s="657"/>
      <c r="L856" s="657"/>
    </row>
    <row r="857" spans="1:14">
      <c r="A857" s="658"/>
      <c r="B857" s="658"/>
      <c r="C857" s="658" t="s">
        <v>1054</v>
      </c>
      <c r="D857" s="658" t="s">
        <v>4072</v>
      </c>
      <c r="E857" s="658" t="s">
        <v>2517</v>
      </c>
      <c r="F857" s="653"/>
      <c r="G857" s="654"/>
      <c r="H857" s="657">
        <v>208</v>
      </c>
      <c r="I857" s="657">
        <f t="shared" ref="I857" si="727">H857</f>
        <v>208</v>
      </c>
      <c r="J857" s="657"/>
      <c r="K857" s="657">
        <v>208</v>
      </c>
      <c r="L857" s="657">
        <f t="shared" ref="L857" si="728">K857-I857</f>
        <v>0</v>
      </c>
    </row>
    <row r="858" spans="1:14">
      <c r="A858" s="658"/>
      <c r="B858" s="658"/>
      <c r="C858" s="658"/>
      <c r="D858" s="658"/>
      <c r="E858" s="658"/>
      <c r="F858" s="655"/>
      <c r="G858" s="656"/>
      <c r="H858" s="657"/>
      <c r="I858" s="657"/>
      <c r="J858" s="657"/>
      <c r="K858" s="657"/>
      <c r="L858" s="657"/>
    </row>
    <row r="859" spans="1:14">
      <c r="A859" s="658"/>
      <c r="B859" s="658"/>
      <c r="C859" s="658" t="s">
        <v>1049</v>
      </c>
      <c r="D859" s="658" t="s">
        <v>4072</v>
      </c>
      <c r="E859" s="658" t="s">
        <v>4066</v>
      </c>
      <c r="F859" s="653"/>
      <c r="G859" s="654"/>
      <c r="H859" s="657">
        <v>96</v>
      </c>
      <c r="I859" s="657">
        <f t="shared" ref="I859" si="729">H859</f>
        <v>96</v>
      </c>
      <c r="J859" s="657"/>
      <c r="K859" s="657"/>
      <c r="L859" s="657">
        <f t="shared" ref="L859" si="730">K859-I859</f>
        <v>-96</v>
      </c>
    </row>
    <row r="860" spans="1:14">
      <c r="A860" s="658"/>
      <c r="B860" s="658"/>
      <c r="C860" s="658"/>
      <c r="D860" s="658"/>
      <c r="E860" s="658"/>
      <c r="F860" s="655"/>
      <c r="G860" s="656"/>
      <c r="H860" s="657"/>
      <c r="I860" s="657"/>
      <c r="J860" s="657"/>
      <c r="K860" s="657"/>
      <c r="L860" s="657"/>
    </row>
    <row r="861" spans="1:14">
      <c r="A861" s="658"/>
      <c r="B861" s="658"/>
      <c r="C861" s="658" t="s">
        <v>1055</v>
      </c>
      <c r="D861" s="658" t="s">
        <v>4072</v>
      </c>
      <c r="E861" s="658" t="s">
        <v>1140</v>
      </c>
      <c r="F861" s="653"/>
      <c r="G861" s="654"/>
      <c r="H861" s="657">
        <v>350</v>
      </c>
      <c r="I861" s="657">
        <f t="shared" ref="I861" si="731">H861</f>
        <v>350</v>
      </c>
      <c r="J861" s="657"/>
      <c r="K861" s="657"/>
      <c r="L861" s="657">
        <f t="shared" ref="L861" si="732">K861-I861</f>
        <v>-350</v>
      </c>
    </row>
    <row r="862" spans="1:14">
      <c r="A862" s="658"/>
      <c r="B862" s="658"/>
      <c r="C862" s="658"/>
      <c r="D862" s="658"/>
      <c r="E862" s="658"/>
      <c r="F862" s="655"/>
      <c r="G862" s="656"/>
      <c r="H862" s="657"/>
      <c r="I862" s="657"/>
      <c r="J862" s="657"/>
      <c r="K862" s="657"/>
      <c r="L862" s="657"/>
    </row>
    <row r="863" spans="1:14">
      <c r="A863" s="658" t="s">
        <v>438</v>
      </c>
      <c r="B863" s="658" t="s">
        <v>4037</v>
      </c>
      <c r="C863" s="658" t="s">
        <v>4069</v>
      </c>
      <c r="D863" s="674" t="s">
        <v>4070</v>
      </c>
      <c r="E863" s="658" t="s">
        <v>239</v>
      </c>
      <c r="F863" s="653"/>
      <c r="G863" s="654"/>
      <c r="H863" s="657">
        <v>46459</v>
      </c>
      <c r="I863" s="657">
        <v>1530</v>
      </c>
      <c r="J863" s="657"/>
      <c r="K863" s="657">
        <v>1530</v>
      </c>
      <c r="L863" s="657">
        <f t="shared" ref="L863" si="733">K863-I863</f>
        <v>0</v>
      </c>
    </row>
    <row r="864" spans="1:14">
      <c r="A864" s="658"/>
      <c r="B864" s="658"/>
      <c r="C864" s="658"/>
      <c r="D864" s="674"/>
      <c r="E864" s="658"/>
      <c r="F864" s="655"/>
      <c r="G864" s="656"/>
      <c r="H864" s="657"/>
      <c r="I864" s="657"/>
      <c r="J864" s="657"/>
      <c r="K864" s="657"/>
      <c r="L864" s="657"/>
    </row>
    <row r="865" spans="1:13">
      <c r="A865" s="658"/>
      <c r="B865" s="658"/>
      <c r="C865" s="658" t="s">
        <v>1056</v>
      </c>
      <c r="D865" s="658" t="s">
        <v>4072</v>
      </c>
      <c r="E865" s="658" t="s">
        <v>2723</v>
      </c>
      <c r="F865" s="653"/>
      <c r="G865" s="654"/>
      <c r="H865" s="657">
        <v>690</v>
      </c>
      <c r="I865" s="657">
        <f t="shared" ref="I865" si="734">H865</f>
        <v>690</v>
      </c>
      <c r="J865" s="657"/>
      <c r="K865" s="657"/>
      <c r="L865" s="657">
        <f t="shared" ref="L865" si="735">K865-I865</f>
        <v>-690</v>
      </c>
    </row>
    <row r="866" spans="1:13">
      <c r="A866" s="658"/>
      <c r="B866" s="658"/>
      <c r="C866" s="658"/>
      <c r="D866" s="658"/>
      <c r="E866" s="658"/>
      <c r="F866" s="655"/>
      <c r="G866" s="656"/>
      <c r="H866" s="657"/>
      <c r="I866" s="657"/>
      <c r="J866" s="657"/>
      <c r="K866" s="657"/>
      <c r="L866" s="657"/>
    </row>
    <row r="867" spans="1:13">
      <c r="A867" s="658"/>
      <c r="B867" s="658"/>
      <c r="C867" s="658" t="s">
        <v>1057</v>
      </c>
      <c r="D867" s="658" t="s">
        <v>4072</v>
      </c>
      <c r="E867" s="658" t="s">
        <v>3388</v>
      </c>
      <c r="F867" s="653"/>
      <c r="G867" s="654"/>
      <c r="H867" s="657">
        <v>400</v>
      </c>
      <c r="I867" s="657">
        <f t="shared" ref="I867" si="736">H867</f>
        <v>400</v>
      </c>
      <c r="J867" s="657"/>
      <c r="K867" s="657">
        <v>400</v>
      </c>
      <c r="L867" s="657">
        <f t="shared" ref="L867" si="737">K867-I867</f>
        <v>0</v>
      </c>
    </row>
    <row r="868" spans="1:13">
      <c r="A868" s="658"/>
      <c r="B868" s="658"/>
      <c r="C868" s="658"/>
      <c r="D868" s="658"/>
      <c r="E868" s="658"/>
      <c r="F868" s="655"/>
      <c r="G868" s="656"/>
      <c r="H868" s="657"/>
      <c r="I868" s="657"/>
      <c r="J868" s="657"/>
      <c r="K868" s="657"/>
      <c r="L868" s="657"/>
    </row>
    <row r="869" spans="1:13">
      <c r="A869" s="658" t="s">
        <v>458</v>
      </c>
      <c r="B869" s="658" t="s">
        <v>3298</v>
      </c>
      <c r="C869" s="658" t="s">
        <v>4119</v>
      </c>
      <c r="D869" s="658" t="s">
        <v>4072</v>
      </c>
      <c r="E869" s="658" t="s">
        <v>239</v>
      </c>
      <c r="F869" s="653"/>
      <c r="G869" s="654"/>
      <c r="H869" s="657">
        <v>1470</v>
      </c>
      <c r="I869" s="657">
        <f t="shared" ref="I869" si="738">H869</f>
        <v>1470</v>
      </c>
      <c r="J869" s="657"/>
      <c r="K869" s="657">
        <v>1470</v>
      </c>
      <c r="L869" s="657">
        <f t="shared" ref="L869" si="739">K869-I869</f>
        <v>0</v>
      </c>
    </row>
    <row r="870" spans="1:13">
      <c r="A870" s="658"/>
      <c r="B870" s="658"/>
      <c r="C870" s="658"/>
      <c r="D870" s="658"/>
      <c r="E870" s="658"/>
      <c r="F870" s="655"/>
      <c r="G870" s="656"/>
      <c r="H870" s="657"/>
      <c r="I870" s="657"/>
      <c r="J870" s="657"/>
      <c r="K870" s="657"/>
      <c r="L870" s="657"/>
    </row>
    <row r="871" spans="1:13">
      <c r="A871" s="658"/>
      <c r="B871" s="658"/>
      <c r="C871" s="658" t="s">
        <v>1072</v>
      </c>
      <c r="D871" s="658" t="s">
        <v>2494</v>
      </c>
      <c r="E871" s="658" t="s">
        <v>4109</v>
      </c>
      <c r="F871" s="653"/>
      <c r="G871" s="654"/>
      <c r="H871" s="657">
        <v>302</v>
      </c>
      <c r="I871" s="657">
        <v>302</v>
      </c>
      <c r="J871" s="657" t="s">
        <v>4169</v>
      </c>
      <c r="K871" s="657">
        <v>302</v>
      </c>
      <c r="L871" s="657">
        <f t="shared" ref="L871" si="740">K871-I871</f>
        <v>0</v>
      </c>
      <c r="M871" t="s">
        <v>4117</v>
      </c>
    </row>
    <row r="872" spans="1:13">
      <c r="A872" s="658"/>
      <c r="B872" s="658"/>
      <c r="C872" s="658"/>
      <c r="D872" s="658"/>
      <c r="E872" s="658"/>
      <c r="F872" s="655"/>
      <c r="G872" s="656"/>
      <c r="H872" s="657"/>
      <c r="I872" s="657"/>
      <c r="J872" s="657"/>
      <c r="K872" s="657"/>
      <c r="L872" s="657"/>
      <c r="M872" t="s">
        <v>4118</v>
      </c>
    </row>
    <row r="873" spans="1:13">
      <c r="A873" s="658"/>
      <c r="B873" s="658"/>
      <c r="C873" s="658" t="s">
        <v>1073</v>
      </c>
      <c r="D873" s="658" t="s">
        <v>2494</v>
      </c>
      <c r="E873" s="658" t="s">
        <v>2723</v>
      </c>
      <c r="F873" s="653"/>
      <c r="G873" s="654"/>
      <c r="H873" s="657">
        <v>520</v>
      </c>
      <c r="I873" s="657">
        <f t="shared" ref="I873" si="741">H873</f>
        <v>520</v>
      </c>
      <c r="J873" s="657"/>
      <c r="K873" s="657"/>
      <c r="L873" s="657">
        <f t="shared" ref="L873" si="742">K873-I873</f>
        <v>-520</v>
      </c>
    </row>
    <row r="874" spans="1:13">
      <c r="A874" s="658"/>
      <c r="B874" s="658"/>
      <c r="C874" s="658"/>
      <c r="D874" s="658"/>
      <c r="E874" s="658"/>
      <c r="F874" s="655"/>
      <c r="G874" s="656"/>
      <c r="H874" s="657"/>
      <c r="I874" s="657"/>
      <c r="J874" s="657"/>
      <c r="K874" s="657"/>
      <c r="L874" s="657"/>
    </row>
    <row r="875" spans="1:13">
      <c r="A875" s="658"/>
      <c r="B875" s="658"/>
      <c r="C875" s="658" t="s">
        <v>1083</v>
      </c>
      <c r="D875" s="658" t="s">
        <v>2494</v>
      </c>
      <c r="E875" s="658" t="s">
        <v>2723</v>
      </c>
      <c r="F875" s="653"/>
      <c r="G875" s="654"/>
      <c r="H875" s="657">
        <v>430</v>
      </c>
      <c r="I875" s="657">
        <f t="shared" ref="I875" si="743">H875</f>
        <v>430</v>
      </c>
      <c r="J875" s="657"/>
      <c r="K875" s="657"/>
      <c r="L875" s="657">
        <f t="shared" ref="L875" si="744">K875-I875</f>
        <v>-430</v>
      </c>
    </row>
    <row r="876" spans="1:13">
      <c r="A876" s="658"/>
      <c r="B876" s="658"/>
      <c r="C876" s="658"/>
      <c r="D876" s="658"/>
      <c r="E876" s="658"/>
      <c r="F876" s="655"/>
      <c r="G876" s="656"/>
      <c r="H876" s="657"/>
      <c r="I876" s="657"/>
      <c r="J876" s="657"/>
      <c r="K876" s="657"/>
      <c r="L876" s="657"/>
    </row>
    <row r="877" spans="1:13">
      <c r="A877" s="658" t="s">
        <v>460</v>
      </c>
      <c r="B877" s="658" t="s">
        <v>3008</v>
      </c>
      <c r="C877" s="658" t="s">
        <v>4123</v>
      </c>
      <c r="D877" s="658" t="s">
        <v>4122</v>
      </c>
      <c r="E877" s="658" t="s">
        <v>239</v>
      </c>
      <c r="F877" s="653"/>
      <c r="G877" s="654"/>
      <c r="H877" s="657">
        <v>1470</v>
      </c>
      <c r="I877" s="657">
        <v>1470</v>
      </c>
      <c r="J877" s="657"/>
      <c r="K877" s="657">
        <v>1470</v>
      </c>
      <c r="L877" s="657">
        <f t="shared" ref="L877" si="745">K877-I877</f>
        <v>0</v>
      </c>
    </row>
    <row r="878" spans="1:13">
      <c r="A878" s="658"/>
      <c r="B878" s="658"/>
      <c r="C878" s="658"/>
      <c r="D878" s="658"/>
      <c r="E878" s="658"/>
      <c r="F878" s="655"/>
      <c r="G878" s="656"/>
      <c r="H878" s="657"/>
      <c r="I878" s="657"/>
      <c r="J878" s="657"/>
      <c r="K878" s="657"/>
      <c r="L878" s="657"/>
    </row>
    <row r="879" spans="1:13">
      <c r="A879" s="658"/>
      <c r="B879" s="658"/>
      <c r="C879" s="658" t="s">
        <v>1084</v>
      </c>
      <c r="D879" s="658" t="s">
        <v>4121</v>
      </c>
      <c r="E879" s="658" t="s">
        <v>4120</v>
      </c>
      <c r="F879" s="653"/>
      <c r="G879" s="654"/>
      <c r="H879" s="657">
        <v>50</v>
      </c>
      <c r="I879" s="657">
        <f t="shared" ref="I879" si="746">H879</f>
        <v>50</v>
      </c>
      <c r="J879" s="657"/>
      <c r="K879" s="657">
        <v>50</v>
      </c>
      <c r="L879" s="657">
        <f t="shared" ref="L879" si="747">K879-I879</f>
        <v>0</v>
      </c>
    </row>
    <row r="880" spans="1:13">
      <c r="A880" s="658"/>
      <c r="B880" s="658"/>
      <c r="C880" s="658"/>
      <c r="D880" s="658"/>
      <c r="E880" s="658"/>
      <c r="F880" s="655"/>
      <c r="G880" s="656"/>
      <c r="H880" s="657"/>
      <c r="I880" s="657"/>
      <c r="J880" s="657"/>
      <c r="K880" s="657"/>
      <c r="L880" s="657"/>
    </row>
    <row r="881" spans="1:13">
      <c r="A881" s="658"/>
      <c r="B881" s="658"/>
      <c r="C881" s="658" t="s">
        <v>1085</v>
      </c>
      <c r="D881" s="658" t="s">
        <v>2514</v>
      </c>
      <c r="E881" s="658" t="s">
        <v>1140</v>
      </c>
      <c r="F881" s="653"/>
      <c r="G881" s="654"/>
      <c r="H881" s="657">
        <v>350</v>
      </c>
      <c r="I881" s="657">
        <f t="shared" ref="I881" si="748">H881</f>
        <v>350</v>
      </c>
      <c r="J881" s="657"/>
      <c r="K881" s="657"/>
      <c r="L881" s="657">
        <f t="shared" ref="L881" si="749">K881-I881</f>
        <v>-350</v>
      </c>
    </row>
    <row r="882" spans="1:13">
      <c r="A882" s="658"/>
      <c r="B882" s="658"/>
      <c r="C882" s="658"/>
      <c r="D882" s="658"/>
      <c r="E882" s="658"/>
      <c r="F882" s="655"/>
      <c r="G882" s="656"/>
      <c r="H882" s="657"/>
      <c r="I882" s="657"/>
      <c r="J882" s="657"/>
      <c r="K882" s="657"/>
      <c r="L882" s="657"/>
    </row>
    <row r="883" spans="1:13">
      <c r="A883" s="658"/>
      <c r="B883" s="658"/>
      <c r="C883" s="658" t="s">
        <v>2633</v>
      </c>
      <c r="D883" s="658" t="s">
        <v>2514</v>
      </c>
      <c r="E883" s="658" t="s">
        <v>3309</v>
      </c>
      <c r="F883" s="653"/>
      <c r="G883" s="654"/>
      <c r="H883" s="657">
        <v>500</v>
      </c>
      <c r="I883" s="657">
        <f t="shared" ref="I883" si="750">H883</f>
        <v>500</v>
      </c>
      <c r="J883" s="657"/>
      <c r="K883" s="657">
        <v>500</v>
      </c>
      <c r="L883" s="657">
        <f t="shared" ref="L883" si="751">K883-I883</f>
        <v>0</v>
      </c>
    </row>
    <row r="884" spans="1:13">
      <c r="A884" s="658"/>
      <c r="B884" s="658"/>
      <c r="C884" s="658"/>
      <c r="D884" s="658"/>
      <c r="E884" s="658"/>
      <c r="F884" s="655"/>
      <c r="G884" s="656"/>
      <c r="H884" s="657"/>
      <c r="I884" s="657"/>
      <c r="J884" s="657"/>
      <c r="K884" s="657"/>
      <c r="L884" s="657"/>
    </row>
    <row r="885" spans="1:13">
      <c r="A885" s="658"/>
      <c r="B885" s="658"/>
      <c r="C885" s="658" t="s">
        <v>2634</v>
      </c>
      <c r="D885" s="658" t="s">
        <v>2514</v>
      </c>
      <c r="E885" s="658" t="s">
        <v>1601</v>
      </c>
      <c r="F885" s="653"/>
      <c r="G885" s="654"/>
      <c r="H885" s="657">
        <v>350</v>
      </c>
      <c r="I885" s="657">
        <f t="shared" ref="I885" si="752">H885</f>
        <v>350</v>
      </c>
      <c r="J885" s="657"/>
      <c r="K885" s="657">
        <v>350</v>
      </c>
      <c r="L885" s="657">
        <f t="shared" ref="L885" si="753">K885-I885</f>
        <v>0</v>
      </c>
    </row>
    <row r="886" spans="1:13">
      <c r="A886" s="658"/>
      <c r="B886" s="658"/>
      <c r="C886" s="658"/>
      <c r="D886" s="658"/>
      <c r="E886" s="658"/>
      <c r="F886" s="655"/>
      <c r="G886" s="656"/>
      <c r="H886" s="657"/>
      <c r="I886" s="657"/>
      <c r="J886" s="657"/>
      <c r="K886" s="657"/>
      <c r="L886" s="657"/>
    </row>
    <row r="887" spans="1:13">
      <c r="A887" s="658" t="s">
        <v>465</v>
      </c>
      <c r="B887" s="658" t="s">
        <v>4037</v>
      </c>
      <c r="C887" s="658" t="s">
        <v>4124</v>
      </c>
      <c r="D887" s="658" t="s">
        <v>2494</v>
      </c>
      <c r="E887" s="658" t="s">
        <v>239</v>
      </c>
      <c r="F887" s="653"/>
      <c r="G887" s="654"/>
      <c r="H887" s="657">
        <v>45613</v>
      </c>
      <c r="I887" s="657">
        <v>1530</v>
      </c>
      <c r="J887" s="657"/>
      <c r="K887" s="657">
        <v>1530</v>
      </c>
      <c r="L887" s="657">
        <f t="shared" ref="L887" si="754">K887-I887</f>
        <v>0</v>
      </c>
      <c r="M887" s="624">
        <v>1000</v>
      </c>
    </row>
    <row r="888" spans="1:13">
      <c r="A888" s="658"/>
      <c r="B888" s="658"/>
      <c r="C888" s="658"/>
      <c r="D888" s="658"/>
      <c r="E888" s="658"/>
      <c r="F888" s="655"/>
      <c r="G888" s="656"/>
      <c r="H888" s="657"/>
      <c r="I888" s="657"/>
      <c r="J888" s="657"/>
      <c r="K888" s="657"/>
      <c r="L888" s="657"/>
    </row>
    <row r="889" spans="1:13">
      <c r="A889" s="658"/>
      <c r="B889" s="658"/>
      <c r="C889" s="658" t="s">
        <v>2637</v>
      </c>
      <c r="D889" s="658" t="s">
        <v>2514</v>
      </c>
      <c r="E889" s="658" t="s">
        <v>2780</v>
      </c>
      <c r="F889" s="653"/>
      <c r="G889" s="654"/>
      <c r="H889" s="657">
        <v>380</v>
      </c>
      <c r="I889" s="657">
        <f t="shared" ref="I889" si="755">H889</f>
        <v>380</v>
      </c>
      <c r="J889" s="657"/>
      <c r="K889" s="657">
        <v>380</v>
      </c>
      <c r="L889" s="657">
        <f t="shared" ref="L889" si="756">K889-I889</f>
        <v>0</v>
      </c>
    </row>
    <row r="890" spans="1:13">
      <c r="A890" s="658"/>
      <c r="B890" s="658"/>
      <c r="C890" s="658"/>
      <c r="D890" s="658"/>
      <c r="E890" s="658"/>
      <c r="F890" s="655"/>
      <c r="G890" s="656"/>
      <c r="H890" s="657"/>
      <c r="I890" s="657"/>
      <c r="J890" s="657"/>
      <c r="K890" s="657"/>
      <c r="L890" s="657"/>
    </row>
    <row r="891" spans="1:13">
      <c r="A891" s="658"/>
      <c r="B891" s="658"/>
      <c r="C891" s="658" t="s">
        <v>1867</v>
      </c>
      <c r="D891" s="658" t="s">
        <v>2514</v>
      </c>
      <c r="E891" s="658" t="s">
        <v>4066</v>
      </c>
      <c r="F891" s="653"/>
      <c r="G891" s="654"/>
      <c r="H891" s="657">
        <v>96</v>
      </c>
      <c r="I891" s="657">
        <f t="shared" ref="I891" si="757">H891</f>
        <v>96</v>
      </c>
      <c r="J891" s="657"/>
      <c r="K891" s="657"/>
      <c r="L891" s="657">
        <f t="shared" ref="L891" si="758">K891-I891</f>
        <v>-96</v>
      </c>
    </row>
    <row r="892" spans="1:13">
      <c r="A892" s="658"/>
      <c r="B892" s="658"/>
      <c r="C892" s="658"/>
      <c r="D892" s="658"/>
      <c r="E892" s="658"/>
      <c r="F892" s="655"/>
      <c r="G892" s="656"/>
      <c r="H892" s="657"/>
      <c r="I892" s="657"/>
      <c r="J892" s="657"/>
      <c r="K892" s="657"/>
      <c r="L892" s="657"/>
    </row>
    <row r="893" spans="1:13">
      <c r="A893" s="658" t="s">
        <v>467</v>
      </c>
      <c r="B893" s="658" t="s">
        <v>3298</v>
      </c>
      <c r="C893" s="658" t="s">
        <v>4128</v>
      </c>
      <c r="D893" s="658" t="s">
        <v>4127</v>
      </c>
      <c r="E893" s="658" t="s">
        <v>239</v>
      </c>
      <c r="F893" s="653"/>
      <c r="G893" s="654"/>
      <c r="H893" s="657">
        <v>1470</v>
      </c>
      <c r="I893" s="657">
        <v>1470</v>
      </c>
      <c r="J893" s="657"/>
      <c r="K893" s="657">
        <v>1470</v>
      </c>
      <c r="L893" s="657">
        <f t="shared" ref="L893" si="759">K893-I893</f>
        <v>0</v>
      </c>
    </row>
    <row r="894" spans="1:13">
      <c r="A894" s="658"/>
      <c r="B894" s="658"/>
      <c r="C894" s="658"/>
      <c r="D894" s="658"/>
      <c r="E894" s="658"/>
      <c r="F894" s="655"/>
      <c r="G894" s="656"/>
      <c r="H894" s="657"/>
      <c r="I894" s="657"/>
      <c r="J894" s="657"/>
      <c r="K894" s="657"/>
      <c r="L894" s="657"/>
    </row>
    <row r="895" spans="1:13">
      <c r="A895" s="658"/>
      <c r="B895" s="658"/>
      <c r="C895" s="658" t="s">
        <v>2646</v>
      </c>
      <c r="D895" s="658" t="s">
        <v>4125</v>
      </c>
      <c r="E895" s="658" t="s">
        <v>2376</v>
      </c>
      <c r="F895" s="653"/>
      <c r="G895" s="654"/>
      <c r="H895" s="657">
        <v>58</v>
      </c>
      <c r="I895" s="657">
        <f t="shared" ref="I895" si="760">H895</f>
        <v>58</v>
      </c>
      <c r="J895" s="657"/>
      <c r="K895" s="657"/>
      <c r="L895" s="657">
        <f t="shared" ref="L895" si="761">K895-I895</f>
        <v>-58</v>
      </c>
    </row>
    <row r="896" spans="1:13">
      <c r="A896" s="658"/>
      <c r="B896" s="658"/>
      <c r="C896" s="658"/>
      <c r="D896" s="658"/>
      <c r="E896" s="658"/>
      <c r="F896" s="655"/>
      <c r="G896" s="656"/>
      <c r="H896" s="657"/>
      <c r="I896" s="657"/>
      <c r="J896" s="657"/>
      <c r="K896" s="657"/>
      <c r="L896" s="657"/>
    </row>
    <row r="897" spans="1:12">
      <c r="A897" s="658" t="s">
        <v>468</v>
      </c>
      <c r="B897" s="658" t="s">
        <v>4037</v>
      </c>
      <c r="C897" s="658" t="s">
        <v>4129</v>
      </c>
      <c r="D897" s="658" t="s">
        <v>4127</v>
      </c>
      <c r="E897" s="658" t="s">
        <v>239</v>
      </c>
      <c r="F897" s="653"/>
      <c r="G897" s="654"/>
      <c r="H897" s="657">
        <v>41638</v>
      </c>
      <c r="I897" s="657">
        <v>1400</v>
      </c>
      <c r="J897" s="657"/>
      <c r="K897" s="657">
        <v>1400</v>
      </c>
      <c r="L897" s="657">
        <f t="shared" ref="L897" si="762">K897-I897</f>
        <v>0</v>
      </c>
    </row>
    <row r="898" spans="1:12">
      <c r="A898" s="658"/>
      <c r="B898" s="658"/>
      <c r="C898" s="658"/>
      <c r="D898" s="658"/>
      <c r="E898" s="658"/>
      <c r="F898" s="655"/>
      <c r="G898" s="656"/>
      <c r="H898" s="657"/>
      <c r="I898" s="657"/>
      <c r="J898" s="657"/>
      <c r="K898" s="657"/>
      <c r="L898" s="657"/>
    </row>
    <row r="899" spans="1:12">
      <c r="A899" s="658"/>
      <c r="B899" s="658"/>
      <c r="C899" s="658" t="s">
        <v>2653</v>
      </c>
      <c r="D899" s="658" t="s">
        <v>4126</v>
      </c>
      <c r="E899" s="658" t="s">
        <v>2723</v>
      </c>
      <c r="F899" s="653"/>
      <c r="G899" s="654"/>
      <c r="H899" s="657">
        <v>1260</v>
      </c>
      <c r="I899" s="657">
        <f t="shared" ref="I899" si="763">H899</f>
        <v>1260</v>
      </c>
      <c r="J899" s="657"/>
      <c r="K899" s="657"/>
      <c r="L899" s="657">
        <f t="shared" ref="L899" si="764">K899-I899</f>
        <v>-1260</v>
      </c>
    </row>
    <row r="900" spans="1:12">
      <c r="A900" s="658"/>
      <c r="B900" s="658"/>
      <c r="C900" s="658"/>
      <c r="D900" s="658"/>
      <c r="E900" s="658"/>
      <c r="F900" s="655"/>
      <c r="G900" s="656"/>
      <c r="H900" s="657"/>
      <c r="I900" s="657"/>
      <c r="J900" s="657"/>
      <c r="K900" s="657"/>
      <c r="L900" s="657"/>
    </row>
    <row r="901" spans="1:12">
      <c r="A901" s="658" t="s">
        <v>472</v>
      </c>
      <c r="B901" s="658" t="s">
        <v>3008</v>
      </c>
      <c r="C901" s="658" t="s">
        <v>4130</v>
      </c>
      <c r="D901" s="658" t="s">
        <v>4127</v>
      </c>
      <c r="E901" s="658" t="s">
        <v>239</v>
      </c>
      <c r="F901" s="653"/>
      <c r="G901" s="654"/>
      <c r="H901" s="657">
        <v>1470</v>
      </c>
      <c r="I901" s="657">
        <v>1470</v>
      </c>
      <c r="J901" s="657"/>
      <c r="K901" s="657">
        <v>1470</v>
      </c>
      <c r="L901" s="657">
        <f t="shared" ref="L901" si="765">K901-I901</f>
        <v>0</v>
      </c>
    </row>
    <row r="902" spans="1:12">
      <c r="A902" s="658"/>
      <c r="B902" s="658"/>
      <c r="C902" s="658"/>
      <c r="D902" s="658"/>
      <c r="E902" s="658"/>
      <c r="F902" s="655"/>
      <c r="G902" s="656"/>
      <c r="H902" s="657"/>
      <c r="I902" s="657"/>
      <c r="J902" s="657"/>
      <c r="K902" s="657"/>
      <c r="L902" s="657"/>
    </row>
    <row r="903" spans="1:12">
      <c r="A903" s="658"/>
      <c r="B903" s="658"/>
      <c r="C903" s="658" t="s">
        <v>1866</v>
      </c>
      <c r="D903" s="658" t="s">
        <v>4126</v>
      </c>
      <c r="E903" s="658" t="s">
        <v>1601</v>
      </c>
      <c r="F903" s="653"/>
      <c r="G903" s="654"/>
      <c r="H903" s="657">
        <v>950</v>
      </c>
      <c r="I903" s="657">
        <f t="shared" ref="I903" si="766">H903</f>
        <v>950</v>
      </c>
      <c r="J903" s="657"/>
      <c r="K903" s="657">
        <v>950</v>
      </c>
      <c r="L903" s="657">
        <f t="shared" ref="L903" si="767">K903-I903</f>
        <v>0</v>
      </c>
    </row>
    <row r="904" spans="1:12">
      <c r="A904" s="658"/>
      <c r="B904" s="658"/>
      <c r="C904" s="658"/>
      <c r="D904" s="658"/>
      <c r="E904" s="658"/>
      <c r="F904" s="655"/>
      <c r="G904" s="656"/>
      <c r="H904" s="657"/>
      <c r="I904" s="657"/>
      <c r="J904" s="657"/>
      <c r="K904" s="657"/>
      <c r="L904" s="657"/>
    </row>
    <row r="905" spans="1:12">
      <c r="A905" s="658"/>
      <c r="B905" s="658"/>
      <c r="C905" s="658" t="s">
        <v>2668</v>
      </c>
      <c r="D905" s="658" t="s">
        <v>4126</v>
      </c>
      <c r="E905" s="658" t="s">
        <v>3025</v>
      </c>
      <c r="F905" s="653"/>
      <c r="G905" s="654"/>
      <c r="H905" s="657">
        <v>97</v>
      </c>
      <c r="I905" s="657">
        <f t="shared" ref="I905" si="768">H905</f>
        <v>97</v>
      </c>
      <c r="J905" s="657"/>
      <c r="K905" s="657"/>
      <c r="L905" s="657">
        <f t="shared" ref="L905" si="769">K905-I905</f>
        <v>-97</v>
      </c>
    </row>
    <row r="906" spans="1:12">
      <c r="A906" s="658"/>
      <c r="B906" s="658"/>
      <c r="C906" s="658"/>
      <c r="D906" s="658"/>
      <c r="E906" s="658"/>
      <c r="F906" s="655"/>
      <c r="G906" s="656"/>
      <c r="H906" s="657"/>
      <c r="I906" s="657"/>
      <c r="J906" s="657"/>
      <c r="K906" s="657"/>
      <c r="L906" s="657"/>
    </row>
    <row r="907" spans="1:12">
      <c r="A907" s="658" t="s">
        <v>486</v>
      </c>
      <c r="B907" s="658" t="s">
        <v>4037</v>
      </c>
      <c r="C907" s="658" t="s">
        <v>4137</v>
      </c>
      <c r="D907" s="658" t="s">
        <v>4136</v>
      </c>
      <c r="E907" s="658" t="s">
        <v>1873</v>
      </c>
      <c r="F907" s="653"/>
      <c r="G907" s="654"/>
      <c r="H907" s="657">
        <v>1470</v>
      </c>
      <c r="I907" s="657">
        <f t="shared" ref="I907" si="770">H907</f>
        <v>1470</v>
      </c>
      <c r="J907" s="657"/>
      <c r="K907" s="657">
        <v>1470</v>
      </c>
      <c r="L907" s="657">
        <f t="shared" ref="L907" si="771">K907-I907</f>
        <v>0</v>
      </c>
    </row>
    <row r="908" spans="1:12">
      <c r="A908" s="658"/>
      <c r="B908" s="658"/>
      <c r="C908" s="658"/>
      <c r="D908" s="658"/>
      <c r="E908" s="658"/>
      <c r="F908" s="655"/>
      <c r="G908" s="656"/>
      <c r="H908" s="657"/>
      <c r="I908" s="657"/>
      <c r="J908" s="657"/>
      <c r="K908" s="657"/>
      <c r="L908" s="657"/>
    </row>
    <row r="909" spans="1:12">
      <c r="A909" s="658"/>
      <c r="B909" s="658"/>
      <c r="C909" s="658" t="s">
        <v>2670</v>
      </c>
      <c r="D909" s="658" t="s">
        <v>4132</v>
      </c>
      <c r="E909" s="658" t="s">
        <v>4131</v>
      </c>
      <c r="F909" s="653"/>
      <c r="G909" s="654"/>
      <c r="H909" s="657">
        <v>400</v>
      </c>
      <c r="I909" s="657">
        <f t="shared" ref="I909" si="772">H909</f>
        <v>400</v>
      </c>
      <c r="J909" s="657"/>
      <c r="K909" s="657">
        <v>400</v>
      </c>
      <c r="L909" s="657">
        <f t="shared" ref="L909" si="773">K909-I909</f>
        <v>0</v>
      </c>
    </row>
    <row r="910" spans="1:12">
      <c r="A910" s="658"/>
      <c r="B910" s="658"/>
      <c r="C910" s="658"/>
      <c r="D910" s="658"/>
      <c r="E910" s="658"/>
      <c r="F910" s="655"/>
      <c r="G910" s="656"/>
      <c r="H910" s="657"/>
      <c r="I910" s="657"/>
      <c r="J910" s="657"/>
      <c r="K910" s="657"/>
      <c r="L910" s="657"/>
    </row>
    <row r="911" spans="1:12">
      <c r="A911" s="658"/>
      <c r="B911" s="658"/>
      <c r="C911" s="658" t="s">
        <v>2671</v>
      </c>
      <c r="D911" s="658" t="s">
        <v>4132</v>
      </c>
      <c r="E911" s="658" t="s">
        <v>3598</v>
      </c>
      <c r="F911" s="653"/>
      <c r="G911" s="654"/>
      <c r="H911" s="657">
        <v>500</v>
      </c>
      <c r="I911" s="657">
        <f t="shared" ref="I911" si="774">H911</f>
        <v>500</v>
      </c>
      <c r="J911" s="657"/>
      <c r="K911" s="657">
        <v>500</v>
      </c>
      <c r="L911" s="657">
        <f t="shared" ref="L911" si="775">K911-I911</f>
        <v>0</v>
      </c>
    </row>
    <row r="912" spans="1:12">
      <c r="A912" s="658"/>
      <c r="B912" s="658"/>
      <c r="C912" s="658"/>
      <c r="D912" s="658"/>
      <c r="E912" s="658"/>
      <c r="F912" s="655"/>
      <c r="G912" s="656"/>
      <c r="H912" s="657"/>
      <c r="I912" s="657"/>
      <c r="J912" s="657"/>
      <c r="K912" s="657"/>
      <c r="L912" s="657"/>
    </row>
    <row r="913" spans="1:12">
      <c r="A913" s="658"/>
      <c r="B913" s="658"/>
      <c r="C913" s="658" t="s">
        <v>2673</v>
      </c>
      <c r="D913" s="658" t="s">
        <v>4132</v>
      </c>
      <c r="E913" s="658" t="s">
        <v>2723</v>
      </c>
      <c r="F913" s="653"/>
      <c r="G913" s="654"/>
      <c r="H913" s="657">
        <v>250</v>
      </c>
      <c r="I913" s="657">
        <f t="shared" ref="I913" si="776">H913</f>
        <v>250</v>
      </c>
      <c r="J913" s="657"/>
      <c r="K913" s="657"/>
      <c r="L913" s="657">
        <f t="shared" ref="L913" si="777">K913-I913</f>
        <v>-250</v>
      </c>
    </row>
    <row r="914" spans="1:12">
      <c r="A914" s="658"/>
      <c r="B914" s="658"/>
      <c r="C914" s="658"/>
      <c r="D914" s="658"/>
      <c r="E914" s="658"/>
      <c r="F914" s="655"/>
      <c r="G914" s="656"/>
      <c r="H914" s="657"/>
      <c r="I914" s="657"/>
      <c r="J914" s="657"/>
      <c r="K914" s="657"/>
      <c r="L914" s="657"/>
    </row>
    <row r="915" spans="1:12">
      <c r="A915" s="658"/>
      <c r="B915" s="658"/>
      <c r="C915" s="658" t="s">
        <v>2674</v>
      </c>
      <c r="D915" s="658" t="s">
        <v>4132</v>
      </c>
      <c r="E915" s="658" t="s">
        <v>2376</v>
      </c>
      <c r="F915" s="653"/>
      <c r="G915" s="654"/>
      <c r="H915" s="657">
        <v>45</v>
      </c>
      <c r="I915" s="657">
        <f t="shared" ref="I915" si="778">H915</f>
        <v>45</v>
      </c>
      <c r="J915" s="657"/>
      <c r="K915" s="657"/>
      <c r="L915" s="657">
        <f t="shared" ref="L915" si="779">K915-I915</f>
        <v>-45</v>
      </c>
    </row>
    <row r="916" spans="1:12">
      <c r="A916" s="658"/>
      <c r="B916" s="658"/>
      <c r="C916" s="658"/>
      <c r="D916" s="658"/>
      <c r="E916" s="658"/>
      <c r="F916" s="655"/>
      <c r="G916" s="656"/>
      <c r="H916" s="657"/>
      <c r="I916" s="657"/>
      <c r="J916" s="657"/>
      <c r="K916" s="657"/>
      <c r="L916" s="657"/>
    </row>
    <row r="917" spans="1:12">
      <c r="A917" s="658" t="s">
        <v>489</v>
      </c>
      <c r="B917" s="658" t="s">
        <v>3298</v>
      </c>
      <c r="C917" s="658" t="s">
        <v>4138</v>
      </c>
      <c r="D917" s="658" t="s">
        <v>4135</v>
      </c>
      <c r="E917" s="658" t="s">
        <v>1873</v>
      </c>
      <c r="F917" s="653"/>
      <c r="G917" s="654"/>
      <c r="H917" s="657">
        <v>47643</v>
      </c>
      <c r="I917" s="657">
        <v>1590</v>
      </c>
      <c r="J917" s="657"/>
      <c r="K917" s="657"/>
      <c r="L917" s="657">
        <f t="shared" ref="L917" si="780">K917-I917</f>
        <v>-1590</v>
      </c>
    </row>
    <row r="918" spans="1:12">
      <c r="A918" s="658"/>
      <c r="B918" s="658"/>
      <c r="C918" s="658"/>
      <c r="D918" s="658"/>
      <c r="E918" s="658"/>
      <c r="F918" s="655"/>
      <c r="G918" s="656"/>
      <c r="H918" s="657"/>
      <c r="I918" s="657"/>
      <c r="J918" s="657"/>
      <c r="K918" s="657"/>
      <c r="L918" s="657"/>
    </row>
    <row r="919" spans="1:12">
      <c r="A919" s="658"/>
      <c r="B919" s="658"/>
      <c r="C919" s="659" t="s">
        <v>2675</v>
      </c>
      <c r="D919" s="658" t="s">
        <v>4132</v>
      </c>
      <c r="E919" s="658" t="s">
        <v>3966</v>
      </c>
      <c r="F919" s="653"/>
      <c r="G919" s="654"/>
      <c r="H919" s="657">
        <v>20000</v>
      </c>
      <c r="I919" s="657">
        <v>669</v>
      </c>
      <c r="J919" s="657" t="s">
        <v>3262</v>
      </c>
      <c r="K919" s="657"/>
      <c r="L919" s="657">
        <f t="shared" ref="L919" si="781">K919-I919</f>
        <v>-669</v>
      </c>
    </row>
    <row r="920" spans="1:12">
      <c r="A920" s="658"/>
      <c r="B920" s="658"/>
      <c r="C920" s="660"/>
      <c r="D920" s="658"/>
      <c r="E920" s="658"/>
      <c r="F920" s="655"/>
      <c r="G920" s="656"/>
      <c r="H920" s="657"/>
      <c r="I920" s="657"/>
      <c r="J920" s="657"/>
      <c r="K920" s="657"/>
      <c r="L920" s="657"/>
    </row>
    <row r="921" spans="1:12">
      <c r="A921" s="658"/>
      <c r="B921" s="658"/>
      <c r="C921" s="659" t="s">
        <v>2676</v>
      </c>
      <c r="D921" s="658" t="s">
        <v>4132</v>
      </c>
      <c r="E921" s="658" t="s">
        <v>3261</v>
      </c>
      <c r="F921" s="653"/>
      <c r="G921" s="654"/>
      <c r="H921" s="657">
        <v>300</v>
      </c>
      <c r="I921" s="657">
        <f t="shared" ref="I921" si="782">H921</f>
        <v>300</v>
      </c>
      <c r="J921" s="657"/>
      <c r="K921" s="657">
        <v>300</v>
      </c>
      <c r="L921" s="657">
        <f t="shared" ref="L921" si="783">K921-I921</f>
        <v>0</v>
      </c>
    </row>
    <row r="922" spans="1:12">
      <c r="A922" s="658"/>
      <c r="B922" s="658"/>
      <c r="C922" s="660"/>
      <c r="D922" s="658"/>
      <c r="E922" s="658"/>
      <c r="F922" s="655"/>
      <c r="G922" s="656"/>
      <c r="H922" s="657"/>
      <c r="I922" s="657"/>
      <c r="J922" s="657"/>
      <c r="K922" s="657"/>
      <c r="L922" s="657"/>
    </row>
    <row r="923" spans="1:12">
      <c r="A923" s="658"/>
      <c r="B923" s="658"/>
      <c r="C923" s="659" t="s">
        <v>2677</v>
      </c>
      <c r="D923" s="658" t="s">
        <v>4132</v>
      </c>
      <c r="E923" s="658" t="s">
        <v>4133</v>
      </c>
      <c r="F923" s="653"/>
      <c r="G923" s="654"/>
      <c r="H923" s="657">
        <v>600</v>
      </c>
      <c r="I923" s="657">
        <f t="shared" ref="I923" si="784">H923</f>
        <v>600</v>
      </c>
      <c r="J923" s="657"/>
      <c r="K923" s="657">
        <v>600</v>
      </c>
      <c r="L923" s="657">
        <f t="shared" ref="L923" si="785">K923-I923</f>
        <v>0</v>
      </c>
    </row>
    <row r="924" spans="1:12">
      <c r="A924" s="658"/>
      <c r="B924" s="658"/>
      <c r="C924" s="660"/>
      <c r="D924" s="658"/>
      <c r="E924" s="658"/>
      <c r="F924" s="655"/>
      <c r="G924" s="656"/>
      <c r="H924" s="657"/>
      <c r="I924" s="657"/>
      <c r="J924" s="657"/>
      <c r="K924" s="657"/>
      <c r="L924" s="657"/>
    </row>
    <row r="925" spans="1:12">
      <c r="A925" s="658"/>
      <c r="B925" s="658"/>
      <c r="C925" s="658" t="s">
        <v>2683</v>
      </c>
      <c r="D925" s="658" t="s">
        <v>4132</v>
      </c>
      <c r="E925" s="658" t="s">
        <v>3769</v>
      </c>
      <c r="F925" s="653"/>
      <c r="G925" s="654"/>
      <c r="H925" s="657">
        <v>350</v>
      </c>
      <c r="I925" s="657">
        <f t="shared" ref="I925" si="786">H925</f>
        <v>350</v>
      </c>
      <c r="J925" s="657"/>
      <c r="K925" s="657">
        <v>350</v>
      </c>
      <c r="L925" s="657">
        <f t="shared" ref="L925" si="787">K925-I925</f>
        <v>0</v>
      </c>
    </row>
    <row r="926" spans="1:12">
      <c r="A926" s="658"/>
      <c r="B926" s="658"/>
      <c r="C926" s="658"/>
      <c r="D926" s="658"/>
      <c r="E926" s="658"/>
      <c r="F926" s="655"/>
      <c r="G926" s="656"/>
      <c r="H926" s="657"/>
      <c r="I926" s="657"/>
      <c r="J926" s="657"/>
      <c r="K926" s="657"/>
      <c r="L926" s="657"/>
    </row>
    <row r="927" spans="1:12">
      <c r="A927" s="658" t="s">
        <v>490</v>
      </c>
      <c r="B927" s="658" t="s">
        <v>3008</v>
      </c>
      <c r="C927" s="658" t="s">
        <v>4140</v>
      </c>
      <c r="D927" s="658" t="s">
        <v>4139</v>
      </c>
      <c r="E927" s="658" t="s">
        <v>1873</v>
      </c>
      <c r="F927" s="653"/>
      <c r="G927" s="654"/>
      <c r="H927" s="657">
        <v>45823</v>
      </c>
      <c r="I927" s="657">
        <v>1530</v>
      </c>
      <c r="J927" s="657"/>
      <c r="K927" s="657"/>
      <c r="L927" s="657">
        <f t="shared" ref="L927" si="788">K927-I927</f>
        <v>-1530</v>
      </c>
    </row>
    <row r="928" spans="1:12">
      <c r="A928" s="658"/>
      <c r="B928" s="658"/>
      <c r="C928" s="658"/>
      <c r="D928" s="658"/>
      <c r="E928" s="658"/>
      <c r="F928" s="655"/>
      <c r="G928" s="656"/>
      <c r="H928" s="657"/>
      <c r="I928" s="657"/>
      <c r="J928" s="657"/>
      <c r="K928" s="657"/>
      <c r="L928" s="657"/>
    </row>
    <row r="929" spans="1:12">
      <c r="A929" s="658"/>
      <c r="B929" s="658"/>
      <c r="C929" s="659" t="s">
        <v>2693</v>
      </c>
      <c r="D929" s="658" t="s">
        <v>4135</v>
      </c>
      <c r="E929" s="658" t="s">
        <v>3966</v>
      </c>
      <c r="F929" s="653"/>
      <c r="G929" s="654"/>
      <c r="H929" s="657">
        <v>20000</v>
      </c>
      <c r="I929" s="657">
        <v>667</v>
      </c>
      <c r="J929" s="657" t="s">
        <v>3262</v>
      </c>
      <c r="K929" s="657"/>
      <c r="L929" s="657">
        <f t="shared" ref="L929" si="789">K929-I929</f>
        <v>-667</v>
      </c>
    </row>
    <row r="930" spans="1:12">
      <c r="A930" s="658"/>
      <c r="B930" s="658"/>
      <c r="C930" s="660"/>
      <c r="D930" s="658"/>
      <c r="E930" s="658"/>
      <c r="F930" s="655"/>
      <c r="G930" s="656"/>
      <c r="H930" s="657"/>
      <c r="I930" s="657"/>
      <c r="J930" s="657"/>
      <c r="K930" s="657"/>
      <c r="L930" s="657"/>
    </row>
    <row r="931" spans="1:12">
      <c r="A931" s="658"/>
      <c r="B931" s="658"/>
      <c r="C931" s="658" t="s">
        <v>2699</v>
      </c>
      <c r="D931" s="658" t="s">
        <v>4134</v>
      </c>
      <c r="E931" s="658" t="s">
        <v>3309</v>
      </c>
      <c r="F931" s="653"/>
      <c r="G931" s="654"/>
      <c r="H931" s="657">
        <v>550</v>
      </c>
      <c r="I931" s="657">
        <f t="shared" ref="I931" si="790">H931</f>
        <v>550</v>
      </c>
      <c r="J931" s="657"/>
      <c r="K931" s="657">
        <v>550</v>
      </c>
      <c r="L931" s="657">
        <f t="shared" ref="L931" si="791">K931-I931</f>
        <v>0</v>
      </c>
    </row>
    <row r="932" spans="1:12">
      <c r="A932" s="658"/>
      <c r="B932" s="658"/>
      <c r="C932" s="658"/>
      <c r="D932" s="658"/>
      <c r="E932" s="658"/>
      <c r="F932" s="655"/>
      <c r="G932" s="656"/>
      <c r="H932" s="657"/>
      <c r="I932" s="657"/>
      <c r="J932" s="657"/>
      <c r="K932" s="657"/>
      <c r="L932" s="657"/>
    </row>
    <row r="933" spans="1:12">
      <c r="A933" s="658"/>
      <c r="B933" s="658"/>
      <c r="C933" s="658" t="s">
        <v>2702</v>
      </c>
      <c r="D933" s="658" t="s">
        <v>4134</v>
      </c>
      <c r="E933" s="658" t="s">
        <v>1140</v>
      </c>
      <c r="F933" s="653"/>
      <c r="G933" s="654"/>
      <c r="H933" s="657">
        <v>250</v>
      </c>
      <c r="I933" s="657">
        <f t="shared" ref="I933" si="792">H933</f>
        <v>250</v>
      </c>
      <c r="J933" s="657"/>
      <c r="K933" s="657">
        <v>250</v>
      </c>
      <c r="L933" s="657">
        <f t="shared" ref="L933" si="793">K933-I933</f>
        <v>0</v>
      </c>
    </row>
    <row r="934" spans="1:12">
      <c r="A934" s="658"/>
      <c r="B934" s="658"/>
      <c r="C934" s="658"/>
      <c r="D934" s="658"/>
      <c r="E934" s="658"/>
      <c r="F934" s="655"/>
      <c r="G934" s="656"/>
      <c r="H934" s="657"/>
      <c r="I934" s="657"/>
      <c r="J934" s="657"/>
      <c r="K934" s="657"/>
      <c r="L934" s="657"/>
    </row>
    <row r="935" spans="1:12">
      <c r="A935" s="658"/>
      <c r="B935" s="658"/>
      <c r="C935" s="658" t="s">
        <v>2705</v>
      </c>
      <c r="D935" s="658" t="s">
        <v>4134</v>
      </c>
      <c r="E935" s="658" t="s">
        <v>1601</v>
      </c>
      <c r="F935" s="653"/>
      <c r="G935" s="654"/>
      <c r="H935" s="657">
        <v>350</v>
      </c>
      <c r="I935" s="657">
        <f t="shared" ref="I935" si="794">H935</f>
        <v>350</v>
      </c>
      <c r="J935" s="657"/>
      <c r="K935" s="657">
        <v>350</v>
      </c>
      <c r="L935" s="657">
        <f t="shared" ref="L935" si="795">K935-I935</f>
        <v>0</v>
      </c>
    </row>
    <row r="936" spans="1:12">
      <c r="A936" s="658"/>
      <c r="B936" s="658"/>
      <c r="C936" s="658"/>
      <c r="D936" s="658"/>
      <c r="E936" s="658"/>
      <c r="F936" s="655"/>
      <c r="G936" s="656"/>
      <c r="H936" s="657"/>
      <c r="I936" s="657"/>
      <c r="J936" s="657"/>
      <c r="K936" s="657"/>
      <c r="L936" s="657"/>
    </row>
    <row r="937" spans="1:12">
      <c r="A937" s="658" t="s">
        <v>491</v>
      </c>
      <c r="B937" s="658" t="s">
        <v>3281</v>
      </c>
      <c r="C937" s="658" t="s">
        <v>4141</v>
      </c>
      <c r="D937" s="658" t="s">
        <v>4139</v>
      </c>
      <c r="E937" s="658" t="s">
        <v>1873</v>
      </c>
      <c r="F937" s="653"/>
      <c r="G937" s="654"/>
      <c r="H937" s="657">
        <v>1470</v>
      </c>
      <c r="I937" s="657">
        <f t="shared" ref="I937" si="796">H937</f>
        <v>1470</v>
      </c>
      <c r="J937" s="657"/>
      <c r="K937" s="657">
        <v>1470</v>
      </c>
      <c r="L937" s="657">
        <f t="shared" ref="L937" si="797">K937-I937</f>
        <v>0</v>
      </c>
    </row>
    <row r="938" spans="1:12">
      <c r="A938" s="658"/>
      <c r="B938" s="658"/>
      <c r="C938" s="658"/>
      <c r="D938" s="658"/>
      <c r="E938" s="658"/>
      <c r="F938" s="655"/>
      <c r="G938" s="656"/>
      <c r="H938" s="657"/>
      <c r="I938" s="657"/>
      <c r="J938" s="657"/>
      <c r="K938" s="657"/>
      <c r="L938" s="657"/>
    </row>
    <row r="939" spans="1:12">
      <c r="A939" s="658"/>
      <c r="B939" s="658"/>
      <c r="C939" s="658" t="s">
        <v>2706</v>
      </c>
      <c r="D939" s="658" t="s">
        <v>4134</v>
      </c>
      <c r="E939" s="658" t="s">
        <v>3309</v>
      </c>
      <c r="F939" s="653"/>
      <c r="G939" s="654"/>
      <c r="H939" s="657">
        <v>420</v>
      </c>
      <c r="I939" s="657">
        <f t="shared" ref="I939" si="798">H939</f>
        <v>420</v>
      </c>
      <c r="J939" s="657"/>
      <c r="K939" s="657">
        <v>420</v>
      </c>
      <c r="L939" s="657">
        <f t="shared" ref="L939" si="799">K939-I939</f>
        <v>0</v>
      </c>
    </row>
    <row r="940" spans="1:12">
      <c r="A940" s="658"/>
      <c r="B940" s="658"/>
      <c r="C940" s="658"/>
      <c r="D940" s="658"/>
      <c r="E940" s="658"/>
      <c r="F940" s="655"/>
      <c r="G940" s="656"/>
      <c r="H940" s="657"/>
      <c r="I940" s="657"/>
      <c r="J940" s="657"/>
      <c r="K940" s="657"/>
      <c r="L940" s="657"/>
    </row>
    <row r="941" spans="1:12">
      <c r="A941" s="658"/>
      <c r="B941" s="658"/>
      <c r="C941" s="658" t="s">
        <v>2707</v>
      </c>
      <c r="D941" s="658" t="s">
        <v>4134</v>
      </c>
      <c r="E941" s="658" t="s">
        <v>2517</v>
      </c>
      <c r="F941" s="653"/>
      <c r="G941" s="654"/>
      <c r="H941" s="657">
        <v>427</v>
      </c>
      <c r="I941" s="657">
        <f t="shared" ref="I941" si="800">H941</f>
        <v>427</v>
      </c>
      <c r="J941" s="657"/>
      <c r="K941" s="657">
        <v>427</v>
      </c>
      <c r="L941" s="657">
        <f t="shared" ref="L941" si="801">K941-I941</f>
        <v>0</v>
      </c>
    </row>
    <row r="942" spans="1:12">
      <c r="A942" s="658"/>
      <c r="B942" s="658"/>
      <c r="C942" s="658"/>
      <c r="D942" s="658"/>
      <c r="E942" s="658"/>
      <c r="F942" s="655"/>
      <c r="G942" s="656"/>
      <c r="H942" s="657"/>
      <c r="I942" s="657"/>
      <c r="J942" s="657"/>
      <c r="K942" s="657"/>
      <c r="L942" s="657"/>
    </row>
    <row r="943" spans="1:12">
      <c r="A943" s="658"/>
      <c r="B943" s="658"/>
      <c r="C943" s="658" t="s">
        <v>2708</v>
      </c>
      <c r="D943" s="658" t="s">
        <v>4134</v>
      </c>
      <c r="E943" s="658" t="s">
        <v>3025</v>
      </c>
      <c r="F943" s="653"/>
      <c r="G943" s="654"/>
      <c r="H943" s="657">
        <v>97</v>
      </c>
      <c r="I943" s="657">
        <f t="shared" ref="I943" si="802">H943</f>
        <v>97</v>
      </c>
      <c r="J943" s="657"/>
      <c r="K943" s="657"/>
      <c r="L943" s="657">
        <f t="shared" ref="L943" si="803">K943-I943</f>
        <v>-97</v>
      </c>
    </row>
    <row r="944" spans="1:12">
      <c r="A944" s="658"/>
      <c r="B944" s="658"/>
      <c r="C944" s="658"/>
      <c r="D944" s="658"/>
      <c r="E944" s="658"/>
      <c r="F944" s="655"/>
      <c r="G944" s="656"/>
      <c r="H944" s="657"/>
      <c r="I944" s="657"/>
      <c r="J944" s="657"/>
      <c r="K944" s="657"/>
      <c r="L944" s="657"/>
    </row>
    <row r="945" spans="1:13">
      <c r="A945" s="658" t="s">
        <v>494</v>
      </c>
      <c r="B945" s="658" t="s">
        <v>4037</v>
      </c>
      <c r="C945" s="658" t="s">
        <v>4149</v>
      </c>
      <c r="D945" s="658" t="s">
        <v>4148</v>
      </c>
      <c r="E945" s="658" t="s">
        <v>239</v>
      </c>
      <c r="F945" s="653"/>
      <c r="G945" s="654"/>
      <c r="H945" s="657">
        <v>43597</v>
      </c>
      <c r="I945" s="657">
        <v>1470</v>
      </c>
      <c r="J945" s="657"/>
      <c r="K945" s="657">
        <v>1470</v>
      </c>
      <c r="L945" s="657">
        <f t="shared" ref="L945" si="804">K945-I945</f>
        <v>0</v>
      </c>
    </row>
    <row r="946" spans="1:13">
      <c r="A946" s="658"/>
      <c r="B946" s="658"/>
      <c r="C946" s="658"/>
      <c r="D946" s="658"/>
      <c r="E946" s="658"/>
      <c r="F946" s="655"/>
      <c r="G946" s="656"/>
      <c r="H946" s="657"/>
      <c r="I946" s="657"/>
      <c r="J946" s="657"/>
      <c r="K946" s="657"/>
      <c r="L946" s="657"/>
    </row>
    <row r="947" spans="1:13">
      <c r="A947" s="658"/>
      <c r="B947" s="658"/>
      <c r="C947" s="658" t="s">
        <v>2717</v>
      </c>
      <c r="D947" s="658" t="s">
        <v>4142</v>
      </c>
      <c r="E947" s="658" t="s">
        <v>2348</v>
      </c>
      <c r="F947" s="653"/>
      <c r="G947" s="654"/>
      <c r="H947" s="657">
        <v>50</v>
      </c>
      <c r="I947" s="657">
        <f t="shared" ref="I947" si="805">H947</f>
        <v>50</v>
      </c>
      <c r="J947" s="657"/>
      <c r="K947" s="657">
        <v>50</v>
      </c>
      <c r="L947" s="657">
        <f t="shared" ref="L947" si="806">K947-I947</f>
        <v>0</v>
      </c>
    </row>
    <row r="948" spans="1:13">
      <c r="A948" s="658"/>
      <c r="B948" s="658"/>
      <c r="C948" s="658"/>
      <c r="D948" s="658"/>
      <c r="E948" s="658"/>
      <c r="F948" s="655"/>
      <c r="G948" s="656"/>
      <c r="H948" s="657"/>
      <c r="I948" s="657"/>
      <c r="J948" s="657"/>
      <c r="K948" s="657"/>
      <c r="L948" s="657"/>
    </row>
    <row r="949" spans="1:13">
      <c r="A949" s="658"/>
      <c r="B949" s="658"/>
      <c r="C949" s="658" t="s">
        <v>2718</v>
      </c>
      <c r="D949" s="658" t="s">
        <v>4142</v>
      </c>
      <c r="E949" s="658" t="s">
        <v>1601</v>
      </c>
      <c r="F949" s="653"/>
      <c r="G949" s="654"/>
      <c r="H949" s="657">
        <v>900</v>
      </c>
      <c r="I949" s="657">
        <f t="shared" ref="I949" si="807">H949</f>
        <v>900</v>
      </c>
      <c r="J949" s="657"/>
      <c r="K949" s="657">
        <v>900</v>
      </c>
      <c r="L949" s="657">
        <f t="shared" ref="L949" si="808">K949-I949</f>
        <v>0</v>
      </c>
    </row>
    <row r="950" spans="1:13">
      <c r="A950" s="658"/>
      <c r="B950" s="658"/>
      <c r="C950" s="658"/>
      <c r="D950" s="658"/>
      <c r="E950" s="658"/>
      <c r="F950" s="655"/>
      <c r="G950" s="656"/>
      <c r="H950" s="657"/>
      <c r="I950" s="657"/>
      <c r="J950" s="657"/>
      <c r="K950" s="657"/>
      <c r="L950" s="657"/>
    </row>
    <row r="951" spans="1:13">
      <c r="A951" s="794" t="s">
        <v>818</v>
      </c>
      <c r="B951" s="795"/>
      <c r="C951" s="795"/>
      <c r="D951" s="795"/>
      <c r="E951" s="795"/>
      <c r="F951" s="795"/>
      <c r="G951" s="795"/>
      <c r="H951" s="795"/>
      <c r="I951" s="795"/>
      <c r="J951" s="795"/>
      <c r="K951" s="795"/>
      <c r="L951" s="796"/>
    </row>
    <row r="952" spans="1:13">
      <c r="A952" s="797"/>
      <c r="B952" s="798"/>
      <c r="C952" s="798"/>
      <c r="D952" s="798"/>
      <c r="E952" s="798"/>
      <c r="F952" s="798"/>
      <c r="G952" s="798"/>
      <c r="H952" s="798"/>
      <c r="I952" s="798"/>
      <c r="J952" s="798"/>
      <c r="K952" s="798"/>
      <c r="L952" s="799"/>
    </row>
    <row r="953" spans="1:13">
      <c r="A953" s="658" t="s">
        <v>495</v>
      </c>
      <c r="B953" s="658" t="s">
        <v>3008</v>
      </c>
      <c r="C953" s="658" t="s">
        <v>4151</v>
      </c>
      <c r="D953" s="674" t="s">
        <v>4150</v>
      </c>
      <c r="E953" s="658" t="s">
        <v>239</v>
      </c>
      <c r="F953" s="653"/>
      <c r="G953" s="654"/>
      <c r="H953" s="657">
        <v>1470</v>
      </c>
      <c r="I953" s="657">
        <v>1470</v>
      </c>
      <c r="J953" s="657"/>
      <c r="K953" s="657">
        <v>1470</v>
      </c>
      <c r="L953" s="657">
        <f t="shared" ref="L953" si="809">K953-I953</f>
        <v>0</v>
      </c>
    </row>
    <row r="954" spans="1:13">
      <c r="A954" s="658"/>
      <c r="B954" s="658"/>
      <c r="C954" s="658"/>
      <c r="D954" s="674"/>
      <c r="E954" s="658"/>
      <c r="F954" s="655"/>
      <c r="G954" s="656"/>
      <c r="H954" s="657"/>
      <c r="I954" s="657"/>
      <c r="J954" s="657"/>
      <c r="K954" s="657"/>
      <c r="L954" s="657"/>
      <c r="M954" s="572">
        <f>SUM(I955:I958,I961:I1056)</f>
        <v>33666</v>
      </c>
    </row>
    <row r="955" spans="1:13">
      <c r="A955" s="658"/>
      <c r="B955" s="658"/>
      <c r="C955" s="658" t="s">
        <v>2719</v>
      </c>
      <c r="D955" s="658" t="s">
        <v>4147</v>
      </c>
      <c r="E955" s="658" t="s">
        <v>4143</v>
      </c>
      <c r="F955" s="777"/>
      <c r="G955" s="778"/>
      <c r="H955" s="657">
        <v>15000</v>
      </c>
      <c r="I955" s="657">
        <v>508</v>
      </c>
      <c r="J955" s="657"/>
      <c r="K955" s="657">
        <v>508</v>
      </c>
      <c r="L955" s="657">
        <f t="shared" ref="L955" si="810">K955-I955</f>
        <v>0</v>
      </c>
    </row>
    <row r="956" spans="1:13">
      <c r="A956" s="658"/>
      <c r="B956" s="658"/>
      <c r="C956" s="658"/>
      <c r="D956" s="658"/>
      <c r="E956" s="658"/>
      <c r="F956" s="779"/>
      <c r="G956" s="780"/>
      <c r="H956" s="657"/>
      <c r="I956" s="657"/>
      <c r="J956" s="657"/>
      <c r="K956" s="657"/>
      <c r="L956" s="657"/>
      <c r="M956" s="6" t="s">
        <v>3798</v>
      </c>
    </row>
    <row r="957" spans="1:13">
      <c r="A957" s="658"/>
      <c r="B957" s="658"/>
      <c r="C957" s="658" t="s">
        <v>2729</v>
      </c>
      <c r="D957" s="658" t="s">
        <v>4147</v>
      </c>
      <c r="E957" s="658" t="s">
        <v>3025</v>
      </c>
      <c r="F957" s="653"/>
      <c r="G957" s="654"/>
      <c r="H957" s="657">
        <v>98</v>
      </c>
      <c r="I957" s="657">
        <f t="shared" ref="I957" si="811">H957</f>
        <v>98</v>
      </c>
      <c r="J957" s="657"/>
      <c r="K957" s="657"/>
      <c r="L957" s="657">
        <f t="shared" ref="L957" si="812">K957-I957</f>
        <v>-98</v>
      </c>
    </row>
    <row r="958" spans="1:13">
      <c r="A958" s="658"/>
      <c r="B958" s="658"/>
      <c r="C958" s="658"/>
      <c r="D958" s="658"/>
      <c r="E958" s="658"/>
      <c r="F958" s="655"/>
      <c r="G958" s="656"/>
      <c r="H958" s="657"/>
      <c r="I958" s="657"/>
      <c r="J958" s="657"/>
      <c r="K958" s="657"/>
      <c r="L958" s="657"/>
    </row>
    <row r="959" spans="1:13">
      <c r="A959" s="658" t="s">
        <v>503</v>
      </c>
      <c r="B959" s="658" t="s">
        <v>3281</v>
      </c>
      <c r="C959" s="658" t="s">
        <v>4153</v>
      </c>
      <c r="D959" s="674" t="s">
        <v>4152</v>
      </c>
      <c r="E959" s="658" t="s">
        <v>239</v>
      </c>
      <c r="F959" s="653"/>
      <c r="G959" s="654"/>
      <c r="H959" s="657">
        <v>43459</v>
      </c>
      <c r="I959" s="657">
        <v>1470</v>
      </c>
      <c r="J959" s="657"/>
      <c r="K959" s="657">
        <v>1470</v>
      </c>
      <c r="L959" s="657">
        <f t="shared" ref="L959" si="813">K959-I959</f>
        <v>0</v>
      </c>
    </row>
    <row r="960" spans="1:13">
      <c r="A960" s="658"/>
      <c r="B960" s="658"/>
      <c r="C960" s="658"/>
      <c r="D960" s="674"/>
      <c r="E960" s="658"/>
      <c r="F960" s="655"/>
      <c r="G960" s="656"/>
      <c r="H960" s="657"/>
      <c r="I960" s="657"/>
      <c r="J960" s="657"/>
      <c r="K960" s="657"/>
      <c r="L960" s="657"/>
    </row>
    <row r="961" spans="1:13">
      <c r="A961" s="658"/>
      <c r="B961" s="658"/>
      <c r="C961" s="658" t="s">
        <v>2730</v>
      </c>
      <c r="D961" s="658" t="s">
        <v>4147</v>
      </c>
      <c r="E961" s="658" t="s">
        <v>1661</v>
      </c>
      <c r="F961" s="653"/>
      <c r="G961" s="654"/>
      <c r="H961" s="657">
        <v>550</v>
      </c>
      <c r="I961" s="657">
        <f t="shared" ref="I961" si="814">H961</f>
        <v>550</v>
      </c>
      <c r="J961" s="657"/>
      <c r="K961" s="657">
        <v>550</v>
      </c>
      <c r="L961" s="657">
        <f t="shared" ref="L961" si="815">K961-I961</f>
        <v>0</v>
      </c>
      <c r="M961" s="572">
        <f>SUM(I955:I958,I961:I1056)</f>
        <v>33666</v>
      </c>
    </row>
    <row r="962" spans="1:13">
      <c r="A962" s="658"/>
      <c r="B962" s="658"/>
      <c r="C962" s="658"/>
      <c r="D962" s="658"/>
      <c r="E962" s="658"/>
      <c r="F962" s="655"/>
      <c r="G962" s="656"/>
      <c r="H962" s="657"/>
      <c r="I962" s="657"/>
      <c r="J962" s="657"/>
      <c r="K962" s="657"/>
      <c r="L962" s="657"/>
    </row>
    <row r="963" spans="1:13">
      <c r="A963" s="658"/>
      <c r="B963" s="658"/>
      <c r="C963" s="658" t="s">
        <v>2731</v>
      </c>
      <c r="D963" s="658" t="s">
        <v>4144</v>
      </c>
      <c r="E963" s="658" t="s">
        <v>2723</v>
      </c>
      <c r="F963" s="653"/>
      <c r="G963" s="654"/>
      <c r="H963" s="657">
        <v>830</v>
      </c>
      <c r="I963" s="657">
        <f t="shared" ref="I963" si="816">H963</f>
        <v>830</v>
      </c>
      <c r="J963" s="657"/>
      <c r="K963" s="657"/>
      <c r="L963" s="657">
        <f t="shared" ref="L963" si="817">K963-I963</f>
        <v>-830</v>
      </c>
    </row>
    <row r="964" spans="1:13">
      <c r="A964" s="658"/>
      <c r="B964" s="658"/>
      <c r="C964" s="658"/>
      <c r="D964" s="658"/>
      <c r="E964" s="658"/>
      <c r="F964" s="655"/>
      <c r="G964" s="656"/>
      <c r="H964" s="657"/>
      <c r="I964" s="657"/>
      <c r="J964" s="657"/>
      <c r="K964" s="657"/>
      <c r="L964" s="657"/>
    </row>
    <row r="965" spans="1:13">
      <c r="A965" s="658" t="s">
        <v>504</v>
      </c>
      <c r="B965" s="658" t="s">
        <v>4037</v>
      </c>
      <c r="C965" s="658" t="s">
        <v>4166</v>
      </c>
      <c r="D965" s="658" t="s">
        <v>4167</v>
      </c>
      <c r="E965" s="658" t="s">
        <v>239</v>
      </c>
      <c r="F965" s="653"/>
      <c r="G965" s="654"/>
      <c r="H965" s="657">
        <v>1530</v>
      </c>
      <c r="I965" s="657">
        <f t="shared" ref="I965" si="818">H965</f>
        <v>1530</v>
      </c>
      <c r="J965" s="657"/>
      <c r="K965" s="657">
        <v>1530</v>
      </c>
      <c r="L965" s="657">
        <f t="shared" ref="L965" si="819">K965-I965</f>
        <v>0</v>
      </c>
    </row>
    <row r="966" spans="1:13">
      <c r="A966" s="658"/>
      <c r="B966" s="658"/>
      <c r="C966" s="658"/>
      <c r="D966" s="658"/>
      <c r="E966" s="658"/>
      <c r="F966" s="655"/>
      <c r="G966" s="656"/>
      <c r="H966" s="657"/>
      <c r="I966" s="657"/>
      <c r="J966" s="657"/>
      <c r="K966" s="657"/>
      <c r="L966" s="657"/>
    </row>
    <row r="967" spans="1:13">
      <c r="A967" s="658"/>
      <c r="B967" s="658"/>
      <c r="C967" s="658" t="s">
        <v>2732</v>
      </c>
      <c r="D967" s="658" t="s">
        <v>4155</v>
      </c>
      <c r="E967" s="658" t="s">
        <v>1140</v>
      </c>
      <c r="F967" s="653"/>
      <c r="G967" s="654"/>
      <c r="H967" s="657">
        <v>460</v>
      </c>
      <c r="I967" s="657">
        <f t="shared" ref="I967" si="820">H967</f>
        <v>460</v>
      </c>
      <c r="J967" s="657"/>
      <c r="K967" s="657">
        <v>460</v>
      </c>
      <c r="L967" s="657">
        <f t="shared" ref="L967" si="821">K967-I967</f>
        <v>0</v>
      </c>
    </row>
    <row r="968" spans="1:13">
      <c r="A968" s="658"/>
      <c r="B968" s="658"/>
      <c r="C968" s="658"/>
      <c r="D968" s="658"/>
      <c r="E968" s="658"/>
      <c r="F968" s="655"/>
      <c r="G968" s="656"/>
      <c r="H968" s="657"/>
      <c r="I968" s="657"/>
      <c r="J968" s="657"/>
      <c r="K968" s="657"/>
      <c r="L968" s="657"/>
    </row>
    <row r="969" spans="1:13">
      <c r="A969" s="658"/>
      <c r="B969" s="658"/>
      <c r="C969" s="658" t="s">
        <v>2733</v>
      </c>
      <c r="D969" s="658" t="s">
        <v>4157</v>
      </c>
      <c r="E969" s="658" t="s">
        <v>4156</v>
      </c>
      <c r="F969" s="653"/>
      <c r="G969" s="654"/>
      <c r="H969" s="657">
        <v>500</v>
      </c>
      <c r="I969" s="657">
        <f t="shared" ref="I969" si="822">H969</f>
        <v>500</v>
      </c>
      <c r="J969" s="657"/>
      <c r="K969" s="657">
        <v>500</v>
      </c>
      <c r="L969" s="657">
        <f t="shared" ref="L969" si="823">K969-I969</f>
        <v>0</v>
      </c>
    </row>
    <row r="970" spans="1:13">
      <c r="A970" s="658"/>
      <c r="B970" s="658"/>
      <c r="C970" s="658"/>
      <c r="D970" s="658"/>
      <c r="E970" s="658"/>
      <c r="F970" s="655"/>
      <c r="G970" s="656"/>
      <c r="H970" s="657"/>
      <c r="I970" s="657"/>
      <c r="J970" s="657"/>
      <c r="K970" s="657"/>
      <c r="L970" s="657"/>
    </row>
    <row r="971" spans="1:13">
      <c r="A971" s="658"/>
      <c r="B971" s="658"/>
      <c r="C971" s="658" t="s">
        <v>2734</v>
      </c>
      <c r="D971" s="658" t="s">
        <v>4155</v>
      </c>
      <c r="E971" s="658" t="s">
        <v>1601</v>
      </c>
      <c r="F971" s="653"/>
      <c r="G971" s="654"/>
      <c r="H971" s="657">
        <v>300</v>
      </c>
      <c r="I971" s="657">
        <f t="shared" ref="I971" si="824">H971</f>
        <v>300</v>
      </c>
      <c r="J971" s="657"/>
      <c r="K971" s="657">
        <v>300</v>
      </c>
      <c r="L971" s="657">
        <f t="shared" ref="L971" si="825">K971-I971</f>
        <v>0</v>
      </c>
    </row>
    <row r="972" spans="1:13">
      <c r="A972" s="658"/>
      <c r="B972" s="658"/>
      <c r="C972" s="658"/>
      <c r="D972" s="658"/>
      <c r="E972" s="658"/>
      <c r="F972" s="655"/>
      <c r="G972" s="656"/>
      <c r="H972" s="657"/>
      <c r="I972" s="657"/>
      <c r="J972" s="657"/>
      <c r="K972" s="657"/>
      <c r="L972" s="657"/>
    </row>
    <row r="973" spans="1:13">
      <c r="A973" s="658" t="s">
        <v>505</v>
      </c>
      <c r="B973" s="658" t="s">
        <v>3008</v>
      </c>
      <c r="C973" s="658" t="s">
        <v>4164</v>
      </c>
      <c r="D973" s="658" t="s">
        <v>4163</v>
      </c>
      <c r="E973" s="658" t="s">
        <v>239</v>
      </c>
      <c r="F973" s="653"/>
      <c r="G973" s="654"/>
      <c r="H973" s="657">
        <v>43332</v>
      </c>
      <c r="I973" s="657">
        <v>1470</v>
      </c>
      <c r="J973" s="657"/>
      <c r="K973" s="657">
        <v>1470</v>
      </c>
      <c r="L973" s="657">
        <f t="shared" ref="L973" si="826">K973-I973</f>
        <v>0</v>
      </c>
    </row>
    <row r="974" spans="1:13">
      <c r="A974" s="658"/>
      <c r="B974" s="658"/>
      <c r="C974" s="658"/>
      <c r="D974" s="658"/>
      <c r="E974" s="658"/>
      <c r="F974" s="655"/>
      <c r="G974" s="656"/>
      <c r="H974" s="657"/>
      <c r="I974" s="657"/>
      <c r="J974" s="657"/>
      <c r="K974" s="657"/>
      <c r="L974" s="657"/>
    </row>
    <row r="975" spans="1:13">
      <c r="A975" s="658"/>
      <c r="B975" s="658"/>
      <c r="C975" s="658" t="s">
        <v>2735</v>
      </c>
      <c r="D975" s="658" t="s">
        <v>4158</v>
      </c>
      <c r="E975" s="658" t="s">
        <v>3309</v>
      </c>
      <c r="F975" s="653"/>
      <c r="G975" s="654"/>
      <c r="H975" s="657">
        <v>550</v>
      </c>
      <c r="I975" s="657">
        <f t="shared" ref="I975" si="827">H975</f>
        <v>550</v>
      </c>
      <c r="J975" s="657"/>
      <c r="K975" s="657">
        <v>550</v>
      </c>
      <c r="L975" s="657">
        <f t="shared" ref="L975" si="828">K975-I975</f>
        <v>0</v>
      </c>
    </row>
    <row r="976" spans="1:13">
      <c r="A976" s="658"/>
      <c r="B976" s="658"/>
      <c r="C976" s="658"/>
      <c r="D976" s="658"/>
      <c r="E976" s="658"/>
      <c r="F976" s="655"/>
      <c r="G976" s="656"/>
      <c r="H976" s="657"/>
      <c r="I976" s="657"/>
      <c r="J976" s="657"/>
      <c r="K976" s="657"/>
      <c r="L976" s="657"/>
    </row>
    <row r="977" spans="1:13">
      <c r="A977" s="658"/>
      <c r="B977" s="658"/>
      <c r="C977" s="658" t="s">
        <v>2743</v>
      </c>
      <c r="D977" s="658" t="s">
        <v>4158</v>
      </c>
      <c r="E977" s="658" t="s">
        <v>2723</v>
      </c>
      <c r="F977" s="653"/>
      <c r="G977" s="654"/>
      <c r="H977" s="657">
        <v>650</v>
      </c>
      <c r="I977" s="657">
        <f t="shared" ref="I977" si="829">H977</f>
        <v>650</v>
      </c>
      <c r="J977" s="657"/>
      <c r="K977" s="657">
        <v>650</v>
      </c>
      <c r="L977" s="657">
        <f t="shared" ref="L977" si="830">K977-I977</f>
        <v>0</v>
      </c>
      <c r="M977" t="s">
        <v>4160</v>
      </c>
    </row>
    <row r="978" spans="1:13">
      <c r="A978" s="658"/>
      <c r="B978" s="658"/>
      <c r="C978" s="658"/>
      <c r="D978" s="658"/>
      <c r="E978" s="658"/>
      <c r="F978" s="655"/>
      <c r="G978" s="656"/>
      <c r="H978" s="657"/>
      <c r="I978" s="657"/>
      <c r="J978" s="657"/>
      <c r="K978" s="657"/>
      <c r="L978" s="657"/>
    </row>
    <row r="979" spans="1:13">
      <c r="A979" s="658" t="s">
        <v>507</v>
      </c>
      <c r="B979" s="658" t="s">
        <v>3281</v>
      </c>
      <c r="C979" s="658" t="s">
        <v>4165</v>
      </c>
      <c r="D979" s="658" t="s">
        <v>4163</v>
      </c>
      <c r="E979" s="658" t="s">
        <v>239</v>
      </c>
      <c r="F979" s="653"/>
      <c r="G979" s="654"/>
      <c r="H979" s="657">
        <v>43332</v>
      </c>
      <c r="I979" s="657">
        <v>1470</v>
      </c>
      <c r="J979" s="657"/>
      <c r="K979" s="657">
        <v>1470</v>
      </c>
      <c r="L979" s="657">
        <f t="shared" ref="L979" si="831">K979-I979</f>
        <v>0</v>
      </c>
    </row>
    <row r="980" spans="1:13">
      <c r="A980" s="658"/>
      <c r="B980" s="658"/>
      <c r="C980" s="658"/>
      <c r="D980" s="658"/>
      <c r="E980" s="658"/>
      <c r="F980" s="655"/>
      <c r="G980" s="656"/>
      <c r="H980" s="657"/>
      <c r="I980" s="657"/>
      <c r="J980" s="657"/>
      <c r="K980" s="657"/>
      <c r="L980" s="657"/>
    </row>
    <row r="981" spans="1:13">
      <c r="A981" s="658"/>
      <c r="B981" s="658"/>
      <c r="C981" s="658" t="s">
        <v>2744</v>
      </c>
      <c r="D981" s="658" t="s">
        <v>4158</v>
      </c>
      <c r="E981" s="658" t="s">
        <v>4159</v>
      </c>
      <c r="F981" s="653"/>
      <c r="G981" s="654"/>
      <c r="H981" s="657">
        <v>200</v>
      </c>
      <c r="I981" s="657">
        <f t="shared" ref="I981" si="832">H981</f>
        <v>200</v>
      </c>
      <c r="J981" s="657"/>
      <c r="K981" s="657">
        <v>200</v>
      </c>
      <c r="L981" s="657">
        <f t="shared" ref="L981" si="833">K981-I981</f>
        <v>0</v>
      </c>
    </row>
    <row r="982" spans="1:13">
      <c r="A982" s="658"/>
      <c r="B982" s="658"/>
      <c r="C982" s="658"/>
      <c r="D982" s="658"/>
      <c r="E982" s="658"/>
      <c r="F982" s="655"/>
      <c r="G982" s="656"/>
      <c r="H982" s="657"/>
      <c r="I982" s="657"/>
      <c r="J982" s="657"/>
      <c r="K982" s="657"/>
      <c r="L982" s="657"/>
    </row>
    <row r="983" spans="1:13">
      <c r="A983" s="658"/>
      <c r="B983" s="658"/>
      <c r="C983" s="658" t="s">
        <v>2747</v>
      </c>
      <c r="D983" s="658" t="s">
        <v>4158</v>
      </c>
      <c r="E983" s="658" t="s">
        <v>4159</v>
      </c>
      <c r="F983" s="653"/>
      <c r="G983" s="654"/>
      <c r="H983" s="657">
        <v>300</v>
      </c>
      <c r="I983" s="657">
        <f t="shared" ref="I983" si="834">H983</f>
        <v>300</v>
      </c>
      <c r="J983" s="657"/>
      <c r="K983" s="657">
        <v>300</v>
      </c>
      <c r="L983" s="657">
        <f t="shared" ref="L983" si="835">K983-I983</f>
        <v>0</v>
      </c>
    </row>
    <row r="984" spans="1:13">
      <c r="A984" s="658"/>
      <c r="B984" s="658"/>
      <c r="C984" s="658"/>
      <c r="D984" s="658"/>
      <c r="E984" s="658"/>
      <c r="F984" s="655"/>
      <c r="G984" s="656"/>
      <c r="H984" s="657"/>
      <c r="I984" s="657"/>
      <c r="J984" s="657"/>
      <c r="K984" s="657"/>
      <c r="L984" s="657"/>
    </row>
    <row r="985" spans="1:13">
      <c r="A985" s="658"/>
      <c r="B985" s="658"/>
      <c r="C985" s="658" t="s">
        <v>2751</v>
      </c>
      <c r="D985" s="658" t="s">
        <v>4158</v>
      </c>
      <c r="E985" s="658" t="s">
        <v>4161</v>
      </c>
      <c r="F985" s="653"/>
      <c r="G985" s="654"/>
      <c r="H985" s="657">
        <v>380</v>
      </c>
      <c r="I985" s="657">
        <f t="shared" ref="I985" si="836">H985</f>
        <v>380</v>
      </c>
      <c r="J985" s="657"/>
      <c r="K985" s="657">
        <v>380</v>
      </c>
      <c r="L985" s="657">
        <f t="shared" ref="L985" si="837">K985-I985</f>
        <v>0</v>
      </c>
    </row>
    <row r="986" spans="1:13">
      <c r="A986" s="658"/>
      <c r="B986" s="658"/>
      <c r="C986" s="658"/>
      <c r="D986" s="658"/>
      <c r="E986" s="658"/>
      <c r="F986" s="655"/>
      <c r="G986" s="656"/>
      <c r="H986" s="657"/>
      <c r="I986" s="657"/>
      <c r="J986" s="657"/>
      <c r="K986" s="657"/>
      <c r="L986" s="657"/>
    </row>
    <row r="987" spans="1:13">
      <c r="A987" s="658"/>
      <c r="B987" s="658"/>
      <c r="C987" s="658" t="s">
        <v>2752</v>
      </c>
      <c r="D987" s="658" t="s">
        <v>4158</v>
      </c>
      <c r="E987" s="658" t="s">
        <v>1601</v>
      </c>
      <c r="F987" s="653"/>
      <c r="G987" s="654"/>
      <c r="H987" s="657">
        <v>400</v>
      </c>
      <c r="I987" s="657">
        <f t="shared" ref="I987" si="838">H987</f>
        <v>400</v>
      </c>
      <c r="J987" s="657"/>
      <c r="K987" s="657">
        <v>400</v>
      </c>
      <c r="L987" s="657">
        <f t="shared" ref="L987" si="839">K987-I987</f>
        <v>0</v>
      </c>
    </row>
    <row r="988" spans="1:13">
      <c r="A988" s="658"/>
      <c r="B988" s="658"/>
      <c r="C988" s="658"/>
      <c r="D988" s="658"/>
      <c r="E988" s="658"/>
      <c r="F988" s="655"/>
      <c r="G988" s="656"/>
      <c r="H988" s="657"/>
      <c r="I988" s="657"/>
      <c r="J988" s="657"/>
      <c r="K988" s="657"/>
      <c r="L988" s="657"/>
    </row>
    <row r="989" spans="1:13">
      <c r="A989" s="658" t="s">
        <v>508</v>
      </c>
      <c r="B989" s="658" t="s">
        <v>3298</v>
      </c>
      <c r="C989" s="658" t="s">
        <v>4168</v>
      </c>
      <c r="D989" s="658" t="s">
        <v>4155</v>
      </c>
      <c r="E989" s="658" t="s">
        <v>239</v>
      </c>
      <c r="F989" s="653"/>
      <c r="G989" s="654"/>
      <c r="H989" s="657">
        <v>1470</v>
      </c>
      <c r="I989" s="657">
        <f t="shared" ref="I989" si="840">H989</f>
        <v>1470</v>
      </c>
      <c r="J989" s="657"/>
      <c r="K989" s="657">
        <v>1470</v>
      </c>
      <c r="L989" s="657">
        <f t="shared" ref="L989" si="841">K989-I989</f>
        <v>0</v>
      </c>
    </row>
    <row r="990" spans="1:13">
      <c r="A990" s="658"/>
      <c r="B990" s="658"/>
      <c r="C990" s="658"/>
      <c r="D990" s="658"/>
      <c r="E990" s="658"/>
      <c r="F990" s="655"/>
      <c r="G990" s="656"/>
      <c r="H990" s="657"/>
      <c r="I990" s="657"/>
      <c r="J990" s="657"/>
      <c r="K990" s="657"/>
      <c r="L990" s="657"/>
    </row>
    <row r="991" spans="1:13">
      <c r="A991" s="658"/>
      <c r="B991" s="658"/>
      <c r="C991" s="658" t="s">
        <v>2758</v>
      </c>
      <c r="D991" s="658" t="s">
        <v>4158</v>
      </c>
      <c r="E991" s="658" t="s">
        <v>4162</v>
      </c>
      <c r="F991" s="653"/>
      <c r="G991" s="654"/>
      <c r="H991" s="657">
        <v>98</v>
      </c>
      <c r="I991" s="657">
        <f t="shared" ref="I991" si="842">H991</f>
        <v>98</v>
      </c>
      <c r="J991" s="657"/>
      <c r="K991" s="657">
        <v>98</v>
      </c>
      <c r="L991" s="657">
        <v>0</v>
      </c>
    </row>
    <row r="992" spans="1:13">
      <c r="A992" s="658"/>
      <c r="B992" s="658"/>
      <c r="C992" s="658"/>
      <c r="D992" s="658"/>
      <c r="E992" s="658"/>
      <c r="F992" s="655"/>
      <c r="G992" s="656"/>
      <c r="H992" s="657"/>
      <c r="I992" s="657"/>
      <c r="J992" s="657"/>
      <c r="K992" s="657"/>
      <c r="L992" s="657"/>
    </row>
    <row r="993" spans="1:13">
      <c r="A993" s="658"/>
      <c r="B993" s="658"/>
      <c r="C993" s="658" t="s">
        <v>2759</v>
      </c>
      <c r="D993" s="658" t="s">
        <v>4158</v>
      </c>
      <c r="E993" s="658" t="s">
        <v>3309</v>
      </c>
      <c r="F993" s="653"/>
      <c r="G993" s="654"/>
      <c r="H993" s="657">
        <v>400</v>
      </c>
      <c r="I993" s="657">
        <f t="shared" ref="I993" si="843">H993</f>
        <v>400</v>
      </c>
      <c r="J993" s="657"/>
      <c r="K993" s="657">
        <v>400</v>
      </c>
      <c r="L993" s="657">
        <f t="shared" ref="L993" si="844">K993-I993</f>
        <v>0</v>
      </c>
    </row>
    <row r="994" spans="1:13">
      <c r="A994" s="658"/>
      <c r="B994" s="658"/>
      <c r="C994" s="658"/>
      <c r="D994" s="658"/>
      <c r="E994" s="658"/>
      <c r="F994" s="655"/>
      <c r="G994" s="656"/>
      <c r="H994" s="657"/>
      <c r="I994" s="657"/>
      <c r="J994" s="657"/>
      <c r="K994" s="657"/>
      <c r="L994" s="657"/>
    </row>
    <row r="995" spans="1:13">
      <c r="A995" s="658"/>
      <c r="B995" s="658"/>
      <c r="C995" s="658" t="s">
        <v>2760</v>
      </c>
      <c r="D995" s="658" t="s">
        <v>4158</v>
      </c>
      <c r="E995" s="658" t="s">
        <v>3309</v>
      </c>
      <c r="F995" s="653"/>
      <c r="G995" s="654"/>
      <c r="H995" s="657">
        <v>300</v>
      </c>
      <c r="I995" s="657">
        <f t="shared" ref="I995" si="845">H995</f>
        <v>300</v>
      </c>
      <c r="J995" s="657"/>
      <c r="K995" s="657">
        <v>300</v>
      </c>
      <c r="L995" s="657">
        <f t="shared" ref="L995" si="846">K995-I995</f>
        <v>0</v>
      </c>
    </row>
    <row r="996" spans="1:13">
      <c r="A996" s="658"/>
      <c r="B996" s="658"/>
      <c r="C996" s="658"/>
      <c r="D996" s="658"/>
      <c r="E996" s="658"/>
      <c r="F996" s="655"/>
      <c r="G996" s="656"/>
      <c r="H996" s="657"/>
      <c r="I996" s="657"/>
      <c r="J996" s="657"/>
      <c r="K996" s="657"/>
      <c r="L996" s="657"/>
    </row>
    <row r="997" spans="1:13">
      <c r="A997" s="658" t="s">
        <v>509</v>
      </c>
      <c r="B997" s="658" t="s">
        <v>3281</v>
      </c>
      <c r="C997" s="658" t="s">
        <v>4179</v>
      </c>
      <c r="D997" s="658" t="s">
        <v>4178</v>
      </c>
      <c r="E997" s="658" t="s">
        <v>239</v>
      </c>
      <c r="F997" s="653"/>
      <c r="G997" s="654"/>
      <c r="H997" s="657">
        <v>45046</v>
      </c>
      <c r="I997" s="657">
        <v>1530</v>
      </c>
      <c r="J997" s="657"/>
      <c r="K997" s="657">
        <v>1530</v>
      </c>
      <c r="L997" s="657">
        <f t="shared" ref="L997" si="847">K997-I997</f>
        <v>0</v>
      </c>
    </row>
    <row r="998" spans="1:13">
      <c r="A998" s="658"/>
      <c r="B998" s="658"/>
      <c r="C998" s="658"/>
      <c r="D998" s="658"/>
      <c r="E998" s="658"/>
      <c r="F998" s="655"/>
      <c r="G998" s="656"/>
      <c r="H998" s="657"/>
      <c r="I998" s="657"/>
      <c r="J998" s="657"/>
      <c r="K998" s="657"/>
      <c r="L998" s="657"/>
    </row>
    <row r="999" spans="1:13">
      <c r="A999" s="658"/>
      <c r="B999" s="658"/>
      <c r="C999" s="658" t="s">
        <v>2766</v>
      </c>
      <c r="D999" s="658" t="s">
        <v>4177</v>
      </c>
      <c r="E999" s="658" t="s">
        <v>2780</v>
      </c>
      <c r="F999" s="653"/>
      <c r="G999" s="654"/>
      <c r="H999" s="657">
        <v>495</v>
      </c>
      <c r="I999" s="657">
        <f t="shared" ref="I999" si="848">H999</f>
        <v>495</v>
      </c>
      <c r="J999" s="657"/>
      <c r="K999" s="657">
        <v>495</v>
      </c>
      <c r="L999" s="657">
        <f t="shared" ref="L999" si="849">K999-I999</f>
        <v>0</v>
      </c>
    </row>
    <row r="1000" spans="1:13">
      <c r="A1000" s="658"/>
      <c r="B1000" s="658"/>
      <c r="C1000" s="658"/>
      <c r="D1000" s="658"/>
      <c r="E1000" s="658"/>
      <c r="F1000" s="655"/>
      <c r="G1000" s="656"/>
      <c r="H1000" s="657"/>
      <c r="I1000" s="657"/>
      <c r="J1000" s="657"/>
      <c r="K1000" s="657"/>
      <c r="L1000" s="657"/>
    </row>
    <row r="1001" spans="1:13">
      <c r="A1001" s="658"/>
      <c r="B1001" s="658"/>
      <c r="C1001" s="658" t="s">
        <v>2768</v>
      </c>
      <c r="D1001" s="658" t="s">
        <v>4177</v>
      </c>
      <c r="E1001" s="658" t="s">
        <v>2723</v>
      </c>
      <c r="F1001" s="653"/>
      <c r="G1001" s="654"/>
      <c r="H1001" s="657">
        <v>833</v>
      </c>
      <c r="I1001" s="657">
        <f t="shared" ref="I1001" si="850">H1001</f>
        <v>833</v>
      </c>
      <c r="J1001" s="657"/>
      <c r="K1001" s="657">
        <v>833</v>
      </c>
      <c r="L1001" s="657">
        <f t="shared" ref="L1001" si="851">K1001-I1001</f>
        <v>0</v>
      </c>
    </row>
    <row r="1002" spans="1:13">
      <c r="A1002" s="658"/>
      <c r="B1002" s="658"/>
      <c r="C1002" s="658"/>
      <c r="D1002" s="658"/>
      <c r="E1002" s="658"/>
      <c r="F1002" s="655"/>
      <c r="G1002" s="656"/>
      <c r="H1002" s="657"/>
      <c r="I1002" s="657"/>
      <c r="J1002" s="657"/>
      <c r="K1002" s="657"/>
      <c r="L1002" s="657"/>
    </row>
    <row r="1003" spans="1:13">
      <c r="A1003" s="658" t="s">
        <v>510</v>
      </c>
      <c r="B1003" s="674" t="s">
        <v>3298</v>
      </c>
      <c r="C1003" s="674" t="s">
        <v>4180</v>
      </c>
      <c r="D1003" s="674" t="s">
        <v>4178</v>
      </c>
      <c r="E1003" s="674" t="s">
        <v>239</v>
      </c>
      <c r="F1003" s="777"/>
      <c r="G1003" s="778"/>
      <c r="H1003" s="781">
        <v>1530</v>
      </c>
      <c r="I1003" s="781">
        <f t="shared" ref="I1003" si="852">H1003</f>
        <v>1530</v>
      </c>
      <c r="J1003" s="781"/>
      <c r="K1003" s="781"/>
      <c r="L1003" s="781">
        <f t="shared" ref="L1003" si="853">K1003-I1003</f>
        <v>-1530</v>
      </c>
      <c r="M1003" t="s">
        <v>4249</v>
      </c>
    </row>
    <row r="1004" spans="1:13">
      <c r="A1004" s="658"/>
      <c r="B1004" s="674"/>
      <c r="C1004" s="674"/>
      <c r="D1004" s="674"/>
      <c r="E1004" s="674"/>
      <c r="F1004" s="779"/>
      <c r="G1004" s="780"/>
      <c r="H1004" s="781"/>
      <c r="I1004" s="781"/>
      <c r="J1004" s="781"/>
      <c r="K1004" s="781"/>
      <c r="L1004" s="781"/>
    </row>
    <row r="1005" spans="1:13">
      <c r="A1005" s="658"/>
      <c r="B1005" s="658"/>
      <c r="C1005" s="658" t="s">
        <v>2769</v>
      </c>
      <c r="D1005" s="658" t="s">
        <v>4177</v>
      </c>
      <c r="E1005" s="658" t="s">
        <v>1601</v>
      </c>
      <c r="F1005" s="653"/>
      <c r="G1005" s="654"/>
      <c r="H1005" s="657">
        <v>700</v>
      </c>
      <c r="I1005" s="657">
        <f t="shared" ref="I1005" si="854">H1005</f>
        <v>700</v>
      </c>
      <c r="J1005" s="657"/>
      <c r="K1005" s="657">
        <v>700</v>
      </c>
      <c r="L1005" s="657">
        <f t="shared" ref="L1005" si="855">K1005-I1005</f>
        <v>0</v>
      </c>
    </row>
    <row r="1006" spans="1:13">
      <c r="A1006" s="658"/>
      <c r="B1006" s="658"/>
      <c r="C1006" s="658"/>
      <c r="D1006" s="658"/>
      <c r="E1006" s="658"/>
      <c r="F1006" s="655"/>
      <c r="G1006" s="656"/>
      <c r="H1006" s="657"/>
      <c r="I1006" s="657"/>
      <c r="J1006" s="657"/>
      <c r="K1006" s="657"/>
      <c r="L1006" s="657"/>
    </row>
    <row r="1007" spans="1:13">
      <c r="A1007" s="658"/>
      <c r="B1007" s="658"/>
      <c r="C1007" s="658" t="s">
        <v>2765</v>
      </c>
      <c r="D1007" s="658" t="s">
        <v>4177</v>
      </c>
      <c r="E1007" s="658" t="s">
        <v>2376</v>
      </c>
      <c r="F1007" s="653"/>
      <c r="G1007" s="654"/>
      <c r="H1007" s="657">
        <v>59</v>
      </c>
      <c r="I1007" s="657">
        <f t="shared" ref="I1007" si="856">H1007</f>
        <v>59</v>
      </c>
      <c r="J1007" s="657"/>
      <c r="K1007" s="657">
        <v>59</v>
      </c>
      <c r="L1007" s="657">
        <f t="shared" ref="L1007" si="857">K1007-I1007</f>
        <v>0</v>
      </c>
    </row>
    <row r="1008" spans="1:13">
      <c r="A1008" s="658"/>
      <c r="B1008" s="658"/>
      <c r="C1008" s="658"/>
      <c r="D1008" s="658"/>
      <c r="E1008" s="658"/>
      <c r="F1008" s="655"/>
      <c r="G1008" s="656"/>
      <c r="H1008" s="657"/>
      <c r="I1008" s="657"/>
      <c r="J1008" s="657"/>
      <c r="K1008" s="657"/>
      <c r="L1008" s="657"/>
    </row>
    <row r="1009" spans="1:12">
      <c r="A1009" s="658"/>
      <c r="B1009" s="658"/>
      <c r="C1009" s="658" t="s">
        <v>2775</v>
      </c>
      <c r="D1009" s="658" t="s">
        <v>4177</v>
      </c>
      <c r="E1009" s="658" t="s">
        <v>3025</v>
      </c>
      <c r="F1009" s="653"/>
      <c r="G1009" s="654"/>
      <c r="H1009" s="657">
        <v>98</v>
      </c>
      <c r="I1009" s="657">
        <f t="shared" ref="I1009" si="858">H1009</f>
        <v>98</v>
      </c>
      <c r="J1009" s="657"/>
      <c r="K1009" s="657">
        <v>98</v>
      </c>
      <c r="L1009" s="657">
        <f t="shared" ref="L1009" si="859">K1009-I1009</f>
        <v>0</v>
      </c>
    </row>
    <row r="1010" spans="1:12">
      <c r="A1010" s="658"/>
      <c r="B1010" s="658"/>
      <c r="C1010" s="658"/>
      <c r="D1010" s="658"/>
      <c r="E1010" s="658"/>
      <c r="F1010" s="655"/>
      <c r="G1010" s="656"/>
      <c r="H1010" s="657"/>
      <c r="I1010" s="657"/>
      <c r="J1010" s="657"/>
      <c r="K1010" s="657"/>
      <c r="L1010" s="657"/>
    </row>
    <row r="1011" spans="1:12">
      <c r="A1011" s="658" t="s">
        <v>526</v>
      </c>
      <c r="B1011" s="658" t="s">
        <v>4037</v>
      </c>
      <c r="C1011" s="658" t="s">
        <v>4188</v>
      </c>
      <c r="D1011" s="658" t="s">
        <v>4187</v>
      </c>
      <c r="E1011" s="658" t="s">
        <v>239</v>
      </c>
      <c r="F1011" s="653"/>
      <c r="G1011" s="654"/>
      <c r="H1011" s="657">
        <v>44757</v>
      </c>
      <c r="I1011" s="657">
        <v>1530</v>
      </c>
      <c r="J1011" s="657"/>
      <c r="K1011" s="657">
        <v>1530</v>
      </c>
      <c r="L1011" s="657">
        <f t="shared" ref="L1011" si="860">K1011-I1011</f>
        <v>0</v>
      </c>
    </row>
    <row r="1012" spans="1:12">
      <c r="A1012" s="658"/>
      <c r="B1012" s="658"/>
      <c r="C1012" s="658"/>
      <c r="D1012" s="658"/>
      <c r="E1012" s="658"/>
      <c r="F1012" s="655"/>
      <c r="G1012" s="656"/>
      <c r="H1012" s="657"/>
      <c r="I1012" s="657"/>
      <c r="J1012" s="657"/>
      <c r="K1012" s="657"/>
      <c r="L1012" s="657"/>
    </row>
    <row r="1013" spans="1:12">
      <c r="A1013" s="658"/>
      <c r="B1013" s="658"/>
      <c r="C1013" s="658" t="s">
        <v>2776</v>
      </c>
      <c r="D1013" s="658" t="s">
        <v>4183</v>
      </c>
      <c r="E1013" s="658" t="s">
        <v>4181</v>
      </c>
      <c r="F1013" s="653"/>
      <c r="G1013" s="654"/>
      <c r="H1013" s="657">
        <v>200</v>
      </c>
      <c r="I1013" s="657">
        <f t="shared" ref="I1013" si="861">H1013</f>
        <v>200</v>
      </c>
      <c r="J1013" s="657"/>
      <c r="K1013" s="657">
        <v>200</v>
      </c>
      <c r="L1013" s="657">
        <f t="shared" ref="L1013" si="862">K1013-I1013</f>
        <v>0</v>
      </c>
    </row>
    <row r="1014" spans="1:12">
      <c r="A1014" s="658"/>
      <c r="B1014" s="658"/>
      <c r="C1014" s="658"/>
      <c r="D1014" s="658"/>
      <c r="E1014" s="658"/>
      <c r="F1014" s="655"/>
      <c r="G1014" s="656"/>
      <c r="H1014" s="657"/>
      <c r="I1014" s="657"/>
      <c r="J1014" s="657"/>
      <c r="K1014" s="657"/>
      <c r="L1014" s="657"/>
    </row>
    <row r="1015" spans="1:12">
      <c r="A1015" s="658"/>
      <c r="B1015" s="658"/>
      <c r="C1015" s="658" t="s">
        <v>2788</v>
      </c>
      <c r="D1015" s="658" t="s">
        <v>4183</v>
      </c>
      <c r="E1015" s="658" t="s">
        <v>4181</v>
      </c>
      <c r="F1015" s="653"/>
      <c r="G1015" s="654"/>
      <c r="H1015" s="657">
        <v>200</v>
      </c>
      <c r="I1015" s="657">
        <f t="shared" ref="I1015" si="863">H1015</f>
        <v>200</v>
      </c>
      <c r="J1015" s="657"/>
      <c r="K1015" s="657">
        <v>200</v>
      </c>
      <c r="L1015" s="657">
        <f t="shared" ref="L1015" si="864">K1015-I1015</f>
        <v>0</v>
      </c>
    </row>
    <row r="1016" spans="1:12">
      <c r="A1016" s="658"/>
      <c r="B1016" s="658"/>
      <c r="C1016" s="658"/>
      <c r="D1016" s="658"/>
      <c r="E1016" s="658"/>
      <c r="F1016" s="655"/>
      <c r="G1016" s="656"/>
      <c r="H1016" s="657"/>
      <c r="I1016" s="657"/>
      <c r="J1016" s="657"/>
      <c r="K1016" s="657"/>
      <c r="L1016" s="657"/>
    </row>
    <row r="1017" spans="1:12">
      <c r="A1017" s="658"/>
      <c r="B1017" s="658"/>
      <c r="C1017" s="658" t="s">
        <v>2783</v>
      </c>
      <c r="D1017" s="658" t="s">
        <v>4183</v>
      </c>
      <c r="E1017" s="690" t="s">
        <v>4185</v>
      </c>
      <c r="F1017" s="653"/>
      <c r="G1017" s="654"/>
      <c r="H1017" s="657">
        <v>300</v>
      </c>
      <c r="I1017" s="657">
        <f t="shared" ref="I1017" si="865">H1017</f>
        <v>300</v>
      </c>
      <c r="J1017" s="657"/>
      <c r="K1017" s="657"/>
      <c r="L1017" s="657">
        <f t="shared" ref="L1017" si="866">K1017-I1017</f>
        <v>-300</v>
      </c>
    </row>
    <row r="1018" spans="1:12">
      <c r="A1018" s="658"/>
      <c r="B1018" s="658"/>
      <c r="C1018" s="658"/>
      <c r="D1018" s="658"/>
      <c r="E1018" s="690"/>
      <c r="F1018" s="655"/>
      <c r="G1018" s="656"/>
      <c r="H1018" s="657"/>
      <c r="I1018" s="657"/>
      <c r="J1018" s="657"/>
      <c r="K1018" s="657"/>
      <c r="L1018" s="657"/>
    </row>
    <row r="1019" spans="1:12">
      <c r="A1019" s="658" t="s">
        <v>529</v>
      </c>
      <c r="B1019" s="658" t="s">
        <v>3176</v>
      </c>
      <c r="C1019" s="659" t="s">
        <v>4189</v>
      </c>
      <c r="D1019" s="659" t="s">
        <v>4187</v>
      </c>
      <c r="E1019" s="658" t="s">
        <v>239</v>
      </c>
      <c r="F1019" s="653"/>
      <c r="G1019" s="654"/>
      <c r="H1019" s="657">
        <v>1470</v>
      </c>
      <c r="I1019" s="657">
        <f t="shared" ref="I1019" si="867">H1019</f>
        <v>1470</v>
      </c>
      <c r="J1019" s="657"/>
      <c r="K1019" s="657">
        <v>1470</v>
      </c>
      <c r="L1019" s="657">
        <f t="shared" ref="L1019" si="868">K1019-I1019</f>
        <v>0</v>
      </c>
    </row>
    <row r="1020" spans="1:12">
      <c r="A1020" s="658"/>
      <c r="B1020" s="658"/>
      <c r="C1020" s="660"/>
      <c r="D1020" s="660"/>
      <c r="E1020" s="658"/>
      <c r="F1020" s="655"/>
      <c r="G1020" s="656"/>
      <c r="H1020" s="657"/>
      <c r="I1020" s="657"/>
      <c r="J1020" s="657"/>
      <c r="K1020" s="657"/>
      <c r="L1020" s="657"/>
    </row>
    <row r="1021" spans="1:12">
      <c r="A1021" s="659"/>
      <c r="B1021" s="659"/>
      <c r="C1021" s="659" t="s">
        <v>2784</v>
      </c>
      <c r="D1021" s="658" t="s">
        <v>4184</v>
      </c>
      <c r="E1021" s="659" t="s">
        <v>3309</v>
      </c>
      <c r="F1021" s="653"/>
      <c r="G1021" s="654"/>
      <c r="H1021" s="657">
        <v>550</v>
      </c>
      <c r="I1021" s="657">
        <f t="shared" ref="I1021" si="869">H1021</f>
        <v>550</v>
      </c>
      <c r="J1021" s="657"/>
      <c r="K1021" s="657">
        <v>550</v>
      </c>
      <c r="L1021" s="657">
        <f t="shared" ref="L1021" si="870">K1021-I1021</f>
        <v>0</v>
      </c>
    </row>
    <row r="1022" spans="1:12">
      <c r="A1022" s="660"/>
      <c r="B1022" s="660"/>
      <c r="C1022" s="660"/>
      <c r="D1022" s="658"/>
      <c r="E1022" s="660"/>
      <c r="F1022" s="655"/>
      <c r="G1022" s="656"/>
      <c r="H1022" s="657"/>
      <c r="I1022" s="657"/>
      <c r="J1022" s="657"/>
      <c r="K1022" s="657"/>
      <c r="L1022" s="657"/>
    </row>
    <row r="1023" spans="1:12">
      <c r="A1023" s="659"/>
      <c r="B1023" s="659"/>
      <c r="C1023" s="659" t="s">
        <v>2785</v>
      </c>
      <c r="D1023" s="658" t="s">
        <v>4184</v>
      </c>
      <c r="E1023" s="659" t="s">
        <v>3025</v>
      </c>
      <c r="F1023" s="653"/>
      <c r="G1023" s="654"/>
      <c r="H1023" s="657">
        <v>98</v>
      </c>
      <c r="I1023" s="657">
        <f t="shared" ref="I1023" si="871">H1023</f>
        <v>98</v>
      </c>
      <c r="J1023" s="657"/>
      <c r="K1023" s="657">
        <v>98</v>
      </c>
      <c r="L1023" s="657">
        <f t="shared" ref="L1023" si="872">K1023-I1023</f>
        <v>0</v>
      </c>
    </row>
    <row r="1024" spans="1:12">
      <c r="A1024" s="660"/>
      <c r="B1024" s="660"/>
      <c r="C1024" s="660"/>
      <c r="D1024" s="658"/>
      <c r="E1024" s="660"/>
      <c r="F1024" s="655"/>
      <c r="G1024" s="656"/>
      <c r="H1024" s="657"/>
      <c r="I1024" s="657"/>
      <c r="J1024" s="657"/>
      <c r="K1024" s="657"/>
      <c r="L1024" s="657"/>
    </row>
    <row r="1025" spans="1:12">
      <c r="A1025" s="659" t="s">
        <v>530</v>
      </c>
      <c r="B1025" s="659" t="s">
        <v>3298</v>
      </c>
      <c r="C1025" s="659" t="s">
        <v>4190</v>
      </c>
      <c r="D1025" s="659" t="s">
        <v>4187</v>
      </c>
      <c r="E1025" s="658" t="s">
        <v>239</v>
      </c>
      <c r="F1025" s="653"/>
      <c r="G1025" s="654"/>
      <c r="H1025" s="657">
        <v>1470</v>
      </c>
      <c r="I1025" s="657">
        <f t="shared" ref="I1025" si="873">H1025</f>
        <v>1470</v>
      </c>
      <c r="J1025" s="657"/>
      <c r="K1025" s="657">
        <v>1470</v>
      </c>
      <c r="L1025" s="657">
        <f t="shared" ref="L1025" si="874">K1025-I1025</f>
        <v>0</v>
      </c>
    </row>
    <row r="1026" spans="1:12">
      <c r="A1026" s="660"/>
      <c r="B1026" s="660"/>
      <c r="C1026" s="660"/>
      <c r="D1026" s="660"/>
      <c r="E1026" s="658"/>
      <c r="F1026" s="655"/>
      <c r="G1026" s="656"/>
      <c r="H1026" s="657"/>
      <c r="I1026" s="657"/>
      <c r="J1026" s="657"/>
      <c r="K1026" s="657"/>
      <c r="L1026" s="657"/>
    </row>
    <row r="1027" spans="1:12">
      <c r="A1027" s="658"/>
      <c r="B1027" s="658"/>
      <c r="C1027" s="658" t="s">
        <v>2786</v>
      </c>
      <c r="D1027" s="658" t="s">
        <v>4184</v>
      </c>
      <c r="E1027" s="658" t="s">
        <v>1601</v>
      </c>
      <c r="F1027" s="653"/>
      <c r="G1027" s="654"/>
      <c r="H1027" s="657">
        <v>380</v>
      </c>
      <c r="I1027" s="657">
        <f t="shared" ref="I1027" si="875">H1027</f>
        <v>380</v>
      </c>
      <c r="J1027" s="657"/>
      <c r="K1027" s="657">
        <v>380</v>
      </c>
      <c r="L1027" s="657">
        <f t="shared" ref="L1027" si="876">K1027-I1027</f>
        <v>0</v>
      </c>
    </row>
    <row r="1028" spans="1:12">
      <c r="A1028" s="658"/>
      <c r="B1028" s="658"/>
      <c r="C1028" s="658"/>
      <c r="D1028" s="658"/>
      <c r="E1028" s="658"/>
      <c r="F1028" s="655"/>
      <c r="G1028" s="656"/>
      <c r="H1028" s="657"/>
      <c r="I1028" s="657"/>
      <c r="J1028" s="657"/>
      <c r="K1028" s="657"/>
      <c r="L1028" s="657"/>
    </row>
    <row r="1029" spans="1:12">
      <c r="A1029" s="658"/>
      <c r="B1029" s="658"/>
      <c r="C1029" s="658" t="s">
        <v>2787</v>
      </c>
      <c r="D1029" s="658" t="s">
        <v>4184</v>
      </c>
      <c r="E1029" s="658" t="s">
        <v>4182</v>
      </c>
      <c r="F1029" s="653"/>
      <c r="G1029" s="654"/>
      <c r="H1029" s="657">
        <v>490</v>
      </c>
      <c r="I1029" s="657">
        <f t="shared" ref="I1029" si="877">H1029</f>
        <v>490</v>
      </c>
      <c r="J1029" s="657"/>
      <c r="K1029" s="657">
        <v>490</v>
      </c>
      <c r="L1029" s="657">
        <f t="shared" ref="L1029" si="878">K1029-I1029</f>
        <v>0</v>
      </c>
    </row>
    <row r="1030" spans="1:12">
      <c r="A1030" s="658"/>
      <c r="B1030" s="658"/>
      <c r="C1030" s="658"/>
      <c r="D1030" s="658"/>
      <c r="E1030" s="658"/>
      <c r="F1030" s="655"/>
      <c r="G1030" s="656"/>
      <c r="H1030" s="657"/>
      <c r="I1030" s="657"/>
      <c r="J1030" s="657"/>
      <c r="K1030" s="657"/>
      <c r="L1030" s="657"/>
    </row>
    <row r="1031" spans="1:12">
      <c r="A1031" s="658"/>
      <c r="B1031" s="658"/>
      <c r="C1031" s="658" t="s">
        <v>2789</v>
      </c>
      <c r="D1031" s="658" t="s">
        <v>4184</v>
      </c>
      <c r="E1031" s="658" t="s">
        <v>4185</v>
      </c>
      <c r="F1031" s="653"/>
      <c r="G1031" s="654"/>
      <c r="H1031" s="657">
        <v>290</v>
      </c>
      <c r="I1031" s="657">
        <f t="shared" ref="I1031" si="879">H1031</f>
        <v>290</v>
      </c>
      <c r="J1031" s="657"/>
      <c r="K1031" s="657"/>
      <c r="L1031" s="657">
        <f t="shared" ref="L1031" si="880">K1031-I1031</f>
        <v>-290</v>
      </c>
    </row>
    <row r="1032" spans="1:12">
      <c r="A1032" s="658"/>
      <c r="B1032" s="658"/>
      <c r="C1032" s="658"/>
      <c r="D1032" s="658"/>
      <c r="E1032" s="658"/>
      <c r="F1032" s="655"/>
      <c r="G1032" s="656"/>
      <c r="H1032" s="657"/>
      <c r="I1032" s="657"/>
      <c r="J1032" s="657"/>
      <c r="K1032" s="657"/>
      <c r="L1032" s="657"/>
    </row>
    <row r="1033" spans="1:12">
      <c r="A1033" s="658" t="s">
        <v>531</v>
      </c>
      <c r="B1033" s="658" t="s">
        <v>4037</v>
      </c>
      <c r="C1033" s="658" t="s">
        <v>4193</v>
      </c>
      <c r="D1033" s="658" t="s">
        <v>4184</v>
      </c>
      <c r="E1033" s="658" t="s">
        <v>239</v>
      </c>
      <c r="F1033" s="653"/>
      <c r="G1033" s="654"/>
      <c r="H1033" s="657">
        <v>1470</v>
      </c>
      <c r="I1033" s="657">
        <v>1470</v>
      </c>
      <c r="J1033" s="657"/>
      <c r="K1033" s="657">
        <v>1470</v>
      </c>
      <c r="L1033" s="657">
        <f t="shared" ref="L1033" si="881">K1033-I1033</f>
        <v>0</v>
      </c>
    </row>
    <row r="1034" spans="1:12">
      <c r="A1034" s="658"/>
      <c r="B1034" s="658"/>
      <c r="C1034" s="658"/>
      <c r="D1034" s="658"/>
      <c r="E1034" s="658"/>
      <c r="F1034" s="655"/>
      <c r="G1034" s="656"/>
      <c r="H1034" s="657"/>
      <c r="I1034" s="657"/>
      <c r="J1034" s="657"/>
      <c r="K1034" s="657"/>
      <c r="L1034" s="657"/>
    </row>
    <row r="1035" spans="1:12">
      <c r="A1035" s="658"/>
      <c r="B1035" s="658"/>
      <c r="C1035" s="658" t="s">
        <v>2805</v>
      </c>
      <c r="D1035" s="658" t="s">
        <v>4186</v>
      </c>
      <c r="E1035" s="658" t="s">
        <v>1140</v>
      </c>
      <c r="F1035" s="653"/>
      <c r="G1035" s="654"/>
      <c r="H1035" s="657">
        <v>950</v>
      </c>
      <c r="I1035" s="657">
        <f t="shared" ref="I1035" si="882">H1035</f>
        <v>950</v>
      </c>
      <c r="J1035" s="657"/>
      <c r="K1035" s="657"/>
      <c r="L1035" s="657">
        <f t="shared" ref="L1035" si="883">K1035-I1035</f>
        <v>-950</v>
      </c>
    </row>
    <row r="1036" spans="1:12">
      <c r="A1036" s="658"/>
      <c r="B1036" s="658"/>
      <c r="C1036" s="658"/>
      <c r="D1036" s="658"/>
      <c r="E1036" s="658"/>
      <c r="F1036" s="655"/>
      <c r="G1036" s="656"/>
      <c r="H1036" s="657"/>
      <c r="I1036" s="657"/>
      <c r="J1036" s="657"/>
      <c r="K1036" s="657"/>
      <c r="L1036" s="657"/>
    </row>
    <row r="1037" spans="1:12">
      <c r="A1037" s="658"/>
      <c r="B1037" s="658"/>
      <c r="C1037" s="658" t="s">
        <v>2806</v>
      </c>
      <c r="D1037" s="658" t="s">
        <v>4186</v>
      </c>
      <c r="E1037" s="658" t="s">
        <v>4191</v>
      </c>
      <c r="F1037" s="653"/>
      <c r="G1037" s="654"/>
      <c r="H1037" s="657">
        <v>320</v>
      </c>
      <c r="I1037" s="657">
        <f t="shared" ref="I1037" si="884">H1037</f>
        <v>320</v>
      </c>
      <c r="J1037" s="657"/>
      <c r="K1037" s="657">
        <v>320</v>
      </c>
      <c r="L1037" s="657">
        <f t="shared" ref="L1037" si="885">K1037-I1037</f>
        <v>0</v>
      </c>
    </row>
    <row r="1038" spans="1:12">
      <c r="A1038" s="658"/>
      <c r="B1038" s="658"/>
      <c r="C1038" s="658"/>
      <c r="D1038" s="658"/>
      <c r="E1038" s="658"/>
      <c r="F1038" s="655"/>
      <c r="G1038" s="656"/>
      <c r="H1038" s="657"/>
      <c r="I1038" s="657"/>
      <c r="J1038" s="657"/>
      <c r="K1038" s="657"/>
      <c r="L1038" s="657"/>
    </row>
    <row r="1039" spans="1:12">
      <c r="A1039" s="658" t="s">
        <v>536</v>
      </c>
      <c r="B1039" s="658" t="s">
        <v>3298</v>
      </c>
      <c r="C1039" s="658" t="s">
        <v>4194</v>
      </c>
      <c r="D1039" s="658" t="s">
        <v>4186</v>
      </c>
      <c r="E1039" s="658" t="s">
        <v>239</v>
      </c>
      <c r="F1039" s="653"/>
      <c r="G1039" s="654"/>
      <c r="H1039" s="657">
        <v>1470</v>
      </c>
      <c r="I1039" s="657">
        <f t="shared" ref="I1039" si="886">H1039</f>
        <v>1470</v>
      </c>
      <c r="J1039" s="657"/>
      <c r="K1039" s="657">
        <v>1470</v>
      </c>
      <c r="L1039" s="657">
        <f t="shared" ref="L1039" si="887">K1039-I1039</f>
        <v>0</v>
      </c>
    </row>
    <row r="1040" spans="1:12">
      <c r="A1040" s="658"/>
      <c r="B1040" s="658"/>
      <c r="C1040" s="658"/>
      <c r="D1040" s="658"/>
      <c r="E1040" s="658"/>
      <c r="F1040" s="655"/>
      <c r="G1040" s="656"/>
      <c r="H1040" s="657"/>
      <c r="I1040" s="657"/>
      <c r="J1040" s="657"/>
      <c r="K1040" s="657"/>
      <c r="L1040" s="657"/>
    </row>
    <row r="1041" spans="1:13">
      <c r="A1041" s="658"/>
      <c r="B1041" s="658"/>
      <c r="C1041" s="658" t="s">
        <v>3399</v>
      </c>
      <c r="D1041" s="658" t="s">
        <v>4200</v>
      </c>
      <c r="E1041" s="658" t="s">
        <v>1661</v>
      </c>
      <c r="F1041" s="653"/>
      <c r="G1041" s="654"/>
      <c r="H1041" s="657">
        <v>450</v>
      </c>
      <c r="I1041" s="657">
        <f t="shared" ref="I1041" si="888">H1041</f>
        <v>450</v>
      </c>
      <c r="J1041" s="657"/>
      <c r="K1041" s="657">
        <v>450</v>
      </c>
      <c r="L1041" s="657">
        <f t="shared" ref="L1041" si="889">K1041-I1041</f>
        <v>0</v>
      </c>
    </row>
    <row r="1042" spans="1:13">
      <c r="A1042" s="658"/>
      <c r="B1042" s="658"/>
      <c r="C1042" s="658"/>
      <c r="D1042" s="658"/>
      <c r="E1042" s="658"/>
      <c r="F1042" s="655"/>
      <c r="G1042" s="656"/>
      <c r="H1042" s="657"/>
      <c r="I1042" s="657"/>
      <c r="J1042" s="657"/>
      <c r="K1042" s="657"/>
      <c r="L1042" s="657"/>
    </row>
    <row r="1043" spans="1:13">
      <c r="A1043" s="658"/>
      <c r="B1043" s="658"/>
      <c r="C1043" s="658" t="s">
        <v>3401</v>
      </c>
      <c r="D1043" s="658" t="s">
        <v>4200</v>
      </c>
      <c r="E1043" s="658" t="s">
        <v>3025</v>
      </c>
      <c r="F1043" s="653"/>
      <c r="G1043" s="654"/>
      <c r="H1043" s="657">
        <v>99</v>
      </c>
      <c r="I1043" s="657">
        <f t="shared" ref="I1043" si="890">H1043</f>
        <v>99</v>
      </c>
      <c r="J1043" s="657"/>
      <c r="K1043" s="657">
        <v>99</v>
      </c>
      <c r="L1043" s="657">
        <f t="shared" ref="L1043" si="891">K1043-I1043</f>
        <v>0</v>
      </c>
    </row>
    <row r="1044" spans="1:13">
      <c r="A1044" s="658"/>
      <c r="B1044" s="658"/>
      <c r="C1044" s="658"/>
      <c r="D1044" s="658"/>
      <c r="E1044" s="658"/>
      <c r="F1044" s="655"/>
      <c r="G1044" s="656"/>
      <c r="H1044" s="657"/>
      <c r="I1044" s="657"/>
      <c r="J1044" s="657"/>
      <c r="K1044" s="657"/>
      <c r="L1044" s="657"/>
    </row>
    <row r="1045" spans="1:13">
      <c r="A1045" s="658" t="s">
        <v>607</v>
      </c>
      <c r="B1045" s="658" t="s">
        <v>3008</v>
      </c>
      <c r="C1045" s="658" t="s">
        <v>4196</v>
      </c>
      <c r="D1045" s="658" t="s">
        <v>4195</v>
      </c>
      <c r="E1045" s="658" t="s">
        <v>239</v>
      </c>
      <c r="F1045" s="653"/>
      <c r="G1045" s="654"/>
      <c r="H1045" s="657">
        <v>46820</v>
      </c>
      <c r="I1045" s="657">
        <v>1590</v>
      </c>
      <c r="J1045" s="657"/>
      <c r="K1045" s="657">
        <v>1590</v>
      </c>
      <c r="L1045" s="657">
        <f t="shared" ref="L1045" si="892">K1045-I1045</f>
        <v>0</v>
      </c>
    </row>
    <row r="1046" spans="1:13">
      <c r="A1046" s="658"/>
      <c r="B1046" s="658"/>
      <c r="C1046" s="658"/>
      <c r="D1046" s="658"/>
      <c r="E1046" s="658"/>
      <c r="F1046" s="655"/>
      <c r="G1046" s="656"/>
      <c r="H1046" s="657"/>
      <c r="I1046" s="657"/>
      <c r="J1046" s="657"/>
      <c r="K1046" s="657"/>
      <c r="L1046" s="657"/>
    </row>
    <row r="1047" spans="1:13">
      <c r="A1047" s="658"/>
      <c r="B1047" s="658"/>
      <c r="C1047" s="658" t="s">
        <v>3402</v>
      </c>
      <c r="D1047" s="658" t="s">
        <v>4200</v>
      </c>
      <c r="E1047" s="658" t="s">
        <v>2723</v>
      </c>
      <c r="F1047" s="653"/>
      <c r="G1047" s="654"/>
      <c r="H1047" s="657">
        <v>370</v>
      </c>
      <c r="I1047" s="657">
        <f t="shared" ref="I1047" si="893">H1047</f>
        <v>370</v>
      </c>
      <c r="J1047" s="657"/>
      <c r="K1047" s="657">
        <v>370</v>
      </c>
      <c r="L1047" s="657">
        <f t="shared" ref="L1047" si="894">K1047-I1047</f>
        <v>0</v>
      </c>
    </row>
    <row r="1048" spans="1:13">
      <c r="A1048" s="658"/>
      <c r="B1048" s="658"/>
      <c r="C1048" s="658"/>
      <c r="D1048" s="658"/>
      <c r="E1048" s="658"/>
      <c r="F1048" s="655"/>
      <c r="G1048" s="656"/>
      <c r="H1048" s="657"/>
      <c r="I1048" s="657"/>
      <c r="J1048" s="657"/>
      <c r="K1048" s="657"/>
      <c r="L1048" s="657"/>
    </row>
    <row r="1049" spans="1:13">
      <c r="A1049" s="658"/>
      <c r="B1049" s="658"/>
      <c r="C1049" s="658" t="s">
        <v>3403</v>
      </c>
      <c r="D1049" s="658" t="s">
        <v>4192</v>
      </c>
      <c r="E1049" s="658" t="s">
        <v>2348</v>
      </c>
      <c r="F1049" s="653"/>
      <c r="G1049" s="654"/>
      <c r="H1049" s="657">
        <v>50</v>
      </c>
      <c r="I1049" s="657">
        <f t="shared" ref="I1049" si="895">H1049</f>
        <v>50</v>
      </c>
      <c r="J1049" s="657"/>
      <c r="K1049" s="657">
        <v>50</v>
      </c>
      <c r="L1049" s="657">
        <f t="shared" ref="L1049" si="896">K1049-I1049</f>
        <v>0</v>
      </c>
    </row>
    <row r="1050" spans="1:13">
      <c r="A1050" s="658"/>
      <c r="B1050" s="658"/>
      <c r="C1050" s="658"/>
      <c r="D1050" s="658"/>
      <c r="E1050" s="658"/>
      <c r="F1050" s="655"/>
      <c r="G1050" s="656"/>
      <c r="H1050" s="657"/>
      <c r="I1050" s="657"/>
      <c r="J1050" s="657"/>
      <c r="K1050" s="657"/>
      <c r="L1050" s="657"/>
    </row>
    <row r="1051" spans="1:13">
      <c r="A1051" s="658"/>
      <c r="B1051" s="658"/>
      <c r="C1051" s="658" t="s">
        <v>3405</v>
      </c>
      <c r="D1051" s="658" t="s">
        <v>4200</v>
      </c>
      <c r="E1051" s="658" t="s">
        <v>3309</v>
      </c>
      <c r="F1051" s="653"/>
      <c r="G1051" s="654"/>
      <c r="H1051" s="657">
        <v>480</v>
      </c>
      <c r="I1051" s="657">
        <f t="shared" ref="I1051" si="897">H1051</f>
        <v>480</v>
      </c>
      <c r="J1051" s="657"/>
      <c r="K1051" s="657">
        <v>480</v>
      </c>
      <c r="L1051" s="657">
        <f t="shared" ref="L1051" si="898">K1051-I1051</f>
        <v>0</v>
      </c>
    </row>
    <row r="1052" spans="1:13">
      <c r="A1052" s="658"/>
      <c r="B1052" s="658"/>
      <c r="C1052" s="658"/>
      <c r="D1052" s="658"/>
      <c r="E1052" s="658"/>
      <c r="F1052" s="655"/>
      <c r="G1052" s="656"/>
      <c r="H1052" s="657"/>
      <c r="I1052" s="657"/>
      <c r="J1052" s="657"/>
      <c r="K1052" s="657"/>
      <c r="L1052" s="657"/>
    </row>
    <row r="1053" spans="1:13">
      <c r="A1053" s="658"/>
      <c r="B1053" s="658"/>
      <c r="C1053" s="658" t="s">
        <v>3409</v>
      </c>
      <c r="D1053" s="658" t="s">
        <v>4212</v>
      </c>
      <c r="E1053" s="658" t="s">
        <v>4213</v>
      </c>
      <c r="F1053" s="653"/>
      <c r="G1053" s="654"/>
      <c r="H1053" s="657">
        <v>200</v>
      </c>
      <c r="I1053" s="657">
        <f>H1053</f>
        <v>200</v>
      </c>
      <c r="J1053" s="657"/>
      <c r="K1053" s="657">
        <v>200</v>
      </c>
      <c r="L1053" s="657">
        <f t="shared" ref="L1053" si="899">K1053-I1053</f>
        <v>0</v>
      </c>
    </row>
    <row r="1054" spans="1:13">
      <c r="A1054" s="658"/>
      <c r="B1054" s="658"/>
      <c r="C1054" s="658"/>
      <c r="D1054" s="658"/>
      <c r="E1054" s="658"/>
      <c r="F1054" s="655"/>
      <c r="G1054" s="656"/>
      <c r="H1054" s="657"/>
      <c r="I1054" s="657"/>
      <c r="J1054" s="657"/>
      <c r="K1054" s="657"/>
      <c r="L1054" s="657"/>
    </row>
    <row r="1055" spans="1:13">
      <c r="A1055" s="658" t="s">
        <v>614</v>
      </c>
      <c r="B1055" s="658" t="s">
        <v>4037</v>
      </c>
      <c r="C1055" s="658" t="s">
        <v>4201</v>
      </c>
      <c r="D1055" s="658" t="s">
        <v>4200</v>
      </c>
      <c r="E1055" s="658" t="s">
        <v>239</v>
      </c>
      <c r="F1055" s="653"/>
      <c r="G1055" s="654"/>
      <c r="H1055" s="657">
        <v>45044</v>
      </c>
      <c r="I1055" s="657">
        <v>1530</v>
      </c>
      <c r="J1055" s="657"/>
      <c r="K1055" s="657">
        <v>45044</v>
      </c>
      <c r="L1055" s="657">
        <f t="shared" ref="L1055" si="900">K1055-I1055</f>
        <v>43514</v>
      </c>
      <c r="M1055" t="s">
        <v>4197</v>
      </c>
    </row>
    <row r="1056" spans="1:13">
      <c r="A1056" s="658"/>
      <c r="B1056" s="658"/>
      <c r="C1056" s="658"/>
      <c r="D1056" s="658"/>
      <c r="E1056" s="658"/>
      <c r="F1056" s="655"/>
      <c r="G1056" s="656"/>
      <c r="H1056" s="657"/>
      <c r="I1056" s="657"/>
      <c r="J1056" s="657"/>
      <c r="K1056" s="657"/>
      <c r="L1056" s="657"/>
    </row>
    <row r="1057" spans="1:13">
      <c r="A1057" s="782" t="s">
        <v>555</v>
      </c>
      <c r="B1057" s="783"/>
      <c r="C1057" s="783"/>
      <c r="D1057" s="783"/>
      <c r="E1057" s="783"/>
      <c r="F1057" s="783"/>
      <c r="G1057" s="783"/>
      <c r="H1057" s="783"/>
      <c r="I1057" s="783"/>
      <c r="J1057" s="783"/>
      <c r="K1057" s="783"/>
      <c r="L1057" s="784"/>
    </row>
    <row r="1058" spans="1:13">
      <c r="A1058" s="785"/>
      <c r="B1058" s="786"/>
      <c r="C1058" s="786"/>
      <c r="D1058" s="786"/>
      <c r="E1058" s="786"/>
      <c r="F1058" s="786"/>
      <c r="G1058" s="786"/>
      <c r="H1058" s="786"/>
      <c r="I1058" s="786"/>
      <c r="J1058" s="786"/>
      <c r="K1058" s="786"/>
      <c r="L1058" s="787"/>
    </row>
    <row r="1059" spans="1:13">
      <c r="A1059" s="658"/>
      <c r="B1059" s="658"/>
      <c r="C1059" s="658" t="s">
        <v>3407</v>
      </c>
      <c r="D1059" s="658" t="s">
        <v>4198</v>
      </c>
      <c r="E1059" s="658" t="s">
        <v>2723</v>
      </c>
      <c r="F1059" s="653"/>
      <c r="G1059" s="654"/>
      <c r="H1059" s="657">
        <v>50</v>
      </c>
      <c r="I1059" s="657">
        <v>50</v>
      </c>
      <c r="J1059" s="657"/>
      <c r="K1059" s="657">
        <v>50</v>
      </c>
      <c r="L1059" s="657">
        <f t="shared" ref="L1059" si="901">K1059-I1059</f>
        <v>0</v>
      </c>
    </row>
    <row r="1060" spans="1:13">
      <c r="A1060" s="658"/>
      <c r="B1060" s="658"/>
      <c r="C1060" s="658"/>
      <c r="D1060" s="658"/>
      <c r="E1060" s="658"/>
      <c r="F1060" s="655"/>
      <c r="G1060" s="656"/>
      <c r="H1060" s="657"/>
      <c r="I1060" s="657"/>
      <c r="J1060" s="657"/>
      <c r="K1060" s="657"/>
      <c r="L1060" s="657"/>
      <c r="M1060" t="s">
        <v>2503</v>
      </c>
    </row>
    <row r="1061" spans="1:13">
      <c r="A1061" s="658"/>
      <c r="B1061" s="658"/>
      <c r="C1061" s="658" t="s">
        <v>3408</v>
      </c>
      <c r="D1061" s="658" t="s">
        <v>4198</v>
      </c>
      <c r="E1061" s="658" t="s">
        <v>1601</v>
      </c>
      <c r="F1061" s="653"/>
      <c r="G1061" s="654"/>
      <c r="H1061" s="657">
        <v>900</v>
      </c>
      <c r="I1061" s="657">
        <v>900</v>
      </c>
      <c r="J1061" s="657"/>
      <c r="K1061" s="657">
        <v>900</v>
      </c>
      <c r="L1061" s="657">
        <f t="shared" ref="L1061" si="902">K1061-I1061</f>
        <v>0</v>
      </c>
      <c r="M1061" t="s">
        <v>4251</v>
      </c>
    </row>
    <row r="1062" spans="1:13">
      <c r="A1062" s="658"/>
      <c r="B1062" s="658"/>
      <c r="C1062" s="658"/>
      <c r="D1062" s="658"/>
      <c r="E1062" s="658"/>
      <c r="F1062" s="655"/>
      <c r="G1062" s="656"/>
      <c r="H1062" s="657"/>
      <c r="I1062" s="657"/>
      <c r="J1062" s="657"/>
      <c r="K1062" s="657"/>
      <c r="L1062" s="657"/>
    </row>
    <row r="1063" spans="1:13">
      <c r="A1063" s="658" t="s">
        <v>619</v>
      </c>
      <c r="B1063" s="658" t="s">
        <v>3008</v>
      </c>
      <c r="C1063" s="658" t="s">
        <v>4205</v>
      </c>
      <c r="D1063" s="658" t="s">
        <v>4198</v>
      </c>
      <c r="E1063" s="658" t="s">
        <v>239</v>
      </c>
      <c r="F1063" s="653"/>
      <c r="G1063" s="654"/>
      <c r="H1063" s="657">
        <v>920</v>
      </c>
      <c r="I1063" s="657">
        <f t="shared" ref="I1063" si="903">H1063</f>
        <v>920</v>
      </c>
      <c r="J1063" s="657"/>
      <c r="K1063" s="657">
        <v>920</v>
      </c>
      <c r="L1063" s="657">
        <f t="shared" ref="L1063" si="904">K1063-I1063</f>
        <v>0</v>
      </c>
      <c r="M1063" s="572">
        <f>SUM(I1059:I1152,I1159)</f>
        <v>33099</v>
      </c>
    </row>
    <row r="1064" spans="1:13">
      <c r="A1064" s="658"/>
      <c r="B1064" s="658"/>
      <c r="C1064" s="658"/>
      <c r="D1064" s="658"/>
      <c r="E1064" s="658"/>
      <c r="F1064" s="655"/>
      <c r="G1064" s="656"/>
      <c r="H1064" s="657"/>
      <c r="I1064" s="657"/>
      <c r="J1064" s="657"/>
      <c r="K1064" s="657"/>
      <c r="L1064" s="657"/>
    </row>
    <row r="1065" spans="1:13">
      <c r="A1065" s="658"/>
      <c r="B1065" s="658"/>
      <c r="C1065" s="658" t="s">
        <v>3424</v>
      </c>
      <c r="D1065" s="658" t="s">
        <v>4198</v>
      </c>
      <c r="E1065" s="658" t="s">
        <v>4203</v>
      </c>
      <c r="F1065" s="653"/>
      <c r="G1065" s="654"/>
      <c r="H1065" s="657">
        <v>550</v>
      </c>
      <c r="I1065" s="657">
        <f t="shared" ref="I1065" si="905">H1065</f>
        <v>550</v>
      </c>
      <c r="J1065" s="657"/>
      <c r="K1065" s="657">
        <v>550</v>
      </c>
      <c r="L1065" s="657">
        <f t="shared" ref="L1065" si="906">K1065-I1065</f>
        <v>0</v>
      </c>
    </row>
    <row r="1066" spans="1:13">
      <c r="A1066" s="658"/>
      <c r="B1066" s="658"/>
      <c r="C1066" s="658"/>
      <c r="D1066" s="658"/>
      <c r="E1066" s="658"/>
      <c r="F1066" s="655"/>
      <c r="G1066" s="656"/>
      <c r="H1066" s="657"/>
      <c r="I1066" s="657"/>
      <c r="J1066" s="657"/>
      <c r="K1066" s="657"/>
      <c r="L1066" s="657"/>
    </row>
    <row r="1067" spans="1:13">
      <c r="A1067" s="658"/>
      <c r="B1067" s="658"/>
      <c r="C1067" s="658" t="s">
        <v>3410</v>
      </c>
      <c r="D1067" s="658" t="s">
        <v>4204</v>
      </c>
      <c r="E1067" s="658" t="s">
        <v>1601</v>
      </c>
      <c r="F1067" s="653"/>
      <c r="G1067" s="654"/>
      <c r="H1067" s="657">
        <v>580</v>
      </c>
      <c r="I1067" s="657">
        <f t="shared" ref="I1067" si="907">H1067</f>
        <v>580</v>
      </c>
      <c r="J1067" s="657"/>
      <c r="K1067" s="657">
        <v>580</v>
      </c>
      <c r="L1067" s="657">
        <f t="shared" ref="L1067" si="908">K1067-I1067</f>
        <v>0</v>
      </c>
    </row>
    <row r="1068" spans="1:13">
      <c r="A1068" s="658"/>
      <c r="B1068" s="658"/>
      <c r="C1068" s="658"/>
      <c r="D1068" s="658"/>
      <c r="E1068" s="658"/>
      <c r="F1068" s="655"/>
      <c r="G1068" s="656"/>
      <c r="H1068" s="657"/>
      <c r="I1068" s="657"/>
      <c r="J1068" s="657"/>
      <c r="K1068" s="657"/>
      <c r="L1068" s="657"/>
    </row>
    <row r="1069" spans="1:13">
      <c r="A1069" s="658"/>
      <c r="B1069" s="658"/>
      <c r="C1069" s="658" t="s">
        <v>3411</v>
      </c>
      <c r="D1069" s="658" t="s">
        <v>4204</v>
      </c>
      <c r="E1069" s="658" t="s">
        <v>2376</v>
      </c>
      <c r="F1069" s="653"/>
      <c r="G1069" s="654"/>
      <c r="H1069" s="657">
        <v>40</v>
      </c>
      <c r="I1069" s="657">
        <f t="shared" ref="I1069" si="909">H1069</f>
        <v>40</v>
      </c>
      <c r="J1069" s="657"/>
      <c r="K1069" s="657">
        <v>40</v>
      </c>
      <c r="L1069" s="657">
        <f t="shared" ref="L1069" si="910">K1069-I1069</f>
        <v>0</v>
      </c>
    </row>
    <row r="1070" spans="1:13">
      <c r="A1070" s="658"/>
      <c r="B1070" s="658"/>
      <c r="C1070" s="658"/>
      <c r="D1070" s="658"/>
      <c r="E1070" s="658"/>
      <c r="F1070" s="655"/>
      <c r="G1070" s="656"/>
      <c r="H1070" s="657"/>
      <c r="I1070" s="657"/>
      <c r="J1070" s="657"/>
      <c r="K1070" s="657"/>
      <c r="L1070" s="657"/>
    </row>
    <row r="1071" spans="1:13">
      <c r="A1071" s="658"/>
      <c r="B1071" s="658"/>
      <c r="C1071" s="658" t="s">
        <v>3419</v>
      </c>
      <c r="D1071" s="658" t="s">
        <v>4204</v>
      </c>
      <c r="E1071" s="658" t="s">
        <v>2375</v>
      </c>
      <c r="F1071" s="653"/>
      <c r="G1071" s="654"/>
      <c r="H1071" s="657">
        <v>60</v>
      </c>
      <c r="I1071" s="657">
        <f t="shared" ref="I1071" si="911">H1071</f>
        <v>60</v>
      </c>
      <c r="J1071" s="657"/>
      <c r="K1071" s="657">
        <v>60</v>
      </c>
      <c r="L1071" s="657">
        <f t="shared" ref="L1071" si="912">K1071-I1071</f>
        <v>0</v>
      </c>
    </row>
    <row r="1072" spans="1:13">
      <c r="A1072" s="658"/>
      <c r="B1072" s="658"/>
      <c r="C1072" s="658"/>
      <c r="D1072" s="658"/>
      <c r="E1072" s="658"/>
      <c r="F1072" s="655"/>
      <c r="G1072" s="656"/>
      <c r="H1072" s="657"/>
      <c r="I1072" s="657"/>
      <c r="J1072" s="657"/>
      <c r="K1072" s="657"/>
      <c r="L1072" s="657"/>
    </row>
    <row r="1073" spans="1:12">
      <c r="A1073" s="658" t="s">
        <v>620</v>
      </c>
      <c r="B1073" s="658" t="s">
        <v>3298</v>
      </c>
      <c r="C1073" s="658" t="s">
        <v>4206</v>
      </c>
      <c r="D1073" s="658" t="s">
        <v>4198</v>
      </c>
      <c r="E1073" s="658" t="s">
        <v>239</v>
      </c>
      <c r="F1073" s="653"/>
      <c r="G1073" s="654"/>
      <c r="H1073" s="657">
        <v>43270</v>
      </c>
      <c r="I1073" s="657">
        <v>1470</v>
      </c>
      <c r="J1073" s="657"/>
      <c r="K1073" s="657">
        <v>170</v>
      </c>
      <c r="L1073" s="657">
        <f t="shared" ref="L1073" si="913">K1073-I1073</f>
        <v>-1300</v>
      </c>
    </row>
    <row r="1074" spans="1:12">
      <c r="A1074" s="658"/>
      <c r="B1074" s="658"/>
      <c r="C1074" s="658"/>
      <c r="D1074" s="658"/>
      <c r="E1074" s="658"/>
      <c r="F1074" s="655"/>
      <c r="G1074" s="656"/>
      <c r="H1074" s="657"/>
      <c r="I1074" s="657"/>
      <c r="J1074" s="657"/>
      <c r="K1074" s="657"/>
      <c r="L1074" s="657"/>
    </row>
    <row r="1075" spans="1:12">
      <c r="A1075" s="658"/>
      <c r="B1075" s="658"/>
      <c r="C1075" s="658" t="s">
        <v>3420</v>
      </c>
      <c r="D1075" s="658" t="s">
        <v>4204</v>
      </c>
      <c r="E1075" s="658" t="s">
        <v>2723</v>
      </c>
      <c r="F1075" s="653"/>
      <c r="G1075" s="654"/>
      <c r="H1075" s="657">
        <v>500</v>
      </c>
      <c r="I1075" s="657">
        <f t="shared" ref="I1075" si="914">H1075</f>
        <v>500</v>
      </c>
      <c r="J1075" s="657"/>
      <c r="K1075" s="657">
        <v>500</v>
      </c>
      <c r="L1075" s="657">
        <f t="shared" ref="L1075" si="915">K1075-I1075</f>
        <v>0</v>
      </c>
    </row>
    <row r="1076" spans="1:12">
      <c r="A1076" s="658"/>
      <c r="B1076" s="658"/>
      <c r="C1076" s="658"/>
      <c r="D1076" s="658"/>
      <c r="E1076" s="658"/>
      <c r="F1076" s="655"/>
      <c r="G1076" s="656"/>
      <c r="H1076" s="657"/>
      <c r="I1076" s="657"/>
      <c r="J1076" s="657"/>
      <c r="K1076" s="657"/>
      <c r="L1076" s="657"/>
    </row>
    <row r="1077" spans="1:12">
      <c r="A1077" s="658"/>
      <c r="B1077" s="658"/>
      <c r="C1077" s="658" t="s">
        <v>3425</v>
      </c>
      <c r="D1077" s="658" t="s">
        <v>4204</v>
      </c>
      <c r="E1077" s="658" t="s">
        <v>3025</v>
      </c>
      <c r="F1077" s="653"/>
      <c r="G1077" s="654"/>
      <c r="H1077" s="657">
        <v>99</v>
      </c>
      <c r="I1077" s="657">
        <f t="shared" ref="I1077" si="916">H1077</f>
        <v>99</v>
      </c>
      <c r="J1077" s="657"/>
      <c r="K1077" s="657">
        <v>99</v>
      </c>
      <c r="L1077" s="657">
        <f t="shared" ref="L1077" si="917">K1077-I1077</f>
        <v>0</v>
      </c>
    </row>
    <row r="1078" spans="1:12">
      <c r="A1078" s="658"/>
      <c r="B1078" s="658"/>
      <c r="C1078" s="658"/>
      <c r="D1078" s="658"/>
      <c r="E1078" s="658"/>
      <c r="F1078" s="655"/>
      <c r="G1078" s="656"/>
      <c r="H1078" s="657"/>
      <c r="I1078" s="657"/>
      <c r="J1078" s="657"/>
      <c r="K1078" s="657"/>
      <c r="L1078" s="657"/>
    </row>
    <row r="1079" spans="1:12">
      <c r="A1079" s="658"/>
      <c r="B1079" s="658"/>
      <c r="C1079" s="658" t="s">
        <v>3426</v>
      </c>
      <c r="D1079" s="658" t="s">
        <v>4204</v>
      </c>
      <c r="E1079" s="658" t="s">
        <v>2723</v>
      </c>
      <c r="F1079" s="653"/>
      <c r="G1079" s="654"/>
      <c r="H1079" s="657">
        <v>220</v>
      </c>
      <c r="I1079" s="657">
        <f t="shared" ref="I1079" si="918">H1079</f>
        <v>220</v>
      </c>
      <c r="J1079" s="657"/>
      <c r="K1079" s="657">
        <v>220</v>
      </c>
      <c r="L1079" s="657">
        <f t="shared" ref="L1079" si="919">K1079-I1079</f>
        <v>0</v>
      </c>
    </row>
    <row r="1080" spans="1:12">
      <c r="A1080" s="658"/>
      <c r="B1080" s="658"/>
      <c r="C1080" s="658"/>
      <c r="D1080" s="658"/>
      <c r="E1080" s="658"/>
      <c r="F1080" s="655"/>
      <c r="G1080" s="656"/>
      <c r="H1080" s="657"/>
      <c r="I1080" s="657"/>
      <c r="J1080" s="657"/>
      <c r="K1080" s="657"/>
      <c r="L1080" s="657"/>
    </row>
    <row r="1081" spans="1:12">
      <c r="A1081" s="658" t="s">
        <v>621</v>
      </c>
      <c r="B1081" s="658" t="s">
        <v>4037</v>
      </c>
      <c r="C1081" s="658" t="s">
        <v>4215</v>
      </c>
      <c r="D1081" s="658" t="s">
        <v>4214</v>
      </c>
      <c r="E1081" s="658" t="s">
        <v>239</v>
      </c>
      <c r="F1081" s="653"/>
      <c r="G1081" s="654"/>
      <c r="H1081" s="657">
        <v>45457</v>
      </c>
      <c r="I1081" s="657">
        <v>1530</v>
      </c>
      <c r="J1081" s="657"/>
      <c r="K1081" s="657">
        <v>1530</v>
      </c>
      <c r="L1081" s="657">
        <f t="shared" ref="L1081" si="920">K1081-I1081</f>
        <v>0</v>
      </c>
    </row>
    <row r="1082" spans="1:12">
      <c r="A1082" s="658"/>
      <c r="B1082" s="658"/>
      <c r="C1082" s="658"/>
      <c r="D1082" s="658"/>
      <c r="E1082" s="658"/>
      <c r="F1082" s="655"/>
      <c r="G1082" s="656"/>
      <c r="H1082" s="657"/>
      <c r="I1082" s="657"/>
      <c r="J1082" s="657"/>
      <c r="K1082" s="657"/>
      <c r="L1082" s="657"/>
    </row>
    <row r="1083" spans="1:12">
      <c r="A1083" s="658"/>
      <c r="B1083" s="658"/>
      <c r="C1083" s="658" t="s">
        <v>3428</v>
      </c>
      <c r="D1083" s="658" t="s">
        <v>4209</v>
      </c>
      <c r="E1083" s="658" t="s">
        <v>4207</v>
      </c>
      <c r="F1083" s="653"/>
      <c r="G1083" s="654"/>
      <c r="H1083" s="657">
        <v>100</v>
      </c>
      <c r="I1083" s="657">
        <f t="shared" ref="I1083" si="921">H1083</f>
        <v>100</v>
      </c>
      <c r="J1083" s="657"/>
      <c r="K1083" s="657">
        <v>100</v>
      </c>
      <c r="L1083" s="657">
        <f t="shared" ref="L1083" si="922">K1083-I1083</f>
        <v>0</v>
      </c>
    </row>
    <row r="1084" spans="1:12">
      <c r="A1084" s="658"/>
      <c r="B1084" s="658"/>
      <c r="C1084" s="658"/>
      <c r="D1084" s="658"/>
      <c r="E1084" s="658"/>
      <c r="F1084" s="655"/>
      <c r="G1084" s="656"/>
      <c r="H1084" s="657"/>
      <c r="I1084" s="657"/>
      <c r="J1084" s="657"/>
      <c r="K1084" s="657"/>
      <c r="L1084" s="657"/>
    </row>
    <row r="1085" spans="1:12">
      <c r="A1085" s="658"/>
      <c r="B1085" s="658"/>
      <c r="C1085" s="658" t="s">
        <v>3429</v>
      </c>
      <c r="D1085" s="658" t="s">
        <v>4209</v>
      </c>
      <c r="E1085" s="658" t="s">
        <v>4208</v>
      </c>
      <c r="F1085" s="653"/>
      <c r="G1085" s="654"/>
      <c r="H1085" s="657">
        <v>550</v>
      </c>
      <c r="I1085" s="657">
        <f t="shared" ref="I1085" si="923">H1085</f>
        <v>550</v>
      </c>
      <c r="J1085" s="657"/>
      <c r="K1085" s="657">
        <v>550</v>
      </c>
      <c r="L1085" s="657">
        <f t="shared" ref="L1085" si="924">K1085-I1085</f>
        <v>0</v>
      </c>
    </row>
    <row r="1086" spans="1:12">
      <c r="A1086" s="658"/>
      <c r="B1086" s="658"/>
      <c r="C1086" s="658"/>
      <c r="D1086" s="658"/>
      <c r="E1086" s="658"/>
      <c r="F1086" s="655"/>
      <c r="G1086" s="656"/>
      <c r="H1086" s="657"/>
      <c r="I1086" s="657"/>
      <c r="J1086" s="657"/>
      <c r="K1086" s="657"/>
      <c r="L1086" s="657"/>
    </row>
    <row r="1087" spans="1:12">
      <c r="A1087" s="658" t="s">
        <v>623</v>
      </c>
      <c r="B1087" s="658" t="s">
        <v>3008</v>
      </c>
      <c r="C1087" s="658" t="s">
        <v>4219</v>
      </c>
      <c r="D1087" s="658" t="s">
        <v>4218</v>
      </c>
      <c r="E1087" s="658" t="s">
        <v>239</v>
      </c>
      <c r="F1087" s="653"/>
      <c r="G1087" s="654"/>
      <c r="H1087" s="657">
        <v>1470</v>
      </c>
      <c r="I1087" s="657">
        <f t="shared" ref="I1087" si="925">H1087</f>
        <v>1470</v>
      </c>
      <c r="J1087" s="657"/>
      <c r="K1087" s="657">
        <v>1470</v>
      </c>
      <c r="L1087" s="657">
        <f t="shared" ref="L1087" si="926">K1087-I1087</f>
        <v>0</v>
      </c>
    </row>
    <row r="1088" spans="1:12">
      <c r="A1088" s="658"/>
      <c r="B1088" s="658"/>
      <c r="C1088" s="658"/>
      <c r="D1088" s="658"/>
      <c r="E1088" s="658"/>
      <c r="F1088" s="655"/>
      <c r="G1088" s="656"/>
      <c r="H1088" s="657"/>
      <c r="I1088" s="657"/>
      <c r="J1088" s="657"/>
      <c r="K1088" s="657"/>
      <c r="L1088" s="657"/>
    </row>
    <row r="1089" spans="1:12">
      <c r="A1089" s="658"/>
      <c r="B1089" s="658"/>
      <c r="C1089" s="658" t="s">
        <v>3437</v>
      </c>
      <c r="D1089" s="658" t="s">
        <v>4211</v>
      </c>
      <c r="E1089" s="658" t="s">
        <v>3258</v>
      </c>
      <c r="F1089" s="653"/>
      <c r="G1089" s="654"/>
      <c r="H1089" s="657">
        <v>400</v>
      </c>
      <c r="I1089" s="657">
        <f t="shared" ref="I1089" si="927">H1089</f>
        <v>400</v>
      </c>
      <c r="J1089" s="657"/>
      <c r="K1089" s="657">
        <v>400</v>
      </c>
      <c r="L1089" s="657">
        <f t="shared" ref="L1089" si="928">K1089-I1089</f>
        <v>0</v>
      </c>
    </row>
    <row r="1090" spans="1:12">
      <c r="A1090" s="658"/>
      <c r="B1090" s="658"/>
      <c r="C1090" s="658"/>
      <c r="D1090" s="658"/>
      <c r="E1090" s="658"/>
      <c r="F1090" s="655"/>
      <c r="G1090" s="656"/>
      <c r="H1090" s="657"/>
      <c r="I1090" s="657"/>
      <c r="J1090" s="657"/>
      <c r="K1090" s="657"/>
      <c r="L1090" s="657"/>
    </row>
    <row r="1091" spans="1:12">
      <c r="A1091" s="658"/>
      <c r="B1091" s="658"/>
      <c r="C1091" s="658" t="s">
        <v>3441</v>
      </c>
      <c r="D1091" s="658" t="s">
        <v>4211</v>
      </c>
      <c r="E1091" s="658" t="s">
        <v>4210</v>
      </c>
      <c r="F1091" s="653"/>
      <c r="G1091" s="654"/>
      <c r="H1091" s="657">
        <v>350</v>
      </c>
      <c r="I1091" s="657">
        <f t="shared" ref="I1091" si="929">H1091</f>
        <v>350</v>
      </c>
      <c r="J1091" s="657"/>
      <c r="K1091" s="657">
        <v>350</v>
      </c>
      <c r="L1091" s="657">
        <f t="shared" ref="L1091" si="930">K1091-I1091</f>
        <v>0</v>
      </c>
    </row>
    <row r="1092" spans="1:12">
      <c r="A1092" s="658"/>
      <c r="B1092" s="658"/>
      <c r="C1092" s="658"/>
      <c r="D1092" s="658"/>
      <c r="E1092" s="658"/>
      <c r="F1092" s="655"/>
      <c r="G1092" s="656"/>
      <c r="H1092" s="657"/>
      <c r="I1092" s="657"/>
      <c r="J1092" s="657"/>
      <c r="K1092" s="657"/>
      <c r="L1092" s="657"/>
    </row>
    <row r="1093" spans="1:12">
      <c r="A1093" s="658"/>
      <c r="B1093" s="658"/>
      <c r="C1093" s="658" t="s">
        <v>3442</v>
      </c>
      <c r="D1093" s="658" t="s">
        <v>4211</v>
      </c>
      <c r="E1093" s="658" t="s">
        <v>2547</v>
      </c>
      <c r="F1093" s="653"/>
      <c r="G1093" s="654"/>
      <c r="H1093" s="657">
        <v>500</v>
      </c>
      <c r="I1093" s="657">
        <f t="shared" ref="I1093" si="931">H1093</f>
        <v>500</v>
      </c>
      <c r="J1093" s="657"/>
      <c r="K1093" s="657">
        <v>500</v>
      </c>
      <c r="L1093" s="657">
        <f t="shared" ref="L1093" si="932">K1093-I1093</f>
        <v>0</v>
      </c>
    </row>
    <row r="1094" spans="1:12">
      <c r="A1094" s="658"/>
      <c r="B1094" s="658"/>
      <c r="C1094" s="658"/>
      <c r="D1094" s="658"/>
      <c r="E1094" s="658"/>
      <c r="F1094" s="655"/>
      <c r="G1094" s="656"/>
      <c r="H1094" s="657"/>
      <c r="I1094" s="657"/>
      <c r="J1094" s="657"/>
      <c r="K1094" s="657"/>
      <c r="L1094" s="657"/>
    </row>
    <row r="1095" spans="1:12">
      <c r="A1095" s="658" t="s">
        <v>624</v>
      </c>
      <c r="B1095" s="658" t="s">
        <v>3298</v>
      </c>
      <c r="C1095" s="658" t="s">
        <v>4217</v>
      </c>
      <c r="D1095" s="658" t="s">
        <v>4216</v>
      </c>
      <c r="E1095" s="658" t="s">
        <v>239</v>
      </c>
      <c r="F1095" s="653"/>
      <c r="G1095" s="654"/>
      <c r="H1095" s="657">
        <v>1470</v>
      </c>
      <c r="I1095" s="657">
        <f t="shared" ref="I1095" si="933">H1095</f>
        <v>1470</v>
      </c>
      <c r="J1095" s="657"/>
      <c r="K1095" s="657">
        <v>1470</v>
      </c>
      <c r="L1095" s="657">
        <f t="shared" ref="L1095" si="934">K1095-I1095</f>
        <v>0</v>
      </c>
    </row>
    <row r="1096" spans="1:12">
      <c r="A1096" s="658"/>
      <c r="B1096" s="658"/>
      <c r="C1096" s="658"/>
      <c r="D1096" s="658"/>
      <c r="E1096" s="658"/>
      <c r="F1096" s="655"/>
      <c r="G1096" s="656"/>
      <c r="H1096" s="657"/>
      <c r="I1096" s="657"/>
      <c r="J1096" s="657"/>
      <c r="K1096" s="657"/>
      <c r="L1096" s="657"/>
    </row>
    <row r="1097" spans="1:12">
      <c r="A1097" s="658"/>
      <c r="B1097" s="658"/>
      <c r="C1097" s="658" t="s">
        <v>3446</v>
      </c>
      <c r="D1097" s="658" t="s">
        <v>4211</v>
      </c>
      <c r="E1097" s="658" t="s">
        <v>1661</v>
      </c>
      <c r="F1097" s="653"/>
      <c r="G1097" s="654"/>
      <c r="H1097" s="657">
        <v>520</v>
      </c>
      <c r="I1097" s="657">
        <f t="shared" ref="I1097" si="935">H1097</f>
        <v>520</v>
      </c>
      <c r="J1097" s="657"/>
      <c r="K1097" s="657">
        <v>520</v>
      </c>
      <c r="L1097" s="657">
        <f t="shared" ref="L1097" si="936">K1097-I1097</f>
        <v>0</v>
      </c>
    </row>
    <row r="1098" spans="1:12">
      <c r="A1098" s="658"/>
      <c r="B1098" s="658"/>
      <c r="C1098" s="658"/>
      <c r="D1098" s="658"/>
      <c r="E1098" s="658"/>
      <c r="F1098" s="655"/>
      <c r="G1098" s="656"/>
      <c r="H1098" s="657"/>
      <c r="I1098" s="657"/>
      <c r="J1098" s="657"/>
      <c r="K1098" s="657"/>
      <c r="L1098" s="657"/>
    </row>
    <row r="1099" spans="1:12">
      <c r="A1099" s="658"/>
      <c r="B1099" s="658"/>
      <c r="C1099" s="658" t="s">
        <v>3447</v>
      </c>
      <c r="D1099" s="658" t="s">
        <v>4211</v>
      </c>
      <c r="E1099" s="658" t="s">
        <v>3025</v>
      </c>
      <c r="F1099" s="653"/>
      <c r="G1099" s="654"/>
      <c r="H1099" s="657">
        <v>100</v>
      </c>
      <c r="I1099" s="657">
        <f t="shared" ref="I1099" si="937">H1099</f>
        <v>100</v>
      </c>
      <c r="J1099" s="657"/>
      <c r="K1099" s="657">
        <v>100</v>
      </c>
      <c r="L1099" s="657">
        <f t="shared" ref="L1099" si="938">K1099-I1099</f>
        <v>0</v>
      </c>
    </row>
    <row r="1100" spans="1:12">
      <c r="A1100" s="658"/>
      <c r="B1100" s="658"/>
      <c r="C1100" s="658"/>
      <c r="D1100" s="658"/>
      <c r="E1100" s="658"/>
      <c r="F1100" s="655"/>
      <c r="G1100" s="656"/>
      <c r="H1100" s="657"/>
      <c r="I1100" s="657"/>
      <c r="J1100" s="657"/>
      <c r="K1100" s="657"/>
      <c r="L1100" s="657"/>
    </row>
    <row r="1101" spans="1:12">
      <c r="A1101" s="658" t="s">
        <v>631</v>
      </c>
      <c r="B1101" s="658" t="s">
        <v>3281</v>
      </c>
      <c r="C1101" s="658" t="s">
        <v>4235</v>
      </c>
      <c r="D1101" s="658" t="s">
        <v>4211</v>
      </c>
      <c r="E1101" s="658" t="s">
        <v>239</v>
      </c>
      <c r="F1101" s="653"/>
      <c r="G1101" s="654"/>
      <c r="H1101" s="657">
        <v>43728</v>
      </c>
      <c r="I1101" s="657">
        <v>1470</v>
      </c>
      <c r="J1101" s="657"/>
      <c r="K1101" s="657">
        <v>1470</v>
      </c>
      <c r="L1101" s="657">
        <f t="shared" ref="L1101" si="939">K1101-I1101</f>
        <v>0</v>
      </c>
    </row>
    <row r="1102" spans="1:12">
      <c r="A1102" s="658"/>
      <c r="B1102" s="658"/>
      <c r="C1102" s="658"/>
      <c r="D1102" s="658"/>
      <c r="E1102" s="658"/>
      <c r="F1102" s="655"/>
      <c r="G1102" s="656"/>
      <c r="H1102" s="657"/>
      <c r="I1102" s="657"/>
      <c r="J1102" s="657"/>
      <c r="K1102" s="657"/>
      <c r="L1102" s="657"/>
    </row>
    <row r="1103" spans="1:12">
      <c r="A1103" s="658"/>
      <c r="B1103" s="658"/>
      <c r="C1103" s="658" t="s">
        <v>3449</v>
      </c>
      <c r="D1103" s="658" t="s">
        <v>4234</v>
      </c>
      <c r="E1103" s="658" t="s">
        <v>3860</v>
      </c>
      <c r="F1103" s="653"/>
      <c r="G1103" s="654"/>
      <c r="H1103" s="657">
        <v>700</v>
      </c>
      <c r="I1103" s="657">
        <f t="shared" ref="I1103" si="940">H1103</f>
        <v>700</v>
      </c>
      <c r="J1103" s="657"/>
      <c r="K1103" s="657">
        <v>700</v>
      </c>
      <c r="L1103" s="657">
        <f t="shared" ref="L1103" si="941">K1103-I1103</f>
        <v>0</v>
      </c>
    </row>
    <row r="1104" spans="1:12">
      <c r="A1104" s="658"/>
      <c r="B1104" s="658"/>
      <c r="C1104" s="658"/>
      <c r="D1104" s="658"/>
      <c r="E1104" s="658"/>
      <c r="F1104" s="655"/>
      <c r="G1104" s="656"/>
      <c r="H1104" s="657"/>
      <c r="I1104" s="657"/>
      <c r="J1104" s="657"/>
      <c r="K1104" s="657"/>
      <c r="L1104" s="657"/>
    </row>
    <row r="1105" spans="1:12">
      <c r="A1105" s="658"/>
      <c r="B1105" s="658"/>
      <c r="C1105" s="658" t="s">
        <v>3450</v>
      </c>
      <c r="D1105" s="658" t="s">
        <v>4234</v>
      </c>
      <c r="E1105" s="658" t="s">
        <v>3309</v>
      </c>
      <c r="F1105" s="653"/>
      <c r="G1105" s="654"/>
      <c r="H1105" s="657">
        <v>460</v>
      </c>
      <c r="I1105" s="657">
        <f t="shared" ref="I1105" si="942">H1105</f>
        <v>460</v>
      </c>
      <c r="J1105" s="657"/>
      <c r="K1105" s="657">
        <v>460</v>
      </c>
      <c r="L1105" s="657">
        <f t="shared" ref="L1105" si="943">K1105-I1105</f>
        <v>0</v>
      </c>
    </row>
    <row r="1106" spans="1:12">
      <c r="A1106" s="658"/>
      <c r="B1106" s="658"/>
      <c r="C1106" s="658"/>
      <c r="D1106" s="658"/>
      <c r="E1106" s="658"/>
      <c r="F1106" s="655"/>
      <c r="G1106" s="656"/>
      <c r="H1106" s="657"/>
      <c r="I1106" s="657"/>
      <c r="J1106" s="657"/>
      <c r="K1106" s="657"/>
      <c r="L1106" s="657"/>
    </row>
    <row r="1107" spans="1:12">
      <c r="A1107" s="658" t="s">
        <v>632</v>
      </c>
      <c r="B1107" s="658" t="s">
        <v>4037</v>
      </c>
      <c r="C1107" s="658" t="s">
        <v>4238</v>
      </c>
      <c r="D1107" s="658" t="s">
        <v>4234</v>
      </c>
      <c r="E1107" s="658" t="s">
        <v>1873</v>
      </c>
      <c r="F1107" s="653"/>
      <c r="G1107" s="654"/>
      <c r="H1107" s="657">
        <v>1470</v>
      </c>
      <c r="I1107" s="657">
        <f t="shared" ref="I1107" si="944">H1107</f>
        <v>1470</v>
      </c>
      <c r="J1107" s="657"/>
      <c r="K1107" s="657">
        <v>1470</v>
      </c>
      <c r="L1107" s="657">
        <f t="shared" ref="L1107" si="945">K1107-I1107</f>
        <v>0</v>
      </c>
    </row>
    <row r="1108" spans="1:12">
      <c r="A1108" s="658"/>
      <c r="B1108" s="658"/>
      <c r="C1108" s="658"/>
      <c r="D1108" s="658"/>
      <c r="E1108" s="658"/>
      <c r="F1108" s="655"/>
      <c r="G1108" s="656"/>
      <c r="H1108" s="657"/>
      <c r="I1108" s="657"/>
      <c r="J1108" s="657"/>
      <c r="K1108" s="657"/>
      <c r="L1108" s="657"/>
    </row>
    <row r="1109" spans="1:12">
      <c r="A1109" s="658"/>
      <c r="B1109" s="658"/>
      <c r="C1109" s="658" t="s">
        <v>4237</v>
      </c>
      <c r="D1109" s="658" t="s">
        <v>4236</v>
      </c>
      <c r="E1109" s="658" t="s">
        <v>1601</v>
      </c>
      <c r="F1109" s="653"/>
      <c r="G1109" s="654"/>
      <c r="H1109" s="657">
        <v>1350</v>
      </c>
      <c r="I1109" s="657">
        <f t="shared" ref="I1109" si="946">H1109</f>
        <v>1350</v>
      </c>
      <c r="J1109" s="657"/>
      <c r="K1109" s="657">
        <v>1350</v>
      </c>
      <c r="L1109" s="657">
        <f t="shared" ref="L1109" si="947">K1109-I1109</f>
        <v>0</v>
      </c>
    </row>
    <row r="1110" spans="1:12">
      <c r="A1110" s="658"/>
      <c r="B1110" s="658"/>
      <c r="C1110" s="658"/>
      <c r="D1110" s="658"/>
      <c r="E1110" s="658"/>
      <c r="F1110" s="655"/>
      <c r="G1110" s="656"/>
      <c r="H1110" s="657"/>
      <c r="I1110" s="657"/>
      <c r="J1110" s="657"/>
      <c r="K1110" s="657"/>
      <c r="L1110" s="657"/>
    </row>
    <row r="1111" spans="1:12">
      <c r="A1111" s="658" t="s">
        <v>634</v>
      </c>
      <c r="B1111" s="658" t="s">
        <v>3008</v>
      </c>
      <c r="C1111" s="658" t="s">
        <v>4240</v>
      </c>
      <c r="D1111" s="658" t="s">
        <v>4239</v>
      </c>
      <c r="E1111" s="658" t="s">
        <v>1873</v>
      </c>
      <c r="F1111" s="653"/>
      <c r="G1111" s="654"/>
      <c r="H1111" s="657">
        <v>47753</v>
      </c>
      <c r="I1111" s="657">
        <v>1590</v>
      </c>
      <c r="J1111" s="657"/>
      <c r="K1111" s="657">
        <v>1590</v>
      </c>
      <c r="L1111" s="657">
        <f t="shared" ref="L1111" si="948">K1111-I1111</f>
        <v>0</v>
      </c>
    </row>
    <row r="1112" spans="1:12">
      <c r="A1112" s="658"/>
      <c r="B1112" s="658"/>
      <c r="C1112" s="658"/>
      <c r="D1112" s="658"/>
      <c r="E1112" s="658"/>
      <c r="F1112" s="655"/>
      <c r="G1112" s="656"/>
      <c r="H1112" s="657"/>
      <c r="I1112" s="657"/>
      <c r="J1112" s="657"/>
      <c r="K1112" s="657"/>
      <c r="L1112" s="657"/>
    </row>
    <row r="1113" spans="1:12">
      <c r="A1113" s="658"/>
      <c r="B1113" s="658"/>
      <c r="C1113" s="658" t="s">
        <v>3451</v>
      </c>
      <c r="D1113" s="658" t="s">
        <v>4236</v>
      </c>
      <c r="E1113" s="658" t="s">
        <v>1140</v>
      </c>
      <c r="F1113" s="653"/>
      <c r="G1113" s="654"/>
      <c r="H1113" s="657">
        <v>450</v>
      </c>
      <c r="I1113" s="657">
        <f t="shared" ref="I1113" si="949">H1113</f>
        <v>450</v>
      </c>
      <c r="J1113" s="657"/>
      <c r="K1113" s="657">
        <v>450</v>
      </c>
      <c r="L1113" s="657">
        <f t="shared" ref="L1113" si="950">K1113-I1113</f>
        <v>0</v>
      </c>
    </row>
    <row r="1114" spans="1:12">
      <c r="A1114" s="658"/>
      <c r="B1114" s="658"/>
      <c r="C1114" s="658"/>
      <c r="D1114" s="658"/>
      <c r="E1114" s="658"/>
      <c r="F1114" s="655"/>
      <c r="G1114" s="656"/>
      <c r="H1114" s="657"/>
      <c r="I1114" s="657"/>
      <c r="J1114" s="657"/>
      <c r="K1114" s="657"/>
      <c r="L1114" s="657"/>
    </row>
    <row r="1115" spans="1:12">
      <c r="A1115" s="658"/>
      <c r="B1115" s="658"/>
      <c r="C1115" s="658" t="s">
        <v>3456</v>
      </c>
      <c r="D1115" s="658" t="s">
        <v>4236</v>
      </c>
      <c r="E1115" s="658" t="s">
        <v>2376</v>
      </c>
      <c r="F1115" s="653"/>
      <c r="G1115" s="654"/>
      <c r="H1115" s="657">
        <v>60</v>
      </c>
      <c r="I1115" s="657">
        <f t="shared" ref="I1115" si="951">H1115</f>
        <v>60</v>
      </c>
      <c r="J1115" s="657"/>
      <c r="K1115" s="657">
        <v>60</v>
      </c>
      <c r="L1115" s="657">
        <v>0</v>
      </c>
    </row>
    <row r="1116" spans="1:12">
      <c r="A1116" s="658"/>
      <c r="B1116" s="658"/>
      <c r="C1116" s="658"/>
      <c r="D1116" s="658"/>
      <c r="E1116" s="658"/>
      <c r="F1116" s="655"/>
      <c r="G1116" s="656"/>
      <c r="H1116" s="657"/>
      <c r="I1116" s="657"/>
      <c r="J1116" s="657"/>
      <c r="K1116" s="657"/>
      <c r="L1116" s="657"/>
    </row>
    <row r="1117" spans="1:12">
      <c r="A1117" s="658"/>
      <c r="B1117" s="658"/>
      <c r="C1117" s="658" t="s">
        <v>3457</v>
      </c>
      <c r="D1117" s="658" t="s">
        <v>4236</v>
      </c>
      <c r="E1117" s="658" t="s">
        <v>3025</v>
      </c>
      <c r="F1117" s="653"/>
      <c r="G1117" s="654"/>
      <c r="H1117" s="657">
        <v>100</v>
      </c>
      <c r="I1117" s="657">
        <f t="shared" ref="I1117" si="952">H1117</f>
        <v>100</v>
      </c>
      <c r="J1117" s="657"/>
      <c r="K1117" s="657">
        <v>100</v>
      </c>
      <c r="L1117" s="657">
        <f t="shared" ref="L1117" si="953">K1117-I1117</f>
        <v>0</v>
      </c>
    </row>
    <row r="1118" spans="1:12">
      <c r="A1118" s="658"/>
      <c r="B1118" s="658"/>
      <c r="C1118" s="658"/>
      <c r="D1118" s="658"/>
      <c r="E1118" s="658"/>
      <c r="F1118" s="655"/>
      <c r="G1118" s="656"/>
      <c r="H1118" s="657"/>
      <c r="I1118" s="657"/>
      <c r="J1118" s="657"/>
      <c r="K1118" s="657"/>
      <c r="L1118" s="657"/>
    </row>
    <row r="1119" spans="1:12">
      <c r="A1119" s="658" t="s">
        <v>642</v>
      </c>
      <c r="B1119" s="658" t="s">
        <v>3281</v>
      </c>
      <c r="C1119" s="658" t="s">
        <v>4246</v>
      </c>
      <c r="D1119" s="658" t="s">
        <v>4236</v>
      </c>
      <c r="E1119" s="658" t="s">
        <v>239</v>
      </c>
      <c r="F1119" s="653"/>
      <c r="G1119" s="654"/>
      <c r="H1119" s="657">
        <v>790</v>
      </c>
      <c r="I1119" s="657">
        <f t="shared" ref="I1119" si="954">H1119</f>
        <v>790</v>
      </c>
      <c r="J1119" s="657"/>
      <c r="K1119" s="657">
        <v>790</v>
      </c>
      <c r="L1119" s="657">
        <f t="shared" ref="L1119" si="955">K1119-I1119</f>
        <v>0</v>
      </c>
    </row>
    <row r="1120" spans="1:12">
      <c r="A1120" s="658"/>
      <c r="B1120" s="658"/>
      <c r="C1120" s="658"/>
      <c r="D1120" s="658"/>
      <c r="E1120" s="658"/>
      <c r="F1120" s="655"/>
      <c r="G1120" s="656"/>
      <c r="H1120" s="657"/>
      <c r="I1120" s="657"/>
      <c r="J1120" s="657"/>
      <c r="K1120" s="657"/>
      <c r="L1120" s="657"/>
    </row>
    <row r="1121" spans="1:12">
      <c r="A1121" s="658"/>
      <c r="B1121" s="658"/>
      <c r="C1121" s="658" t="s">
        <v>3458</v>
      </c>
      <c r="D1121" s="658" t="s">
        <v>4241</v>
      </c>
      <c r="E1121" s="658" t="s">
        <v>2376</v>
      </c>
      <c r="F1121" s="653"/>
      <c r="G1121" s="654"/>
      <c r="H1121" s="657">
        <v>40</v>
      </c>
      <c r="I1121" s="657">
        <f t="shared" ref="I1121" si="956">H1121</f>
        <v>40</v>
      </c>
      <c r="J1121" s="657"/>
      <c r="K1121" s="657">
        <v>40</v>
      </c>
      <c r="L1121" s="657">
        <f t="shared" ref="L1121" si="957">K1121-I1121</f>
        <v>0</v>
      </c>
    </row>
    <row r="1122" spans="1:12">
      <c r="A1122" s="658"/>
      <c r="B1122" s="658"/>
      <c r="C1122" s="658"/>
      <c r="D1122" s="658"/>
      <c r="E1122" s="658"/>
      <c r="F1122" s="655"/>
      <c r="G1122" s="656"/>
      <c r="H1122" s="657"/>
      <c r="I1122" s="657"/>
      <c r="J1122" s="657"/>
      <c r="K1122" s="657"/>
      <c r="L1122" s="657"/>
    </row>
    <row r="1123" spans="1:12">
      <c r="A1123" s="658"/>
      <c r="B1123" s="658"/>
      <c r="C1123" s="658" t="s">
        <v>3459</v>
      </c>
      <c r="D1123" s="658" t="s">
        <v>4236</v>
      </c>
      <c r="E1123" s="658" t="s">
        <v>4203</v>
      </c>
      <c r="F1123" s="653"/>
      <c r="G1123" s="654"/>
      <c r="H1123" s="657">
        <v>740</v>
      </c>
      <c r="I1123" s="657">
        <f t="shared" ref="I1123" si="958">H1123</f>
        <v>740</v>
      </c>
      <c r="J1123" s="657"/>
      <c r="K1123" s="657">
        <v>740</v>
      </c>
      <c r="L1123" s="657">
        <f t="shared" ref="L1123" si="959">K1123-I1123</f>
        <v>0</v>
      </c>
    </row>
    <row r="1124" spans="1:12">
      <c r="A1124" s="658"/>
      <c r="B1124" s="658"/>
      <c r="C1124" s="658"/>
      <c r="D1124" s="658"/>
      <c r="E1124" s="658"/>
      <c r="F1124" s="655"/>
      <c r="G1124" s="656"/>
      <c r="H1124" s="657"/>
      <c r="I1124" s="657"/>
      <c r="J1124" s="657"/>
      <c r="K1124" s="657"/>
      <c r="L1124" s="657"/>
    </row>
    <row r="1125" spans="1:12">
      <c r="A1125" s="658"/>
      <c r="B1125" s="658"/>
      <c r="C1125" s="658" t="s">
        <v>3448</v>
      </c>
      <c r="D1125" s="658" t="s">
        <v>4236</v>
      </c>
      <c r="E1125" s="690" t="s">
        <v>4213</v>
      </c>
      <c r="F1125" s="653"/>
      <c r="G1125" s="654"/>
      <c r="H1125" s="657">
        <v>200</v>
      </c>
      <c r="I1125" s="657">
        <f t="shared" ref="I1125" si="960">H1125</f>
        <v>200</v>
      </c>
      <c r="J1125" s="657"/>
      <c r="K1125" s="657"/>
      <c r="L1125" s="657">
        <f t="shared" ref="L1125" si="961">K1125-I1125</f>
        <v>-200</v>
      </c>
    </row>
    <row r="1126" spans="1:12">
      <c r="A1126" s="658"/>
      <c r="B1126" s="658"/>
      <c r="C1126" s="658"/>
      <c r="D1126" s="658"/>
      <c r="E1126" s="690"/>
      <c r="F1126" s="655"/>
      <c r="G1126" s="656"/>
      <c r="H1126" s="657"/>
      <c r="I1126" s="657"/>
      <c r="J1126" s="657"/>
      <c r="K1126" s="657"/>
      <c r="L1126" s="657"/>
    </row>
    <row r="1127" spans="1:12">
      <c r="A1127" s="658"/>
      <c r="B1127" s="658"/>
      <c r="C1127" s="658" t="s">
        <v>3460</v>
      </c>
      <c r="D1127" s="658" t="s">
        <v>4241</v>
      </c>
      <c r="E1127" s="658" t="s">
        <v>3352</v>
      </c>
      <c r="F1127" s="653"/>
      <c r="G1127" s="654"/>
      <c r="H1127" s="657">
        <v>660</v>
      </c>
      <c r="I1127" s="657">
        <f t="shared" ref="I1127" si="962">H1127</f>
        <v>660</v>
      </c>
      <c r="J1127" s="657"/>
      <c r="K1127" s="657">
        <v>660</v>
      </c>
      <c r="L1127" s="657">
        <f t="shared" ref="L1127" si="963">K1127-I1127</f>
        <v>0</v>
      </c>
    </row>
    <row r="1128" spans="1:12">
      <c r="A1128" s="658"/>
      <c r="B1128" s="658"/>
      <c r="C1128" s="658"/>
      <c r="D1128" s="658"/>
      <c r="E1128" s="658"/>
      <c r="F1128" s="655"/>
      <c r="G1128" s="656"/>
      <c r="H1128" s="657"/>
      <c r="I1128" s="657"/>
      <c r="J1128" s="657"/>
      <c r="K1128" s="657"/>
      <c r="L1128" s="657"/>
    </row>
    <row r="1129" spans="1:12">
      <c r="A1129" s="658" t="s">
        <v>646</v>
      </c>
      <c r="B1129" s="658" t="s">
        <v>3008</v>
      </c>
      <c r="C1129" s="658" t="s">
        <v>4255</v>
      </c>
      <c r="D1129" s="658" t="s">
        <v>4247</v>
      </c>
      <c r="E1129" s="658" t="s">
        <v>239</v>
      </c>
      <c r="F1129" s="653"/>
      <c r="G1129" s="654"/>
      <c r="H1129" s="657">
        <v>43565</v>
      </c>
      <c r="I1129" s="657">
        <v>1470</v>
      </c>
      <c r="J1129" s="657"/>
      <c r="K1129" s="657">
        <v>1470</v>
      </c>
      <c r="L1129" s="657">
        <f t="shared" ref="L1129" si="964">K1129-I1129</f>
        <v>0</v>
      </c>
    </row>
    <row r="1130" spans="1:12">
      <c r="A1130" s="658"/>
      <c r="B1130" s="658"/>
      <c r="C1130" s="658"/>
      <c r="D1130" s="658"/>
      <c r="E1130" s="658"/>
      <c r="F1130" s="655"/>
      <c r="G1130" s="656"/>
      <c r="H1130" s="657"/>
      <c r="I1130" s="657"/>
      <c r="J1130" s="657"/>
      <c r="K1130" s="657"/>
      <c r="L1130" s="657"/>
    </row>
    <row r="1131" spans="1:12">
      <c r="A1131" s="658"/>
      <c r="B1131" s="658"/>
      <c r="C1131" s="658" t="s">
        <v>3461</v>
      </c>
      <c r="D1131" s="658" t="s">
        <v>4244</v>
      </c>
      <c r="E1131" s="658" t="s">
        <v>3802</v>
      </c>
      <c r="F1131" s="653"/>
      <c r="G1131" s="654"/>
      <c r="H1131" s="657">
        <v>400</v>
      </c>
      <c r="I1131" s="657">
        <f t="shared" ref="I1131" si="965">H1131</f>
        <v>400</v>
      </c>
      <c r="J1131" s="657"/>
      <c r="K1131" s="657">
        <v>400</v>
      </c>
      <c r="L1131" s="657">
        <f t="shared" ref="L1131" si="966">K1131-I1131</f>
        <v>0</v>
      </c>
    </row>
    <row r="1132" spans="1:12">
      <c r="A1132" s="658"/>
      <c r="B1132" s="658"/>
      <c r="C1132" s="658"/>
      <c r="D1132" s="658"/>
      <c r="E1132" s="658"/>
      <c r="F1132" s="655"/>
      <c r="G1132" s="656"/>
      <c r="H1132" s="657"/>
      <c r="I1132" s="657"/>
      <c r="J1132" s="657"/>
      <c r="K1132" s="657"/>
      <c r="L1132" s="657"/>
    </row>
    <row r="1133" spans="1:12">
      <c r="A1133" s="658"/>
      <c r="B1133" s="658"/>
      <c r="C1133" s="658" t="s">
        <v>3462</v>
      </c>
      <c r="D1133" s="658" t="s">
        <v>4243</v>
      </c>
      <c r="E1133" s="658" t="s">
        <v>4242</v>
      </c>
      <c r="F1133" s="653"/>
      <c r="G1133" s="654"/>
      <c r="H1133" s="657">
        <v>380</v>
      </c>
      <c r="I1133" s="657">
        <f t="shared" ref="I1133" si="967">H1133</f>
        <v>380</v>
      </c>
      <c r="J1133" s="657"/>
      <c r="K1133" s="657">
        <v>380</v>
      </c>
      <c r="L1133" s="657">
        <f t="shared" ref="L1133" si="968">K1133-I1133</f>
        <v>0</v>
      </c>
    </row>
    <row r="1134" spans="1:12">
      <c r="A1134" s="658"/>
      <c r="B1134" s="658"/>
      <c r="C1134" s="658"/>
      <c r="D1134" s="658"/>
      <c r="E1134" s="658"/>
      <c r="F1134" s="655"/>
      <c r="G1134" s="656"/>
      <c r="H1134" s="657"/>
      <c r="I1134" s="657"/>
      <c r="J1134" s="657"/>
      <c r="K1134" s="657"/>
      <c r="L1134" s="657"/>
    </row>
    <row r="1135" spans="1:12">
      <c r="A1135" s="658"/>
      <c r="B1135" s="658"/>
      <c r="C1135" s="658" t="s">
        <v>4245</v>
      </c>
      <c r="D1135" s="658" t="s">
        <v>4243</v>
      </c>
      <c r="E1135" s="658" t="s">
        <v>2517</v>
      </c>
      <c r="F1135" s="653"/>
      <c r="G1135" s="654"/>
      <c r="H1135" s="657">
        <v>480</v>
      </c>
      <c r="I1135" s="657">
        <f t="shared" ref="I1135" si="969">H1135</f>
        <v>480</v>
      </c>
      <c r="J1135" s="657"/>
      <c r="K1135" s="657">
        <v>480</v>
      </c>
      <c r="L1135" s="657">
        <f t="shared" ref="L1135" si="970">K1135-I1135</f>
        <v>0</v>
      </c>
    </row>
    <row r="1136" spans="1:12">
      <c r="A1136" s="658"/>
      <c r="B1136" s="658"/>
      <c r="C1136" s="658"/>
      <c r="D1136" s="658"/>
      <c r="E1136" s="658"/>
      <c r="F1136" s="655"/>
      <c r="G1136" s="656"/>
      <c r="H1136" s="657"/>
      <c r="I1136" s="657"/>
      <c r="J1136" s="657"/>
      <c r="K1136" s="657"/>
      <c r="L1136" s="657"/>
    </row>
    <row r="1137" spans="1:12">
      <c r="A1137" s="658" t="s">
        <v>648</v>
      </c>
      <c r="B1137" s="658" t="s">
        <v>4037</v>
      </c>
      <c r="C1137" s="658" t="s">
        <v>4248</v>
      </c>
      <c r="D1137" s="658" t="s">
        <v>4247</v>
      </c>
      <c r="E1137" s="658" t="s">
        <v>239</v>
      </c>
      <c r="F1137" s="653"/>
      <c r="G1137" s="654"/>
      <c r="H1137" s="657">
        <v>1470</v>
      </c>
      <c r="I1137" s="657">
        <f t="shared" ref="I1137" si="971">H1137</f>
        <v>1470</v>
      </c>
      <c r="J1137" s="657"/>
      <c r="K1137" s="657">
        <v>1470</v>
      </c>
      <c r="L1137" s="657">
        <f t="shared" ref="L1137" si="972">K1137-I1137</f>
        <v>0</v>
      </c>
    </row>
    <row r="1138" spans="1:12">
      <c r="A1138" s="658"/>
      <c r="B1138" s="658"/>
      <c r="C1138" s="658"/>
      <c r="D1138" s="658"/>
      <c r="E1138" s="658"/>
      <c r="F1138" s="655"/>
      <c r="G1138" s="656"/>
      <c r="H1138" s="657"/>
      <c r="I1138" s="657"/>
      <c r="J1138" s="657"/>
      <c r="K1138" s="657"/>
      <c r="L1138" s="657"/>
    </row>
    <row r="1139" spans="1:12">
      <c r="A1139" s="658"/>
      <c r="B1139" s="658"/>
      <c r="C1139" s="658" t="s">
        <v>3463</v>
      </c>
      <c r="D1139" s="658" t="s">
        <v>4243</v>
      </c>
      <c r="E1139" s="658" t="s">
        <v>3309</v>
      </c>
      <c r="F1139" s="653"/>
      <c r="G1139" s="654"/>
      <c r="H1139" s="657">
        <v>480</v>
      </c>
      <c r="I1139" s="657">
        <f t="shared" ref="I1139" si="973">H1139</f>
        <v>480</v>
      </c>
      <c r="J1139" s="657"/>
      <c r="K1139" s="657">
        <v>480</v>
      </c>
      <c r="L1139" s="657">
        <f t="shared" ref="L1139" si="974">K1139-I1139</f>
        <v>0</v>
      </c>
    </row>
    <row r="1140" spans="1:12">
      <c r="A1140" s="658"/>
      <c r="B1140" s="658"/>
      <c r="C1140" s="658"/>
      <c r="D1140" s="658"/>
      <c r="E1140" s="658"/>
      <c r="F1140" s="655"/>
      <c r="G1140" s="656"/>
      <c r="H1140" s="657"/>
      <c r="I1140" s="657"/>
      <c r="J1140" s="657"/>
      <c r="K1140" s="657"/>
      <c r="L1140" s="657"/>
    </row>
    <row r="1141" spans="1:12">
      <c r="A1141" s="658"/>
      <c r="B1141" s="658"/>
      <c r="C1141" s="658" t="s">
        <v>3473</v>
      </c>
      <c r="D1141" s="658" t="s">
        <v>4243</v>
      </c>
      <c r="E1141" s="658" t="s">
        <v>3025</v>
      </c>
      <c r="F1141" s="653"/>
      <c r="G1141" s="654"/>
      <c r="H1141" s="657">
        <v>100</v>
      </c>
      <c r="I1141" s="657">
        <f t="shared" ref="I1141" si="975">H1141</f>
        <v>100</v>
      </c>
      <c r="J1141" s="657"/>
      <c r="K1141" s="657">
        <v>100</v>
      </c>
      <c r="L1141" s="657">
        <f t="shared" ref="L1141" si="976">K1141-I1141</f>
        <v>0</v>
      </c>
    </row>
    <row r="1142" spans="1:12">
      <c r="A1142" s="658"/>
      <c r="B1142" s="658"/>
      <c r="C1142" s="658"/>
      <c r="D1142" s="658"/>
      <c r="E1142" s="658"/>
      <c r="F1142" s="655"/>
      <c r="G1142" s="656"/>
      <c r="H1142" s="657"/>
      <c r="I1142" s="657"/>
      <c r="J1142" s="657"/>
      <c r="K1142" s="657"/>
      <c r="L1142" s="657"/>
    </row>
    <row r="1143" spans="1:12">
      <c r="A1143" s="658" t="s">
        <v>652</v>
      </c>
      <c r="B1143" s="658" t="s">
        <v>3281</v>
      </c>
      <c r="C1143" s="658" t="s">
        <v>4254</v>
      </c>
      <c r="D1143" s="658" t="s">
        <v>4243</v>
      </c>
      <c r="E1143" s="658" t="s">
        <v>239</v>
      </c>
      <c r="F1143" s="653"/>
      <c r="G1143" s="654"/>
      <c r="H1143" s="657">
        <v>46826</v>
      </c>
      <c r="I1143" s="657">
        <v>1600</v>
      </c>
      <c r="J1143" s="657"/>
      <c r="K1143" s="657">
        <v>1600</v>
      </c>
      <c r="L1143" s="657">
        <f t="shared" ref="L1143" si="977">K1143-I1143</f>
        <v>0</v>
      </c>
    </row>
    <row r="1144" spans="1:12">
      <c r="A1144" s="658"/>
      <c r="B1144" s="658"/>
      <c r="C1144" s="658"/>
      <c r="D1144" s="658"/>
      <c r="E1144" s="658"/>
      <c r="F1144" s="655"/>
      <c r="G1144" s="656"/>
      <c r="H1144" s="657"/>
      <c r="I1144" s="657"/>
      <c r="J1144" s="657"/>
      <c r="K1144" s="657"/>
      <c r="L1144" s="657"/>
    </row>
    <row r="1145" spans="1:12">
      <c r="A1145" s="658"/>
      <c r="C1145" s="658" t="s">
        <v>3474</v>
      </c>
      <c r="D1145" s="658" t="s">
        <v>4253</v>
      </c>
      <c r="E1145" s="658" t="s">
        <v>2723</v>
      </c>
      <c r="F1145" s="653"/>
      <c r="G1145" s="654"/>
      <c r="H1145" s="657">
        <v>560</v>
      </c>
      <c r="I1145" s="657">
        <f t="shared" ref="I1145" si="978">H1145</f>
        <v>560</v>
      </c>
      <c r="J1145" s="657"/>
      <c r="K1145" s="657">
        <v>560</v>
      </c>
      <c r="L1145" s="657">
        <f t="shared" ref="L1145" si="979">K1145-I1145</f>
        <v>0</v>
      </c>
    </row>
    <row r="1146" spans="1:12">
      <c r="A1146" s="658"/>
      <c r="C1146" s="658"/>
      <c r="D1146" s="658"/>
      <c r="E1146" s="658"/>
      <c r="F1146" s="655"/>
      <c r="G1146" s="656"/>
      <c r="H1146" s="657"/>
      <c r="I1146" s="657"/>
      <c r="J1146" s="657"/>
      <c r="K1146" s="657"/>
      <c r="L1146" s="657"/>
    </row>
    <row r="1147" spans="1:12">
      <c r="A1147" s="658"/>
      <c r="B1147" s="658"/>
      <c r="C1147" s="658" t="s">
        <v>3475</v>
      </c>
      <c r="D1147" s="658" t="s">
        <v>4253</v>
      </c>
      <c r="E1147" s="658" t="s">
        <v>4252</v>
      </c>
      <c r="F1147" s="653"/>
      <c r="G1147" s="654"/>
      <c r="H1147" s="657">
        <v>600</v>
      </c>
      <c r="I1147" s="657">
        <f t="shared" ref="I1147" si="980">H1147</f>
        <v>600</v>
      </c>
      <c r="J1147" s="657"/>
      <c r="K1147" s="657">
        <v>600</v>
      </c>
      <c r="L1147" s="657">
        <f t="shared" ref="L1147" si="981">K1147-I1147</f>
        <v>0</v>
      </c>
    </row>
    <row r="1148" spans="1:12">
      <c r="A1148" s="658"/>
      <c r="B1148" s="658"/>
      <c r="C1148" s="658"/>
      <c r="D1148" s="658"/>
      <c r="E1148" s="658"/>
      <c r="F1148" s="655"/>
      <c r="G1148" s="656"/>
      <c r="H1148" s="657"/>
      <c r="I1148" s="657"/>
      <c r="J1148" s="657"/>
      <c r="K1148" s="657"/>
      <c r="L1148" s="657"/>
    </row>
    <row r="1149" spans="1:12">
      <c r="A1149" s="658"/>
      <c r="B1149" s="658"/>
      <c r="C1149" s="658" t="s">
        <v>3476</v>
      </c>
      <c r="D1149" s="658" t="s">
        <v>4253</v>
      </c>
      <c r="E1149" s="658" t="s">
        <v>2723</v>
      </c>
      <c r="F1149" s="653"/>
      <c r="G1149" s="654"/>
      <c r="H1149" s="657">
        <v>40</v>
      </c>
      <c r="I1149" s="657">
        <f t="shared" ref="I1149" si="982">H1149</f>
        <v>40</v>
      </c>
      <c r="J1149" s="657"/>
      <c r="K1149" s="657">
        <v>40</v>
      </c>
      <c r="L1149" s="657">
        <f t="shared" ref="L1149" si="983">K1149-I1149</f>
        <v>0</v>
      </c>
    </row>
    <row r="1150" spans="1:12">
      <c r="A1150" s="658"/>
      <c r="B1150" s="658"/>
      <c r="C1150" s="658"/>
      <c r="D1150" s="658"/>
      <c r="E1150" s="658"/>
      <c r="F1150" s="655"/>
      <c r="G1150" s="656"/>
      <c r="H1150" s="657"/>
      <c r="I1150" s="657"/>
      <c r="J1150" s="657"/>
      <c r="K1150" s="657"/>
      <c r="L1150" s="657"/>
    </row>
    <row r="1151" spans="1:12">
      <c r="A1151" s="658" t="s">
        <v>653</v>
      </c>
      <c r="B1151" s="658" t="s">
        <v>3298</v>
      </c>
      <c r="C1151" s="658" t="s">
        <v>4257</v>
      </c>
      <c r="D1151" s="658" t="s">
        <v>4244</v>
      </c>
      <c r="E1151" s="658" t="s">
        <v>239</v>
      </c>
      <c r="F1151" s="653"/>
      <c r="G1151" s="654"/>
      <c r="H1151" s="657">
        <v>1530</v>
      </c>
      <c r="I1151" s="657">
        <f t="shared" ref="I1151" si="984">H1151</f>
        <v>1530</v>
      </c>
      <c r="J1151" s="657"/>
      <c r="K1151" s="657">
        <v>1530</v>
      </c>
      <c r="L1151" s="657">
        <f t="shared" ref="L1151" si="985">K1151-I1151</f>
        <v>0</v>
      </c>
    </row>
    <row r="1152" spans="1:12">
      <c r="A1152" s="658"/>
      <c r="B1152" s="658"/>
      <c r="C1152" s="658"/>
      <c r="D1152" s="658"/>
      <c r="E1152" s="658"/>
      <c r="F1152" s="655"/>
      <c r="G1152" s="656"/>
      <c r="H1152" s="657"/>
      <c r="I1152" s="657"/>
      <c r="J1152" s="657"/>
      <c r="K1152" s="657"/>
      <c r="L1152" s="657"/>
    </row>
    <row r="1153" spans="1:13">
      <c r="A1153" s="788" t="s">
        <v>4259</v>
      </c>
      <c r="B1153" s="789"/>
      <c r="C1153" s="789"/>
      <c r="D1153" s="789"/>
      <c r="E1153" s="789"/>
      <c r="F1153" s="789"/>
      <c r="G1153" s="789"/>
      <c r="H1153" s="789"/>
      <c r="I1153" s="789"/>
      <c r="J1153" s="789"/>
      <c r="K1153" s="789"/>
      <c r="L1153" s="790"/>
    </row>
    <row r="1154" spans="1:13">
      <c r="A1154" s="791"/>
      <c r="B1154" s="792"/>
      <c r="C1154" s="792"/>
      <c r="D1154" s="792"/>
      <c r="E1154" s="792"/>
      <c r="F1154" s="792"/>
      <c r="G1154" s="792"/>
      <c r="H1154" s="792"/>
      <c r="I1154" s="792"/>
      <c r="J1154" s="792"/>
      <c r="K1154" s="792"/>
      <c r="L1154" s="793"/>
    </row>
    <row r="1155" spans="1:13">
      <c r="A1155" s="658"/>
      <c r="B1155" s="658"/>
      <c r="C1155" s="658" t="s">
        <v>3478</v>
      </c>
      <c r="D1155" s="658" t="s">
        <v>2722</v>
      </c>
      <c r="E1155" s="658" t="s">
        <v>2723</v>
      </c>
      <c r="F1155" s="653"/>
      <c r="G1155" s="654"/>
      <c r="H1155" s="657">
        <v>650</v>
      </c>
      <c r="I1155" s="657">
        <f t="shared" ref="I1155" si="986">H1155</f>
        <v>650</v>
      </c>
      <c r="J1155" s="657"/>
      <c r="K1155" s="657">
        <v>650</v>
      </c>
      <c r="L1155" s="657">
        <f t="shared" ref="L1155" si="987">K1155-I1155</f>
        <v>0</v>
      </c>
      <c r="M1155" s="572">
        <f>SUM(I1155:I1158,I1161:I1254)</f>
        <v>33044</v>
      </c>
    </row>
    <row r="1156" spans="1:13">
      <c r="A1156" s="658"/>
      <c r="B1156" s="658"/>
      <c r="C1156" s="658"/>
      <c r="D1156" s="658"/>
      <c r="E1156" s="658"/>
      <c r="F1156" s="655"/>
      <c r="G1156" s="656"/>
      <c r="H1156" s="657"/>
      <c r="I1156" s="657"/>
      <c r="J1156" s="657"/>
      <c r="K1156" s="657"/>
      <c r="L1156" s="657"/>
    </row>
    <row r="1157" spans="1:13">
      <c r="A1157" s="658"/>
      <c r="B1157" s="658"/>
      <c r="C1157" s="658" t="s">
        <v>3479</v>
      </c>
      <c r="D1157" s="658" t="s">
        <v>2722</v>
      </c>
      <c r="E1157" s="658" t="s">
        <v>3025</v>
      </c>
      <c r="F1157" s="653"/>
      <c r="G1157" s="654"/>
      <c r="H1157" s="657">
        <v>101</v>
      </c>
      <c r="I1157" s="657">
        <f t="shared" ref="I1157" si="988">H1157</f>
        <v>101</v>
      </c>
      <c r="J1157" s="657"/>
      <c r="K1157" s="657">
        <v>101</v>
      </c>
      <c r="L1157" s="657">
        <f t="shared" ref="L1157" si="989">K1157-I1157</f>
        <v>0</v>
      </c>
      <c r="M1157" s="6" t="s">
        <v>2627</v>
      </c>
    </row>
    <row r="1158" spans="1:13">
      <c r="A1158" s="658"/>
      <c r="B1158" s="658"/>
      <c r="C1158" s="658"/>
      <c r="D1158" s="658"/>
      <c r="E1158" s="658"/>
      <c r="F1158" s="655"/>
      <c r="G1158" s="656"/>
      <c r="H1158" s="657"/>
      <c r="I1158" s="657"/>
      <c r="J1158" s="657"/>
      <c r="K1158" s="657"/>
      <c r="L1158" s="657"/>
      <c r="M1158" s="6" t="s">
        <v>4366</v>
      </c>
    </row>
    <row r="1159" spans="1:13">
      <c r="A1159" s="658" t="s">
        <v>654</v>
      </c>
      <c r="B1159" s="658" t="s">
        <v>4037</v>
      </c>
      <c r="C1159" s="674" t="s">
        <v>4256</v>
      </c>
      <c r="D1159" s="674" t="s">
        <v>4253</v>
      </c>
      <c r="E1159" s="658" t="s">
        <v>239</v>
      </c>
      <c r="F1159" s="653"/>
      <c r="G1159" s="654"/>
      <c r="H1159" s="657">
        <v>44548</v>
      </c>
      <c r="I1159" s="657">
        <v>1530</v>
      </c>
      <c r="J1159" s="657"/>
      <c r="K1159" s="657">
        <v>1530</v>
      </c>
      <c r="L1159" s="657">
        <f t="shared" ref="L1159" si="990">K1159-I1159</f>
        <v>0</v>
      </c>
    </row>
    <row r="1160" spans="1:13">
      <c r="A1160" s="658"/>
      <c r="B1160" s="658"/>
      <c r="C1160" s="674"/>
      <c r="D1160" s="674"/>
      <c r="E1160" s="658"/>
      <c r="F1160" s="655"/>
      <c r="G1160" s="656"/>
      <c r="H1160" s="657"/>
      <c r="I1160" s="657"/>
      <c r="J1160" s="657"/>
      <c r="K1160" s="657"/>
      <c r="L1160" s="657"/>
    </row>
    <row r="1161" spans="1:13">
      <c r="A1161" s="658"/>
      <c r="B1161" s="658"/>
      <c r="C1161" s="658" t="s">
        <v>3480</v>
      </c>
      <c r="D1161" s="658" t="s">
        <v>2722</v>
      </c>
      <c r="E1161" s="658" t="s">
        <v>1601</v>
      </c>
      <c r="F1161" s="653"/>
      <c r="G1161" s="654"/>
      <c r="H1161" s="657">
        <v>1150</v>
      </c>
      <c r="I1161" s="657">
        <f>H1161</f>
        <v>1150</v>
      </c>
      <c r="J1161" s="657"/>
      <c r="K1161" s="657">
        <v>1150</v>
      </c>
      <c r="L1161" s="657">
        <f t="shared" ref="L1161" si="991">K1161-I1161</f>
        <v>0</v>
      </c>
    </row>
    <row r="1162" spans="1:13">
      <c r="A1162" s="658"/>
      <c r="B1162" s="658"/>
      <c r="C1162" s="658"/>
      <c r="D1162" s="658"/>
      <c r="E1162" s="658"/>
      <c r="F1162" s="655"/>
      <c r="G1162" s="656"/>
      <c r="H1162" s="657"/>
      <c r="I1162" s="657"/>
      <c r="J1162" s="657"/>
      <c r="K1162" s="657"/>
      <c r="L1162" s="657"/>
    </row>
    <row r="1163" spans="1:13">
      <c r="A1163" s="658" t="s">
        <v>659</v>
      </c>
      <c r="B1163" s="658" t="s">
        <v>3281</v>
      </c>
      <c r="C1163" s="658" t="s">
        <v>4265</v>
      </c>
      <c r="D1163" s="658" t="s">
        <v>4264</v>
      </c>
      <c r="E1163" s="658" t="s">
        <v>239</v>
      </c>
      <c r="F1163" s="653"/>
      <c r="G1163" s="654"/>
      <c r="H1163" s="657">
        <v>1530</v>
      </c>
      <c r="I1163" s="657">
        <f t="shared" ref="I1163" si="992">H1163</f>
        <v>1530</v>
      </c>
      <c r="J1163" s="657"/>
      <c r="K1163" s="657">
        <v>1530</v>
      </c>
      <c r="L1163" s="657">
        <f t="shared" ref="L1163" si="993">K1163-I1163</f>
        <v>0</v>
      </c>
    </row>
    <row r="1164" spans="1:13">
      <c r="A1164" s="658"/>
      <c r="B1164" s="658"/>
      <c r="C1164" s="658"/>
      <c r="D1164" s="658"/>
      <c r="E1164" s="658"/>
      <c r="F1164" s="655"/>
      <c r="G1164" s="656"/>
      <c r="H1164" s="657"/>
      <c r="I1164" s="657"/>
      <c r="J1164" s="657"/>
      <c r="K1164" s="657"/>
      <c r="L1164" s="657"/>
    </row>
    <row r="1165" spans="1:13">
      <c r="A1165" s="658"/>
      <c r="B1165" s="658"/>
      <c r="C1165" s="658" t="s">
        <v>3481</v>
      </c>
      <c r="D1165" s="658" t="s">
        <v>4262</v>
      </c>
      <c r="E1165" s="658" t="s">
        <v>2780</v>
      </c>
      <c r="F1165" s="653"/>
      <c r="G1165" s="654"/>
      <c r="H1165" s="657">
        <v>330</v>
      </c>
      <c r="I1165" s="657">
        <f t="shared" ref="I1165" si="994">H1165</f>
        <v>330</v>
      </c>
      <c r="J1165" s="657"/>
      <c r="K1165" s="657">
        <v>330</v>
      </c>
      <c r="L1165" s="657">
        <f t="shared" ref="L1165" si="995">K1165-I1165</f>
        <v>0</v>
      </c>
    </row>
    <row r="1166" spans="1:13">
      <c r="A1166" s="658"/>
      <c r="B1166" s="658"/>
      <c r="C1166" s="658"/>
      <c r="D1166" s="658"/>
      <c r="E1166" s="658"/>
      <c r="F1166" s="655"/>
      <c r="G1166" s="656"/>
      <c r="H1166" s="657"/>
      <c r="I1166" s="657"/>
      <c r="J1166" s="657"/>
      <c r="K1166" s="657"/>
      <c r="L1166" s="657"/>
    </row>
    <row r="1167" spans="1:13">
      <c r="A1167" s="658"/>
      <c r="B1167" s="658"/>
      <c r="C1167" s="658" t="s">
        <v>3482</v>
      </c>
      <c r="D1167" s="658" t="s">
        <v>4262</v>
      </c>
      <c r="E1167" s="690" t="s">
        <v>1503</v>
      </c>
      <c r="F1167" s="653"/>
      <c r="G1167" s="654"/>
      <c r="H1167" s="657">
        <v>550</v>
      </c>
      <c r="I1167" s="657">
        <f t="shared" ref="I1167" si="996">H1167</f>
        <v>550</v>
      </c>
      <c r="J1167" s="657"/>
      <c r="K1167" s="657"/>
      <c r="L1167" s="657">
        <f t="shared" ref="L1167" si="997">K1167-I1167</f>
        <v>-550</v>
      </c>
    </row>
    <row r="1168" spans="1:13">
      <c r="A1168" s="658"/>
      <c r="B1168" s="658"/>
      <c r="C1168" s="658"/>
      <c r="D1168" s="658"/>
      <c r="E1168" s="690"/>
      <c r="F1168" s="655"/>
      <c r="G1168" s="656"/>
      <c r="H1168" s="657"/>
      <c r="I1168" s="657"/>
      <c r="J1168" s="657"/>
      <c r="K1168" s="657"/>
      <c r="L1168" s="657"/>
    </row>
    <row r="1169" spans="1:12">
      <c r="A1169" s="658"/>
      <c r="B1169" s="658"/>
      <c r="C1169" s="658" t="s">
        <v>3491</v>
      </c>
      <c r="D1169" s="658" t="s">
        <v>4263</v>
      </c>
      <c r="E1169" s="658" t="s">
        <v>4261</v>
      </c>
      <c r="F1169" s="653"/>
      <c r="G1169" s="654"/>
      <c r="H1169" s="657">
        <v>290</v>
      </c>
      <c r="I1169" s="657">
        <f t="shared" ref="I1169" si="998">H1169</f>
        <v>290</v>
      </c>
      <c r="J1169" s="657"/>
      <c r="K1169" s="657">
        <v>290</v>
      </c>
      <c r="L1169" s="657">
        <f t="shared" ref="L1169" si="999">K1169-I1169</f>
        <v>0</v>
      </c>
    </row>
    <row r="1170" spans="1:12">
      <c r="A1170" s="658"/>
      <c r="B1170" s="658"/>
      <c r="C1170" s="658"/>
      <c r="D1170" s="658"/>
      <c r="E1170" s="658"/>
      <c r="F1170" s="655"/>
      <c r="G1170" s="656"/>
      <c r="H1170" s="657"/>
      <c r="I1170" s="657"/>
      <c r="J1170" s="657"/>
      <c r="K1170" s="657"/>
      <c r="L1170" s="657"/>
    </row>
    <row r="1171" spans="1:12">
      <c r="A1171" s="658"/>
      <c r="B1171" s="658"/>
      <c r="C1171" s="658" t="s">
        <v>3492</v>
      </c>
      <c r="D1171" s="658" t="s">
        <v>4264</v>
      </c>
      <c r="E1171" s="690" t="s">
        <v>4213</v>
      </c>
      <c r="F1171" s="653"/>
      <c r="G1171" s="654"/>
      <c r="H1171" s="657">
        <v>100</v>
      </c>
      <c r="I1171" s="657">
        <f t="shared" ref="I1171" si="1000">H1171</f>
        <v>100</v>
      </c>
      <c r="J1171" s="657"/>
      <c r="K1171" s="657"/>
      <c r="L1171" s="657">
        <f t="shared" ref="L1171" si="1001">K1171-I1171</f>
        <v>-100</v>
      </c>
    </row>
    <row r="1172" spans="1:12">
      <c r="A1172" s="658"/>
      <c r="B1172" s="658"/>
      <c r="C1172" s="658"/>
      <c r="D1172" s="658"/>
      <c r="E1172" s="690"/>
      <c r="F1172" s="655"/>
      <c r="G1172" s="656"/>
      <c r="H1172" s="657"/>
      <c r="I1172" s="657"/>
      <c r="J1172" s="657"/>
      <c r="K1172" s="657"/>
      <c r="L1172" s="657"/>
    </row>
    <row r="1173" spans="1:12">
      <c r="A1173" s="658" t="s">
        <v>660</v>
      </c>
      <c r="B1173" s="658" t="s">
        <v>3008</v>
      </c>
      <c r="C1173" s="658" t="s">
        <v>4267</v>
      </c>
      <c r="D1173" s="658" t="s">
        <v>4266</v>
      </c>
      <c r="E1173" s="658" t="s">
        <v>239</v>
      </c>
      <c r="F1173" s="653"/>
      <c r="G1173" s="654"/>
      <c r="H1173" s="657">
        <v>42692</v>
      </c>
      <c r="I1173" s="657">
        <v>1470</v>
      </c>
      <c r="J1173" s="657"/>
      <c r="K1173" s="657">
        <v>1470</v>
      </c>
      <c r="L1173" s="657">
        <f t="shared" ref="L1173" si="1002">K1173-I1173</f>
        <v>0</v>
      </c>
    </row>
    <row r="1174" spans="1:12">
      <c r="A1174" s="658"/>
      <c r="B1174" s="658"/>
      <c r="C1174" s="658"/>
      <c r="D1174" s="658"/>
      <c r="E1174" s="658"/>
      <c r="F1174" s="655"/>
      <c r="G1174" s="656"/>
      <c r="H1174" s="657"/>
      <c r="I1174" s="657"/>
      <c r="J1174" s="657"/>
      <c r="K1174" s="657"/>
      <c r="L1174" s="657"/>
    </row>
    <row r="1175" spans="1:12">
      <c r="A1175" s="658"/>
      <c r="B1175" s="658"/>
      <c r="C1175" s="658" t="s">
        <v>3493</v>
      </c>
      <c r="D1175" s="658" t="s">
        <v>4324</v>
      </c>
      <c r="E1175" s="658" t="s">
        <v>3769</v>
      </c>
      <c r="F1175" s="653"/>
      <c r="G1175" s="654"/>
      <c r="H1175" s="657">
        <v>400</v>
      </c>
      <c r="I1175" s="657">
        <f t="shared" ref="I1175" si="1003">H1175</f>
        <v>400</v>
      </c>
      <c r="J1175" s="657"/>
      <c r="K1175" s="657">
        <v>400</v>
      </c>
      <c r="L1175" s="657">
        <f t="shared" ref="L1175" si="1004">K1175-I1175</f>
        <v>0</v>
      </c>
    </row>
    <row r="1176" spans="1:12">
      <c r="A1176" s="658"/>
      <c r="B1176" s="658"/>
      <c r="C1176" s="658"/>
      <c r="D1176" s="658"/>
      <c r="E1176" s="658"/>
      <c r="F1176" s="655"/>
      <c r="G1176" s="656"/>
      <c r="H1176" s="657"/>
      <c r="I1176" s="657"/>
      <c r="J1176" s="657"/>
      <c r="K1176" s="657"/>
      <c r="L1176" s="657"/>
    </row>
    <row r="1177" spans="1:12">
      <c r="A1177" s="658"/>
      <c r="B1177" s="658"/>
      <c r="C1177" s="658" t="s">
        <v>3494</v>
      </c>
      <c r="D1177" s="658" t="s">
        <v>2750</v>
      </c>
      <c r="E1177" s="690" t="s">
        <v>2723</v>
      </c>
      <c r="F1177" s="653"/>
      <c r="G1177" s="654"/>
      <c r="H1177" s="657">
        <v>550</v>
      </c>
      <c r="I1177" s="657">
        <f t="shared" ref="I1177" si="1005">H1177</f>
        <v>550</v>
      </c>
      <c r="J1177" s="657"/>
      <c r="K1177" s="657"/>
      <c r="L1177" s="657">
        <f t="shared" ref="L1177" si="1006">K1177-I1177</f>
        <v>-550</v>
      </c>
    </row>
    <row r="1178" spans="1:12">
      <c r="A1178" s="658"/>
      <c r="B1178" s="658"/>
      <c r="C1178" s="658"/>
      <c r="D1178" s="658"/>
      <c r="E1178" s="690"/>
      <c r="F1178" s="655"/>
      <c r="G1178" s="656"/>
      <c r="H1178" s="657"/>
      <c r="I1178" s="657"/>
      <c r="J1178" s="657"/>
      <c r="K1178" s="657"/>
      <c r="L1178" s="657"/>
    </row>
    <row r="1179" spans="1:12">
      <c r="A1179" s="658"/>
      <c r="B1179" s="658"/>
      <c r="C1179" s="658" t="s">
        <v>3495</v>
      </c>
      <c r="D1179" s="658" t="s">
        <v>2750</v>
      </c>
      <c r="E1179" s="658" t="s">
        <v>4269</v>
      </c>
      <c r="F1179" s="653"/>
      <c r="G1179" s="654"/>
      <c r="H1179" s="657">
        <v>330</v>
      </c>
      <c r="I1179" s="657">
        <f t="shared" ref="I1179" si="1007">H1179</f>
        <v>330</v>
      </c>
      <c r="J1179" s="657"/>
      <c r="K1179" s="657">
        <v>330</v>
      </c>
      <c r="L1179" s="657">
        <f t="shared" ref="L1179" si="1008">K1179-I1179</f>
        <v>0</v>
      </c>
    </row>
    <row r="1180" spans="1:12">
      <c r="A1180" s="658"/>
      <c r="B1180" s="658"/>
      <c r="C1180" s="658"/>
      <c r="D1180" s="658"/>
      <c r="E1180" s="658"/>
      <c r="F1180" s="655"/>
      <c r="G1180" s="656"/>
      <c r="H1180" s="657"/>
      <c r="I1180" s="657"/>
      <c r="J1180" s="657"/>
      <c r="K1180" s="657"/>
      <c r="L1180" s="657"/>
    </row>
    <row r="1181" spans="1:12">
      <c r="A1181" s="658" t="s">
        <v>666</v>
      </c>
      <c r="B1181" s="658"/>
      <c r="C1181" s="658" t="s">
        <v>4268</v>
      </c>
      <c r="D1181" s="658" t="s">
        <v>4266</v>
      </c>
      <c r="E1181" s="658" t="s">
        <v>239</v>
      </c>
      <c r="F1181" s="653"/>
      <c r="G1181" s="654"/>
      <c r="H1181" s="657">
        <v>1470</v>
      </c>
      <c r="I1181" s="657">
        <f t="shared" ref="I1181" si="1009">H1181</f>
        <v>1470</v>
      </c>
      <c r="J1181" s="657"/>
      <c r="K1181" s="657">
        <v>1470</v>
      </c>
      <c r="L1181" s="657">
        <f t="shared" ref="L1181" si="1010">K1181-I1181</f>
        <v>0</v>
      </c>
    </row>
    <row r="1182" spans="1:12">
      <c r="A1182" s="658"/>
      <c r="B1182" s="658"/>
      <c r="C1182" s="658"/>
      <c r="D1182" s="658"/>
      <c r="E1182" s="658"/>
      <c r="F1182" s="655"/>
      <c r="G1182" s="656"/>
      <c r="H1182" s="657"/>
      <c r="I1182" s="657"/>
      <c r="J1182" s="657"/>
      <c r="K1182" s="657"/>
      <c r="L1182" s="657"/>
    </row>
    <row r="1183" spans="1:12">
      <c r="A1183" s="658"/>
      <c r="B1183" s="658"/>
      <c r="C1183" s="658" t="s">
        <v>3496</v>
      </c>
      <c r="D1183" s="658" t="s">
        <v>2750</v>
      </c>
      <c r="E1183" s="658" t="s">
        <v>2764</v>
      </c>
      <c r="F1183" s="653"/>
      <c r="G1183" s="654"/>
      <c r="H1183" s="657">
        <v>130</v>
      </c>
      <c r="I1183" s="657">
        <f t="shared" ref="I1183" si="1011">H1183</f>
        <v>130</v>
      </c>
      <c r="J1183" s="657"/>
      <c r="K1183" s="657">
        <v>130</v>
      </c>
      <c r="L1183" s="657">
        <f t="shared" ref="L1183" si="1012">K1183-I1183</f>
        <v>0</v>
      </c>
    </row>
    <row r="1184" spans="1:12">
      <c r="A1184" s="658"/>
      <c r="B1184" s="658"/>
      <c r="C1184" s="658"/>
      <c r="D1184" s="658"/>
      <c r="E1184" s="658"/>
      <c r="F1184" s="655"/>
      <c r="G1184" s="656"/>
      <c r="H1184" s="657"/>
      <c r="I1184" s="657"/>
      <c r="J1184" s="657"/>
      <c r="K1184" s="657"/>
      <c r="L1184" s="657"/>
    </row>
    <row r="1185" spans="1:12">
      <c r="A1185" s="658"/>
      <c r="B1185" s="658"/>
      <c r="C1185" s="658" t="s">
        <v>3497</v>
      </c>
      <c r="D1185" s="658" t="s">
        <v>2750</v>
      </c>
      <c r="E1185" s="690" t="s">
        <v>3025</v>
      </c>
      <c r="F1185" s="653"/>
      <c r="G1185" s="654"/>
      <c r="H1185" s="657">
        <v>102</v>
      </c>
      <c r="I1185" s="657">
        <f t="shared" ref="I1185" si="1013">H1185</f>
        <v>102</v>
      </c>
      <c r="J1185" s="657"/>
      <c r="K1185" s="657"/>
      <c r="L1185" s="657">
        <f t="shared" ref="L1185" si="1014">K1185-I1185</f>
        <v>-102</v>
      </c>
    </row>
    <row r="1186" spans="1:12">
      <c r="A1186" s="658"/>
      <c r="B1186" s="658"/>
      <c r="C1186" s="658"/>
      <c r="D1186" s="658"/>
      <c r="E1186" s="690"/>
      <c r="F1186" s="655"/>
      <c r="G1186" s="656"/>
      <c r="H1186" s="657"/>
      <c r="I1186" s="657"/>
      <c r="J1186" s="657"/>
      <c r="K1186" s="657"/>
      <c r="L1186" s="657"/>
    </row>
    <row r="1187" spans="1:12">
      <c r="A1187" s="658" t="s">
        <v>675</v>
      </c>
      <c r="B1187" s="658" t="s">
        <v>3281</v>
      </c>
      <c r="C1187" s="658" t="s">
        <v>4288</v>
      </c>
      <c r="D1187" s="658" t="s">
        <v>2750</v>
      </c>
      <c r="E1187" s="658" t="s">
        <v>239</v>
      </c>
      <c r="F1187" s="653"/>
      <c r="G1187" s="654"/>
      <c r="H1187" s="657">
        <v>1470</v>
      </c>
      <c r="I1187" s="657">
        <v>1470</v>
      </c>
      <c r="J1187" s="657"/>
      <c r="K1187" s="657">
        <v>1470</v>
      </c>
      <c r="L1187" s="657">
        <f t="shared" ref="L1187" si="1015">K1187-I1187</f>
        <v>0</v>
      </c>
    </row>
    <row r="1188" spans="1:12">
      <c r="A1188" s="658"/>
      <c r="B1188" s="658"/>
      <c r="C1188" s="658"/>
      <c r="D1188" s="658"/>
      <c r="E1188" s="658"/>
      <c r="F1188" s="655"/>
      <c r="G1188" s="656"/>
      <c r="H1188" s="657"/>
      <c r="I1188" s="657"/>
      <c r="J1188" s="657"/>
      <c r="K1188" s="657"/>
      <c r="L1188" s="657"/>
    </row>
    <row r="1189" spans="1:12">
      <c r="A1189" s="658"/>
      <c r="B1189" s="658"/>
      <c r="C1189" s="658" t="s">
        <v>3498</v>
      </c>
      <c r="D1189" s="658" t="s">
        <v>4283</v>
      </c>
      <c r="E1189" s="690" t="s">
        <v>2723</v>
      </c>
      <c r="F1189" s="653"/>
      <c r="G1189" s="654"/>
      <c r="H1189" s="657">
        <v>260</v>
      </c>
      <c r="I1189" s="657">
        <f t="shared" ref="I1189" si="1016">H1189</f>
        <v>260</v>
      </c>
      <c r="J1189" s="657"/>
      <c r="K1189" s="657"/>
      <c r="L1189" s="657">
        <f t="shared" ref="L1189" si="1017">K1189-I1189</f>
        <v>-260</v>
      </c>
    </row>
    <row r="1190" spans="1:12">
      <c r="A1190" s="658"/>
      <c r="B1190" s="658"/>
      <c r="C1190" s="658"/>
      <c r="D1190" s="658"/>
      <c r="E1190" s="690"/>
      <c r="F1190" s="655"/>
      <c r="G1190" s="656"/>
      <c r="H1190" s="657"/>
      <c r="I1190" s="657"/>
      <c r="J1190" s="657"/>
      <c r="K1190" s="657"/>
      <c r="L1190" s="657"/>
    </row>
    <row r="1191" spans="1:12">
      <c r="A1191" s="658"/>
      <c r="B1191" s="658"/>
      <c r="C1191" s="658" t="s">
        <v>3499</v>
      </c>
      <c r="D1191" s="658" t="s">
        <v>4283</v>
      </c>
      <c r="E1191" s="658" t="s">
        <v>1661</v>
      </c>
      <c r="F1191" s="653"/>
      <c r="G1191" s="654"/>
      <c r="H1191" s="657">
        <v>370</v>
      </c>
      <c r="I1191" s="657">
        <f t="shared" ref="I1191" si="1018">H1191</f>
        <v>370</v>
      </c>
      <c r="J1191" s="657"/>
      <c r="K1191" s="657">
        <v>370</v>
      </c>
      <c r="L1191" s="657">
        <f t="shared" ref="L1191" si="1019">K1191-I1191</f>
        <v>0</v>
      </c>
    </row>
    <row r="1192" spans="1:12">
      <c r="A1192" s="658"/>
      <c r="B1192" s="658"/>
      <c r="C1192" s="658"/>
      <c r="D1192" s="658"/>
      <c r="E1192" s="658"/>
      <c r="F1192" s="655"/>
      <c r="G1192" s="656"/>
      <c r="H1192" s="657"/>
      <c r="I1192" s="657"/>
      <c r="J1192" s="657"/>
      <c r="K1192" s="657"/>
      <c r="L1192" s="657"/>
    </row>
    <row r="1193" spans="1:12">
      <c r="A1193" s="658"/>
      <c r="B1193" s="658"/>
      <c r="C1193" s="658" t="s">
        <v>3517</v>
      </c>
      <c r="D1193" s="658" t="s">
        <v>4283</v>
      </c>
      <c r="E1193" s="658" t="s">
        <v>2780</v>
      </c>
      <c r="F1193" s="653"/>
      <c r="G1193" s="654"/>
      <c r="H1193" s="657">
        <v>240</v>
      </c>
      <c r="I1193" s="657">
        <f t="shared" ref="I1193" si="1020">H1193</f>
        <v>240</v>
      </c>
      <c r="J1193" s="657"/>
      <c r="K1193" s="657">
        <v>240</v>
      </c>
      <c r="L1193" s="657">
        <f t="shared" ref="L1193" si="1021">K1193-I1193</f>
        <v>0</v>
      </c>
    </row>
    <row r="1194" spans="1:12">
      <c r="A1194" s="658"/>
      <c r="B1194" s="658"/>
      <c r="C1194" s="658"/>
      <c r="D1194" s="658"/>
      <c r="E1194" s="658"/>
      <c r="F1194" s="655"/>
      <c r="G1194" s="656"/>
      <c r="H1194" s="657"/>
      <c r="I1194" s="657"/>
      <c r="J1194" s="657"/>
      <c r="K1194" s="657"/>
      <c r="L1194" s="657"/>
    </row>
    <row r="1195" spans="1:12">
      <c r="A1195" s="658"/>
      <c r="B1195" s="658"/>
      <c r="C1195" s="658" t="s">
        <v>3518</v>
      </c>
      <c r="D1195" s="658" t="s">
        <v>4283</v>
      </c>
      <c r="E1195" s="658" t="s">
        <v>4181</v>
      </c>
      <c r="F1195" s="653"/>
      <c r="G1195" s="654"/>
      <c r="H1195" s="657">
        <v>350</v>
      </c>
      <c r="I1195" s="657">
        <f t="shared" ref="I1195" si="1022">H1195</f>
        <v>350</v>
      </c>
      <c r="J1195" s="657"/>
      <c r="K1195" s="657">
        <v>350</v>
      </c>
      <c r="L1195" s="657">
        <f t="shared" ref="L1195" si="1023">K1195-I1195</f>
        <v>0</v>
      </c>
    </row>
    <row r="1196" spans="1:12">
      <c r="A1196" s="658"/>
      <c r="B1196" s="658"/>
      <c r="C1196" s="658"/>
      <c r="D1196" s="658"/>
      <c r="E1196" s="658"/>
      <c r="F1196" s="655"/>
      <c r="G1196" s="656"/>
      <c r="H1196" s="657"/>
      <c r="I1196" s="657"/>
      <c r="J1196" s="657"/>
      <c r="K1196" s="657"/>
      <c r="L1196" s="657"/>
    </row>
    <row r="1197" spans="1:12">
      <c r="A1197" s="658"/>
      <c r="B1197" s="658"/>
      <c r="C1197" s="658" t="s">
        <v>3519</v>
      </c>
      <c r="D1197" s="658" t="s">
        <v>4283</v>
      </c>
      <c r="E1197" s="658" t="s">
        <v>2348</v>
      </c>
      <c r="F1197" s="653"/>
      <c r="G1197" s="654"/>
      <c r="H1197" s="657">
        <v>50</v>
      </c>
      <c r="I1197" s="657">
        <f t="shared" ref="I1197" si="1024">H1197</f>
        <v>50</v>
      </c>
      <c r="J1197" s="657"/>
      <c r="K1197" s="657">
        <v>50</v>
      </c>
      <c r="L1197" s="657">
        <f t="shared" ref="L1197" si="1025">K1197-I1197</f>
        <v>0</v>
      </c>
    </row>
    <row r="1198" spans="1:12">
      <c r="A1198" s="658"/>
      <c r="B1198" s="658"/>
      <c r="C1198" s="658"/>
      <c r="D1198" s="658"/>
      <c r="E1198" s="658"/>
      <c r="F1198" s="655"/>
      <c r="G1198" s="656"/>
      <c r="H1198" s="657"/>
      <c r="I1198" s="657"/>
      <c r="J1198" s="657"/>
      <c r="K1198" s="657"/>
      <c r="L1198" s="657"/>
    </row>
    <row r="1199" spans="1:12">
      <c r="A1199" s="658"/>
      <c r="B1199" s="658"/>
      <c r="C1199" s="658" t="s">
        <v>3532</v>
      </c>
      <c r="D1199" s="658" t="s">
        <v>4283</v>
      </c>
      <c r="E1199" s="658" t="s">
        <v>4120</v>
      </c>
      <c r="F1199" s="653"/>
      <c r="G1199" s="654"/>
      <c r="H1199" s="657">
        <v>30</v>
      </c>
      <c r="I1199" s="657">
        <f t="shared" ref="I1199" si="1026">H1199</f>
        <v>30</v>
      </c>
      <c r="J1199" s="657"/>
      <c r="K1199" s="657">
        <v>30</v>
      </c>
      <c r="L1199" s="657">
        <f t="shared" ref="L1199" si="1027">K1199-I1199</f>
        <v>0</v>
      </c>
    </row>
    <row r="1200" spans="1:12">
      <c r="A1200" s="658"/>
      <c r="B1200" s="658"/>
      <c r="C1200" s="658"/>
      <c r="D1200" s="658"/>
      <c r="E1200" s="658"/>
      <c r="F1200" s="655"/>
      <c r="G1200" s="656"/>
      <c r="H1200" s="657"/>
      <c r="I1200" s="657"/>
      <c r="J1200" s="657"/>
      <c r="K1200" s="657"/>
      <c r="L1200" s="657"/>
    </row>
    <row r="1201" spans="1:12">
      <c r="A1201" s="658" t="s">
        <v>676</v>
      </c>
      <c r="B1201" s="658" t="s">
        <v>3298</v>
      </c>
      <c r="C1201" s="658" t="s">
        <v>4290</v>
      </c>
      <c r="D1201" s="658" t="s">
        <v>4289</v>
      </c>
      <c r="E1201" s="658" t="s">
        <v>239</v>
      </c>
      <c r="F1201" s="653"/>
      <c r="G1201" s="654"/>
      <c r="H1201" s="657">
        <v>1470</v>
      </c>
      <c r="I1201" s="657">
        <f t="shared" ref="I1201" si="1028">H1201</f>
        <v>1470</v>
      </c>
      <c r="J1201" s="657"/>
      <c r="K1201" s="657">
        <v>1470</v>
      </c>
      <c r="L1201" s="657">
        <f t="shared" ref="L1201" si="1029">K1201-I1201</f>
        <v>0</v>
      </c>
    </row>
    <row r="1202" spans="1:12">
      <c r="A1202" s="658"/>
      <c r="B1202" s="658"/>
      <c r="C1202" s="658"/>
      <c r="D1202" s="658"/>
      <c r="E1202" s="658"/>
      <c r="F1202" s="655"/>
      <c r="G1202" s="656"/>
      <c r="H1202" s="657"/>
      <c r="I1202" s="657"/>
      <c r="J1202" s="657"/>
      <c r="K1202" s="657"/>
      <c r="L1202" s="657"/>
    </row>
    <row r="1203" spans="1:12">
      <c r="A1203" s="658"/>
      <c r="B1203" s="658"/>
      <c r="C1203" s="658" t="s">
        <v>3530</v>
      </c>
      <c r="D1203" s="658" t="s">
        <v>4273</v>
      </c>
      <c r="E1203" s="658" t="s">
        <v>1727</v>
      </c>
      <c r="F1203" s="653"/>
      <c r="G1203" s="654"/>
      <c r="H1203" s="657">
        <v>850</v>
      </c>
      <c r="I1203" s="657">
        <f t="shared" ref="I1203" si="1030">H1203</f>
        <v>850</v>
      </c>
      <c r="J1203" s="657"/>
      <c r="K1203" s="657">
        <v>850</v>
      </c>
      <c r="L1203" s="657">
        <f t="shared" ref="L1203" si="1031">K1203-I1203</f>
        <v>0</v>
      </c>
    </row>
    <row r="1204" spans="1:12">
      <c r="A1204" s="658"/>
      <c r="B1204" s="658"/>
      <c r="C1204" s="658"/>
      <c r="D1204" s="658"/>
      <c r="E1204" s="658"/>
      <c r="F1204" s="655"/>
      <c r="G1204" s="656"/>
      <c r="H1204" s="657"/>
      <c r="I1204" s="657"/>
      <c r="J1204" s="657"/>
      <c r="K1204" s="657"/>
      <c r="L1204" s="657"/>
    </row>
    <row r="1205" spans="1:12">
      <c r="A1205" s="658"/>
      <c r="B1205" s="658"/>
      <c r="C1205" s="658" t="s">
        <v>3531</v>
      </c>
      <c r="D1205" s="658" t="s">
        <v>4273</v>
      </c>
      <c r="E1205" s="690" t="s">
        <v>3025</v>
      </c>
      <c r="F1205" s="653"/>
      <c r="G1205" s="654"/>
      <c r="H1205" s="657">
        <v>101</v>
      </c>
      <c r="I1205" s="657">
        <f t="shared" ref="I1205" si="1032">H1205</f>
        <v>101</v>
      </c>
      <c r="J1205" s="657"/>
      <c r="K1205" s="657">
        <v>101</v>
      </c>
      <c r="L1205" s="657">
        <f t="shared" ref="L1205" si="1033">K1205-I1205</f>
        <v>0</v>
      </c>
    </row>
    <row r="1206" spans="1:12">
      <c r="A1206" s="658"/>
      <c r="B1206" s="658"/>
      <c r="C1206" s="658"/>
      <c r="D1206" s="658"/>
      <c r="E1206" s="690"/>
      <c r="F1206" s="655"/>
      <c r="G1206" s="656"/>
      <c r="H1206" s="657"/>
      <c r="I1206" s="657"/>
      <c r="J1206" s="657"/>
      <c r="K1206" s="657"/>
      <c r="L1206" s="657"/>
    </row>
    <row r="1207" spans="1:12">
      <c r="A1207" s="658"/>
      <c r="B1207" s="658"/>
      <c r="C1207" s="658" t="s">
        <v>4286</v>
      </c>
      <c r="D1207" s="658" t="s">
        <v>4273</v>
      </c>
      <c r="E1207" s="658" t="s">
        <v>3990</v>
      </c>
      <c r="F1207" s="653"/>
      <c r="G1207" s="654"/>
      <c r="H1207" s="657">
        <v>200</v>
      </c>
      <c r="I1207" s="657">
        <f t="shared" ref="I1207" si="1034">H1207</f>
        <v>200</v>
      </c>
      <c r="J1207" s="657"/>
      <c r="K1207" s="657">
        <v>200</v>
      </c>
      <c r="L1207" s="657">
        <f t="shared" ref="L1207" si="1035">K1207-I1207</f>
        <v>0</v>
      </c>
    </row>
    <row r="1208" spans="1:12">
      <c r="A1208" s="658"/>
      <c r="B1208" s="658"/>
      <c r="C1208" s="658"/>
      <c r="D1208" s="658"/>
      <c r="E1208" s="658"/>
      <c r="F1208" s="655"/>
      <c r="G1208" s="656"/>
      <c r="H1208" s="657"/>
      <c r="I1208" s="657"/>
      <c r="J1208" s="657"/>
      <c r="K1208" s="657"/>
      <c r="L1208" s="657"/>
    </row>
    <row r="1209" spans="1:12">
      <c r="A1209" s="658" t="s">
        <v>679</v>
      </c>
      <c r="B1209" s="658" t="s">
        <v>3008</v>
      </c>
      <c r="C1209" s="658" t="s">
        <v>4291</v>
      </c>
      <c r="D1209" s="658" t="s">
        <v>4289</v>
      </c>
      <c r="E1209" s="658" t="s">
        <v>239</v>
      </c>
      <c r="F1209" s="653"/>
      <c r="G1209" s="654"/>
      <c r="H1209" s="657">
        <v>44347</v>
      </c>
      <c r="I1209" s="657">
        <v>1530</v>
      </c>
      <c r="J1209" s="657"/>
      <c r="K1209" s="657">
        <v>1530</v>
      </c>
      <c r="L1209" s="657">
        <f t="shared" ref="L1209" si="1036">K1209-I1209</f>
        <v>0</v>
      </c>
    </row>
    <row r="1210" spans="1:12">
      <c r="A1210" s="658"/>
      <c r="B1210" s="658"/>
      <c r="C1210" s="658"/>
      <c r="D1210" s="658"/>
      <c r="E1210" s="658"/>
      <c r="F1210" s="655"/>
      <c r="G1210" s="656"/>
      <c r="H1210" s="657"/>
      <c r="I1210" s="657"/>
      <c r="J1210" s="657"/>
      <c r="K1210" s="657"/>
      <c r="L1210" s="657"/>
    </row>
    <row r="1211" spans="1:12">
      <c r="A1211" s="658"/>
      <c r="B1211" s="658"/>
      <c r="C1211" s="658" t="s">
        <v>4284</v>
      </c>
      <c r="D1211" s="658" t="s">
        <v>4273</v>
      </c>
      <c r="E1211" s="658" t="s">
        <v>3990</v>
      </c>
      <c r="F1211" s="653"/>
      <c r="G1211" s="654"/>
      <c r="H1211" s="657">
        <v>1350</v>
      </c>
      <c r="I1211" s="657">
        <f t="shared" ref="I1211" si="1037">H1211</f>
        <v>1350</v>
      </c>
      <c r="J1211" s="657"/>
      <c r="K1211" s="657">
        <v>1350</v>
      </c>
      <c r="L1211" s="657">
        <f t="shared" ref="L1211" si="1038">K1211-I1211</f>
        <v>0</v>
      </c>
    </row>
    <row r="1212" spans="1:12">
      <c r="A1212" s="658"/>
      <c r="B1212" s="658"/>
      <c r="C1212" s="658"/>
      <c r="D1212" s="658"/>
      <c r="E1212" s="658"/>
      <c r="F1212" s="655"/>
      <c r="G1212" s="656"/>
      <c r="H1212" s="657"/>
      <c r="I1212" s="657"/>
      <c r="J1212" s="657"/>
      <c r="K1212" s="657"/>
      <c r="L1212" s="657"/>
    </row>
    <row r="1213" spans="1:12">
      <c r="A1213" s="658" t="s">
        <v>681</v>
      </c>
      <c r="B1213" s="658" t="s">
        <v>4037</v>
      </c>
      <c r="C1213" s="658" t="s">
        <v>4293</v>
      </c>
      <c r="D1213" s="658" t="s">
        <v>4292</v>
      </c>
      <c r="E1213" s="658" t="s">
        <v>239</v>
      </c>
      <c r="F1213" s="653"/>
      <c r="G1213" s="654"/>
      <c r="H1213" s="657">
        <v>44395</v>
      </c>
      <c r="I1213" s="657">
        <v>1530</v>
      </c>
      <c r="J1213" s="657"/>
      <c r="K1213" s="657">
        <v>1530</v>
      </c>
      <c r="L1213" s="657">
        <f t="shared" ref="L1213" si="1039">K1213-I1213</f>
        <v>0</v>
      </c>
    </row>
    <row r="1214" spans="1:12">
      <c r="A1214" s="658"/>
      <c r="B1214" s="658"/>
      <c r="C1214" s="658"/>
      <c r="D1214" s="658"/>
      <c r="E1214" s="658"/>
      <c r="F1214" s="655"/>
      <c r="G1214" s="656"/>
      <c r="H1214" s="657"/>
      <c r="I1214" s="657"/>
      <c r="J1214" s="657"/>
      <c r="K1214" s="657"/>
      <c r="L1214" s="657"/>
    </row>
    <row r="1215" spans="1:12">
      <c r="A1215" s="658"/>
      <c r="B1215" s="658"/>
      <c r="C1215" s="658" t="s">
        <v>3657</v>
      </c>
      <c r="D1215" s="658" t="s">
        <v>4273</v>
      </c>
      <c r="E1215" s="658" t="s">
        <v>1661</v>
      </c>
      <c r="F1215" s="653"/>
      <c r="G1215" s="654"/>
      <c r="H1215" s="657">
        <v>550</v>
      </c>
      <c r="I1215" s="657">
        <f t="shared" ref="I1215" si="1040">H1215</f>
        <v>550</v>
      </c>
      <c r="J1215" s="657"/>
      <c r="K1215" s="657">
        <v>550</v>
      </c>
      <c r="L1215" s="657">
        <f t="shared" ref="L1215" si="1041">K1215-I1215</f>
        <v>0</v>
      </c>
    </row>
    <row r="1216" spans="1:12">
      <c r="A1216" s="658"/>
      <c r="B1216" s="658"/>
      <c r="C1216" s="658"/>
      <c r="D1216" s="658"/>
      <c r="E1216" s="658"/>
      <c r="F1216" s="655"/>
      <c r="G1216" s="656"/>
      <c r="H1216" s="657"/>
      <c r="I1216" s="657"/>
      <c r="J1216" s="657"/>
      <c r="K1216" s="657"/>
      <c r="L1216" s="657"/>
    </row>
    <row r="1217" spans="1:12">
      <c r="A1217" s="658"/>
      <c r="B1217" s="658"/>
      <c r="C1217" s="658" t="s">
        <v>4285</v>
      </c>
      <c r="D1217" s="658" t="s">
        <v>4273</v>
      </c>
      <c r="E1217" s="658" t="s">
        <v>1661</v>
      </c>
      <c r="F1217" s="653"/>
      <c r="G1217" s="654"/>
      <c r="H1217" s="657">
        <v>480</v>
      </c>
      <c r="I1217" s="657">
        <f t="shared" ref="I1217" si="1042">H1217</f>
        <v>480</v>
      </c>
      <c r="J1217" s="657"/>
      <c r="K1217" s="657">
        <v>480</v>
      </c>
      <c r="L1217" s="657">
        <f t="shared" ref="L1217" si="1043">K1217-I1217</f>
        <v>0</v>
      </c>
    </row>
    <row r="1218" spans="1:12">
      <c r="A1218" s="658"/>
      <c r="B1218" s="658"/>
      <c r="C1218" s="658"/>
      <c r="D1218" s="658"/>
      <c r="E1218" s="658"/>
      <c r="F1218" s="655"/>
      <c r="G1218" s="656"/>
      <c r="H1218" s="657"/>
      <c r="I1218" s="657"/>
      <c r="J1218" s="657"/>
      <c r="K1218" s="657"/>
      <c r="L1218" s="657"/>
    </row>
    <row r="1219" spans="1:12">
      <c r="A1219" s="658"/>
      <c r="B1219" s="658"/>
      <c r="C1219" s="658" t="s">
        <v>4287</v>
      </c>
      <c r="D1219" s="658" t="s">
        <v>4273</v>
      </c>
      <c r="E1219" s="690" t="s">
        <v>4182</v>
      </c>
      <c r="F1219" s="653"/>
      <c r="G1219" s="654"/>
      <c r="H1219" s="657">
        <v>400</v>
      </c>
      <c r="I1219" s="657">
        <f t="shared" ref="I1219" si="1044">H1219</f>
        <v>400</v>
      </c>
      <c r="J1219" s="657"/>
      <c r="K1219" s="657"/>
      <c r="L1219" s="657">
        <f t="shared" ref="L1219" si="1045">K1219-I1219</f>
        <v>-400</v>
      </c>
    </row>
    <row r="1220" spans="1:12">
      <c r="A1220" s="658"/>
      <c r="B1220" s="658"/>
      <c r="C1220" s="658"/>
      <c r="D1220" s="658"/>
      <c r="E1220" s="690"/>
      <c r="F1220" s="655"/>
      <c r="G1220" s="656"/>
      <c r="H1220" s="657"/>
      <c r="I1220" s="657"/>
      <c r="J1220" s="657"/>
      <c r="K1220" s="657"/>
      <c r="L1220" s="657"/>
    </row>
    <row r="1221" spans="1:12">
      <c r="A1221" s="658" t="s">
        <v>683</v>
      </c>
      <c r="B1221" s="658" t="s">
        <v>3281</v>
      </c>
      <c r="C1221" s="658" t="s">
        <v>4314</v>
      </c>
      <c r="D1221" s="658" t="s">
        <v>4315</v>
      </c>
      <c r="E1221" s="658" t="s">
        <v>239</v>
      </c>
      <c r="F1221" s="653"/>
      <c r="G1221" s="654"/>
      <c r="H1221" s="657">
        <v>1590</v>
      </c>
      <c r="I1221" s="657">
        <f t="shared" ref="I1221" si="1046">H1221</f>
        <v>1590</v>
      </c>
      <c r="J1221" s="657"/>
      <c r="K1221" s="657">
        <v>1590</v>
      </c>
      <c r="L1221" s="657">
        <f t="shared" ref="L1221" si="1047">K1221-I1221</f>
        <v>0</v>
      </c>
    </row>
    <row r="1222" spans="1:12">
      <c r="A1222" s="658"/>
      <c r="B1222" s="658"/>
      <c r="C1222" s="658"/>
      <c r="D1222" s="658"/>
      <c r="E1222" s="658"/>
      <c r="F1222" s="655"/>
      <c r="G1222" s="656"/>
      <c r="H1222" s="657"/>
      <c r="I1222" s="657"/>
      <c r="J1222" s="657"/>
      <c r="K1222" s="657"/>
      <c r="L1222" s="657"/>
    </row>
    <row r="1223" spans="1:12">
      <c r="A1223" s="658"/>
      <c r="B1223" s="658"/>
      <c r="C1223" s="658" t="s">
        <v>4300</v>
      </c>
      <c r="D1223" s="658" t="s">
        <v>4299</v>
      </c>
      <c r="E1223" s="658" t="s">
        <v>2780</v>
      </c>
      <c r="F1223" s="653"/>
      <c r="G1223" s="654"/>
      <c r="H1223" s="657">
        <v>240</v>
      </c>
      <c r="I1223" s="657">
        <f t="shared" ref="I1223" si="1048">H1223</f>
        <v>240</v>
      </c>
      <c r="J1223" s="657"/>
      <c r="K1223" s="657">
        <v>240</v>
      </c>
      <c r="L1223" s="657">
        <f t="shared" ref="L1223" si="1049">K1223-I1223</f>
        <v>0</v>
      </c>
    </row>
    <row r="1224" spans="1:12">
      <c r="A1224" s="658"/>
      <c r="B1224" s="658"/>
      <c r="C1224" s="658"/>
      <c r="D1224" s="658"/>
      <c r="E1224" s="658"/>
      <c r="F1224" s="655"/>
      <c r="G1224" s="656"/>
      <c r="H1224" s="657"/>
      <c r="I1224" s="657"/>
      <c r="J1224" s="657"/>
      <c r="K1224" s="657"/>
      <c r="L1224" s="657"/>
    </row>
    <row r="1225" spans="1:12">
      <c r="A1225" s="658"/>
      <c r="B1225" s="658"/>
      <c r="C1225" s="658" t="s">
        <v>4301</v>
      </c>
      <c r="D1225" s="658" t="s">
        <v>4299</v>
      </c>
      <c r="E1225" s="658" t="s">
        <v>2376</v>
      </c>
      <c r="F1225" s="653"/>
      <c r="G1225" s="654"/>
      <c r="H1225" s="657">
        <v>60</v>
      </c>
      <c r="I1225" s="657">
        <f t="shared" ref="I1225" si="1050">H1225</f>
        <v>60</v>
      </c>
      <c r="J1225" s="657"/>
      <c r="K1225" s="657">
        <v>60</v>
      </c>
      <c r="L1225" s="657">
        <f t="shared" ref="L1225" si="1051">K1225-I1225</f>
        <v>0</v>
      </c>
    </row>
    <row r="1226" spans="1:12">
      <c r="A1226" s="658"/>
      <c r="B1226" s="658"/>
      <c r="C1226" s="658"/>
      <c r="D1226" s="658"/>
      <c r="E1226" s="658"/>
      <c r="F1226" s="655"/>
      <c r="G1226" s="656"/>
      <c r="H1226" s="657"/>
      <c r="I1226" s="657"/>
      <c r="J1226" s="657"/>
      <c r="K1226" s="657"/>
      <c r="L1226" s="657"/>
    </row>
    <row r="1227" spans="1:12">
      <c r="A1227" s="658"/>
      <c r="B1227" s="658"/>
      <c r="C1227" s="658" t="s">
        <v>4302</v>
      </c>
      <c r="D1227" s="658" t="s">
        <v>4299</v>
      </c>
      <c r="E1227" s="658" t="s">
        <v>4294</v>
      </c>
      <c r="F1227" s="653"/>
      <c r="G1227" s="654"/>
      <c r="H1227" s="657">
        <v>300</v>
      </c>
      <c r="I1227" s="657">
        <f t="shared" ref="I1227" si="1052">H1227</f>
        <v>300</v>
      </c>
      <c r="J1227" s="657"/>
      <c r="K1227" s="657">
        <v>300</v>
      </c>
      <c r="L1227" s="657">
        <f t="shared" ref="L1227" si="1053">K1227-I1227</f>
        <v>0</v>
      </c>
    </row>
    <row r="1228" spans="1:12">
      <c r="A1228" s="658"/>
      <c r="B1228" s="658"/>
      <c r="C1228" s="658"/>
      <c r="D1228" s="658"/>
      <c r="E1228" s="658"/>
      <c r="F1228" s="655"/>
      <c r="G1228" s="656"/>
      <c r="H1228" s="657"/>
      <c r="I1228" s="657"/>
      <c r="J1228" s="657"/>
      <c r="K1228" s="657"/>
      <c r="L1228" s="657"/>
    </row>
    <row r="1229" spans="1:12">
      <c r="A1229" s="658"/>
      <c r="B1229" s="658"/>
      <c r="C1229" s="658" t="s">
        <v>4304</v>
      </c>
      <c r="D1229" s="658" t="s">
        <v>4299</v>
      </c>
      <c r="E1229" s="658" t="s">
        <v>4322</v>
      </c>
      <c r="F1229" s="653"/>
      <c r="G1229" s="654"/>
      <c r="H1229" s="657">
        <v>430</v>
      </c>
      <c r="I1229" s="657">
        <f t="shared" ref="I1229" si="1054">H1229</f>
        <v>430</v>
      </c>
      <c r="J1229" s="657"/>
      <c r="K1229" s="657">
        <v>430</v>
      </c>
      <c r="L1229" s="657">
        <f t="shared" ref="L1229" si="1055">K1229-I1229</f>
        <v>0</v>
      </c>
    </row>
    <row r="1230" spans="1:12">
      <c r="A1230" s="658"/>
      <c r="B1230" s="658"/>
      <c r="C1230" s="658"/>
      <c r="D1230" s="658"/>
      <c r="E1230" s="658"/>
      <c r="F1230" s="655"/>
      <c r="G1230" s="656"/>
      <c r="H1230" s="657"/>
      <c r="I1230" s="657"/>
      <c r="J1230" s="657"/>
      <c r="K1230" s="657"/>
      <c r="L1230" s="657"/>
    </row>
    <row r="1231" spans="1:12">
      <c r="A1231" s="658" t="s">
        <v>693</v>
      </c>
      <c r="B1231" s="658" t="s">
        <v>3008</v>
      </c>
      <c r="C1231" s="658" t="s">
        <v>4316</v>
      </c>
      <c r="D1231" s="658" t="s">
        <v>4313</v>
      </c>
      <c r="E1231" s="658" t="s">
        <v>239</v>
      </c>
      <c r="F1231" s="653"/>
      <c r="G1231" s="654"/>
      <c r="H1231" s="657">
        <v>44626</v>
      </c>
      <c r="I1231" s="657">
        <v>1530</v>
      </c>
      <c r="J1231" s="657"/>
      <c r="K1231" s="657">
        <v>1530</v>
      </c>
      <c r="L1231" s="657">
        <f t="shared" ref="L1231" si="1056">K1231-I1231</f>
        <v>0</v>
      </c>
    </row>
    <row r="1232" spans="1:12">
      <c r="A1232" s="658"/>
      <c r="B1232" s="658"/>
      <c r="C1232" s="658"/>
      <c r="D1232" s="658"/>
      <c r="E1232" s="658"/>
      <c r="F1232" s="655"/>
      <c r="G1232" s="656"/>
      <c r="H1232" s="657"/>
      <c r="I1232" s="657"/>
      <c r="J1232" s="657"/>
      <c r="K1232" s="657"/>
      <c r="L1232" s="657"/>
    </row>
    <row r="1233" spans="1:12">
      <c r="A1233" s="658"/>
      <c r="B1233" s="658"/>
      <c r="C1233" s="658" t="s">
        <v>4305</v>
      </c>
      <c r="D1233" s="658" t="s">
        <v>4303</v>
      </c>
      <c r="E1233" s="658" t="s">
        <v>4295</v>
      </c>
      <c r="F1233" s="653"/>
      <c r="G1233" s="654"/>
      <c r="H1233" s="657">
        <v>460</v>
      </c>
      <c r="I1233" s="657">
        <f t="shared" ref="I1233" si="1057">H1233</f>
        <v>460</v>
      </c>
      <c r="J1233" s="657"/>
      <c r="K1233" s="657">
        <v>460</v>
      </c>
      <c r="L1233" s="657">
        <f t="shared" ref="L1233" si="1058">K1233-I1233</f>
        <v>0</v>
      </c>
    </row>
    <row r="1234" spans="1:12">
      <c r="A1234" s="658"/>
      <c r="B1234" s="658"/>
      <c r="C1234" s="658"/>
      <c r="D1234" s="658"/>
      <c r="E1234" s="658"/>
      <c r="F1234" s="655"/>
      <c r="G1234" s="656"/>
      <c r="H1234" s="657"/>
      <c r="I1234" s="657"/>
      <c r="J1234" s="657"/>
      <c r="K1234" s="657"/>
      <c r="L1234" s="657"/>
    </row>
    <row r="1235" spans="1:12">
      <c r="A1235" s="658"/>
      <c r="B1235" s="658"/>
      <c r="C1235" s="658" t="s">
        <v>4306</v>
      </c>
      <c r="D1235" s="658" t="s">
        <v>4303</v>
      </c>
      <c r="E1235" s="658" t="s">
        <v>4296</v>
      </c>
      <c r="F1235" s="653"/>
      <c r="G1235" s="654"/>
      <c r="H1235" s="657">
        <v>420</v>
      </c>
      <c r="I1235" s="657">
        <f t="shared" ref="I1235" si="1059">H1235</f>
        <v>420</v>
      </c>
      <c r="J1235" s="657"/>
      <c r="K1235" s="657">
        <v>420</v>
      </c>
      <c r="L1235" s="657">
        <f t="shared" ref="L1235" si="1060">K1235-I1235</f>
        <v>0</v>
      </c>
    </row>
    <row r="1236" spans="1:12">
      <c r="A1236" s="658"/>
      <c r="B1236" s="658"/>
      <c r="C1236" s="658"/>
      <c r="D1236" s="658"/>
      <c r="E1236" s="658"/>
      <c r="F1236" s="655"/>
      <c r="G1236" s="656"/>
      <c r="H1236" s="657"/>
      <c r="I1236" s="657"/>
      <c r="J1236" s="657"/>
      <c r="K1236" s="657"/>
      <c r="L1236" s="657"/>
    </row>
    <row r="1237" spans="1:12">
      <c r="A1237" s="658" t="s">
        <v>694</v>
      </c>
      <c r="B1237" s="658" t="s">
        <v>3298</v>
      </c>
      <c r="C1237" s="658" t="s">
        <v>4318</v>
      </c>
      <c r="D1237" s="658" t="s">
        <v>4317</v>
      </c>
      <c r="E1237" s="658" t="s">
        <v>239</v>
      </c>
      <c r="F1237" s="653"/>
      <c r="G1237" s="654"/>
      <c r="H1237" s="657">
        <v>970</v>
      </c>
      <c r="I1237" s="657">
        <f t="shared" ref="I1237" si="1061">H1237</f>
        <v>970</v>
      </c>
      <c r="J1237" s="657"/>
      <c r="K1237" s="657">
        <v>970</v>
      </c>
      <c r="L1237" s="657">
        <f t="shared" ref="L1237" si="1062">K1237-I1237</f>
        <v>0</v>
      </c>
    </row>
    <row r="1238" spans="1:12">
      <c r="A1238" s="658"/>
      <c r="B1238" s="658"/>
      <c r="C1238" s="658"/>
      <c r="D1238" s="658"/>
      <c r="E1238" s="658"/>
      <c r="F1238" s="655"/>
      <c r="G1238" s="656"/>
      <c r="H1238" s="657"/>
      <c r="I1238" s="657"/>
      <c r="J1238" s="657"/>
      <c r="K1238" s="657"/>
      <c r="L1238" s="657"/>
    </row>
    <row r="1239" spans="1:12">
      <c r="A1239" s="658"/>
      <c r="B1239" s="658"/>
      <c r="C1239" s="658" t="s">
        <v>3797</v>
      </c>
      <c r="D1239" s="658" t="s">
        <v>4317</v>
      </c>
      <c r="E1239" s="690" t="s">
        <v>4298</v>
      </c>
      <c r="F1239" s="653"/>
      <c r="G1239" s="654"/>
      <c r="H1239" s="657">
        <v>500</v>
      </c>
      <c r="I1239" s="657">
        <f t="shared" ref="I1239" si="1063">H1239</f>
        <v>500</v>
      </c>
      <c r="J1239" s="657"/>
      <c r="K1239" s="657"/>
      <c r="L1239" s="657">
        <f t="shared" ref="L1239" si="1064">K1239-I1239</f>
        <v>-500</v>
      </c>
    </row>
    <row r="1240" spans="1:12">
      <c r="A1240" s="658"/>
      <c r="B1240" s="658"/>
      <c r="C1240" s="658"/>
      <c r="D1240" s="658"/>
      <c r="E1240" s="690"/>
      <c r="F1240" s="655"/>
      <c r="G1240" s="656"/>
      <c r="H1240" s="657"/>
      <c r="I1240" s="657"/>
      <c r="J1240" s="657"/>
      <c r="K1240" s="657"/>
      <c r="L1240" s="657"/>
    </row>
    <row r="1241" spans="1:12">
      <c r="A1241" s="658"/>
      <c r="B1241" s="658"/>
      <c r="C1241" s="658" t="s">
        <v>4307</v>
      </c>
      <c r="D1241" s="658" t="s">
        <v>4303</v>
      </c>
      <c r="E1241" s="658" t="s">
        <v>1601</v>
      </c>
      <c r="F1241" s="653"/>
      <c r="G1241" s="654"/>
      <c r="H1241" s="657">
        <v>850</v>
      </c>
      <c r="I1241" s="657">
        <f t="shared" ref="I1241" si="1065">H1241</f>
        <v>850</v>
      </c>
      <c r="J1241" s="657"/>
      <c r="K1241" s="657">
        <v>850</v>
      </c>
      <c r="L1241" s="657">
        <f t="shared" ref="L1241" si="1066">K1241-I1241</f>
        <v>0</v>
      </c>
    </row>
    <row r="1242" spans="1:12">
      <c r="A1242" s="658"/>
      <c r="B1242" s="658"/>
      <c r="C1242" s="658"/>
      <c r="D1242" s="658"/>
      <c r="E1242" s="658"/>
      <c r="F1242" s="655"/>
      <c r="G1242" s="656"/>
      <c r="H1242" s="657"/>
      <c r="I1242" s="657"/>
      <c r="J1242" s="657"/>
      <c r="K1242" s="657"/>
      <c r="L1242" s="657"/>
    </row>
    <row r="1243" spans="1:12">
      <c r="A1243" s="658"/>
      <c r="B1243" s="658"/>
      <c r="C1243" s="658" t="s">
        <v>4308</v>
      </c>
      <c r="D1243" s="658" t="s">
        <v>4303</v>
      </c>
      <c r="E1243" s="658" t="s">
        <v>4297</v>
      </c>
      <c r="F1243" s="653"/>
      <c r="G1243" s="654"/>
      <c r="H1243" s="657">
        <v>600</v>
      </c>
      <c r="I1243" s="657">
        <f t="shared" ref="I1243" si="1067">H1243</f>
        <v>600</v>
      </c>
      <c r="J1243" s="657"/>
      <c r="K1243" s="657">
        <v>600</v>
      </c>
      <c r="L1243" s="657">
        <f t="shared" ref="L1243" si="1068">K1243-I1243</f>
        <v>0</v>
      </c>
    </row>
    <row r="1244" spans="1:12">
      <c r="A1244" s="658"/>
      <c r="B1244" s="658"/>
      <c r="C1244" s="658"/>
      <c r="D1244" s="658"/>
      <c r="E1244" s="658"/>
      <c r="F1244" s="655"/>
      <c r="G1244" s="656"/>
      <c r="H1244" s="657"/>
      <c r="I1244" s="657"/>
      <c r="J1244" s="657"/>
      <c r="K1244" s="657"/>
      <c r="L1244" s="657"/>
    </row>
    <row r="1245" spans="1:12">
      <c r="A1245" s="658" t="s">
        <v>700</v>
      </c>
      <c r="B1245" s="658" t="s">
        <v>4037</v>
      </c>
      <c r="C1245" s="658" t="s">
        <v>4319</v>
      </c>
      <c r="D1245" s="658" t="s">
        <v>4313</v>
      </c>
      <c r="E1245" s="658" t="s">
        <v>239</v>
      </c>
      <c r="F1245" s="653"/>
      <c r="G1245" s="654"/>
      <c r="H1245" s="657">
        <v>44626</v>
      </c>
      <c r="I1245" s="657">
        <v>1530</v>
      </c>
      <c r="J1245" s="657"/>
      <c r="K1245" s="657">
        <v>1530</v>
      </c>
      <c r="L1245" s="657">
        <f t="shared" ref="L1245" si="1069">K1245-I1245</f>
        <v>0</v>
      </c>
    </row>
    <row r="1246" spans="1:12">
      <c r="A1246" s="658"/>
      <c r="B1246" s="658"/>
      <c r="C1246" s="658"/>
      <c r="D1246" s="658"/>
      <c r="E1246" s="658"/>
      <c r="F1246" s="655"/>
      <c r="G1246" s="656"/>
      <c r="H1246" s="657"/>
      <c r="I1246" s="657"/>
      <c r="J1246" s="657"/>
      <c r="K1246" s="657"/>
      <c r="L1246" s="657"/>
    </row>
    <row r="1247" spans="1:12">
      <c r="A1247" s="658"/>
      <c r="B1247" s="658"/>
      <c r="C1247" s="658" t="s">
        <v>4309</v>
      </c>
      <c r="D1247" s="658" t="s">
        <v>4303</v>
      </c>
      <c r="E1247" s="690" t="s">
        <v>3025</v>
      </c>
      <c r="F1247" s="653"/>
      <c r="G1247" s="654"/>
      <c r="H1247" s="657">
        <v>100</v>
      </c>
      <c r="I1247" s="657">
        <f t="shared" ref="I1247" si="1070">H1247</f>
        <v>100</v>
      </c>
      <c r="J1247" s="657"/>
      <c r="K1247" s="657"/>
      <c r="L1247" s="657">
        <f t="shared" ref="L1247" si="1071">K1247-I1247</f>
        <v>-100</v>
      </c>
    </row>
    <row r="1248" spans="1:12">
      <c r="A1248" s="658"/>
      <c r="B1248" s="658"/>
      <c r="C1248" s="658"/>
      <c r="D1248" s="658"/>
      <c r="E1248" s="690"/>
      <c r="F1248" s="655"/>
      <c r="G1248" s="656"/>
      <c r="H1248" s="657"/>
      <c r="I1248" s="657"/>
      <c r="J1248" s="657"/>
      <c r="K1248" s="657"/>
      <c r="L1248" s="657"/>
    </row>
    <row r="1249" spans="1:12">
      <c r="A1249" s="658"/>
      <c r="B1249" s="658"/>
      <c r="C1249" s="658" t="s">
        <v>4310</v>
      </c>
      <c r="D1249" s="658" t="s">
        <v>4303</v>
      </c>
      <c r="E1249" s="658" t="s">
        <v>1661</v>
      </c>
      <c r="F1249" s="653"/>
      <c r="G1249" s="654"/>
      <c r="H1249" s="657">
        <v>450</v>
      </c>
      <c r="I1249" s="657">
        <f t="shared" ref="I1249" si="1072">H1249</f>
        <v>450</v>
      </c>
      <c r="J1249" s="657"/>
      <c r="K1249" s="657">
        <v>450</v>
      </c>
      <c r="L1249" s="657">
        <f t="shared" ref="L1249" si="1073">K1249-I1249</f>
        <v>0</v>
      </c>
    </row>
    <row r="1250" spans="1:12">
      <c r="A1250" s="658"/>
      <c r="B1250" s="658"/>
      <c r="C1250" s="658"/>
      <c r="D1250" s="658"/>
      <c r="E1250" s="658"/>
      <c r="F1250" s="655"/>
      <c r="G1250" s="656"/>
      <c r="H1250" s="657"/>
      <c r="I1250" s="657"/>
      <c r="J1250" s="657"/>
      <c r="K1250" s="657"/>
      <c r="L1250" s="657"/>
    </row>
    <row r="1251" spans="1:12">
      <c r="A1251" s="658" t="s">
        <v>701</v>
      </c>
      <c r="B1251" s="658" t="s">
        <v>3281</v>
      </c>
      <c r="C1251" s="658" t="s">
        <v>4320</v>
      </c>
      <c r="D1251" s="658" t="s">
        <v>4321</v>
      </c>
      <c r="E1251" s="658" t="s">
        <v>239</v>
      </c>
      <c r="F1251" s="653"/>
      <c r="G1251" s="654"/>
      <c r="H1251" s="657">
        <v>1530</v>
      </c>
      <c r="I1251" s="657">
        <f t="shared" ref="I1251" si="1074">H1251</f>
        <v>1530</v>
      </c>
      <c r="J1251" s="657"/>
      <c r="K1251" s="657">
        <v>1530</v>
      </c>
      <c r="L1251" s="657">
        <f t="shared" ref="L1251" si="1075">K1251-I1251</f>
        <v>0</v>
      </c>
    </row>
    <row r="1252" spans="1:12">
      <c r="A1252" s="658"/>
      <c r="B1252" s="658"/>
      <c r="C1252" s="658"/>
      <c r="D1252" s="658"/>
      <c r="E1252" s="658"/>
      <c r="F1252" s="655"/>
      <c r="G1252" s="656"/>
      <c r="H1252" s="657"/>
      <c r="I1252" s="657"/>
      <c r="J1252" s="657"/>
      <c r="K1252" s="657"/>
      <c r="L1252" s="657"/>
    </row>
    <row r="1253" spans="1:12">
      <c r="A1253" s="658"/>
      <c r="B1253" s="658"/>
      <c r="C1253" s="658" t="s">
        <v>4311</v>
      </c>
      <c r="D1253" s="658" t="s">
        <v>4312</v>
      </c>
      <c r="E1253" s="658" t="s">
        <v>1601</v>
      </c>
      <c r="F1253" s="653"/>
      <c r="G1253" s="654"/>
      <c r="H1253" s="657">
        <v>1100</v>
      </c>
      <c r="I1253" s="657">
        <f t="shared" ref="I1253" si="1076">H1253</f>
        <v>1100</v>
      </c>
      <c r="J1253" s="657"/>
      <c r="K1253" s="657">
        <v>1100</v>
      </c>
      <c r="L1253" s="657">
        <f t="shared" ref="L1253" si="1077">K1253-I1253</f>
        <v>0</v>
      </c>
    </row>
    <row r="1254" spans="1:12">
      <c r="A1254" s="658"/>
      <c r="B1254" s="658"/>
      <c r="C1254" s="658"/>
      <c r="D1254" s="658"/>
      <c r="E1254" s="658"/>
      <c r="F1254" s="655"/>
      <c r="G1254" s="656"/>
      <c r="H1254" s="657"/>
      <c r="I1254" s="657"/>
      <c r="J1254" s="657"/>
      <c r="K1254" s="657"/>
      <c r="L1254" s="657"/>
    </row>
    <row r="1255" spans="1:12">
      <c r="A1255" s="658"/>
      <c r="B1255" s="658"/>
      <c r="C1255" s="658"/>
      <c r="D1255" s="658"/>
      <c r="E1255" s="691"/>
      <c r="F1255" s="653"/>
      <c r="G1255" s="654"/>
      <c r="H1255" s="657"/>
      <c r="I1255" s="657"/>
      <c r="J1255" s="657"/>
      <c r="K1255" s="657"/>
      <c r="L1255" s="657">
        <f t="shared" ref="L1255" si="1078">K1255-I1255</f>
        <v>0</v>
      </c>
    </row>
    <row r="1256" spans="1:12">
      <c r="A1256" s="658"/>
      <c r="B1256" s="658"/>
      <c r="C1256" s="658"/>
      <c r="D1256" s="658"/>
      <c r="E1256" s="691"/>
      <c r="F1256" s="655"/>
      <c r="G1256" s="656"/>
      <c r="H1256" s="657"/>
      <c r="I1256" s="657"/>
      <c r="J1256" s="657"/>
      <c r="K1256" s="657"/>
      <c r="L1256" s="657"/>
    </row>
    <row r="1257" spans="1:12">
      <c r="A1257" s="658"/>
      <c r="B1257" s="658"/>
      <c r="C1257" s="658"/>
      <c r="D1257" s="658"/>
      <c r="E1257" s="691"/>
      <c r="F1257" s="653"/>
      <c r="G1257" s="654"/>
      <c r="H1257" s="657"/>
      <c r="I1257" s="657"/>
      <c r="J1257" s="657"/>
      <c r="K1257" s="657"/>
      <c r="L1257" s="657">
        <f t="shared" ref="L1257" si="1079">K1257-I1257</f>
        <v>0</v>
      </c>
    </row>
    <row r="1258" spans="1:12">
      <c r="A1258" s="658"/>
      <c r="B1258" s="658"/>
      <c r="C1258" s="658"/>
      <c r="D1258" s="658"/>
      <c r="E1258" s="691"/>
      <c r="F1258" s="655"/>
      <c r="G1258" s="656"/>
      <c r="H1258" s="657"/>
      <c r="I1258" s="657"/>
      <c r="J1258" s="657"/>
      <c r="K1258" s="657"/>
      <c r="L1258" s="657"/>
    </row>
    <row r="1259" spans="1:12">
      <c r="A1259" s="658"/>
      <c r="B1259" s="658"/>
      <c r="C1259" s="658"/>
      <c r="D1259" s="658"/>
      <c r="E1259" s="691"/>
      <c r="F1259" s="653"/>
      <c r="G1259" s="654"/>
      <c r="H1259" s="657"/>
      <c r="I1259" s="657">
        <f t="shared" ref="I1259" si="1080">H1259</f>
        <v>0</v>
      </c>
      <c r="J1259" s="657"/>
      <c r="K1259" s="657"/>
      <c r="L1259" s="657">
        <f t="shared" ref="L1259" si="1081">K1259-I1259</f>
        <v>0</v>
      </c>
    </row>
    <row r="1260" spans="1:12">
      <c r="A1260" s="658"/>
      <c r="B1260" s="658"/>
      <c r="C1260" s="658"/>
      <c r="D1260" s="658"/>
      <c r="E1260" s="691"/>
      <c r="F1260" s="655"/>
      <c r="G1260" s="656"/>
      <c r="H1260" s="657"/>
      <c r="I1260" s="657"/>
      <c r="J1260" s="657"/>
      <c r="K1260" s="657"/>
      <c r="L1260" s="657"/>
    </row>
    <row r="1261" spans="1:12">
      <c r="A1261" s="658"/>
      <c r="B1261" s="658"/>
      <c r="C1261" s="658"/>
      <c r="D1261" s="658"/>
      <c r="E1261" s="691"/>
      <c r="F1261" s="653"/>
      <c r="G1261" s="654"/>
      <c r="H1261" s="657"/>
      <c r="I1261" s="657">
        <f t="shared" ref="I1261" si="1082">H1261</f>
        <v>0</v>
      </c>
      <c r="J1261" s="657"/>
      <c r="K1261" s="657"/>
      <c r="L1261" s="657">
        <f t="shared" ref="L1261" si="1083">K1261-I1261</f>
        <v>0</v>
      </c>
    </row>
    <row r="1262" spans="1:12">
      <c r="A1262" s="658"/>
      <c r="B1262" s="658"/>
      <c r="C1262" s="658"/>
      <c r="D1262" s="658"/>
      <c r="E1262" s="691"/>
      <c r="F1262" s="655"/>
      <c r="G1262" s="656"/>
      <c r="H1262" s="657"/>
      <c r="I1262" s="657"/>
      <c r="J1262" s="657"/>
      <c r="K1262" s="657"/>
      <c r="L1262" s="657"/>
    </row>
    <row r="1263" spans="1:12">
      <c r="A1263" s="658"/>
      <c r="B1263" s="658"/>
      <c r="C1263" s="658"/>
      <c r="D1263" s="658"/>
      <c r="E1263" s="691"/>
      <c r="F1263" s="653"/>
      <c r="G1263" s="654"/>
      <c r="H1263" s="657"/>
      <c r="I1263" s="657">
        <f t="shared" ref="I1263" si="1084">H1263</f>
        <v>0</v>
      </c>
      <c r="J1263" s="657"/>
      <c r="K1263" s="657"/>
      <c r="L1263" s="657">
        <f t="shared" ref="L1263" si="1085">K1263-I1263</f>
        <v>0</v>
      </c>
    </row>
    <row r="1264" spans="1:12">
      <c r="A1264" s="658"/>
      <c r="B1264" s="658"/>
      <c r="C1264" s="658"/>
      <c r="D1264" s="658"/>
      <c r="E1264" s="691"/>
      <c r="F1264" s="655"/>
      <c r="G1264" s="656"/>
      <c r="H1264" s="657"/>
      <c r="I1264" s="657"/>
      <c r="J1264" s="657"/>
      <c r="K1264" s="657"/>
      <c r="L1264" s="657"/>
    </row>
    <row r="1265" spans="1:12">
      <c r="A1265" s="658"/>
      <c r="B1265" s="658"/>
      <c r="C1265" s="658"/>
      <c r="D1265" s="658"/>
      <c r="E1265" s="691"/>
      <c r="F1265" s="653"/>
      <c r="G1265" s="654"/>
      <c r="H1265" s="657"/>
      <c r="I1265" s="657">
        <f t="shared" ref="I1265" si="1086">H1265</f>
        <v>0</v>
      </c>
      <c r="J1265" s="657"/>
      <c r="K1265" s="657"/>
      <c r="L1265" s="657">
        <f t="shared" ref="L1265" si="1087">K1265-I1265</f>
        <v>0</v>
      </c>
    </row>
    <row r="1266" spans="1:12">
      <c r="A1266" s="658"/>
      <c r="B1266" s="658"/>
      <c r="C1266" s="658"/>
      <c r="D1266" s="658"/>
      <c r="E1266" s="691"/>
      <c r="F1266" s="655"/>
      <c r="G1266" s="656"/>
      <c r="H1266" s="657"/>
      <c r="I1266" s="657"/>
      <c r="J1266" s="657"/>
      <c r="K1266" s="657"/>
      <c r="L1266" s="657"/>
    </row>
    <row r="1267" spans="1:12">
      <c r="A1267" s="658"/>
      <c r="B1267" s="658"/>
      <c r="C1267" s="658"/>
      <c r="D1267" s="658"/>
      <c r="E1267" s="691"/>
      <c r="F1267" s="653"/>
      <c r="G1267" s="654"/>
      <c r="H1267" s="657"/>
      <c r="I1267" s="657">
        <f t="shared" ref="I1267" si="1088">H1267</f>
        <v>0</v>
      </c>
      <c r="J1267" s="657"/>
      <c r="K1267" s="657"/>
      <c r="L1267" s="657">
        <f t="shared" ref="L1267" si="1089">K1267-I1267</f>
        <v>0</v>
      </c>
    </row>
    <row r="1268" spans="1:12">
      <c r="A1268" s="658"/>
      <c r="B1268" s="658"/>
      <c r="C1268" s="658"/>
      <c r="D1268" s="658"/>
      <c r="E1268" s="691"/>
      <c r="F1268" s="655"/>
      <c r="G1268" s="656"/>
      <c r="H1268" s="657"/>
      <c r="I1268" s="657"/>
      <c r="J1268" s="657"/>
      <c r="K1268" s="657"/>
      <c r="L1268" s="657"/>
    </row>
    <row r="1269" spans="1:12">
      <c r="A1269" s="658"/>
      <c r="B1269" s="658"/>
      <c r="C1269" s="658"/>
      <c r="D1269" s="658"/>
      <c r="E1269" s="691"/>
      <c r="F1269" s="653"/>
      <c r="G1269" s="654"/>
      <c r="H1269" s="657"/>
      <c r="I1269" s="657">
        <f t="shared" ref="I1269" si="1090">H1269</f>
        <v>0</v>
      </c>
      <c r="J1269" s="657"/>
      <c r="K1269" s="657"/>
      <c r="L1269" s="657">
        <f t="shared" ref="L1269" si="1091">K1269-I1269</f>
        <v>0</v>
      </c>
    </row>
    <row r="1270" spans="1:12">
      <c r="A1270" s="658"/>
      <c r="B1270" s="658"/>
      <c r="C1270" s="658"/>
      <c r="D1270" s="658"/>
      <c r="E1270" s="691"/>
      <c r="F1270" s="655"/>
      <c r="G1270" s="656"/>
      <c r="H1270" s="657"/>
      <c r="I1270" s="657"/>
      <c r="J1270" s="657"/>
      <c r="K1270" s="657"/>
      <c r="L1270" s="657"/>
    </row>
    <row r="1271" spans="1:12">
      <c r="A1271" s="658"/>
      <c r="B1271" s="658"/>
      <c r="C1271" s="658"/>
      <c r="D1271" s="658"/>
      <c r="E1271" s="691"/>
      <c r="F1271" s="653"/>
      <c r="G1271" s="654"/>
      <c r="H1271" s="657"/>
      <c r="I1271" s="657">
        <f t="shared" ref="I1271" si="1092">H1271</f>
        <v>0</v>
      </c>
      <c r="J1271" s="657"/>
      <c r="K1271" s="657"/>
      <c r="L1271" s="657">
        <f t="shared" ref="L1271" si="1093">K1271-I1271</f>
        <v>0</v>
      </c>
    </row>
    <row r="1272" spans="1:12">
      <c r="A1272" s="658"/>
      <c r="B1272" s="658"/>
      <c r="C1272" s="658"/>
      <c r="D1272" s="658"/>
      <c r="E1272" s="691"/>
      <c r="F1272" s="655"/>
      <c r="G1272" s="656"/>
      <c r="H1272" s="657"/>
      <c r="I1272" s="657"/>
      <c r="J1272" s="657"/>
      <c r="K1272" s="657"/>
      <c r="L1272" s="657"/>
    </row>
    <row r="1273" spans="1:12">
      <c r="A1273" s="658"/>
      <c r="B1273" s="658"/>
      <c r="C1273" s="658"/>
      <c r="D1273" s="658"/>
      <c r="E1273" s="691"/>
      <c r="F1273" s="653"/>
      <c r="G1273" s="654"/>
      <c r="H1273" s="657"/>
      <c r="I1273" s="657">
        <f t="shared" ref="I1273" si="1094">H1273</f>
        <v>0</v>
      </c>
      <c r="J1273" s="657"/>
      <c r="K1273" s="657"/>
      <c r="L1273" s="657">
        <f t="shared" ref="L1273" si="1095">K1273-I1273</f>
        <v>0</v>
      </c>
    </row>
    <row r="1274" spans="1:12">
      <c r="A1274" s="658"/>
      <c r="B1274" s="658"/>
      <c r="C1274" s="658"/>
      <c r="D1274" s="658"/>
      <c r="E1274" s="691"/>
      <c r="F1274" s="655"/>
      <c r="G1274" s="656"/>
      <c r="H1274" s="657"/>
      <c r="I1274" s="657"/>
      <c r="J1274" s="657"/>
      <c r="K1274" s="657"/>
      <c r="L1274" s="657"/>
    </row>
    <row r="1275" spans="1:12">
      <c r="A1275" s="658"/>
      <c r="B1275" s="658"/>
      <c r="C1275" s="658"/>
      <c r="D1275" s="658"/>
      <c r="E1275" s="691"/>
      <c r="F1275" s="653"/>
      <c r="G1275" s="654"/>
      <c r="H1275" s="657"/>
      <c r="I1275" s="657">
        <f t="shared" ref="I1275" si="1096">H1275</f>
        <v>0</v>
      </c>
      <c r="J1275" s="657"/>
      <c r="K1275" s="657"/>
      <c r="L1275" s="657">
        <f t="shared" ref="L1275" si="1097">K1275-I1275</f>
        <v>0</v>
      </c>
    </row>
    <row r="1276" spans="1:12">
      <c r="A1276" s="658"/>
      <c r="B1276" s="658"/>
      <c r="C1276" s="658"/>
      <c r="D1276" s="658"/>
      <c r="E1276" s="691"/>
      <c r="F1276" s="655"/>
      <c r="G1276" s="656"/>
      <c r="H1276" s="657"/>
      <c r="I1276" s="657"/>
      <c r="J1276" s="657"/>
      <c r="K1276" s="657"/>
      <c r="L1276" s="657"/>
    </row>
    <row r="1277" spans="1:12">
      <c r="A1277" s="658"/>
      <c r="B1277" s="658"/>
      <c r="C1277" s="658"/>
      <c r="D1277" s="658"/>
      <c r="E1277" s="691"/>
      <c r="F1277" s="653"/>
      <c r="G1277" s="654"/>
      <c r="H1277" s="657"/>
      <c r="I1277" s="657">
        <f t="shared" ref="I1277" si="1098">H1277</f>
        <v>0</v>
      </c>
      <c r="J1277" s="657"/>
      <c r="K1277" s="657"/>
      <c r="L1277" s="657">
        <f t="shared" ref="L1277" si="1099">K1277-I1277</f>
        <v>0</v>
      </c>
    </row>
    <row r="1278" spans="1:12">
      <c r="A1278" s="658"/>
      <c r="B1278" s="658"/>
      <c r="C1278" s="658"/>
      <c r="D1278" s="658"/>
      <c r="E1278" s="691"/>
      <c r="F1278" s="655"/>
      <c r="G1278" s="656"/>
      <c r="H1278" s="657"/>
      <c r="I1278" s="657"/>
      <c r="J1278" s="657"/>
      <c r="K1278" s="657"/>
      <c r="L1278" s="657"/>
    </row>
    <row r="1279" spans="1:12">
      <c r="A1279" s="658"/>
      <c r="B1279" s="658"/>
      <c r="C1279" s="658"/>
      <c r="D1279" s="658"/>
      <c r="E1279" s="691"/>
      <c r="F1279" s="653"/>
      <c r="G1279" s="654"/>
      <c r="H1279" s="657"/>
      <c r="I1279" s="657">
        <f t="shared" ref="I1279" si="1100">H1279</f>
        <v>0</v>
      </c>
      <c r="J1279" s="657"/>
      <c r="K1279" s="657"/>
      <c r="L1279" s="657">
        <f t="shared" ref="L1279" si="1101">K1279-I1279</f>
        <v>0</v>
      </c>
    </row>
    <row r="1280" spans="1:12">
      <c r="A1280" s="658"/>
      <c r="B1280" s="658"/>
      <c r="C1280" s="658"/>
      <c r="D1280" s="658"/>
      <c r="E1280" s="691"/>
      <c r="F1280" s="655"/>
      <c r="G1280" s="656"/>
      <c r="H1280" s="657"/>
      <c r="I1280" s="657"/>
      <c r="J1280" s="657"/>
      <c r="K1280" s="657"/>
      <c r="L1280" s="657"/>
    </row>
    <row r="1281" spans="1:12">
      <c r="A1281" s="658"/>
      <c r="B1281" s="658"/>
      <c r="C1281" s="658"/>
      <c r="D1281" s="658"/>
      <c r="E1281" s="691"/>
      <c r="F1281" s="653"/>
      <c r="G1281" s="654"/>
      <c r="H1281" s="657"/>
      <c r="I1281" s="657">
        <f t="shared" ref="I1281" si="1102">H1281</f>
        <v>0</v>
      </c>
      <c r="J1281" s="657"/>
      <c r="K1281" s="657"/>
      <c r="L1281" s="657">
        <f t="shared" ref="L1281" si="1103">K1281-I1281</f>
        <v>0</v>
      </c>
    </row>
    <row r="1282" spans="1:12">
      <c r="A1282" s="658"/>
      <c r="B1282" s="658"/>
      <c r="C1282" s="658"/>
      <c r="D1282" s="658"/>
      <c r="E1282" s="691"/>
      <c r="F1282" s="655"/>
      <c r="G1282" s="656"/>
      <c r="H1282" s="657"/>
      <c r="I1282" s="657"/>
      <c r="J1282" s="657"/>
      <c r="K1282" s="657"/>
      <c r="L1282" s="657"/>
    </row>
    <row r="1283" spans="1:12">
      <c r="A1283" s="658"/>
      <c r="B1283" s="658"/>
      <c r="C1283" s="658"/>
      <c r="D1283" s="658"/>
      <c r="E1283" s="691"/>
      <c r="F1283" s="653"/>
      <c r="G1283" s="654"/>
      <c r="H1283" s="657"/>
      <c r="I1283" s="657">
        <f t="shared" ref="I1283" si="1104">H1283</f>
        <v>0</v>
      </c>
      <c r="J1283" s="657"/>
      <c r="K1283" s="657"/>
      <c r="L1283" s="657">
        <f t="shared" ref="L1283" si="1105">K1283-I1283</f>
        <v>0</v>
      </c>
    </row>
    <row r="1284" spans="1:12">
      <c r="A1284" s="658"/>
      <c r="B1284" s="658"/>
      <c r="C1284" s="658"/>
      <c r="D1284" s="658"/>
      <c r="E1284" s="691"/>
      <c r="F1284" s="655"/>
      <c r="G1284" s="656"/>
      <c r="H1284" s="657"/>
      <c r="I1284" s="657"/>
      <c r="J1284" s="657"/>
      <c r="K1284" s="657"/>
      <c r="L1284" s="657"/>
    </row>
    <row r="1285" spans="1:12">
      <c r="A1285" s="658"/>
      <c r="B1285" s="658"/>
      <c r="C1285" s="658"/>
      <c r="D1285" s="658"/>
      <c r="E1285" s="691"/>
      <c r="F1285" s="653"/>
      <c r="G1285" s="654"/>
      <c r="H1285" s="657"/>
      <c r="I1285" s="657">
        <f t="shared" ref="I1285" si="1106">H1285</f>
        <v>0</v>
      </c>
      <c r="J1285" s="657"/>
      <c r="K1285" s="657"/>
      <c r="L1285" s="657">
        <f t="shared" ref="L1285" si="1107">K1285-I1285</f>
        <v>0</v>
      </c>
    </row>
    <row r="1286" spans="1:12">
      <c r="A1286" s="658"/>
      <c r="B1286" s="658"/>
      <c r="C1286" s="658"/>
      <c r="D1286" s="658"/>
      <c r="E1286" s="691"/>
      <c r="F1286" s="655"/>
      <c r="G1286" s="656"/>
      <c r="H1286" s="657"/>
      <c r="I1286" s="657"/>
      <c r="J1286" s="657"/>
      <c r="K1286" s="657"/>
      <c r="L1286" s="657"/>
    </row>
    <row r="1287" spans="1:12">
      <c r="A1287" s="658"/>
      <c r="B1287" s="658"/>
      <c r="C1287" s="658"/>
      <c r="D1287" s="658"/>
      <c r="E1287" s="691"/>
      <c r="F1287" s="653"/>
      <c r="G1287" s="654"/>
      <c r="H1287" s="657"/>
      <c r="I1287" s="657">
        <f t="shared" ref="I1287" si="1108">H1287</f>
        <v>0</v>
      </c>
      <c r="J1287" s="657"/>
      <c r="K1287" s="657"/>
      <c r="L1287" s="657">
        <f t="shared" ref="L1287" si="1109">K1287-I1287</f>
        <v>0</v>
      </c>
    </row>
    <row r="1288" spans="1:12">
      <c r="A1288" s="658"/>
      <c r="B1288" s="658"/>
      <c r="C1288" s="658"/>
      <c r="D1288" s="658"/>
      <c r="E1288" s="691"/>
      <c r="F1288" s="655"/>
      <c r="G1288" s="656"/>
      <c r="H1288" s="657"/>
      <c r="I1288" s="657"/>
      <c r="J1288" s="657"/>
      <c r="K1288" s="657"/>
      <c r="L1288" s="657"/>
    </row>
    <row r="1289" spans="1:12">
      <c r="A1289" s="658"/>
      <c r="B1289" s="658"/>
      <c r="C1289" s="658"/>
      <c r="D1289" s="658"/>
      <c r="E1289" s="691"/>
      <c r="F1289" s="653"/>
      <c r="G1289" s="654"/>
      <c r="H1289" s="657"/>
      <c r="I1289" s="657">
        <f t="shared" ref="I1289" si="1110">H1289</f>
        <v>0</v>
      </c>
      <c r="J1289" s="657"/>
      <c r="K1289" s="657"/>
      <c r="L1289" s="657">
        <f t="shared" ref="L1289" si="1111">K1289-I1289</f>
        <v>0</v>
      </c>
    </row>
    <row r="1290" spans="1:12">
      <c r="A1290" s="658"/>
      <c r="B1290" s="658"/>
      <c r="C1290" s="658"/>
      <c r="D1290" s="658"/>
      <c r="E1290" s="691"/>
      <c r="F1290" s="655"/>
      <c r="G1290" s="656"/>
      <c r="H1290" s="657"/>
      <c r="I1290" s="657"/>
      <c r="J1290" s="657"/>
      <c r="K1290" s="657"/>
      <c r="L1290" s="657"/>
    </row>
    <row r="1291" spans="1:12">
      <c r="A1291" s="658"/>
      <c r="B1291" s="658"/>
      <c r="C1291" s="658"/>
      <c r="D1291" s="658"/>
      <c r="E1291" s="691"/>
      <c r="F1291" s="653"/>
      <c r="G1291" s="654"/>
      <c r="H1291" s="657"/>
      <c r="I1291" s="657">
        <f t="shared" ref="I1291" si="1112">H1291</f>
        <v>0</v>
      </c>
      <c r="J1291" s="657"/>
      <c r="K1291" s="657"/>
      <c r="L1291" s="657">
        <f t="shared" ref="L1291" si="1113">K1291-I1291</f>
        <v>0</v>
      </c>
    </row>
    <row r="1292" spans="1:12">
      <c r="A1292" s="658"/>
      <c r="B1292" s="658"/>
      <c r="C1292" s="658"/>
      <c r="D1292" s="658"/>
      <c r="E1292" s="691"/>
      <c r="F1292" s="655"/>
      <c r="G1292" s="656"/>
      <c r="H1292" s="657"/>
      <c r="I1292" s="657"/>
      <c r="J1292" s="657"/>
      <c r="K1292" s="657"/>
      <c r="L1292" s="657"/>
    </row>
    <row r="1293" spans="1:12">
      <c r="A1293" s="658"/>
      <c r="B1293" s="658"/>
      <c r="C1293" s="658"/>
      <c r="D1293" s="658"/>
      <c r="E1293" s="691"/>
      <c r="F1293" s="653"/>
      <c r="G1293" s="654"/>
      <c r="H1293" s="657"/>
      <c r="I1293" s="657">
        <f t="shared" ref="I1293" si="1114">H1293</f>
        <v>0</v>
      </c>
      <c r="J1293" s="657"/>
      <c r="K1293" s="657"/>
      <c r="L1293" s="657">
        <f t="shared" ref="L1293" si="1115">K1293-I1293</f>
        <v>0</v>
      </c>
    </row>
    <row r="1294" spans="1:12">
      <c r="A1294" s="658"/>
      <c r="B1294" s="658"/>
      <c r="C1294" s="658"/>
      <c r="D1294" s="658"/>
      <c r="E1294" s="691"/>
      <c r="F1294" s="655"/>
      <c r="G1294" s="656"/>
      <c r="H1294" s="657"/>
      <c r="I1294" s="657"/>
      <c r="J1294" s="657"/>
      <c r="K1294" s="657"/>
      <c r="L1294" s="657"/>
    </row>
    <row r="1295" spans="1:12">
      <c r="A1295" s="658"/>
      <c r="B1295" s="658"/>
      <c r="C1295" s="658"/>
      <c r="D1295" s="658"/>
      <c r="E1295" s="691"/>
      <c r="F1295" s="653"/>
      <c r="G1295" s="654"/>
      <c r="H1295" s="657"/>
      <c r="I1295" s="657">
        <f t="shared" ref="I1295" si="1116">H1295</f>
        <v>0</v>
      </c>
      <c r="J1295" s="657"/>
      <c r="K1295" s="657"/>
      <c r="L1295" s="657">
        <f t="shared" ref="L1295" si="1117">K1295-I1295</f>
        <v>0</v>
      </c>
    </row>
    <row r="1296" spans="1:12">
      <c r="A1296" s="658"/>
      <c r="B1296" s="658"/>
      <c r="C1296" s="658"/>
      <c r="D1296" s="658"/>
      <c r="E1296" s="691"/>
      <c r="F1296" s="655"/>
      <c r="G1296" s="656"/>
      <c r="H1296" s="657"/>
      <c r="I1296" s="657"/>
      <c r="J1296" s="657"/>
      <c r="K1296" s="657"/>
      <c r="L1296" s="657"/>
    </row>
    <row r="1297" spans="1:12">
      <c r="A1297" s="658"/>
      <c r="B1297" s="658"/>
      <c r="C1297" s="658"/>
      <c r="D1297" s="658"/>
      <c r="E1297" s="691"/>
      <c r="F1297" s="653"/>
      <c r="G1297" s="654"/>
      <c r="H1297" s="657"/>
      <c r="I1297" s="657">
        <f t="shared" ref="I1297" si="1118">H1297</f>
        <v>0</v>
      </c>
      <c r="J1297" s="657"/>
      <c r="K1297" s="657"/>
      <c r="L1297" s="657">
        <f t="shared" ref="L1297" si="1119">K1297-I1297</f>
        <v>0</v>
      </c>
    </row>
    <row r="1298" spans="1:12">
      <c r="A1298" s="658"/>
      <c r="B1298" s="658"/>
      <c r="C1298" s="658"/>
      <c r="D1298" s="658"/>
      <c r="E1298" s="691"/>
      <c r="F1298" s="655"/>
      <c r="G1298" s="656"/>
      <c r="H1298" s="657"/>
      <c r="I1298" s="657"/>
      <c r="J1298" s="657"/>
      <c r="K1298" s="657"/>
      <c r="L1298" s="657"/>
    </row>
    <row r="1299" spans="1:12">
      <c r="A1299" s="658"/>
      <c r="B1299" s="658"/>
      <c r="C1299" s="658"/>
      <c r="D1299" s="658"/>
      <c r="E1299" s="691"/>
      <c r="F1299" s="653"/>
      <c r="G1299" s="654"/>
      <c r="H1299" s="657"/>
      <c r="I1299" s="657">
        <f t="shared" ref="I1299" si="1120">H1299</f>
        <v>0</v>
      </c>
      <c r="J1299" s="657"/>
      <c r="K1299" s="657"/>
      <c r="L1299" s="657">
        <f t="shared" ref="L1299" si="1121">K1299-I1299</f>
        <v>0</v>
      </c>
    </row>
    <row r="1300" spans="1:12">
      <c r="A1300" s="658"/>
      <c r="B1300" s="658"/>
      <c r="C1300" s="658"/>
      <c r="D1300" s="658"/>
      <c r="E1300" s="691"/>
      <c r="F1300" s="655"/>
      <c r="G1300" s="656"/>
      <c r="H1300" s="657"/>
      <c r="I1300" s="657"/>
      <c r="J1300" s="657"/>
      <c r="K1300" s="657"/>
      <c r="L1300" s="657"/>
    </row>
    <row r="1301" spans="1:12">
      <c r="A1301" s="658"/>
      <c r="B1301" s="658"/>
      <c r="C1301" s="658"/>
      <c r="D1301" s="658"/>
      <c r="E1301" s="691"/>
      <c r="F1301" s="653"/>
      <c r="G1301" s="654"/>
      <c r="H1301" s="657"/>
      <c r="I1301" s="657">
        <f t="shared" ref="I1301" si="1122">H1301</f>
        <v>0</v>
      </c>
      <c r="J1301" s="657"/>
      <c r="K1301" s="657"/>
      <c r="L1301" s="657">
        <f t="shared" ref="L1301" si="1123">K1301-I1301</f>
        <v>0</v>
      </c>
    </row>
    <row r="1302" spans="1:12">
      <c r="A1302" s="658"/>
      <c r="B1302" s="658"/>
      <c r="C1302" s="658"/>
      <c r="D1302" s="658"/>
      <c r="E1302" s="691"/>
      <c r="F1302" s="655"/>
      <c r="G1302" s="656"/>
      <c r="H1302" s="657"/>
      <c r="I1302" s="657"/>
      <c r="J1302" s="657"/>
      <c r="K1302" s="657"/>
      <c r="L1302" s="657"/>
    </row>
    <row r="1303" spans="1:12">
      <c r="A1303" s="658"/>
      <c r="B1303" s="658"/>
      <c r="C1303" s="658"/>
      <c r="D1303" s="658"/>
      <c r="E1303" s="691"/>
      <c r="F1303" s="653"/>
      <c r="G1303" s="654"/>
      <c r="H1303" s="657"/>
      <c r="I1303" s="657">
        <f t="shared" ref="I1303" si="1124">H1303</f>
        <v>0</v>
      </c>
      <c r="J1303" s="657"/>
      <c r="K1303" s="657"/>
      <c r="L1303" s="657">
        <f t="shared" ref="L1303" si="1125">K1303-I1303</f>
        <v>0</v>
      </c>
    </row>
    <row r="1304" spans="1:12">
      <c r="A1304" s="658"/>
      <c r="B1304" s="658"/>
      <c r="C1304" s="658"/>
      <c r="D1304" s="658"/>
      <c r="E1304" s="691"/>
      <c r="F1304" s="655"/>
      <c r="G1304" s="656"/>
      <c r="H1304" s="657"/>
      <c r="I1304" s="657"/>
      <c r="J1304" s="657"/>
      <c r="K1304" s="657"/>
      <c r="L1304" s="657"/>
    </row>
    <row r="1305" spans="1:12">
      <c r="A1305" s="658"/>
      <c r="B1305" s="658"/>
      <c r="C1305" s="658"/>
      <c r="D1305" s="658"/>
      <c r="E1305" s="691"/>
      <c r="F1305" s="653"/>
      <c r="G1305" s="654"/>
      <c r="H1305" s="657"/>
      <c r="I1305" s="657">
        <f t="shared" ref="I1305" si="1126">H1305</f>
        <v>0</v>
      </c>
      <c r="J1305" s="657"/>
      <c r="K1305" s="657"/>
      <c r="L1305" s="657">
        <f t="shared" ref="L1305" si="1127">K1305-I1305</f>
        <v>0</v>
      </c>
    </row>
    <row r="1306" spans="1:12">
      <c r="A1306" s="658"/>
      <c r="B1306" s="658"/>
      <c r="C1306" s="658"/>
      <c r="D1306" s="658"/>
      <c r="E1306" s="691"/>
      <c r="F1306" s="655"/>
      <c r="G1306" s="656"/>
      <c r="H1306" s="657"/>
      <c r="I1306" s="657"/>
      <c r="J1306" s="657"/>
      <c r="K1306" s="657"/>
      <c r="L1306" s="657"/>
    </row>
    <row r="1307" spans="1:12">
      <c r="A1307" s="658"/>
      <c r="B1307" s="658"/>
      <c r="C1307" s="658"/>
      <c r="D1307" s="658"/>
      <c r="E1307" s="691"/>
      <c r="F1307" s="653"/>
      <c r="G1307" s="654"/>
      <c r="H1307" s="657"/>
      <c r="I1307" s="657">
        <f t="shared" ref="I1307" si="1128">H1307</f>
        <v>0</v>
      </c>
      <c r="J1307" s="657"/>
      <c r="K1307" s="657"/>
      <c r="L1307" s="657">
        <f t="shared" ref="L1307" si="1129">K1307-I1307</f>
        <v>0</v>
      </c>
    </row>
    <row r="1308" spans="1:12">
      <c r="A1308" s="658"/>
      <c r="B1308" s="658"/>
      <c r="C1308" s="658"/>
      <c r="D1308" s="658"/>
      <c r="E1308" s="691"/>
      <c r="F1308" s="655"/>
      <c r="G1308" s="656"/>
      <c r="H1308" s="657"/>
      <c r="I1308" s="657"/>
      <c r="J1308" s="657"/>
      <c r="K1308" s="657"/>
      <c r="L1308" s="657"/>
    </row>
    <row r="1309" spans="1:12">
      <c r="A1309" s="658"/>
      <c r="B1309" s="658"/>
      <c r="C1309" s="658"/>
      <c r="D1309" s="658"/>
      <c r="E1309" s="691"/>
      <c r="F1309" s="653"/>
      <c r="G1309" s="654"/>
      <c r="H1309" s="657"/>
      <c r="I1309" s="657">
        <f t="shared" ref="I1309" si="1130">H1309</f>
        <v>0</v>
      </c>
      <c r="J1309" s="657"/>
      <c r="K1309" s="657"/>
      <c r="L1309" s="657">
        <f t="shared" ref="L1309" si="1131">K1309-I1309</f>
        <v>0</v>
      </c>
    </row>
    <row r="1310" spans="1:12">
      <c r="A1310" s="658"/>
      <c r="B1310" s="658"/>
      <c r="C1310" s="658"/>
      <c r="D1310" s="658"/>
      <c r="E1310" s="691"/>
      <c r="F1310" s="655"/>
      <c r="G1310" s="656"/>
      <c r="H1310" s="657"/>
      <c r="I1310" s="657"/>
      <c r="J1310" s="657"/>
      <c r="K1310" s="657"/>
      <c r="L1310" s="657"/>
    </row>
    <row r="1311" spans="1:12">
      <c r="A1311" s="658"/>
      <c r="B1311" s="658"/>
      <c r="C1311" s="658"/>
      <c r="D1311" s="658"/>
      <c r="E1311" s="691"/>
      <c r="F1311" s="653"/>
      <c r="G1311" s="654"/>
      <c r="H1311" s="657"/>
      <c r="I1311" s="657">
        <f t="shared" ref="I1311" si="1132">H1311</f>
        <v>0</v>
      </c>
      <c r="J1311" s="657"/>
      <c r="K1311" s="657"/>
      <c r="L1311" s="657">
        <f t="shared" ref="L1311" si="1133">K1311-I1311</f>
        <v>0</v>
      </c>
    </row>
    <row r="1312" spans="1:12">
      <c r="A1312" s="658"/>
      <c r="B1312" s="658"/>
      <c r="C1312" s="658"/>
      <c r="D1312" s="658"/>
      <c r="E1312" s="691"/>
      <c r="F1312" s="655"/>
      <c r="G1312" s="656"/>
      <c r="H1312" s="657"/>
      <c r="I1312" s="657"/>
      <c r="J1312" s="657"/>
      <c r="K1312" s="657"/>
      <c r="L1312" s="657"/>
    </row>
    <row r="1313" spans="1:12">
      <c r="A1313" s="658"/>
      <c r="B1313" s="658"/>
      <c r="C1313" s="658"/>
      <c r="D1313" s="658"/>
      <c r="E1313" s="691"/>
      <c r="F1313" s="653"/>
      <c r="G1313" s="654"/>
      <c r="H1313" s="657"/>
      <c r="I1313" s="657">
        <f t="shared" ref="I1313" si="1134">H1313</f>
        <v>0</v>
      </c>
      <c r="J1313" s="657"/>
      <c r="K1313" s="657"/>
      <c r="L1313" s="657">
        <f t="shared" ref="L1313" si="1135">K1313-I1313</f>
        <v>0</v>
      </c>
    </row>
    <row r="1314" spans="1:12">
      <c r="A1314" s="658"/>
      <c r="B1314" s="658"/>
      <c r="C1314" s="658"/>
      <c r="D1314" s="658"/>
      <c r="E1314" s="691"/>
      <c r="F1314" s="655"/>
      <c r="G1314" s="656"/>
      <c r="H1314" s="657"/>
      <c r="I1314" s="657"/>
      <c r="J1314" s="657"/>
      <c r="K1314" s="657"/>
      <c r="L1314" s="657"/>
    </row>
    <row r="1315" spans="1:12">
      <c r="A1315" s="658"/>
      <c r="B1315" s="658"/>
      <c r="C1315" s="658"/>
      <c r="D1315" s="658"/>
      <c r="E1315" s="691"/>
      <c r="F1315" s="653"/>
      <c r="G1315" s="654"/>
      <c r="H1315" s="657"/>
      <c r="I1315" s="657">
        <f t="shared" ref="I1315" si="1136">H1315</f>
        <v>0</v>
      </c>
      <c r="J1315" s="657"/>
      <c r="K1315" s="657"/>
      <c r="L1315" s="657">
        <f t="shared" ref="L1315" si="1137">K1315-I1315</f>
        <v>0</v>
      </c>
    </row>
    <row r="1316" spans="1:12">
      <c r="A1316" s="658"/>
      <c r="B1316" s="658"/>
      <c r="C1316" s="658"/>
      <c r="D1316" s="658"/>
      <c r="E1316" s="691"/>
      <c r="F1316" s="655"/>
      <c r="G1316" s="656"/>
      <c r="H1316" s="657"/>
      <c r="I1316" s="657"/>
      <c r="J1316" s="657"/>
      <c r="K1316" s="657"/>
      <c r="L1316" s="657"/>
    </row>
    <row r="1317" spans="1:12">
      <c r="A1317" s="658"/>
      <c r="B1317" s="658"/>
      <c r="C1317" s="658"/>
      <c r="D1317" s="658"/>
      <c r="E1317" s="691"/>
      <c r="F1317" s="653"/>
      <c r="G1317" s="654"/>
      <c r="H1317" s="657"/>
      <c r="I1317" s="657">
        <f t="shared" ref="I1317" si="1138">H1317</f>
        <v>0</v>
      </c>
      <c r="J1317" s="657"/>
      <c r="K1317" s="657"/>
      <c r="L1317" s="657">
        <f t="shared" ref="L1317" si="1139">K1317-I1317</f>
        <v>0</v>
      </c>
    </row>
    <row r="1318" spans="1:12">
      <c r="A1318" s="658"/>
      <c r="B1318" s="658"/>
      <c r="C1318" s="658"/>
      <c r="D1318" s="658"/>
      <c r="E1318" s="691"/>
      <c r="F1318" s="655"/>
      <c r="G1318" s="656"/>
      <c r="H1318" s="657"/>
      <c r="I1318" s="657"/>
      <c r="J1318" s="657"/>
      <c r="K1318" s="657"/>
      <c r="L1318" s="657"/>
    </row>
    <row r="1319" spans="1:12">
      <c r="A1319" s="658"/>
      <c r="B1319" s="658"/>
      <c r="C1319" s="658"/>
      <c r="D1319" s="658"/>
      <c r="E1319" s="691"/>
      <c r="F1319" s="653"/>
      <c r="G1319" s="654"/>
      <c r="H1319" s="657"/>
      <c r="I1319" s="657">
        <f t="shared" ref="I1319" si="1140">H1319</f>
        <v>0</v>
      </c>
      <c r="J1319" s="657"/>
      <c r="K1319" s="657"/>
      <c r="L1319" s="657">
        <f t="shared" ref="L1319" si="1141">K1319-I1319</f>
        <v>0</v>
      </c>
    </row>
    <row r="1320" spans="1:12">
      <c r="A1320" s="658"/>
      <c r="B1320" s="658"/>
      <c r="C1320" s="658"/>
      <c r="D1320" s="658"/>
      <c r="E1320" s="691"/>
      <c r="F1320" s="655"/>
      <c r="G1320" s="656"/>
      <c r="H1320" s="657"/>
      <c r="I1320" s="657"/>
      <c r="J1320" s="657"/>
      <c r="K1320" s="657"/>
      <c r="L1320" s="657"/>
    </row>
    <row r="1321" spans="1:12">
      <c r="A1321" s="658"/>
      <c r="B1321" s="658"/>
      <c r="C1321" s="658"/>
      <c r="D1321" s="658"/>
      <c r="E1321" s="691"/>
      <c r="F1321" s="653"/>
      <c r="G1321" s="654"/>
      <c r="H1321" s="657"/>
      <c r="I1321" s="657">
        <f t="shared" ref="I1321" si="1142">H1321</f>
        <v>0</v>
      </c>
      <c r="J1321" s="657"/>
      <c r="K1321" s="657"/>
      <c r="L1321" s="657">
        <f t="shared" ref="L1321" si="1143">K1321-I1321</f>
        <v>0</v>
      </c>
    </row>
    <row r="1322" spans="1:12">
      <c r="A1322" s="658"/>
      <c r="B1322" s="658"/>
      <c r="C1322" s="658"/>
      <c r="D1322" s="658"/>
      <c r="E1322" s="691"/>
      <c r="F1322" s="655"/>
      <c r="G1322" s="656"/>
      <c r="H1322" s="657"/>
      <c r="I1322" s="657"/>
      <c r="J1322" s="657"/>
      <c r="K1322" s="657"/>
      <c r="L1322" s="657"/>
    </row>
    <row r="1323" spans="1:12">
      <c r="A1323" s="658"/>
      <c r="B1323" s="658"/>
      <c r="C1323" s="658"/>
      <c r="D1323" s="658"/>
      <c r="E1323" s="691"/>
      <c r="F1323" s="653"/>
      <c r="G1323" s="654"/>
      <c r="H1323" s="657"/>
      <c r="I1323" s="657">
        <f t="shared" ref="I1323" si="1144">H1323</f>
        <v>0</v>
      </c>
      <c r="J1323" s="657"/>
      <c r="K1323" s="657"/>
      <c r="L1323" s="657">
        <f t="shared" ref="L1323" si="1145">K1323-I1323</f>
        <v>0</v>
      </c>
    </row>
    <row r="1324" spans="1:12">
      <c r="A1324" s="658"/>
      <c r="B1324" s="658"/>
      <c r="C1324" s="658"/>
      <c r="D1324" s="658"/>
      <c r="E1324" s="691"/>
      <c r="F1324" s="655"/>
      <c r="G1324" s="656"/>
      <c r="H1324" s="657"/>
      <c r="I1324" s="657"/>
      <c r="J1324" s="657"/>
      <c r="K1324" s="657"/>
      <c r="L1324" s="657"/>
    </row>
    <row r="1325" spans="1:12">
      <c r="A1325" s="658"/>
      <c r="B1325" s="658"/>
      <c r="C1325" s="658"/>
      <c r="D1325" s="658"/>
      <c r="E1325" s="691"/>
      <c r="F1325" s="653"/>
      <c r="G1325" s="654"/>
      <c r="H1325" s="657"/>
      <c r="I1325" s="657">
        <f t="shared" ref="I1325" si="1146">H1325</f>
        <v>0</v>
      </c>
      <c r="J1325" s="657"/>
      <c r="K1325" s="657"/>
      <c r="L1325" s="657">
        <f t="shared" ref="L1325" si="1147">K1325-I1325</f>
        <v>0</v>
      </c>
    </row>
    <row r="1326" spans="1:12">
      <c r="A1326" s="658"/>
      <c r="B1326" s="658"/>
      <c r="C1326" s="658"/>
      <c r="D1326" s="658"/>
      <c r="E1326" s="691"/>
      <c r="F1326" s="655"/>
      <c r="G1326" s="656"/>
      <c r="H1326" s="657"/>
      <c r="I1326" s="657"/>
      <c r="J1326" s="657"/>
      <c r="K1326" s="657"/>
      <c r="L1326" s="657"/>
    </row>
    <row r="1327" spans="1:12">
      <c r="A1327" s="658"/>
      <c r="B1327" s="658"/>
      <c r="C1327" s="658"/>
      <c r="D1327" s="658"/>
      <c r="E1327" s="691"/>
      <c r="F1327" s="653"/>
      <c r="G1327" s="654"/>
      <c r="H1327" s="657"/>
      <c r="I1327" s="657">
        <f t="shared" ref="I1327" si="1148">H1327</f>
        <v>0</v>
      </c>
      <c r="J1327" s="657"/>
      <c r="K1327" s="657"/>
      <c r="L1327" s="657">
        <f t="shared" ref="L1327" si="1149">K1327-I1327</f>
        <v>0</v>
      </c>
    </row>
    <row r="1328" spans="1:12">
      <c r="A1328" s="658"/>
      <c r="B1328" s="658"/>
      <c r="C1328" s="658"/>
      <c r="D1328" s="658"/>
      <c r="E1328" s="691"/>
      <c r="F1328" s="655"/>
      <c r="G1328" s="656"/>
      <c r="H1328" s="657"/>
      <c r="I1328" s="657"/>
      <c r="J1328" s="657"/>
      <c r="K1328" s="657"/>
      <c r="L1328" s="657"/>
    </row>
    <row r="1329" spans="1:12">
      <c r="A1329" s="658"/>
      <c r="B1329" s="658"/>
      <c r="C1329" s="658"/>
      <c r="D1329" s="658"/>
      <c r="E1329" s="691"/>
      <c r="F1329" s="653"/>
      <c r="G1329" s="654"/>
      <c r="H1329" s="657"/>
      <c r="I1329" s="657">
        <f t="shared" ref="I1329" si="1150">H1329</f>
        <v>0</v>
      </c>
      <c r="J1329" s="657"/>
      <c r="K1329" s="657"/>
      <c r="L1329" s="657">
        <f t="shared" ref="L1329" si="1151">K1329-I1329</f>
        <v>0</v>
      </c>
    </row>
    <row r="1330" spans="1:12">
      <c r="A1330" s="658"/>
      <c r="B1330" s="658"/>
      <c r="C1330" s="658"/>
      <c r="D1330" s="658"/>
      <c r="E1330" s="691"/>
      <c r="F1330" s="655"/>
      <c r="G1330" s="656"/>
      <c r="H1330" s="657"/>
      <c r="I1330" s="657"/>
      <c r="J1330" s="657"/>
      <c r="K1330" s="657"/>
      <c r="L1330" s="657"/>
    </row>
    <row r="1331" spans="1:12">
      <c r="A1331" s="658"/>
      <c r="B1331" s="658"/>
      <c r="C1331" s="658"/>
      <c r="D1331" s="658"/>
      <c r="E1331" s="691"/>
      <c r="F1331" s="653"/>
      <c r="G1331" s="654"/>
      <c r="H1331" s="657"/>
      <c r="I1331" s="657">
        <f t="shared" ref="I1331" si="1152">H1331</f>
        <v>0</v>
      </c>
      <c r="J1331" s="657"/>
      <c r="K1331" s="657"/>
      <c r="L1331" s="657">
        <f t="shared" ref="L1331" si="1153">K1331-I1331</f>
        <v>0</v>
      </c>
    </row>
    <row r="1332" spans="1:12">
      <c r="A1332" s="658"/>
      <c r="B1332" s="658"/>
      <c r="C1332" s="658"/>
      <c r="D1332" s="658"/>
      <c r="E1332" s="691"/>
      <c r="F1332" s="655"/>
      <c r="G1332" s="656"/>
      <c r="H1332" s="657"/>
      <c r="I1332" s="657"/>
      <c r="J1332" s="657"/>
      <c r="K1332" s="657"/>
      <c r="L1332" s="657"/>
    </row>
    <row r="1333" spans="1:12">
      <c r="A1333" s="658"/>
      <c r="B1333" s="658"/>
      <c r="C1333" s="658"/>
      <c r="D1333" s="658"/>
      <c r="E1333" s="691"/>
      <c r="F1333" s="653"/>
      <c r="G1333" s="654"/>
      <c r="H1333" s="657"/>
      <c r="I1333" s="657">
        <f t="shared" ref="I1333" si="1154">H1333</f>
        <v>0</v>
      </c>
      <c r="J1333" s="657"/>
      <c r="K1333" s="657"/>
      <c r="L1333" s="657">
        <f t="shared" ref="L1333" si="1155">K1333-I1333</f>
        <v>0</v>
      </c>
    </row>
    <row r="1334" spans="1:12">
      <c r="A1334" s="658"/>
      <c r="B1334" s="658"/>
      <c r="C1334" s="658"/>
      <c r="D1334" s="658"/>
      <c r="E1334" s="691"/>
      <c r="F1334" s="655"/>
      <c r="G1334" s="656"/>
      <c r="H1334" s="657"/>
      <c r="I1334" s="657"/>
      <c r="J1334" s="657"/>
      <c r="K1334" s="657"/>
      <c r="L1334" s="657"/>
    </row>
    <row r="1335" spans="1:12">
      <c r="A1335" s="658"/>
      <c r="B1335" s="658"/>
      <c r="C1335" s="658"/>
      <c r="D1335" s="658"/>
      <c r="E1335" s="691"/>
      <c r="F1335" s="653"/>
      <c r="G1335" s="654"/>
      <c r="H1335" s="657"/>
      <c r="I1335" s="657">
        <f t="shared" ref="I1335" si="1156">H1335</f>
        <v>0</v>
      </c>
      <c r="J1335" s="657"/>
      <c r="K1335" s="657"/>
      <c r="L1335" s="657">
        <f t="shared" ref="L1335" si="1157">K1335-I1335</f>
        <v>0</v>
      </c>
    </row>
    <row r="1336" spans="1:12">
      <c r="A1336" s="658"/>
      <c r="B1336" s="658"/>
      <c r="C1336" s="658"/>
      <c r="D1336" s="658"/>
      <c r="E1336" s="691"/>
      <c r="F1336" s="655"/>
      <c r="G1336" s="656"/>
      <c r="H1336" s="657"/>
      <c r="I1336" s="657"/>
      <c r="J1336" s="657"/>
      <c r="K1336" s="657"/>
      <c r="L1336" s="657"/>
    </row>
    <row r="1337" spans="1:12">
      <c r="A1337" s="658"/>
      <c r="B1337" s="658"/>
      <c r="C1337" s="658"/>
      <c r="D1337" s="658"/>
      <c r="E1337" s="691"/>
      <c r="F1337" s="653"/>
      <c r="G1337" s="654"/>
      <c r="H1337" s="657"/>
      <c r="I1337" s="657">
        <f t="shared" ref="I1337" si="1158">H1337</f>
        <v>0</v>
      </c>
      <c r="J1337" s="657"/>
      <c r="K1337" s="657"/>
      <c r="L1337" s="657">
        <f t="shared" ref="L1337" si="1159">K1337-I1337</f>
        <v>0</v>
      </c>
    </row>
    <row r="1338" spans="1:12">
      <c r="A1338" s="658"/>
      <c r="B1338" s="658"/>
      <c r="C1338" s="658"/>
      <c r="D1338" s="658"/>
      <c r="E1338" s="691"/>
      <c r="F1338" s="655"/>
      <c r="G1338" s="656"/>
      <c r="H1338" s="657"/>
      <c r="I1338" s="657"/>
      <c r="J1338" s="657"/>
      <c r="K1338" s="657"/>
      <c r="L1338" s="657"/>
    </row>
    <row r="1339" spans="1:12">
      <c r="A1339" s="658"/>
      <c r="B1339" s="658"/>
      <c r="C1339" s="658"/>
      <c r="D1339" s="658"/>
      <c r="E1339" s="691"/>
      <c r="F1339" s="653"/>
      <c r="G1339" s="654"/>
      <c r="H1339" s="657"/>
      <c r="I1339" s="657">
        <f t="shared" ref="I1339" si="1160">H1339</f>
        <v>0</v>
      </c>
      <c r="J1339" s="657"/>
      <c r="K1339" s="657"/>
      <c r="L1339" s="657">
        <f t="shared" ref="L1339" si="1161">K1339-I1339</f>
        <v>0</v>
      </c>
    </row>
    <row r="1340" spans="1:12">
      <c r="A1340" s="658"/>
      <c r="B1340" s="658"/>
      <c r="C1340" s="658"/>
      <c r="D1340" s="658"/>
      <c r="E1340" s="691"/>
      <c r="F1340" s="655"/>
      <c r="G1340" s="656"/>
      <c r="H1340" s="657"/>
      <c r="I1340" s="657"/>
      <c r="J1340" s="657"/>
      <c r="K1340" s="657"/>
      <c r="L1340" s="657"/>
    </row>
    <row r="1341" spans="1:12">
      <c r="A1341" s="658"/>
      <c r="B1341" s="658"/>
      <c r="C1341" s="658"/>
      <c r="D1341" s="658"/>
      <c r="E1341" s="691"/>
      <c r="F1341" s="653"/>
      <c r="G1341" s="654"/>
      <c r="H1341" s="657"/>
      <c r="I1341" s="657">
        <f t="shared" ref="I1341" si="1162">H1341</f>
        <v>0</v>
      </c>
      <c r="J1341" s="657"/>
      <c r="K1341" s="657"/>
      <c r="L1341" s="657">
        <f t="shared" ref="L1341" si="1163">K1341-I1341</f>
        <v>0</v>
      </c>
    </row>
    <row r="1342" spans="1:12">
      <c r="A1342" s="658"/>
      <c r="B1342" s="658"/>
      <c r="C1342" s="658"/>
      <c r="D1342" s="658"/>
      <c r="E1342" s="691"/>
      <c r="F1342" s="655"/>
      <c r="G1342" s="656"/>
      <c r="H1342" s="657"/>
      <c r="I1342" s="657"/>
      <c r="J1342" s="657"/>
      <c r="K1342" s="657"/>
      <c r="L1342" s="657"/>
    </row>
    <row r="1343" spans="1:12">
      <c r="A1343" s="658"/>
      <c r="B1343" s="658"/>
      <c r="C1343" s="658"/>
      <c r="D1343" s="658"/>
      <c r="E1343" s="691"/>
      <c r="F1343" s="653"/>
      <c r="G1343" s="654"/>
      <c r="H1343" s="657"/>
      <c r="I1343" s="657">
        <f t="shared" ref="I1343" si="1164">H1343</f>
        <v>0</v>
      </c>
      <c r="J1343" s="657"/>
      <c r="K1343" s="657"/>
      <c r="L1343" s="657">
        <f t="shared" ref="L1343" si="1165">K1343-I1343</f>
        <v>0</v>
      </c>
    </row>
    <row r="1344" spans="1:12">
      <c r="A1344" s="658"/>
      <c r="B1344" s="658"/>
      <c r="C1344" s="658"/>
      <c r="D1344" s="658"/>
      <c r="E1344" s="691"/>
      <c r="F1344" s="655"/>
      <c r="G1344" s="656"/>
      <c r="H1344" s="657"/>
      <c r="I1344" s="657"/>
      <c r="J1344" s="657"/>
      <c r="K1344" s="657"/>
      <c r="L1344" s="657"/>
    </row>
    <row r="1345" spans="1:12">
      <c r="A1345" s="658"/>
      <c r="B1345" s="658"/>
      <c r="C1345" s="658"/>
      <c r="D1345" s="658"/>
      <c r="E1345" s="691"/>
      <c r="F1345" s="653"/>
      <c r="G1345" s="654"/>
      <c r="H1345" s="657"/>
      <c r="I1345" s="657">
        <f t="shared" ref="I1345" si="1166">H1345</f>
        <v>0</v>
      </c>
      <c r="J1345" s="657"/>
      <c r="K1345" s="657"/>
      <c r="L1345" s="657">
        <f t="shared" ref="L1345" si="1167">K1345-I1345</f>
        <v>0</v>
      </c>
    </row>
    <row r="1346" spans="1:12">
      <c r="A1346" s="658"/>
      <c r="B1346" s="658"/>
      <c r="C1346" s="658"/>
      <c r="D1346" s="658"/>
      <c r="E1346" s="691"/>
      <c r="F1346" s="655"/>
      <c r="G1346" s="656"/>
      <c r="H1346" s="657"/>
      <c r="I1346" s="657"/>
      <c r="J1346" s="657"/>
      <c r="K1346" s="657"/>
      <c r="L1346" s="657"/>
    </row>
    <row r="1347" spans="1:12">
      <c r="A1347" s="658"/>
      <c r="B1347" s="658"/>
      <c r="C1347" s="658"/>
      <c r="D1347" s="658"/>
      <c r="E1347" s="691"/>
      <c r="F1347" s="653"/>
      <c r="G1347" s="654"/>
      <c r="H1347" s="657"/>
      <c r="I1347" s="657">
        <f t="shared" ref="I1347" si="1168">H1347</f>
        <v>0</v>
      </c>
      <c r="J1347" s="657"/>
      <c r="K1347" s="657"/>
      <c r="L1347" s="657">
        <f t="shared" ref="L1347" si="1169">K1347-I1347</f>
        <v>0</v>
      </c>
    </row>
    <row r="1348" spans="1:12">
      <c r="A1348" s="658"/>
      <c r="B1348" s="658"/>
      <c r="C1348" s="658"/>
      <c r="D1348" s="658"/>
      <c r="E1348" s="691"/>
      <c r="F1348" s="655"/>
      <c r="G1348" s="656"/>
      <c r="H1348" s="657"/>
      <c r="I1348" s="657"/>
      <c r="J1348" s="657"/>
      <c r="K1348" s="657"/>
      <c r="L1348" s="657"/>
    </row>
    <row r="1349" spans="1:12">
      <c r="A1349" s="658"/>
      <c r="B1349" s="658"/>
      <c r="C1349" s="658"/>
      <c r="D1349" s="658"/>
      <c r="E1349" s="691"/>
      <c r="F1349" s="653"/>
      <c r="G1349" s="654"/>
      <c r="H1349" s="657"/>
      <c r="I1349" s="657">
        <f t="shared" ref="I1349" si="1170">H1349</f>
        <v>0</v>
      </c>
      <c r="J1349" s="657"/>
      <c r="K1349" s="657"/>
      <c r="L1349" s="657">
        <f t="shared" ref="L1349" si="1171">K1349-I1349</f>
        <v>0</v>
      </c>
    </row>
    <row r="1350" spans="1:12">
      <c r="A1350" s="658"/>
      <c r="B1350" s="658"/>
      <c r="C1350" s="658"/>
      <c r="D1350" s="658"/>
      <c r="E1350" s="691"/>
      <c r="F1350" s="655"/>
      <c r="G1350" s="656"/>
      <c r="H1350" s="657"/>
      <c r="I1350" s="657"/>
      <c r="J1350" s="657"/>
      <c r="K1350" s="657"/>
      <c r="L1350" s="657"/>
    </row>
    <row r="1351" spans="1:12">
      <c r="A1351" s="658"/>
      <c r="B1351" s="658"/>
      <c r="C1351" s="658"/>
      <c r="D1351" s="658"/>
      <c r="E1351" s="691"/>
      <c r="F1351" s="653"/>
      <c r="G1351" s="654"/>
      <c r="H1351" s="657"/>
      <c r="I1351" s="657">
        <f t="shared" ref="I1351" si="1172">H1351</f>
        <v>0</v>
      </c>
      <c r="J1351" s="657"/>
      <c r="K1351" s="657"/>
      <c r="L1351" s="657">
        <f t="shared" ref="L1351" si="1173">K1351-I1351</f>
        <v>0</v>
      </c>
    </row>
    <row r="1352" spans="1:12">
      <c r="A1352" s="658"/>
      <c r="B1352" s="658"/>
      <c r="C1352" s="658"/>
      <c r="D1352" s="658"/>
      <c r="E1352" s="691"/>
      <c r="F1352" s="655"/>
      <c r="G1352" s="656"/>
      <c r="H1352" s="657"/>
      <c r="I1352" s="657"/>
      <c r="J1352" s="657"/>
      <c r="K1352" s="657"/>
      <c r="L1352" s="657"/>
    </row>
    <row r="1353" spans="1:12">
      <c r="A1353" s="658"/>
      <c r="B1353" s="658"/>
      <c r="C1353" s="658"/>
      <c r="D1353" s="658"/>
      <c r="E1353" s="691"/>
      <c r="F1353" s="653"/>
      <c r="G1353" s="654"/>
      <c r="H1353" s="657"/>
      <c r="I1353" s="657">
        <f t="shared" ref="I1353" si="1174">H1353</f>
        <v>0</v>
      </c>
      <c r="J1353" s="657"/>
      <c r="K1353" s="657"/>
      <c r="L1353" s="657">
        <f t="shared" ref="L1353" si="1175">K1353-I1353</f>
        <v>0</v>
      </c>
    </row>
    <row r="1354" spans="1:12">
      <c r="A1354" s="658"/>
      <c r="B1354" s="658"/>
      <c r="C1354" s="658"/>
      <c r="D1354" s="658"/>
      <c r="E1354" s="691"/>
      <c r="F1354" s="655"/>
      <c r="G1354" s="656"/>
      <c r="H1354" s="657"/>
      <c r="I1354" s="657"/>
      <c r="J1354" s="657"/>
      <c r="K1354" s="657"/>
      <c r="L1354" s="657"/>
    </row>
    <row r="1355" spans="1:12">
      <c r="A1355" s="658"/>
      <c r="B1355" s="658"/>
      <c r="C1355" s="658"/>
      <c r="D1355" s="658"/>
      <c r="E1355" s="691"/>
      <c r="F1355" s="653"/>
      <c r="G1355" s="654"/>
      <c r="H1355" s="657"/>
      <c r="I1355" s="657">
        <f t="shared" ref="I1355" si="1176">H1355</f>
        <v>0</v>
      </c>
      <c r="J1355" s="657"/>
      <c r="K1355" s="657"/>
      <c r="L1355" s="657">
        <f t="shared" ref="L1355" si="1177">K1355-I1355</f>
        <v>0</v>
      </c>
    </row>
    <row r="1356" spans="1:12">
      <c r="A1356" s="658"/>
      <c r="B1356" s="658"/>
      <c r="C1356" s="658"/>
      <c r="D1356" s="658"/>
      <c r="E1356" s="691"/>
      <c r="F1356" s="655"/>
      <c r="G1356" s="656"/>
      <c r="H1356" s="657"/>
      <c r="I1356" s="657"/>
      <c r="J1356" s="657"/>
      <c r="K1356" s="657"/>
      <c r="L1356" s="657"/>
    </row>
    <row r="1357" spans="1:12">
      <c r="A1357" s="658"/>
      <c r="B1357" s="658"/>
      <c r="C1357" s="658"/>
      <c r="D1357" s="658"/>
      <c r="E1357" s="691"/>
      <c r="F1357" s="653"/>
      <c r="G1357" s="654"/>
      <c r="H1357" s="657"/>
      <c r="I1357" s="657">
        <f t="shared" ref="I1357" si="1178">H1357</f>
        <v>0</v>
      </c>
      <c r="J1357" s="657"/>
      <c r="K1357" s="657"/>
      <c r="L1357" s="657">
        <f t="shared" ref="L1357" si="1179">K1357-I1357</f>
        <v>0</v>
      </c>
    </row>
    <row r="1358" spans="1:12">
      <c r="A1358" s="658"/>
      <c r="B1358" s="658"/>
      <c r="C1358" s="658"/>
      <c r="D1358" s="658"/>
      <c r="E1358" s="691"/>
      <c r="F1358" s="655"/>
      <c r="G1358" s="656"/>
      <c r="H1358" s="657"/>
      <c r="I1358" s="657"/>
      <c r="J1358" s="657"/>
      <c r="K1358" s="657"/>
      <c r="L1358" s="657"/>
    </row>
    <row r="1359" spans="1:12">
      <c r="A1359" s="658"/>
      <c r="B1359" s="658"/>
      <c r="C1359" s="658"/>
      <c r="D1359" s="658"/>
      <c r="E1359" s="691"/>
      <c r="F1359" s="653"/>
      <c r="G1359" s="654"/>
      <c r="H1359" s="657"/>
      <c r="I1359" s="657">
        <f t="shared" ref="I1359" si="1180">H1359</f>
        <v>0</v>
      </c>
      <c r="J1359" s="657"/>
      <c r="K1359" s="657"/>
      <c r="L1359" s="657">
        <f t="shared" ref="L1359" si="1181">K1359-I1359</f>
        <v>0</v>
      </c>
    </row>
    <row r="1360" spans="1:12">
      <c r="A1360" s="658"/>
      <c r="B1360" s="658"/>
      <c r="C1360" s="658"/>
      <c r="D1360" s="658"/>
      <c r="E1360" s="691"/>
      <c r="F1360" s="655"/>
      <c r="G1360" s="656"/>
      <c r="H1360" s="657"/>
      <c r="I1360" s="657"/>
      <c r="J1360" s="657"/>
      <c r="K1360" s="657"/>
      <c r="L1360" s="657"/>
    </row>
    <row r="1361" spans="1:12">
      <c r="A1361" s="658"/>
      <c r="B1361" s="658"/>
      <c r="C1361" s="658"/>
      <c r="D1361" s="658"/>
      <c r="E1361" s="691"/>
      <c r="F1361" s="653"/>
      <c r="G1361" s="654"/>
      <c r="H1361" s="657"/>
      <c r="I1361" s="657">
        <f t="shared" ref="I1361" si="1182">H1361</f>
        <v>0</v>
      </c>
      <c r="J1361" s="657"/>
      <c r="K1361" s="657"/>
      <c r="L1361" s="657">
        <f t="shared" ref="L1361" si="1183">K1361-I1361</f>
        <v>0</v>
      </c>
    </row>
    <row r="1362" spans="1:12">
      <c r="A1362" s="658"/>
      <c r="B1362" s="658"/>
      <c r="C1362" s="658"/>
      <c r="D1362" s="658"/>
      <c r="E1362" s="691"/>
      <c r="F1362" s="655"/>
      <c r="G1362" s="656"/>
      <c r="H1362" s="657"/>
      <c r="I1362" s="657"/>
      <c r="J1362" s="657"/>
      <c r="K1362" s="657"/>
      <c r="L1362" s="657"/>
    </row>
    <row r="1363" spans="1:12">
      <c r="A1363" s="658"/>
      <c r="B1363" s="658"/>
      <c r="C1363" s="658"/>
      <c r="D1363" s="658"/>
      <c r="E1363" s="691"/>
      <c r="F1363" s="653"/>
      <c r="G1363" s="654"/>
      <c r="H1363" s="657"/>
      <c r="I1363" s="657">
        <f t="shared" ref="I1363" si="1184">H1363</f>
        <v>0</v>
      </c>
      <c r="J1363" s="657"/>
      <c r="K1363" s="657"/>
      <c r="L1363" s="657">
        <f t="shared" ref="L1363" si="1185">K1363-I1363</f>
        <v>0</v>
      </c>
    </row>
    <row r="1364" spans="1:12">
      <c r="A1364" s="658"/>
      <c r="B1364" s="658"/>
      <c r="C1364" s="658"/>
      <c r="D1364" s="658"/>
      <c r="E1364" s="691"/>
      <c r="F1364" s="655"/>
      <c r="G1364" s="656"/>
      <c r="H1364" s="657"/>
      <c r="I1364" s="657"/>
      <c r="J1364" s="657"/>
      <c r="K1364" s="657"/>
      <c r="L1364" s="657"/>
    </row>
  </sheetData>
  <mergeCells count="7374">
    <mergeCell ref="L1199:L1200"/>
    <mergeCell ref="L1159:L1160"/>
    <mergeCell ref="L1161:L1162"/>
    <mergeCell ref="K1159:K1160"/>
    <mergeCell ref="A1161:A1162"/>
    <mergeCell ref="B1161:B1162"/>
    <mergeCell ref="C1161:C1162"/>
    <mergeCell ref="D1161:D1162"/>
    <mergeCell ref="L1163:L1164"/>
    <mergeCell ref="L1173:L1174"/>
    <mergeCell ref="A1165:A1166"/>
    <mergeCell ref="B1165:B1166"/>
    <mergeCell ref="I1165:I1166"/>
    <mergeCell ref="J1165:J1166"/>
    <mergeCell ref="K1165:K1166"/>
    <mergeCell ref="L1165:L1166"/>
    <mergeCell ref="J1167:J1168"/>
    <mergeCell ref="K1167:K1168"/>
    <mergeCell ref="L1167:L1168"/>
    <mergeCell ref="A1167:A1168"/>
    <mergeCell ref="B1167:B1168"/>
    <mergeCell ref="C1167:C1168"/>
    <mergeCell ref="D1167:D1168"/>
    <mergeCell ref="K1173:K1174"/>
    <mergeCell ref="F1167:G1168"/>
    <mergeCell ref="H1167:H1168"/>
    <mergeCell ref="C1165:C1166"/>
    <mergeCell ref="E1165:E1166"/>
    <mergeCell ref="F1165:G1166"/>
    <mergeCell ref="H1165:H1166"/>
    <mergeCell ref="I1167:I1168"/>
    <mergeCell ref="E1167:E1168"/>
    <mergeCell ref="B775:B776"/>
    <mergeCell ref="C775:C776"/>
    <mergeCell ref="D775:D776"/>
    <mergeCell ref="E775:E776"/>
    <mergeCell ref="F775:G776"/>
    <mergeCell ref="H775:H776"/>
    <mergeCell ref="I775:I776"/>
    <mergeCell ref="J775:J776"/>
    <mergeCell ref="K775:K776"/>
    <mergeCell ref="L775:L776"/>
    <mergeCell ref="B777:B778"/>
    <mergeCell ref="C777:C778"/>
    <mergeCell ref="D777:D778"/>
    <mergeCell ref="E777:E778"/>
    <mergeCell ref="F777:G778"/>
    <mergeCell ref="H777:H778"/>
    <mergeCell ref="A949:A950"/>
    <mergeCell ref="B949:B950"/>
    <mergeCell ref="E949:E950"/>
    <mergeCell ref="F949:G950"/>
    <mergeCell ref="H949:H950"/>
    <mergeCell ref="I949:I950"/>
    <mergeCell ref="J949:J950"/>
    <mergeCell ref="K949:K950"/>
    <mergeCell ref="L949:L950"/>
    <mergeCell ref="K947:K948"/>
    <mergeCell ref="L947:L948"/>
    <mergeCell ref="A941:A942"/>
    <mergeCell ref="B941:B942"/>
    <mergeCell ref="C941:C942"/>
    <mergeCell ref="D941:D942"/>
    <mergeCell ref="E941:E942"/>
    <mergeCell ref="K705:K706"/>
    <mergeCell ref="A1179:A1180"/>
    <mergeCell ref="B1179:B1180"/>
    <mergeCell ref="C1179:C1180"/>
    <mergeCell ref="D1179:D1180"/>
    <mergeCell ref="E1179:E1180"/>
    <mergeCell ref="F1179:G1180"/>
    <mergeCell ref="H1179:H1180"/>
    <mergeCell ref="I1179:I1180"/>
    <mergeCell ref="J1179:J1180"/>
    <mergeCell ref="K1179:K1180"/>
    <mergeCell ref="L1179:L1180"/>
    <mergeCell ref="A727:A728"/>
    <mergeCell ref="B727:B728"/>
    <mergeCell ref="C727:C728"/>
    <mergeCell ref="D727:D728"/>
    <mergeCell ref="E727:E728"/>
    <mergeCell ref="F727:G728"/>
    <mergeCell ref="H727:H728"/>
    <mergeCell ref="I727:I728"/>
    <mergeCell ref="J727:J728"/>
    <mergeCell ref="K727:K728"/>
    <mergeCell ref="L727:L728"/>
    <mergeCell ref="A1175:A1176"/>
    <mergeCell ref="B1175:B1176"/>
    <mergeCell ref="C1175:C1176"/>
    <mergeCell ref="A1159:A1160"/>
    <mergeCell ref="I923:I924"/>
    <mergeCell ref="A951:L952"/>
    <mergeCell ref="A831:A832"/>
    <mergeCell ref="B831:B832"/>
    <mergeCell ref="C831:C832"/>
    <mergeCell ref="K1171:K1172"/>
    <mergeCell ref="I1175:I1176"/>
    <mergeCell ref="J1175:J1176"/>
    <mergeCell ref="J1173:J1174"/>
    <mergeCell ref="E1173:E1174"/>
    <mergeCell ref="I1173:I1174"/>
    <mergeCell ref="K1175:K1176"/>
    <mergeCell ref="L1175:L1176"/>
    <mergeCell ref="F1173:G1174"/>
    <mergeCell ref="H1173:H1174"/>
    <mergeCell ref="A1171:A1172"/>
    <mergeCell ref="B1171:B1172"/>
    <mergeCell ref="C1171:C1172"/>
    <mergeCell ref="D1171:D1172"/>
    <mergeCell ref="D949:D950"/>
    <mergeCell ref="L981:L982"/>
    <mergeCell ref="I777:I778"/>
    <mergeCell ref="J777:J778"/>
    <mergeCell ref="K777:K778"/>
    <mergeCell ref="L777:L778"/>
    <mergeCell ref="D831:D832"/>
    <mergeCell ref="E831:E832"/>
    <mergeCell ref="F831:G832"/>
    <mergeCell ref="H831:H832"/>
    <mergeCell ref="I831:I832"/>
    <mergeCell ref="J831:J832"/>
    <mergeCell ref="K831:K832"/>
    <mergeCell ref="L831:L832"/>
    <mergeCell ref="L1171:L1172"/>
    <mergeCell ref="A1157:A1158"/>
    <mergeCell ref="B1157:B1158"/>
    <mergeCell ref="C1157:C1158"/>
    <mergeCell ref="L1177:L1178"/>
    <mergeCell ref="A1169:A1170"/>
    <mergeCell ref="B1169:B1170"/>
    <mergeCell ref="C1169:C1170"/>
    <mergeCell ref="D1169:D1170"/>
    <mergeCell ref="E1169:E1170"/>
    <mergeCell ref="F1169:G1170"/>
    <mergeCell ref="H1169:H1170"/>
    <mergeCell ref="I1169:I1170"/>
    <mergeCell ref="J1169:J1170"/>
    <mergeCell ref="K1169:K1170"/>
    <mergeCell ref="L1169:L1170"/>
    <mergeCell ref="C1159:C1160"/>
    <mergeCell ref="D1159:D1160"/>
    <mergeCell ref="E1159:E1160"/>
    <mergeCell ref="F1159:G1160"/>
    <mergeCell ref="H1159:H1160"/>
    <mergeCell ref="I1159:I1160"/>
    <mergeCell ref="J1159:J1160"/>
    <mergeCell ref="K1177:K1178"/>
    <mergeCell ref="A1163:A1164"/>
    <mergeCell ref="B1163:B1164"/>
    <mergeCell ref="C1163:C1164"/>
    <mergeCell ref="D1163:D1164"/>
    <mergeCell ref="E1163:E1164"/>
    <mergeCell ref="F1163:G1164"/>
    <mergeCell ref="H1163:H1164"/>
    <mergeCell ref="I1163:I1164"/>
    <mergeCell ref="J1163:J1164"/>
    <mergeCell ref="K1163:K1164"/>
    <mergeCell ref="D1165:D1166"/>
    <mergeCell ref="E1175:E1176"/>
    <mergeCell ref="E1157:E1158"/>
    <mergeCell ref="F1157:G1158"/>
    <mergeCell ref="H1157:H1158"/>
    <mergeCell ref="I1157:I1158"/>
    <mergeCell ref="J1157:J1158"/>
    <mergeCell ref="A1177:A1178"/>
    <mergeCell ref="B1177:B1178"/>
    <mergeCell ref="C1177:C1178"/>
    <mergeCell ref="D1177:D1178"/>
    <mergeCell ref="E1177:E1178"/>
    <mergeCell ref="F1177:G1178"/>
    <mergeCell ref="H1177:H1178"/>
    <mergeCell ref="I1177:I1178"/>
    <mergeCell ref="J1177:J1178"/>
    <mergeCell ref="E1161:E1162"/>
    <mergeCell ref="A1173:A1174"/>
    <mergeCell ref="B1173:B1174"/>
    <mergeCell ref="C1173:C1174"/>
    <mergeCell ref="D1173:D1174"/>
    <mergeCell ref="F1175:G1176"/>
    <mergeCell ref="H1175:H1176"/>
    <mergeCell ref="F1171:G1172"/>
    <mergeCell ref="H1171:H1172"/>
    <mergeCell ref="I1171:I1172"/>
    <mergeCell ref="J1171:J1172"/>
    <mergeCell ref="D1175:D1176"/>
    <mergeCell ref="D1157:D1158"/>
    <mergeCell ref="K1157:K1158"/>
    <mergeCell ref="E1171:E1172"/>
    <mergeCell ref="F1161:G1162"/>
    <mergeCell ref="H1161:H1162"/>
    <mergeCell ref="I1161:I1162"/>
    <mergeCell ref="J1161:J1162"/>
    <mergeCell ref="K1161:K1162"/>
    <mergeCell ref="L1157:L1158"/>
    <mergeCell ref="A1151:A1152"/>
    <mergeCell ref="B1151:B1152"/>
    <mergeCell ref="C1151:C1152"/>
    <mergeCell ref="D1151:D1152"/>
    <mergeCell ref="E1151:E1152"/>
    <mergeCell ref="F1151:G1152"/>
    <mergeCell ref="H1151:H1152"/>
    <mergeCell ref="I1151:I1152"/>
    <mergeCell ref="J1151:J1152"/>
    <mergeCell ref="K1151:K1152"/>
    <mergeCell ref="L1151:L1152"/>
    <mergeCell ref="A1155:A1156"/>
    <mergeCell ref="B1155:B1156"/>
    <mergeCell ref="C1155:C1156"/>
    <mergeCell ref="D1155:D1156"/>
    <mergeCell ref="E1155:E1156"/>
    <mergeCell ref="F1155:G1156"/>
    <mergeCell ref="H1155:H1156"/>
    <mergeCell ref="I1155:I1156"/>
    <mergeCell ref="J1155:J1156"/>
    <mergeCell ref="K1155:K1156"/>
    <mergeCell ref="L1155:L1156"/>
    <mergeCell ref="A1153:L1154"/>
    <mergeCell ref="B1159:B1160"/>
    <mergeCell ref="A1147:A1148"/>
    <mergeCell ref="B1147:B1148"/>
    <mergeCell ref="C1147:C1148"/>
    <mergeCell ref="D1147:D1148"/>
    <mergeCell ref="E1147:E1148"/>
    <mergeCell ref="F1147:G1148"/>
    <mergeCell ref="H1147:H1148"/>
    <mergeCell ref="I1147:I1148"/>
    <mergeCell ref="J1147:J1148"/>
    <mergeCell ref="K1147:K1148"/>
    <mergeCell ref="L1147:L1148"/>
    <mergeCell ref="A1149:A1150"/>
    <mergeCell ref="B1149:B1150"/>
    <mergeCell ref="C1149:C1150"/>
    <mergeCell ref="D1149:D1150"/>
    <mergeCell ref="E1149:E1150"/>
    <mergeCell ref="F1149:G1150"/>
    <mergeCell ref="H1149:H1150"/>
    <mergeCell ref="I1149:I1150"/>
    <mergeCell ref="J1149:J1150"/>
    <mergeCell ref="K1149:K1150"/>
    <mergeCell ref="L1149:L1150"/>
    <mergeCell ref="A1143:A1144"/>
    <mergeCell ref="C1143:C1144"/>
    <mergeCell ref="D1143:D1144"/>
    <mergeCell ref="E1143:E1144"/>
    <mergeCell ref="F1143:G1144"/>
    <mergeCell ref="H1143:H1144"/>
    <mergeCell ref="I1143:I1144"/>
    <mergeCell ref="J1143:J1144"/>
    <mergeCell ref="K1143:K1144"/>
    <mergeCell ref="L1143:L1144"/>
    <mergeCell ref="A1145:A1146"/>
    <mergeCell ref="B1143:B1144"/>
    <mergeCell ref="C1145:C1146"/>
    <mergeCell ref="D1145:D1146"/>
    <mergeCell ref="E1145:E1146"/>
    <mergeCell ref="F1145:G1146"/>
    <mergeCell ref="H1145:H1146"/>
    <mergeCell ref="I1145:I1146"/>
    <mergeCell ref="J1145:J1146"/>
    <mergeCell ref="K1145:K1146"/>
    <mergeCell ref="L1145:L1146"/>
    <mergeCell ref="A1139:A1140"/>
    <mergeCell ref="B1139:B1140"/>
    <mergeCell ref="C1139:C1140"/>
    <mergeCell ref="D1139:D1140"/>
    <mergeCell ref="E1139:E1140"/>
    <mergeCell ref="F1139:G1140"/>
    <mergeCell ref="H1139:H1140"/>
    <mergeCell ref="I1139:I1140"/>
    <mergeCell ref="J1139:J1140"/>
    <mergeCell ref="K1139:K1140"/>
    <mergeCell ref="L1139:L1140"/>
    <mergeCell ref="A1141:A1142"/>
    <mergeCell ref="B1141:B1142"/>
    <mergeCell ref="C1141:C1142"/>
    <mergeCell ref="D1141:D1142"/>
    <mergeCell ref="E1141:E1142"/>
    <mergeCell ref="F1141:G1142"/>
    <mergeCell ref="H1141:H1142"/>
    <mergeCell ref="I1141:I1142"/>
    <mergeCell ref="J1141:J1142"/>
    <mergeCell ref="K1141:K1142"/>
    <mergeCell ref="L1141:L1142"/>
    <mergeCell ref="A1135:A1136"/>
    <mergeCell ref="B1135:B1136"/>
    <mergeCell ref="C1135:C1136"/>
    <mergeCell ref="D1135:D1136"/>
    <mergeCell ref="E1135:E1136"/>
    <mergeCell ref="F1135:G1136"/>
    <mergeCell ref="H1135:H1136"/>
    <mergeCell ref="I1135:I1136"/>
    <mergeCell ref="J1135:J1136"/>
    <mergeCell ref="K1135:K1136"/>
    <mergeCell ref="L1135:L1136"/>
    <mergeCell ref="A1137:A1138"/>
    <mergeCell ref="B1137:B1138"/>
    <mergeCell ref="C1137:C1138"/>
    <mergeCell ref="D1137:D1138"/>
    <mergeCell ref="E1137:E1138"/>
    <mergeCell ref="F1137:G1138"/>
    <mergeCell ref="H1137:H1138"/>
    <mergeCell ref="I1137:I1138"/>
    <mergeCell ref="J1137:J1138"/>
    <mergeCell ref="K1137:K1138"/>
    <mergeCell ref="L1137:L1138"/>
    <mergeCell ref="A1131:A1132"/>
    <mergeCell ref="B1131:B1132"/>
    <mergeCell ref="C1131:C1132"/>
    <mergeCell ref="D1131:D1132"/>
    <mergeCell ref="E1131:E1132"/>
    <mergeCell ref="F1131:G1132"/>
    <mergeCell ref="H1131:H1132"/>
    <mergeCell ref="I1131:I1132"/>
    <mergeCell ref="J1131:J1132"/>
    <mergeCell ref="K1131:K1132"/>
    <mergeCell ref="L1131:L1132"/>
    <mergeCell ref="A1133:A1134"/>
    <mergeCell ref="B1133:B1134"/>
    <mergeCell ref="C1133:C1134"/>
    <mergeCell ref="D1133:D1134"/>
    <mergeCell ref="E1133:E1134"/>
    <mergeCell ref="F1133:G1134"/>
    <mergeCell ref="H1133:H1134"/>
    <mergeCell ref="I1133:I1134"/>
    <mergeCell ref="J1133:J1134"/>
    <mergeCell ref="K1133:K1134"/>
    <mergeCell ref="L1133:L1134"/>
    <mergeCell ref="A1127:A1128"/>
    <mergeCell ref="B1127:B1128"/>
    <mergeCell ref="C1127:C1128"/>
    <mergeCell ref="D1127:D1128"/>
    <mergeCell ref="E1127:E1128"/>
    <mergeCell ref="F1127:G1128"/>
    <mergeCell ref="H1127:H1128"/>
    <mergeCell ref="I1127:I1128"/>
    <mergeCell ref="J1127:J1128"/>
    <mergeCell ref="K1127:K1128"/>
    <mergeCell ref="L1127:L1128"/>
    <mergeCell ref="A1129:A1130"/>
    <mergeCell ref="B1129:B1130"/>
    <mergeCell ref="C1129:C1130"/>
    <mergeCell ref="D1129:D1130"/>
    <mergeCell ref="E1129:E1130"/>
    <mergeCell ref="F1129:G1130"/>
    <mergeCell ref="H1129:H1130"/>
    <mergeCell ref="I1129:I1130"/>
    <mergeCell ref="J1129:J1130"/>
    <mergeCell ref="K1129:K1130"/>
    <mergeCell ref="L1129:L1130"/>
    <mergeCell ref="A1123:A1124"/>
    <mergeCell ref="B1123:B1124"/>
    <mergeCell ref="C1123:C1124"/>
    <mergeCell ref="D1123:D1124"/>
    <mergeCell ref="E1123:E1124"/>
    <mergeCell ref="F1123:G1124"/>
    <mergeCell ref="H1123:H1124"/>
    <mergeCell ref="I1123:I1124"/>
    <mergeCell ref="J1123:J1124"/>
    <mergeCell ref="K1123:K1124"/>
    <mergeCell ref="L1123:L1124"/>
    <mergeCell ref="A1125:A1126"/>
    <mergeCell ref="B1125:B1126"/>
    <mergeCell ref="C1125:C1126"/>
    <mergeCell ref="D1125:D1126"/>
    <mergeCell ref="E1125:E1126"/>
    <mergeCell ref="F1125:G1126"/>
    <mergeCell ref="H1125:H1126"/>
    <mergeCell ref="I1125:I1126"/>
    <mergeCell ref="J1125:J1126"/>
    <mergeCell ref="K1125:K1126"/>
    <mergeCell ref="L1125:L1126"/>
    <mergeCell ref="A1119:A1120"/>
    <mergeCell ref="B1119:B1120"/>
    <mergeCell ref="C1119:C1120"/>
    <mergeCell ref="D1119:D1120"/>
    <mergeCell ref="E1119:E1120"/>
    <mergeCell ref="F1119:G1120"/>
    <mergeCell ref="H1119:H1120"/>
    <mergeCell ref="I1119:I1120"/>
    <mergeCell ref="J1119:J1120"/>
    <mergeCell ref="K1119:K1120"/>
    <mergeCell ref="L1119:L1120"/>
    <mergeCell ref="A1121:A1122"/>
    <mergeCell ref="B1121:B1122"/>
    <mergeCell ref="C1121:C1122"/>
    <mergeCell ref="D1121:D1122"/>
    <mergeCell ref="E1121:E1122"/>
    <mergeCell ref="F1121:G1122"/>
    <mergeCell ref="H1121:H1122"/>
    <mergeCell ref="I1121:I1122"/>
    <mergeCell ref="J1121:J1122"/>
    <mergeCell ref="K1121:K1122"/>
    <mergeCell ref="L1121:L1122"/>
    <mergeCell ref="A1115:A1116"/>
    <mergeCell ref="B1115:B1116"/>
    <mergeCell ref="C1115:C1116"/>
    <mergeCell ref="D1115:D1116"/>
    <mergeCell ref="E1115:E1116"/>
    <mergeCell ref="F1115:G1116"/>
    <mergeCell ref="H1115:H1116"/>
    <mergeCell ref="I1115:I1116"/>
    <mergeCell ref="J1115:J1116"/>
    <mergeCell ref="K1115:K1116"/>
    <mergeCell ref="L1115:L1116"/>
    <mergeCell ref="A1117:A1118"/>
    <mergeCell ref="B1117:B1118"/>
    <mergeCell ref="C1117:C1118"/>
    <mergeCell ref="D1117:D1118"/>
    <mergeCell ref="E1117:E1118"/>
    <mergeCell ref="F1117:G1118"/>
    <mergeCell ref="H1117:H1118"/>
    <mergeCell ref="I1117:I1118"/>
    <mergeCell ref="J1117:J1118"/>
    <mergeCell ref="K1117:K1118"/>
    <mergeCell ref="L1117:L1118"/>
    <mergeCell ref="A1111:A1112"/>
    <mergeCell ref="B1111:B1112"/>
    <mergeCell ref="C1111:C1112"/>
    <mergeCell ref="D1111:D1112"/>
    <mergeCell ref="E1111:E1112"/>
    <mergeCell ref="F1111:G1112"/>
    <mergeCell ref="H1111:H1112"/>
    <mergeCell ref="I1111:I1112"/>
    <mergeCell ref="J1111:J1112"/>
    <mergeCell ref="K1111:K1112"/>
    <mergeCell ref="L1111:L1112"/>
    <mergeCell ref="A1113:A1114"/>
    <mergeCell ref="B1113:B1114"/>
    <mergeCell ref="C1113:C1114"/>
    <mergeCell ref="D1113:D1114"/>
    <mergeCell ref="E1113:E1114"/>
    <mergeCell ref="F1113:G1114"/>
    <mergeCell ref="H1113:H1114"/>
    <mergeCell ref="I1113:I1114"/>
    <mergeCell ref="J1113:J1114"/>
    <mergeCell ref="K1113:K1114"/>
    <mergeCell ref="L1113:L1114"/>
    <mergeCell ref="A1107:A1108"/>
    <mergeCell ref="B1107:B1108"/>
    <mergeCell ref="C1107:C1108"/>
    <mergeCell ref="D1107:D1108"/>
    <mergeCell ref="E1107:E1108"/>
    <mergeCell ref="F1107:G1108"/>
    <mergeCell ref="H1107:H1108"/>
    <mergeCell ref="I1107:I1108"/>
    <mergeCell ref="J1107:J1108"/>
    <mergeCell ref="K1107:K1108"/>
    <mergeCell ref="L1107:L1108"/>
    <mergeCell ref="A1109:A1110"/>
    <mergeCell ref="B1109:B1110"/>
    <mergeCell ref="C1109:C1110"/>
    <mergeCell ref="D1109:D1110"/>
    <mergeCell ref="E1109:E1110"/>
    <mergeCell ref="F1109:G1110"/>
    <mergeCell ref="H1109:H1110"/>
    <mergeCell ref="I1109:I1110"/>
    <mergeCell ref="J1109:J1110"/>
    <mergeCell ref="K1109:K1110"/>
    <mergeCell ref="L1109:L1110"/>
    <mergeCell ref="A1103:A1104"/>
    <mergeCell ref="B1103:B1104"/>
    <mergeCell ref="C1103:C1104"/>
    <mergeCell ref="D1103:D1104"/>
    <mergeCell ref="E1103:E1104"/>
    <mergeCell ref="F1103:G1104"/>
    <mergeCell ref="H1103:H1104"/>
    <mergeCell ref="I1103:I1104"/>
    <mergeCell ref="J1103:J1104"/>
    <mergeCell ref="K1103:K1104"/>
    <mergeCell ref="L1103:L1104"/>
    <mergeCell ref="A1105:A1106"/>
    <mergeCell ref="B1105:B1106"/>
    <mergeCell ref="C1105:C1106"/>
    <mergeCell ref="D1105:D1106"/>
    <mergeCell ref="E1105:E1106"/>
    <mergeCell ref="F1105:G1106"/>
    <mergeCell ref="H1105:H1106"/>
    <mergeCell ref="I1105:I1106"/>
    <mergeCell ref="J1105:J1106"/>
    <mergeCell ref="K1105:K1106"/>
    <mergeCell ref="L1105:L1106"/>
    <mergeCell ref="A1101:A1102"/>
    <mergeCell ref="B1101:B1102"/>
    <mergeCell ref="C1101:C1102"/>
    <mergeCell ref="D1101:D1102"/>
    <mergeCell ref="E1101:E1102"/>
    <mergeCell ref="F1101:G1102"/>
    <mergeCell ref="H1101:H1102"/>
    <mergeCell ref="I1101:I1102"/>
    <mergeCell ref="J1101:J1102"/>
    <mergeCell ref="K1101:K1102"/>
    <mergeCell ref="L1101:L1102"/>
    <mergeCell ref="A1097:A1098"/>
    <mergeCell ref="B1097:B1098"/>
    <mergeCell ref="C1097:C1098"/>
    <mergeCell ref="D1097:D1098"/>
    <mergeCell ref="E1097:E1098"/>
    <mergeCell ref="F1097:G1098"/>
    <mergeCell ref="H1097:H1098"/>
    <mergeCell ref="I1097:I1098"/>
    <mergeCell ref="J1097:J1098"/>
    <mergeCell ref="K1097:K1098"/>
    <mergeCell ref="L1097:L1098"/>
    <mergeCell ref="A1099:A1100"/>
    <mergeCell ref="B1099:B1100"/>
    <mergeCell ref="C1099:C1100"/>
    <mergeCell ref="D1099:D1100"/>
    <mergeCell ref="E1099:E1100"/>
    <mergeCell ref="F1099:G1100"/>
    <mergeCell ref="H1099:H1100"/>
    <mergeCell ref="I1099:I1100"/>
    <mergeCell ref="J1099:J1100"/>
    <mergeCell ref="K1099:K1100"/>
    <mergeCell ref="L1099:L1100"/>
    <mergeCell ref="A1093:A1094"/>
    <mergeCell ref="B1093:B1094"/>
    <mergeCell ref="C1093:C1094"/>
    <mergeCell ref="D1093:D1094"/>
    <mergeCell ref="E1093:E1094"/>
    <mergeCell ref="F1093:G1094"/>
    <mergeCell ref="H1093:H1094"/>
    <mergeCell ref="I1093:I1094"/>
    <mergeCell ref="J1093:J1094"/>
    <mergeCell ref="K1093:K1094"/>
    <mergeCell ref="L1093:L1094"/>
    <mergeCell ref="A1095:A1096"/>
    <mergeCell ref="B1095:B1096"/>
    <mergeCell ref="C1095:C1096"/>
    <mergeCell ref="D1095:D1096"/>
    <mergeCell ref="E1095:E1096"/>
    <mergeCell ref="F1095:G1096"/>
    <mergeCell ref="H1095:H1096"/>
    <mergeCell ref="I1095:I1096"/>
    <mergeCell ref="J1095:J1096"/>
    <mergeCell ref="K1095:K1096"/>
    <mergeCell ref="L1095:L1096"/>
    <mergeCell ref="A1089:A1090"/>
    <mergeCell ref="B1089:B1090"/>
    <mergeCell ref="C1089:C1090"/>
    <mergeCell ref="D1089:D1090"/>
    <mergeCell ref="E1089:E1090"/>
    <mergeCell ref="F1089:G1090"/>
    <mergeCell ref="H1089:H1090"/>
    <mergeCell ref="I1089:I1090"/>
    <mergeCell ref="J1089:J1090"/>
    <mergeCell ref="K1089:K1090"/>
    <mergeCell ref="L1089:L1090"/>
    <mergeCell ref="A1091:A1092"/>
    <mergeCell ref="B1091:B1092"/>
    <mergeCell ref="C1091:C1092"/>
    <mergeCell ref="D1091:D1092"/>
    <mergeCell ref="E1091:E1092"/>
    <mergeCell ref="F1091:G1092"/>
    <mergeCell ref="H1091:H1092"/>
    <mergeCell ref="I1091:I1092"/>
    <mergeCell ref="J1091:J1092"/>
    <mergeCell ref="K1091:K1092"/>
    <mergeCell ref="L1091:L1092"/>
    <mergeCell ref="A1085:A1086"/>
    <mergeCell ref="B1085:B1086"/>
    <mergeCell ref="C1085:C1086"/>
    <mergeCell ref="D1085:D1086"/>
    <mergeCell ref="E1085:E1086"/>
    <mergeCell ref="F1085:G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F1087:G1088"/>
    <mergeCell ref="H1087:H1088"/>
    <mergeCell ref="I1087:I1088"/>
    <mergeCell ref="J1087:J1088"/>
    <mergeCell ref="K1087:K1088"/>
    <mergeCell ref="L1087:L1088"/>
    <mergeCell ref="A1081:A1082"/>
    <mergeCell ref="B1081:B1082"/>
    <mergeCell ref="C1081:C1082"/>
    <mergeCell ref="D1081:D1082"/>
    <mergeCell ref="E1081:E1082"/>
    <mergeCell ref="F1081:G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G1084"/>
    <mergeCell ref="H1083:H1084"/>
    <mergeCell ref="I1083:I1084"/>
    <mergeCell ref="J1083:J1084"/>
    <mergeCell ref="K1083:K1084"/>
    <mergeCell ref="L1083:L1084"/>
    <mergeCell ref="A1077:A1078"/>
    <mergeCell ref="B1077:B1078"/>
    <mergeCell ref="C1077:C1078"/>
    <mergeCell ref="D1077:D1078"/>
    <mergeCell ref="E1077:E1078"/>
    <mergeCell ref="F1077:G1078"/>
    <mergeCell ref="H1077:H1078"/>
    <mergeCell ref="I1077:I1078"/>
    <mergeCell ref="J1077:J1078"/>
    <mergeCell ref="K1077:K1078"/>
    <mergeCell ref="L1077:L1078"/>
    <mergeCell ref="A1079:A1080"/>
    <mergeCell ref="B1079:B1080"/>
    <mergeCell ref="C1079:C1080"/>
    <mergeCell ref="D1079:D1080"/>
    <mergeCell ref="E1079:E1080"/>
    <mergeCell ref="F1079:G1080"/>
    <mergeCell ref="H1079:H1080"/>
    <mergeCell ref="I1079:I1080"/>
    <mergeCell ref="J1079:J1080"/>
    <mergeCell ref="K1079:K1080"/>
    <mergeCell ref="L1079:L1080"/>
    <mergeCell ref="A1073:A1074"/>
    <mergeCell ref="B1073:B1074"/>
    <mergeCell ref="C1073:C1074"/>
    <mergeCell ref="D1073:D1074"/>
    <mergeCell ref="E1073:E1074"/>
    <mergeCell ref="F1073:G1074"/>
    <mergeCell ref="H1073:H1074"/>
    <mergeCell ref="I1073:I1074"/>
    <mergeCell ref="J1073:J1074"/>
    <mergeCell ref="K1073:K1074"/>
    <mergeCell ref="L1073:L1074"/>
    <mergeCell ref="A1075:A1076"/>
    <mergeCell ref="B1075:B1076"/>
    <mergeCell ref="C1075:C1076"/>
    <mergeCell ref="D1075:D1076"/>
    <mergeCell ref="E1075:E1076"/>
    <mergeCell ref="F1075:G1076"/>
    <mergeCell ref="H1075:H1076"/>
    <mergeCell ref="I1075:I1076"/>
    <mergeCell ref="J1075:J1076"/>
    <mergeCell ref="K1075:K1076"/>
    <mergeCell ref="L1075:L1076"/>
    <mergeCell ref="A1069:A1070"/>
    <mergeCell ref="B1069:B1070"/>
    <mergeCell ref="C1069:C1070"/>
    <mergeCell ref="D1069:D1070"/>
    <mergeCell ref="E1069:E1070"/>
    <mergeCell ref="F1069:G1070"/>
    <mergeCell ref="H1069:H1070"/>
    <mergeCell ref="I1069:I1070"/>
    <mergeCell ref="J1069:J1070"/>
    <mergeCell ref="K1069:K1070"/>
    <mergeCell ref="L1069:L1070"/>
    <mergeCell ref="A1071:A1072"/>
    <mergeCell ref="B1071:B1072"/>
    <mergeCell ref="C1071:C1072"/>
    <mergeCell ref="D1071:D1072"/>
    <mergeCell ref="E1071:E1072"/>
    <mergeCell ref="F1071:G1072"/>
    <mergeCell ref="H1071:H1072"/>
    <mergeCell ref="I1071:I1072"/>
    <mergeCell ref="J1071:J1072"/>
    <mergeCell ref="K1071:K1072"/>
    <mergeCell ref="L1071:L1072"/>
    <mergeCell ref="A1063:A1064"/>
    <mergeCell ref="B1063:B1064"/>
    <mergeCell ref="C1063:C1064"/>
    <mergeCell ref="D1063:D1064"/>
    <mergeCell ref="E1063:E1064"/>
    <mergeCell ref="F1063:G1064"/>
    <mergeCell ref="H1063:H1064"/>
    <mergeCell ref="I1063:I1064"/>
    <mergeCell ref="J1063:J1064"/>
    <mergeCell ref="K1063:K1064"/>
    <mergeCell ref="L1063:L1064"/>
    <mergeCell ref="A1067:A1068"/>
    <mergeCell ref="B1067:B1068"/>
    <mergeCell ref="C1067:C1068"/>
    <mergeCell ref="D1067:D1068"/>
    <mergeCell ref="E1067:E1068"/>
    <mergeCell ref="F1067:G1068"/>
    <mergeCell ref="H1067:H1068"/>
    <mergeCell ref="I1067:I1068"/>
    <mergeCell ref="J1067:J1068"/>
    <mergeCell ref="K1067:K1068"/>
    <mergeCell ref="L1067:L1068"/>
    <mergeCell ref="L1055:L1056"/>
    <mergeCell ref="A1059:A1060"/>
    <mergeCell ref="B1059:B1060"/>
    <mergeCell ref="C1059:C1060"/>
    <mergeCell ref="D1059:D1060"/>
    <mergeCell ref="E1059:E1060"/>
    <mergeCell ref="F1059:G1060"/>
    <mergeCell ref="H1059:H1060"/>
    <mergeCell ref="I1059:I1060"/>
    <mergeCell ref="J1059:J1060"/>
    <mergeCell ref="K1059:K1060"/>
    <mergeCell ref="L1059:L1060"/>
    <mergeCell ref="A1057:L1058"/>
    <mergeCell ref="A1061:A1062"/>
    <mergeCell ref="B1061:B1062"/>
    <mergeCell ref="C1061:C1062"/>
    <mergeCell ref="D1061:D1062"/>
    <mergeCell ref="E1061:E1062"/>
    <mergeCell ref="F1061:G1062"/>
    <mergeCell ref="H1061:H1062"/>
    <mergeCell ref="I1061:I1062"/>
    <mergeCell ref="J1061:J1062"/>
    <mergeCell ref="K1061:K1062"/>
    <mergeCell ref="L1061:L1062"/>
    <mergeCell ref="A1049:A1050"/>
    <mergeCell ref="B1049:B1050"/>
    <mergeCell ref="C1049:C1050"/>
    <mergeCell ref="D1049:D1050"/>
    <mergeCell ref="E1049:E1050"/>
    <mergeCell ref="F1049:G1050"/>
    <mergeCell ref="H1049:H1050"/>
    <mergeCell ref="I1049:I1050"/>
    <mergeCell ref="J1049:J1050"/>
    <mergeCell ref="K1049:K1050"/>
    <mergeCell ref="L1049:L1050"/>
    <mergeCell ref="A1051:A1052"/>
    <mergeCell ref="B1051:B1052"/>
    <mergeCell ref="C1051:C1052"/>
    <mergeCell ref="D1051:D1052"/>
    <mergeCell ref="E1051:E1052"/>
    <mergeCell ref="F1051:G1052"/>
    <mergeCell ref="H1051:H1052"/>
    <mergeCell ref="I1051:I1052"/>
    <mergeCell ref="J1051:J1052"/>
    <mergeCell ref="K1051:K1052"/>
    <mergeCell ref="L1051:L1052"/>
    <mergeCell ref="A1045:A1046"/>
    <mergeCell ref="B1045:B1046"/>
    <mergeCell ref="C1045:C1046"/>
    <mergeCell ref="D1045:D1046"/>
    <mergeCell ref="E1045:E1046"/>
    <mergeCell ref="F1045:G1046"/>
    <mergeCell ref="H1045:H1046"/>
    <mergeCell ref="I1045:I1046"/>
    <mergeCell ref="J1045:J1046"/>
    <mergeCell ref="K1045:K1046"/>
    <mergeCell ref="L1045:L1046"/>
    <mergeCell ref="A1047:A1048"/>
    <mergeCell ref="B1047:B1048"/>
    <mergeCell ref="C1047:C1048"/>
    <mergeCell ref="D1047:D1048"/>
    <mergeCell ref="E1047:E1048"/>
    <mergeCell ref="F1047:G1048"/>
    <mergeCell ref="H1047:H1048"/>
    <mergeCell ref="I1047:I1048"/>
    <mergeCell ref="J1047:J1048"/>
    <mergeCell ref="K1047:K1048"/>
    <mergeCell ref="L1047:L1048"/>
    <mergeCell ref="A1041:A1042"/>
    <mergeCell ref="B1041:B1042"/>
    <mergeCell ref="C1041:C1042"/>
    <mergeCell ref="D1041:D1042"/>
    <mergeCell ref="E1041:E1042"/>
    <mergeCell ref="F1041:G1042"/>
    <mergeCell ref="H1041:H1042"/>
    <mergeCell ref="I1041:I1042"/>
    <mergeCell ref="J1041:J1042"/>
    <mergeCell ref="K1041:K1042"/>
    <mergeCell ref="L1041:L1042"/>
    <mergeCell ref="A1043:A1044"/>
    <mergeCell ref="B1043:B1044"/>
    <mergeCell ref="C1043:C1044"/>
    <mergeCell ref="D1043:D1044"/>
    <mergeCell ref="E1043:E1044"/>
    <mergeCell ref="F1043:G1044"/>
    <mergeCell ref="H1043:H1044"/>
    <mergeCell ref="I1043:I1044"/>
    <mergeCell ref="J1043:J1044"/>
    <mergeCell ref="K1043:K1044"/>
    <mergeCell ref="L1043:L1044"/>
    <mergeCell ref="A1037:A1038"/>
    <mergeCell ref="B1037:B1038"/>
    <mergeCell ref="C1037:C1038"/>
    <mergeCell ref="D1037:D1038"/>
    <mergeCell ref="E1037:E1038"/>
    <mergeCell ref="F1037:G1038"/>
    <mergeCell ref="H1037:H1038"/>
    <mergeCell ref="I1037:I1038"/>
    <mergeCell ref="J1037:J1038"/>
    <mergeCell ref="K1037:K1038"/>
    <mergeCell ref="L1037:L1038"/>
    <mergeCell ref="A1039:A1040"/>
    <mergeCell ref="B1039:B1040"/>
    <mergeCell ref="C1039:C1040"/>
    <mergeCell ref="D1039:D1040"/>
    <mergeCell ref="E1039:E1040"/>
    <mergeCell ref="F1039:G1040"/>
    <mergeCell ref="H1039:H1040"/>
    <mergeCell ref="I1039:I1040"/>
    <mergeCell ref="J1039:J1040"/>
    <mergeCell ref="K1039:K1040"/>
    <mergeCell ref="L1039:L1040"/>
    <mergeCell ref="A1033:A1034"/>
    <mergeCell ref="B1033:B1034"/>
    <mergeCell ref="C1033:C1034"/>
    <mergeCell ref="D1033:D1034"/>
    <mergeCell ref="E1033:E1034"/>
    <mergeCell ref="F1033:G1034"/>
    <mergeCell ref="H1033:H1034"/>
    <mergeCell ref="I1033:I1034"/>
    <mergeCell ref="J1033:J1034"/>
    <mergeCell ref="K1033:K1034"/>
    <mergeCell ref="L1033:L1034"/>
    <mergeCell ref="A1035:A1036"/>
    <mergeCell ref="B1035:B1036"/>
    <mergeCell ref="C1035:C1036"/>
    <mergeCell ref="D1035:D1036"/>
    <mergeCell ref="E1035:E1036"/>
    <mergeCell ref="F1035:G1036"/>
    <mergeCell ref="H1035:H1036"/>
    <mergeCell ref="I1035:I1036"/>
    <mergeCell ref="J1035:J1036"/>
    <mergeCell ref="K1035:K1036"/>
    <mergeCell ref="L1035:L1036"/>
    <mergeCell ref="A1029:A1030"/>
    <mergeCell ref="B1029:B1030"/>
    <mergeCell ref="C1029:C1030"/>
    <mergeCell ref="D1029:D1030"/>
    <mergeCell ref="E1029:E1030"/>
    <mergeCell ref="F1029:G1030"/>
    <mergeCell ref="H1029:H1030"/>
    <mergeCell ref="I1029:I1030"/>
    <mergeCell ref="J1029:J1030"/>
    <mergeCell ref="K1029:K1030"/>
    <mergeCell ref="L1029:L1030"/>
    <mergeCell ref="A1031:A1032"/>
    <mergeCell ref="B1031:B1032"/>
    <mergeCell ref="C1031:C1032"/>
    <mergeCell ref="D1031:D1032"/>
    <mergeCell ref="E1031:E1032"/>
    <mergeCell ref="F1031:G1032"/>
    <mergeCell ref="H1031:H1032"/>
    <mergeCell ref="I1031:I1032"/>
    <mergeCell ref="J1031:J1032"/>
    <mergeCell ref="K1031:K1032"/>
    <mergeCell ref="L1031:L1032"/>
    <mergeCell ref="A1025:A1026"/>
    <mergeCell ref="B1025:B1026"/>
    <mergeCell ref="C1025:C1026"/>
    <mergeCell ref="D1025:D1026"/>
    <mergeCell ref="E1025:E1026"/>
    <mergeCell ref="F1025:G1026"/>
    <mergeCell ref="H1025:H1026"/>
    <mergeCell ref="I1025:I1026"/>
    <mergeCell ref="J1025:J1026"/>
    <mergeCell ref="K1025:K1026"/>
    <mergeCell ref="L1025:L1026"/>
    <mergeCell ref="A1027:A1028"/>
    <mergeCell ref="B1027:B1028"/>
    <mergeCell ref="C1027:C1028"/>
    <mergeCell ref="D1027:D1028"/>
    <mergeCell ref="E1027:E1028"/>
    <mergeCell ref="F1027:G1028"/>
    <mergeCell ref="H1027:H1028"/>
    <mergeCell ref="I1027:I1028"/>
    <mergeCell ref="J1027:J1028"/>
    <mergeCell ref="K1027:K1028"/>
    <mergeCell ref="L1027:L1028"/>
    <mergeCell ref="A1021:A1022"/>
    <mergeCell ref="B1021:B1022"/>
    <mergeCell ref="C1021:C1022"/>
    <mergeCell ref="D1021:D1022"/>
    <mergeCell ref="E1021:E1022"/>
    <mergeCell ref="F1021:G1022"/>
    <mergeCell ref="H1021:H1022"/>
    <mergeCell ref="I1021:I1022"/>
    <mergeCell ref="J1021:J1022"/>
    <mergeCell ref="K1021:K1022"/>
    <mergeCell ref="L1021:L1022"/>
    <mergeCell ref="A1023:A1024"/>
    <mergeCell ref="B1023:B1024"/>
    <mergeCell ref="C1023:C1024"/>
    <mergeCell ref="D1023:D1024"/>
    <mergeCell ref="E1023:E1024"/>
    <mergeCell ref="F1023:G1024"/>
    <mergeCell ref="H1023:H1024"/>
    <mergeCell ref="I1023:I1024"/>
    <mergeCell ref="J1023:J1024"/>
    <mergeCell ref="K1023:K1024"/>
    <mergeCell ref="L1023:L1024"/>
    <mergeCell ref="A1017:A1018"/>
    <mergeCell ref="B1017:B1018"/>
    <mergeCell ref="C1017:C1018"/>
    <mergeCell ref="D1017:D1018"/>
    <mergeCell ref="E1017:E1018"/>
    <mergeCell ref="F1017:G1018"/>
    <mergeCell ref="H1017:H1018"/>
    <mergeCell ref="I1017:I1018"/>
    <mergeCell ref="J1017:J1018"/>
    <mergeCell ref="K1017:K1018"/>
    <mergeCell ref="L1017:L1018"/>
    <mergeCell ref="A1019:A1020"/>
    <mergeCell ref="B1019:B1020"/>
    <mergeCell ref="C1019:C1020"/>
    <mergeCell ref="D1019:D1020"/>
    <mergeCell ref="E1019:E1020"/>
    <mergeCell ref="F1019:G1020"/>
    <mergeCell ref="H1019:H1020"/>
    <mergeCell ref="I1019:I1020"/>
    <mergeCell ref="J1019:J1020"/>
    <mergeCell ref="K1019:K1020"/>
    <mergeCell ref="L1019:L1020"/>
    <mergeCell ref="L1009:L1010"/>
    <mergeCell ref="A1011:A1012"/>
    <mergeCell ref="B1011:B1012"/>
    <mergeCell ref="C1011:C1012"/>
    <mergeCell ref="D1011:D1012"/>
    <mergeCell ref="E1011:E1012"/>
    <mergeCell ref="F1011:G1012"/>
    <mergeCell ref="H1011:H1012"/>
    <mergeCell ref="I1011:I1012"/>
    <mergeCell ref="J1011:J1012"/>
    <mergeCell ref="K1011:K1012"/>
    <mergeCell ref="L1011:L1012"/>
    <mergeCell ref="A1013:A1014"/>
    <mergeCell ref="B1013:B1014"/>
    <mergeCell ref="C1013:C1014"/>
    <mergeCell ref="D1013:D1014"/>
    <mergeCell ref="E1013:E1014"/>
    <mergeCell ref="F1013:G1014"/>
    <mergeCell ref="H1013:H1014"/>
    <mergeCell ref="I1013:I1014"/>
    <mergeCell ref="J1013:J1014"/>
    <mergeCell ref="K1013:K1014"/>
    <mergeCell ref="L1013:L1014"/>
    <mergeCell ref="A1005:A1006"/>
    <mergeCell ref="B1005:B1006"/>
    <mergeCell ref="C1005:C1006"/>
    <mergeCell ref="D1005:D1006"/>
    <mergeCell ref="E1005:E1006"/>
    <mergeCell ref="F1005:G1006"/>
    <mergeCell ref="H1005:H1006"/>
    <mergeCell ref="I1005:I1006"/>
    <mergeCell ref="J1005:J1006"/>
    <mergeCell ref="K1005:K1006"/>
    <mergeCell ref="L1005:L1006"/>
    <mergeCell ref="A1007:A1008"/>
    <mergeCell ref="B1007:B1008"/>
    <mergeCell ref="C1007:C1008"/>
    <mergeCell ref="D1007:D1008"/>
    <mergeCell ref="E1009:E1010"/>
    <mergeCell ref="F1007:G1008"/>
    <mergeCell ref="H1007:H1008"/>
    <mergeCell ref="I1007:I1008"/>
    <mergeCell ref="J1007:J1008"/>
    <mergeCell ref="K1007:K1008"/>
    <mergeCell ref="L1007:L1008"/>
    <mergeCell ref="E1007:E1008"/>
    <mergeCell ref="A1009:A1010"/>
    <mergeCell ref="B1009:B1010"/>
    <mergeCell ref="C1009:C1010"/>
    <mergeCell ref="D1009:D1010"/>
    <mergeCell ref="F1009:G1010"/>
    <mergeCell ref="H1009:H1010"/>
    <mergeCell ref="I1009:I1010"/>
    <mergeCell ref="J1009:J1010"/>
    <mergeCell ref="K1009:K1010"/>
    <mergeCell ref="A1001:A1002"/>
    <mergeCell ref="B1001:B1002"/>
    <mergeCell ref="C1001:C1002"/>
    <mergeCell ref="D1001:D1002"/>
    <mergeCell ref="E1001:E1002"/>
    <mergeCell ref="F1001:G1002"/>
    <mergeCell ref="H1001:H1002"/>
    <mergeCell ref="I1001:I1002"/>
    <mergeCell ref="J1001:J1002"/>
    <mergeCell ref="K1001:K1002"/>
    <mergeCell ref="L1001:L1002"/>
    <mergeCell ref="A1003:A1004"/>
    <mergeCell ref="B1003:B1004"/>
    <mergeCell ref="C1003:C1004"/>
    <mergeCell ref="D1003:D1004"/>
    <mergeCell ref="E1003:E1004"/>
    <mergeCell ref="F1003:G1004"/>
    <mergeCell ref="H1003:H1004"/>
    <mergeCell ref="I1003:I1004"/>
    <mergeCell ref="J1003:J1004"/>
    <mergeCell ref="K1003:K1004"/>
    <mergeCell ref="L1003:L1004"/>
    <mergeCell ref="A997:A998"/>
    <mergeCell ref="B997:B998"/>
    <mergeCell ref="C997:C998"/>
    <mergeCell ref="D997:D998"/>
    <mergeCell ref="E997:E998"/>
    <mergeCell ref="F997:G998"/>
    <mergeCell ref="H997:H998"/>
    <mergeCell ref="I997:I998"/>
    <mergeCell ref="J997:J998"/>
    <mergeCell ref="K997:K998"/>
    <mergeCell ref="L997:L998"/>
    <mergeCell ref="A999:A1000"/>
    <mergeCell ref="B999:B1000"/>
    <mergeCell ref="C999:C1000"/>
    <mergeCell ref="D999:D1000"/>
    <mergeCell ref="E999:E1000"/>
    <mergeCell ref="F999:G1000"/>
    <mergeCell ref="H999:H1000"/>
    <mergeCell ref="I999:I1000"/>
    <mergeCell ref="J999:J1000"/>
    <mergeCell ref="K999:K1000"/>
    <mergeCell ref="L999:L1000"/>
    <mergeCell ref="A993:A994"/>
    <mergeCell ref="B993:B994"/>
    <mergeCell ref="C993:C994"/>
    <mergeCell ref="D993:D994"/>
    <mergeCell ref="E993:E994"/>
    <mergeCell ref="F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F995:G996"/>
    <mergeCell ref="H995:H996"/>
    <mergeCell ref="I995:I996"/>
    <mergeCell ref="J995:J996"/>
    <mergeCell ref="K995:K996"/>
    <mergeCell ref="L995:L996"/>
    <mergeCell ref="A989:A990"/>
    <mergeCell ref="B989:B990"/>
    <mergeCell ref="C989:C990"/>
    <mergeCell ref="D989:D990"/>
    <mergeCell ref="E989:E990"/>
    <mergeCell ref="F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F991:G992"/>
    <mergeCell ref="H991:H992"/>
    <mergeCell ref="I991:I992"/>
    <mergeCell ref="J991:J992"/>
    <mergeCell ref="K991:K992"/>
    <mergeCell ref="L991:L992"/>
    <mergeCell ref="A985:A986"/>
    <mergeCell ref="B985:B986"/>
    <mergeCell ref="C985:C986"/>
    <mergeCell ref="D985:D986"/>
    <mergeCell ref="E985:E986"/>
    <mergeCell ref="F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F987:G988"/>
    <mergeCell ref="H987:H988"/>
    <mergeCell ref="I987:I988"/>
    <mergeCell ref="J987:J988"/>
    <mergeCell ref="K987:K988"/>
    <mergeCell ref="L987:L988"/>
    <mergeCell ref="A979:A980"/>
    <mergeCell ref="B979:B980"/>
    <mergeCell ref="C979:C980"/>
    <mergeCell ref="D979:D980"/>
    <mergeCell ref="E979:E980"/>
    <mergeCell ref="F979:G980"/>
    <mergeCell ref="H979:H980"/>
    <mergeCell ref="I979:I980"/>
    <mergeCell ref="J979:J980"/>
    <mergeCell ref="K979:K980"/>
    <mergeCell ref="L979:L980"/>
    <mergeCell ref="A983:A984"/>
    <mergeCell ref="B983:B984"/>
    <mergeCell ref="C983:C984"/>
    <mergeCell ref="D983:D984"/>
    <mergeCell ref="E983:E984"/>
    <mergeCell ref="F983:G984"/>
    <mergeCell ref="H983:H984"/>
    <mergeCell ref="I983:I984"/>
    <mergeCell ref="J983:J984"/>
    <mergeCell ref="K983:K984"/>
    <mergeCell ref="L983:L984"/>
    <mergeCell ref="A981:A982"/>
    <mergeCell ref="B981:B982"/>
    <mergeCell ref="C981:C982"/>
    <mergeCell ref="D981:D982"/>
    <mergeCell ref="E981:E982"/>
    <mergeCell ref="F981:G982"/>
    <mergeCell ref="H981:H982"/>
    <mergeCell ref="I981:I982"/>
    <mergeCell ref="J981:J982"/>
    <mergeCell ref="K981:K982"/>
    <mergeCell ref="A975:A976"/>
    <mergeCell ref="B975:B976"/>
    <mergeCell ref="C975:C976"/>
    <mergeCell ref="D975:D976"/>
    <mergeCell ref="E975:E976"/>
    <mergeCell ref="F975:G976"/>
    <mergeCell ref="H975:H976"/>
    <mergeCell ref="I975:I976"/>
    <mergeCell ref="J975:J976"/>
    <mergeCell ref="K975:K976"/>
    <mergeCell ref="L975:L976"/>
    <mergeCell ref="A977:A978"/>
    <mergeCell ref="B977:B978"/>
    <mergeCell ref="C977:C978"/>
    <mergeCell ref="D977:D978"/>
    <mergeCell ref="E977:E978"/>
    <mergeCell ref="F977:G978"/>
    <mergeCell ref="H977:H978"/>
    <mergeCell ref="I977:I978"/>
    <mergeCell ref="J977:J978"/>
    <mergeCell ref="K977:K978"/>
    <mergeCell ref="L977:L978"/>
    <mergeCell ref="A971:A972"/>
    <mergeCell ref="B971:B972"/>
    <mergeCell ref="C971:C972"/>
    <mergeCell ref="D971:D972"/>
    <mergeCell ref="E971:E972"/>
    <mergeCell ref="F971:G972"/>
    <mergeCell ref="H971:H972"/>
    <mergeCell ref="I971:I972"/>
    <mergeCell ref="J971:J972"/>
    <mergeCell ref="K971:K972"/>
    <mergeCell ref="L971:L972"/>
    <mergeCell ref="A973:A974"/>
    <mergeCell ref="B973:B974"/>
    <mergeCell ref="C973:C974"/>
    <mergeCell ref="D973:D974"/>
    <mergeCell ref="E973:E974"/>
    <mergeCell ref="F973:G974"/>
    <mergeCell ref="H973:H974"/>
    <mergeCell ref="I973:I974"/>
    <mergeCell ref="J973:J974"/>
    <mergeCell ref="K973:K974"/>
    <mergeCell ref="L973:L974"/>
    <mergeCell ref="A967:A968"/>
    <mergeCell ref="B967:B968"/>
    <mergeCell ref="C967:C968"/>
    <mergeCell ref="D967:D968"/>
    <mergeCell ref="E967:E968"/>
    <mergeCell ref="F967:G968"/>
    <mergeCell ref="H967:H968"/>
    <mergeCell ref="I967:I968"/>
    <mergeCell ref="J967:J968"/>
    <mergeCell ref="K967:K968"/>
    <mergeCell ref="L967:L968"/>
    <mergeCell ref="A969:A970"/>
    <mergeCell ref="B969:B970"/>
    <mergeCell ref="C969:C970"/>
    <mergeCell ref="D969:D970"/>
    <mergeCell ref="E969:E970"/>
    <mergeCell ref="F969:G970"/>
    <mergeCell ref="H969:H970"/>
    <mergeCell ref="I969:I970"/>
    <mergeCell ref="J969:J970"/>
    <mergeCell ref="K969:K970"/>
    <mergeCell ref="L969:L970"/>
    <mergeCell ref="A963:A964"/>
    <mergeCell ref="B963:B964"/>
    <mergeCell ref="C963:C964"/>
    <mergeCell ref="D963:D964"/>
    <mergeCell ref="E963:E964"/>
    <mergeCell ref="F963:G964"/>
    <mergeCell ref="H963:H964"/>
    <mergeCell ref="I963:I964"/>
    <mergeCell ref="J963:J964"/>
    <mergeCell ref="K963:K964"/>
    <mergeCell ref="L963:L964"/>
    <mergeCell ref="A965:A966"/>
    <mergeCell ref="B965:B966"/>
    <mergeCell ref="C965:C966"/>
    <mergeCell ref="D965:D966"/>
    <mergeCell ref="E965:E966"/>
    <mergeCell ref="F965:G966"/>
    <mergeCell ref="H965:H966"/>
    <mergeCell ref="I965:I966"/>
    <mergeCell ref="J965:J966"/>
    <mergeCell ref="K965:K966"/>
    <mergeCell ref="L965:L966"/>
    <mergeCell ref="A959:A960"/>
    <mergeCell ref="B959:B960"/>
    <mergeCell ref="C959:C960"/>
    <mergeCell ref="D959:D960"/>
    <mergeCell ref="E959:E960"/>
    <mergeCell ref="F959:G960"/>
    <mergeCell ref="H959:H960"/>
    <mergeCell ref="I959:I960"/>
    <mergeCell ref="J959:J960"/>
    <mergeCell ref="K959:K960"/>
    <mergeCell ref="L959:L960"/>
    <mergeCell ref="A961:A962"/>
    <mergeCell ref="B961:B962"/>
    <mergeCell ref="C961:C962"/>
    <mergeCell ref="D961:D962"/>
    <mergeCell ref="E961:E962"/>
    <mergeCell ref="F961:G962"/>
    <mergeCell ref="H961:H962"/>
    <mergeCell ref="I961:I962"/>
    <mergeCell ref="J961:J962"/>
    <mergeCell ref="K961:K962"/>
    <mergeCell ref="L961:L962"/>
    <mergeCell ref="A955:A956"/>
    <mergeCell ref="B955:B956"/>
    <mergeCell ref="C955:C956"/>
    <mergeCell ref="D955:D956"/>
    <mergeCell ref="E955:E956"/>
    <mergeCell ref="F955:G956"/>
    <mergeCell ref="H955:H956"/>
    <mergeCell ref="I955:I956"/>
    <mergeCell ref="J955:J956"/>
    <mergeCell ref="K955:K956"/>
    <mergeCell ref="L955:L956"/>
    <mergeCell ref="A957:A958"/>
    <mergeCell ref="B957:B958"/>
    <mergeCell ref="C957:C958"/>
    <mergeCell ref="D957:D958"/>
    <mergeCell ref="E957:E958"/>
    <mergeCell ref="F957:G958"/>
    <mergeCell ref="H957:H958"/>
    <mergeCell ref="I957:I958"/>
    <mergeCell ref="J957:J958"/>
    <mergeCell ref="K957:K958"/>
    <mergeCell ref="L957:L958"/>
    <mergeCell ref="A953:A954"/>
    <mergeCell ref="B953:B954"/>
    <mergeCell ref="C953:C954"/>
    <mergeCell ref="D953:D954"/>
    <mergeCell ref="E953:E954"/>
    <mergeCell ref="F953:G954"/>
    <mergeCell ref="H953:H954"/>
    <mergeCell ref="I953:I954"/>
    <mergeCell ref="J953:J954"/>
    <mergeCell ref="K953:K954"/>
    <mergeCell ref="L953:L954"/>
    <mergeCell ref="C949:C950"/>
    <mergeCell ref="A945:A946"/>
    <mergeCell ref="B945:B946"/>
    <mergeCell ref="C945:C946"/>
    <mergeCell ref="D945:D946"/>
    <mergeCell ref="E945:E946"/>
    <mergeCell ref="F945:G946"/>
    <mergeCell ref="H945:H946"/>
    <mergeCell ref="I945:I946"/>
    <mergeCell ref="J945:J946"/>
    <mergeCell ref="K945:K946"/>
    <mergeCell ref="L945:L946"/>
    <mergeCell ref="A947:A948"/>
    <mergeCell ref="B947:B948"/>
    <mergeCell ref="C947:C948"/>
    <mergeCell ref="D947:D948"/>
    <mergeCell ref="E947:E948"/>
    <mergeCell ref="F947:G948"/>
    <mergeCell ref="H947:H948"/>
    <mergeCell ref="I947:I948"/>
    <mergeCell ref="J947:J948"/>
    <mergeCell ref="F941:G942"/>
    <mergeCell ref="H941:H942"/>
    <mergeCell ref="I941:I942"/>
    <mergeCell ref="J941:J942"/>
    <mergeCell ref="K941:K942"/>
    <mergeCell ref="L941:L942"/>
    <mergeCell ref="A943:A944"/>
    <mergeCell ref="B943:B944"/>
    <mergeCell ref="C943:C944"/>
    <mergeCell ref="D943:D944"/>
    <mergeCell ref="E943:E944"/>
    <mergeCell ref="F943:G944"/>
    <mergeCell ref="H943:H944"/>
    <mergeCell ref="I943:I944"/>
    <mergeCell ref="J943:J944"/>
    <mergeCell ref="K943:K944"/>
    <mergeCell ref="L943:L944"/>
    <mergeCell ref="A937:A938"/>
    <mergeCell ref="B937:B938"/>
    <mergeCell ref="C937:C938"/>
    <mergeCell ref="D937:D938"/>
    <mergeCell ref="E937:E938"/>
    <mergeCell ref="F937:G938"/>
    <mergeCell ref="H937:H938"/>
    <mergeCell ref="I937:I938"/>
    <mergeCell ref="J937:J938"/>
    <mergeCell ref="K937:K938"/>
    <mergeCell ref="L937:L938"/>
    <mergeCell ref="A939:A940"/>
    <mergeCell ref="B939:B940"/>
    <mergeCell ref="C939:C940"/>
    <mergeCell ref="D939:D940"/>
    <mergeCell ref="E939:E940"/>
    <mergeCell ref="F939:G940"/>
    <mergeCell ref="H939:H940"/>
    <mergeCell ref="I939:I940"/>
    <mergeCell ref="J939:J940"/>
    <mergeCell ref="K939:K940"/>
    <mergeCell ref="L939:L940"/>
    <mergeCell ref="A933:A934"/>
    <mergeCell ref="B933:B934"/>
    <mergeCell ref="C933:C934"/>
    <mergeCell ref="D933:D934"/>
    <mergeCell ref="E933:E934"/>
    <mergeCell ref="F933:G934"/>
    <mergeCell ref="H933:H934"/>
    <mergeCell ref="I933:I934"/>
    <mergeCell ref="J933:J934"/>
    <mergeCell ref="K933:K934"/>
    <mergeCell ref="L933:L934"/>
    <mergeCell ref="A935:A936"/>
    <mergeCell ref="B935:B936"/>
    <mergeCell ref="C935:C936"/>
    <mergeCell ref="D935:D936"/>
    <mergeCell ref="E935:E936"/>
    <mergeCell ref="F935:G936"/>
    <mergeCell ref="H935:H936"/>
    <mergeCell ref="I935:I936"/>
    <mergeCell ref="J935:J936"/>
    <mergeCell ref="K935:K936"/>
    <mergeCell ref="L935:L936"/>
    <mergeCell ref="A931:A932"/>
    <mergeCell ref="B931:B932"/>
    <mergeCell ref="C931:C932"/>
    <mergeCell ref="D931:D932"/>
    <mergeCell ref="E931:E932"/>
    <mergeCell ref="F931:G932"/>
    <mergeCell ref="H931:H932"/>
    <mergeCell ref="I931:I932"/>
    <mergeCell ref="J931:J932"/>
    <mergeCell ref="K931:K932"/>
    <mergeCell ref="L931:L932"/>
    <mergeCell ref="A929:A930"/>
    <mergeCell ref="B929:B930"/>
    <mergeCell ref="C929:C930"/>
    <mergeCell ref="D929:D930"/>
    <mergeCell ref="E929:E930"/>
    <mergeCell ref="F929:G930"/>
    <mergeCell ref="H929:H930"/>
    <mergeCell ref="I929:I930"/>
    <mergeCell ref="J929:J930"/>
    <mergeCell ref="K929:K930"/>
    <mergeCell ref="L929:L930"/>
    <mergeCell ref="A925:A926"/>
    <mergeCell ref="B925:B926"/>
    <mergeCell ref="C925:C926"/>
    <mergeCell ref="D925:D926"/>
    <mergeCell ref="E925:E926"/>
    <mergeCell ref="F925:G926"/>
    <mergeCell ref="H925:H926"/>
    <mergeCell ref="I925:I926"/>
    <mergeCell ref="J925:J926"/>
    <mergeCell ref="K925:K926"/>
    <mergeCell ref="L925:L926"/>
    <mergeCell ref="A927:A928"/>
    <mergeCell ref="B927:B928"/>
    <mergeCell ref="C927:C928"/>
    <mergeCell ref="D927:D928"/>
    <mergeCell ref="E927:E928"/>
    <mergeCell ref="F927:G928"/>
    <mergeCell ref="H927:H928"/>
    <mergeCell ref="I927:I928"/>
    <mergeCell ref="J927:J928"/>
    <mergeCell ref="K927:K928"/>
    <mergeCell ref="L927:L928"/>
    <mergeCell ref="A915:A916"/>
    <mergeCell ref="B915:B916"/>
    <mergeCell ref="C915:C916"/>
    <mergeCell ref="D915:D916"/>
    <mergeCell ref="E915:E916"/>
    <mergeCell ref="F915:G916"/>
    <mergeCell ref="H915:H916"/>
    <mergeCell ref="I915:I916"/>
    <mergeCell ref="J915:J916"/>
    <mergeCell ref="K915:K916"/>
    <mergeCell ref="L915:L916"/>
    <mergeCell ref="A917:A918"/>
    <mergeCell ref="B917:B918"/>
    <mergeCell ref="C917:C918"/>
    <mergeCell ref="D917:D918"/>
    <mergeCell ref="E917:E918"/>
    <mergeCell ref="F917:G918"/>
    <mergeCell ref="H917:H918"/>
    <mergeCell ref="I917:I918"/>
    <mergeCell ref="J917:J918"/>
    <mergeCell ref="K917:K918"/>
    <mergeCell ref="L917:L918"/>
    <mergeCell ref="A911:A912"/>
    <mergeCell ref="B911:B912"/>
    <mergeCell ref="C911:C912"/>
    <mergeCell ref="D911:D912"/>
    <mergeCell ref="E911:E912"/>
    <mergeCell ref="F911:G912"/>
    <mergeCell ref="H911:H912"/>
    <mergeCell ref="I911:I912"/>
    <mergeCell ref="J911:J912"/>
    <mergeCell ref="K911:K912"/>
    <mergeCell ref="L911:L912"/>
    <mergeCell ref="A913:A914"/>
    <mergeCell ref="B913:B914"/>
    <mergeCell ref="C913:C914"/>
    <mergeCell ref="D913:D914"/>
    <mergeCell ref="E913:E914"/>
    <mergeCell ref="F913:G914"/>
    <mergeCell ref="H913:H914"/>
    <mergeCell ref="I913:I914"/>
    <mergeCell ref="J913:J914"/>
    <mergeCell ref="K913:K914"/>
    <mergeCell ref="L913:L914"/>
    <mergeCell ref="A907:A908"/>
    <mergeCell ref="B907:B908"/>
    <mergeCell ref="C907:C908"/>
    <mergeCell ref="D907:D908"/>
    <mergeCell ref="E907:E908"/>
    <mergeCell ref="F907:G908"/>
    <mergeCell ref="H907:H908"/>
    <mergeCell ref="I907:I908"/>
    <mergeCell ref="J907:J908"/>
    <mergeCell ref="K907:K908"/>
    <mergeCell ref="L907:L908"/>
    <mergeCell ref="A909:A910"/>
    <mergeCell ref="B909:B910"/>
    <mergeCell ref="C909:C910"/>
    <mergeCell ref="D909:D910"/>
    <mergeCell ref="E909:E910"/>
    <mergeCell ref="F909:G910"/>
    <mergeCell ref="H909:H910"/>
    <mergeCell ref="I909:I910"/>
    <mergeCell ref="J909:J910"/>
    <mergeCell ref="K909:K910"/>
    <mergeCell ref="L909:L910"/>
    <mergeCell ref="A903:A904"/>
    <mergeCell ref="B903:B904"/>
    <mergeCell ref="C903:C904"/>
    <mergeCell ref="D903:D904"/>
    <mergeCell ref="E903:E904"/>
    <mergeCell ref="F903:G904"/>
    <mergeCell ref="H903:H904"/>
    <mergeCell ref="I903:I904"/>
    <mergeCell ref="J903:J904"/>
    <mergeCell ref="K903:K904"/>
    <mergeCell ref="L903:L904"/>
    <mergeCell ref="A905:A906"/>
    <mergeCell ref="B905:B906"/>
    <mergeCell ref="C905:C906"/>
    <mergeCell ref="D905:D906"/>
    <mergeCell ref="E905:E906"/>
    <mergeCell ref="F905:G906"/>
    <mergeCell ref="H905:H906"/>
    <mergeCell ref="I905:I906"/>
    <mergeCell ref="J905:J906"/>
    <mergeCell ref="K905:K906"/>
    <mergeCell ref="L905:L906"/>
    <mergeCell ref="A899:A900"/>
    <mergeCell ref="B899:B900"/>
    <mergeCell ref="C899:C900"/>
    <mergeCell ref="D899:D900"/>
    <mergeCell ref="E899:E900"/>
    <mergeCell ref="F899:G900"/>
    <mergeCell ref="H899:H900"/>
    <mergeCell ref="I899:I900"/>
    <mergeCell ref="J899:J900"/>
    <mergeCell ref="K899:K900"/>
    <mergeCell ref="L899:L900"/>
    <mergeCell ref="A901:A902"/>
    <mergeCell ref="B901:B902"/>
    <mergeCell ref="C901:C902"/>
    <mergeCell ref="D901:D902"/>
    <mergeCell ref="E901:E902"/>
    <mergeCell ref="F901:G902"/>
    <mergeCell ref="H901:H902"/>
    <mergeCell ref="I901:I902"/>
    <mergeCell ref="J901:J902"/>
    <mergeCell ref="K901:K902"/>
    <mergeCell ref="L901:L902"/>
    <mergeCell ref="A895:A896"/>
    <mergeCell ref="B895:B896"/>
    <mergeCell ref="C895:C896"/>
    <mergeCell ref="D895:D896"/>
    <mergeCell ref="E895:E896"/>
    <mergeCell ref="F895:G896"/>
    <mergeCell ref="H895:H896"/>
    <mergeCell ref="I895:I896"/>
    <mergeCell ref="J895:J896"/>
    <mergeCell ref="K895:K896"/>
    <mergeCell ref="L895:L896"/>
    <mergeCell ref="A897:A898"/>
    <mergeCell ref="B897:B898"/>
    <mergeCell ref="C897:C898"/>
    <mergeCell ref="D897:D898"/>
    <mergeCell ref="E897:E898"/>
    <mergeCell ref="F897:G898"/>
    <mergeCell ref="H897:H898"/>
    <mergeCell ref="I897:I898"/>
    <mergeCell ref="J897:J898"/>
    <mergeCell ref="K897:K898"/>
    <mergeCell ref="L897:L898"/>
    <mergeCell ref="A891:A892"/>
    <mergeCell ref="B891:B892"/>
    <mergeCell ref="C891:C892"/>
    <mergeCell ref="D891:D892"/>
    <mergeCell ref="E891:E892"/>
    <mergeCell ref="F891:G892"/>
    <mergeCell ref="H891:H892"/>
    <mergeCell ref="I891:I892"/>
    <mergeCell ref="J891:J892"/>
    <mergeCell ref="K891:K892"/>
    <mergeCell ref="L891:L892"/>
    <mergeCell ref="A893:A894"/>
    <mergeCell ref="B893:B894"/>
    <mergeCell ref="C893:C894"/>
    <mergeCell ref="D893:D894"/>
    <mergeCell ref="E893:E894"/>
    <mergeCell ref="F893:G894"/>
    <mergeCell ref="H893:H894"/>
    <mergeCell ref="I893:I894"/>
    <mergeCell ref="J893:J894"/>
    <mergeCell ref="K893:K894"/>
    <mergeCell ref="L893:L894"/>
    <mergeCell ref="A887:A888"/>
    <mergeCell ref="B887:B888"/>
    <mergeCell ref="C887:C888"/>
    <mergeCell ref="D887:D888"/>
    <mergeCell ref="E887:E888"/>
    <mergeCell ref="F887:G888"/>
    <mergeCell ref="H887:H888"/>
    <mergeCell ref="I887:I888"/>
    <mergeCell ref="J887:J888"/>
    <mergeCell ref="K887:K888"/>
    <mergeCell ref="L887:L888"/>
    <mergeCell ref="A889:A890"/>
    <mergeCell ref="B889:B890"/>
    <mergeCell ref="C889:C890"/>
    <mergeCell ref="D889:D890"/>
    <mergeCell ref="E889:E890"/>
    <mergeCell ref="F889:G890"/>
    <mergeCell ref="H889:H890"/>
    <mergeCell ref="I889:I890"/>
    <mergeCell ref="J889:J890"/>
    <mergeCell ref="K889:K890"/>
    <mergeCell ref="L889:L890"/>
    <mergeCell ref="A883:A884"/>
    <mergeCell ref="B883:B884"/>
    <mergeCell ref="C883:C884"/>
    <mergeCell ref="D883:D884"/>
    <mergeCell ref="E883:E884"/>
    <mergeCell ref="F883:G884"/>
    <mergeCell ref="H883:H884"/>
    <mergeCell ref="I883:I884"/>
    <mergeCell ref="J883:J884"/>
    <mergeCell ref="K883:K884"/>
    <mergeCell ref="L883:L884"/>
    <mergeCell ref="A885:A886"/>
    <mergeCell ref="B885:B886"/>
    <mergeCell ref="C885:C886"/>
    <mergeCell ref="D885:D886"/>
    <mergeCell ref="E885:E886"/>
    <mergeCell ref="F885:G886"/>
    <mergeCell ref="H885:H886"/>
    <mergeCell ref="I885:I886"/>
    <mergeCell ref="J885:J886"/>
    <mergeCell ref="K885:K886"/>
    <mergeCell ref="L885:L886"/>
    <mergeCell ref="A879:A880"/>
    <mergeCell ref="B879:B880"/>
    <mergeCell ref="C879:C880"/>
    <mergeCell ref="D879:D880"/>
    <mergeCell ref="E879:E880"/>
    <mergeCell ref="F879:G880"/>
    <mergeCell ref="H879:H880"/>
    <mergeCell ref="I879:I880"/>
    <mergeCell ref="J879:J880"/>
    <mergeCell ref="K879:K880"/>
    <mergeCell ref="L879:L880"/>
    <mergeCell ref="A881:A882"/>
    <mergeCell ref="B881:B882"/>
    <mergeCell ref="C881:C882"/>
    <mergeCell ref="D881:D882"/>
    <mergeCell ref="E881:E882"/>
    <mergeCell ref="F881:G882"/>
    <mergeCell ref="H881:H882"/>
    <mergeCell ref="I881:I882"/>
    <mergeCell ref="J881:J882"/>
    <mergeCell ref="K881:K882"/>
    <mergeCell ref="L881:L882"/>
    <mergeCell ref="A875:A876"/>
    <mergeCell ref="B875:B876"/>
    <mergeCell ref="C875:C876"/>
    <mergeCell ref="D875:D876"/>
    <mergeCell ref="E875:E876"/>
    <mergeCell ref="F875:G876"/>
    <mergeCell ref="H875:H876"/>
    <mergeCell ref="I875:I876"/>
    <mergeCell ref="J875:J876"/>
    <mergeCell ref="K875:K876"/>
    <mergeCell ref="L875:L876"/>
    <mergeCell ref="A877:A878"/>
    <mergeCell ref="B877:B878"/>
    <mergeCell ref="C877:C878"/>
    <mergeCell ref="D877:D878"/>
    <mergeCell ref="E877:E878"/>
    <mergeCell ref="F877:G878"/>
    <mergeCell ref="H877:H878"/>
    <mergeCell ref="I877:I878"/>
    <mergeCell ref="J877:J878"/>
    <mergeCell ref="K877:K878"/>
    <mergeCell ref="L877:L878"/>
    <mergeCell ref="A871:A872"/>
    <mergeCell ref="B871:B872"/>
    <mergeCell ref="C871:C872"/>
    <mergeCell ref="D871:D872"/>
    <mergeCell ref="E871:E872"/>
    <mergeCell ref="F871:G872"/>
    <mergeCell ref="H871:H872"/>
    <mergeCell ref="I871:I872"/>
    <mergeCell ref="J871:J872"/>
    <mergeCell ref="K871:K872"/>
    <mergeCell ref="L871:L872"/>
    <mergeCell ref="A873:A874"/>
    <mergeCell ref="B873:B874"/>
    <mergeCell ref="C873:C874"/>
    <mergeCell ref="D873:D874"/>
    <mergeCell ref="E873:E874"/>
    <mergeCell ref="F873:G874"/>
    <mergeCell ref="H873:H874"/>
    <mergeCell ref="I873:I874"/>
    <mergeCell ref="J873:J874"/>
    <mergeCell ref="K873:K874"/>
    <mergeCell ref="L873:L874"/>
    <mergeCell ref="A867:A868"/>
    <mergeCell ref="B867:B868"/>
    <mergeCell ref="C867:C868"/>
    <mergeCell ref="D867:D868"/>
    <mergeCell ref="E867:E868"/>
    <mergeCell ref="F867:G868"/>
    <mergeCell ref="H867:H868"/>
    <mergeCell ref="I867:I868"/>
    <mergeCell ref="J867:J868"/>
    <mergeCell ref="K867:K868"/>
    <mergeCell ref="L867:L868"/>
    <mergeCell ref="A869:A870"/>
    <mergeCell ref="B869:B870"/>
    <mergeCell ref="C869:C870"/>
    <mergeCell ref="D869:D870"/>
    <mergeCell ref="E869:E870"/>
    <mergeCell ref="F869:G870"/>
    <mergeCell ref="H869:H870"/>
    <mergeCell ref="I869:I870"/>
    <mergeCell ref="J869:J870"/>
    <mergeCell ref="K869:K870"/>
    <mergeCell ref="L869:L870"/>
    <mergeCell ref="A863:A864"/>
    <mergeCell ref="B863:B864"/>
    <mergeCell ref="C863:C864"/>
    <mergeCell ref="D863:D864"/>
    <mergeCell ref="E863:E864"/>
    <mergeCell ref="F863:G864"/>
    <mergeCell ref="H863:H864"/>
    <mergeCell ref="I863:I864"/>
    <mergeCell ref="J863:J864"/>
    <mergeCell ref="K863:K864"/>
    <mergeCell ref="L863:L864"/>
    <mergeCell ref="A865:A866"/>
    <mergeCell ref="B865:B866"/>
    <mergeCell ref="C865:C866"/>
    <mergeCell ref="D865:D866"/>
    <mergeCell ref="E865:E866"/>
    <mergeCell ref="F865:G866"/>
    <mergeCell ref="H865:H866"/>
    <mergeCell ref="I865:I866"/>
    <mergeCell ref="J865:J866"/>
    <mergeCell ref="K865:K866"/>
    <mergeCell ref="L865:L866"/>
    <mergeCell ref="A859:A860"/>
    <mergeCell ref="B859:B860"/>
    <mergeCell ref="C859:C860"/>
    <mergeCell ref="D859:D860"/>
    <mergeCell ref="E859:E860"/>
    <mergeCell ref="F859:G860"/>
    <mergeCell ref="H859:H860"/>
    <mergeCell ref="I859:I860"/>
    <mergeCell ref="J859:J860"/>
    <mergeCell ref="K859:K860"/>
    <mergeCell ref="L859:L860"/>
    <mergeCell ref="A861:A862"/>
    <mergeCell ref="B861:B862"/>
    <mergeCell ref="C861:C862"/>
    <mergeCell ref="D861:D862"/>
    <mergeCell ref="E861:E862"/>
    <mergeCell ref="F861:G862"/>
    <mergeCell ref="H861:H862"/>
    <mergeCell ref="I861:I862"/>
    <mergeCell ref="J861:J862"/>
    <mergeCell ref="K861:K862"/>
    <mergeCell ref="L861:L862"/>
    <mergeCell ref="A855:A856"/>
    <mergeCell ref="B855:B856"/>
    <mergeCell ref="C855:C856"/>
    <mergeCell ref="D855:D856"/>
    <mergeCell ref="E855:E856"/>
    <mergeCell ref="F855:G856"/>
    <mergeCell ref="H855:H856"/>
    <mergeCell ref="I855:I856"/>
    <mergeCell ref="J855:J856"/>
    <mergeCell ref="K855:K856"/>
    <mergeCell ref="L855:L856"/>
    <mergeCell ref="A857:A858"/>
    <mergeCell ref="B857:B858"/>
    <mergeCell ref="C857:C858"/>
    <mergeCell ref="D857:D858"/>
    <mergeCell ref="E857:E858"/>
    <mergeCell ref="F857:G858"/>
    <mergeCell ref="H857:H858"/>
    <mergeCell ref="I857:I858"/>
    <mergeCell ref="J857:J858"/>
    <mergeCell ref="K857:K858"/>
    <mergeCell ref="L857:L858"/>
    <mergeCell ref="A851:A852"/>
    <mergeCell ref="B851:B852"/>
    <mergeCell ref="C851:C852"/>
    <mergeCell ref="D851:D852"/>
    <mergeCell ref="E851:E852"/>
    <mergeCell ref="F851:G852"/>
    <mergeCell ref="H851:H852"/>
    <mergeCell ref="I851:I852"/>
    <mergeCell ref="J851:J852"/>
    <mergeCell ref="K851:K852"/>
    <mergeCell ref="L851:L852"/>
    <mergeCell ref="A853:A854"/>
    <mergeCell ref="B853:B854"/>
    <mergeCell ref="C853:C854"/>
    <mergeCell ref="D853:D854"/>
    <mergeCell ref="E853:E854"/>
    <mergeCell ref="F853:G854"/>
    <mergeCell ref="H853:H854"/>
    <mergeCell ref="I853:I854"/>
    <mergeCell ref="J853:J854"/>
    <mergeCell ref="K853:K854"/>
    <mergeCell ref="L853:L854"/>
    <mergeCell ref="A845:A846"/>
    <mergeCell ref="B845:B846"/>
    <mergeCell ref="C845:C846"/>
    <mergeCell ref="D845:D846"/>
    <mergeCell ref="E845:E846"/>
    <mergeCell ref="F845:G846"/>
    <mergeCell ref="H845:H846"/>
    <mergeCell ref="I845:I846"/>
    <mergeCell ref="J845:J846"/>
    <mergeCell ref="K845:K846"/>
    <mergeCell ref="L845:L846"/>
    <mergeCell ref="A849:A850"/>
    <mergeCell ref="B849:B850"/>
    <mergeCell ref="C849:C850"/>
    <mergeCell ref="D849:D850"/>
    <mergeCell ref="E849:E850"/>
    <mergeCell ref="F849:G850"/>
    <mergeCell ref="H849:H850"/>
    <mergeCell ref="I849:I850"/>
    <mergeCell ref="J849:J850"/>
    <mergeCell ref="K849:K850"/>
    <mergeCell ref="L849:L850"/>
    <mergeCell ref="A847:L848"/>
    <mergeCell ref="A841:A842"/>
    <mergeCell ref="B841:B842"/>
    <mergeCell ref="C841:C842"/>
    <mergeCell ref="D841:D842"/>
    <mergeCell ref="E841:E842"/>
    <mergeCell ref="F841:G842"/>
    <mergeCell ref="H841:H842"/>
    <mergeCell ref="I841:I842"/>
    <mergeCell ref="J841:J842"/>
    <mergeCell ref="K841:K842"/>
    <mergeCell ref="L841:L842"/>
    <mergeCell ref="A843:A844"/>
    <mergeCell ref="B843:B844"/>
    <mergeCell ref="C843:C844"/>
    <mergeCell ref="D843:D844"/>
    <mergeCell ref="E843:E844"/>
    <mergeCell ref="F843:G844"/>
    <mergeCell ref="H843:H844"/>
    <mergeCell ref="I843:I844"/>
    <mergeCell ref="J843:J844"/>
    <mergeCell ref="K843:K844"/>
    <mergeCell ref="L843:L844"/>
    <mergeCell ref="A837:A838"/>
    <mergeCell ref="B837:B838"/>
    <mergeCell ref="C837:C838"/>
    <mergeCell ref="D837:D838"/>
    <mergeCell ref="E837:E838"/>
    <mergeCell ref="F837:G838"/>
    <mergeCell ref="H837:H838"/>
    <mergeCell ref="I837:I838"/>
    <mergeCell ref="J837:J838"/>
    <mergeCell ref="K837:K838"/>
    <mergeCell ref="L837:L838"/>
    <mergeCell ref="A839:A840"/>
    <mergeCell ref="B839:B840"/>
    <mergeCell ref="C839:C840"/>
    <mergeCell ref="D839:D840"/>
    <mergeCell ref="E839:E840"/>
    <mergeCell ref="F839:G840"/>
    <mergeCell ref="H839:H840"/>
    <mergeCell ref="I839:I840"/>
    <mergeCell ref="J839:J840"/>
    <mergeCell ref="K839:K840"/>
    <mergeCell ref="L839:L840"/>
    <mergeCell ref="A833:A834"/>
    <mergeCell ref="B833:B834"/>
    <mergeCell ref="C833:C834"/>
    <mergeCell ref="D833:D834"/>
    <mergeCell ref="E833:E834"/>
    <mergeCell ref="F833:G834"/>
    <mergeCell ref="H833:H834"/>
    <mergeCell ref="I833:I834"/>
    <mergeCell ref="J833:J834"/>
    <mergeCell ref="K833:K834"/>
    <mergeCell ref="L833:L834"/>
    <mergeCell ref="A835:A836"/>
    <mergeCell ref="B835:B836"/>
    <mergeCell ref="C835:C836"/>
    <mergeCell ref="D835:D836"/>
    <mergeCell ref="E835:E836"/>
    <mergeCell ref="F835:G836"/>
    <mergeCell ref="H835:H836"/>
    <mergeCell ref="I835:I836"/>
    <mergeCell ref="J835:J836"/>
    <mergeCell ref="K835:K836"/>
    <mergeCell ref="L835:L836"/>
    <mergeCell ref="B827:B828"/>
    <mergeCell ref="C827:C828"/>
    <mergeCell ref="D827:D828"/>
    <mergeCell ref="E827:E828"/>
    <mergeCell ref="F827:G828"/>
    <mergeCell ref="H827:H828"/>
    <mergeCell ref="I827:I828"/>
    <mergeCell ref="J827:J828"/>
    <mergeCell ref="K827:K828"/>
    <mergeCell ref="L827:L828"/>
    <mergeCell ref="A829:A830"/>
    <mergeCell ref="B829:B830"/>
    <mergeCell ref="C829:C830"/>
    <mergeCell ref="D829:D830"/>
    <mergeCell ref="E829:E830"/>
    <mergeCell ref="F829:G830"/>
    <mergeCell ref="H829:H830"/>
    <mergeCell ref="I829:I830"/>
    <mergeCell ref="J829:J830"/>
    <mergeCell ref="K829:K830"/>
    <mergeCell ref="L829:L830"/>
    <mergeCell ref="A827:A828"/>
    <mergeCell ref="A823:A824"/>
    <mergeCell ref="B823:B824"/>
    <mergeCell ref="C823:C824"/>
    <mergeCell ref="D823:D824"/>
    <mergeCell ref="E823:E824"/>
    <mergeCell ref="F823:G824"/>
    <mergeCell ref="H823:H824"/>
    <mergeCell ref="I823:I824"/>
    <mergeCell ref="J823:J824"/>
    <mergeCell ref="K823:K824"/>
    <mergeCell ref="L823:L824"/>
    <mergeCell ref="A825:A826"/>
    <mergeCell ref="B825:B826"/>
    <mergeCell ref="C825:C826"/>
    <mergeCell ref="D825:D826"/>
    <mergeCell ref="E825:E826"/>
    <mergeCell ref="F825:G826"/>
    <mergeCell ref="H825:H826"/>
    <mergeCell ref="I825:I826"/>
    <mergeCell ref="J825:J826"/>
    <mergeCell ref="K825:K826"/>
    <mergeCell ref="L825:L826"/>
    <mergeCell ref="A819:A820"/>
    <mergeCell ref="B819:B820"/>
    <mergeCell ref="C819:C820"/>
    <mergeCell ref="D819:D820"/>
    <mergeCell ref="E819:E820"/>
    <mergeCell ref="F819:G820"/>
    <mergeCell ref="H819:H820"/>
    <mergeCell ref="I819:I820"/>
    <mergeCell ref="J819:J820"/>
    <mergeCell ref="K819:K820"/>
    <mergeCell ref="L819:L820"/>
    <mergeCell ref="A821:A822"/>
    <mergeCell ref="B821:B822"/>
    <mergeCell ref="C821:C822"/>
    <mergeCell ref="D821:D822"/>
    <mergeCell ref="E821:E822"/>
    <mergeCell ref="F821:G822"/>
    <mergeCell ref="H821:H822"/>
    <mergeCell ref="I821:I822"/>
    <mergeCell ref="J821:J822"/>
    <mergeCell ref="K821:K822"/>
    <mergeCell ref="L821:L822"/>
    <mergeCell ref="A815:A816"/>
    <mergeCell ref="B815:B816"/>
    <mergeCell ref="C815:C816"/>
    <mergeCell ref="D815:D816"/>
    <mergeCell ref="E815:E816"/>
    <mergeCell ref="F815:G816"/>
    <mergeCell ref="H815:H816"/>
    <mergeCell ref="I815:I816"/>
    <mergeCell ref="J815:J816"/>
    <mergeCell ref="K815:K816"/>
    <mergeCell ref="L815:L816"/>
    <mergeCell ref="A817:A818"/>
    <mergeCell ref="B817:B818"/>
    <mergeCell ref="C817:C818"/>
    <mergeCell ref="D817:D818"/>
    <mergeCell ref="E817:E818"/>
    <mergeCell ref="F817:G818"/>
    <mergeCell ref="H817:H818"/>
    <mergeCell ref="I817:I818"/>
    <mergeCell ref="J817:J818"/>
    <mergeCell ref="K817:K818"/>
    <mergeCell ref="L817:L818"/>
    <mergeCell ref="A811:A812"/>
    <mergeCell ref="B811:B812"/>
    <mergeCell ref="C811:C812"/>
    <mergeCell ref="D811:D812"/>
    <mergeCell ref="E811:E812"/>
    <mergeCell ref="F811:G812"/>
    <mergeCell ref="H811:H812"/>
    <mergeCell ref="I811:I812"/>
    <mergeCell ref="J811:J812"/>
    <mergeCell ref="K811:K812"/>
    <mergeCell ref="L811:L812"/>
    <mergeCell ref="A813:A814"/>
    <mergeCell ref="B813:B814"/>
    <mergeCell ref="C813:C814"/>
    <mergeCell ref="D813:D814"/>
    <mergeCell ref="E813:E814"/>
    <mergeCell ref="F813:G814"/>
    <mergeCell ref="H813:H814"/>
    <mergeCell ref="I813:I814"/>
    <mergeCell ref="J813:J814"/>
    <mergeCell ref="K813:K814"/>
    <mergeCell ref="L813:L814"/>
    <mergeCell ref="A807:A808"/>
    <mergeCell ref="B807:B808"/>
    <mergeCell ref="C807:C808"/>
    <mergeCell ref="D807:D808"/>
    <mergeCell ref="E807:E808"/>
    <mergeCell ref="F807:G808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D809:D810"/>
    <mergeCell ref="E809:E810"/>
    <mergeCell ref="F809:G810"/>
    <mergeCell ref="H809:H810"/>
    <mergeCell ref="I809:I810"/>
    <mergeCell ref="J809:J810"/>
    <mergeCell ref="K809:K810"/>
    <mergeCell ref="L809:L810"/>
    <mergeCell ref="A803:A804"/>
    <mergeCell ref="B803:B804"/>
    <mergeCell ref="C803:C804"/>
    <mergeCell ref="D803:D804"/>
    <mergeCell ref="E803:E804"/>
    <mergeCell ref="F803:G804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F805:G806"/>
    <mergeCell ref="H805:H806"/>
    <mergeCell ref="I805:I806"/>
    <mergeCell ref="J805:J806"/>
    <mergeCell ref="K805:K806"/>
    <mergeCell ref="L805:L806"/>
    <mergeCell ref="A799:A800"/>
    <mergeCell ref="B799:B800"/>
    <mergeCell ref="C799:C800"/>
    <mergeCell ref="D799:D800"/>
    <mergeCell ref="E799:E800"/>
    <mergeCell ref="F799:G800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D801:D802"/>
    <mergeCell ref="E801:E802"/>
    <mergeCell ref="F801:G802"/>
    <mergeCell ref="H801:H802"/>
    <mergeCell ref="I801:I802"/>
    <mergeCell ref="J801:J802"/>
    <mergeCell ref="K801:K802"/>
    <mergeCell ref="L801:L802"/>
    <mergeCell ref="D797:D798"/>
    <mergeCell ref="A797:A798"/>
    <mergeCell ref="B797:B798"/>
    <mergeCell ref="C797:C798"/>
    <mergeCell ref="E797:E798"/>
    <mergeCell ref="F797:G798"/>
    <mergeCell ref="H797:H798"/>
    <mergeCell ref="I797:I798"/>
    <mergeCell ref="J797:J798"/>
    <mergeCell ref="K797:K798"/>
    <mergeCell ref="L797:L798"/>
    <mergeCell ref="A793:A794"/>
    <mergeCell ref="B793:B794"/>
    <mergeCell ref="C793:C794"/>
    <mergeCell ref="D793:D794"/>
    <mergeCell ref="E793:E794"/>
    <mergeCell ref="F793:G794"/>
    <mergeCell ref="H793:H794"/>
    <mergeCell ref="I793:I794"/>
    <mergeCell ref="J793:J794"/>
    <mergeCell ref="K793:K794"/>
    <mergeCell ref="L793:L794"/>
    <mergeCell ref="A795:A796"/>
    <mergeCell ref="B795:B796"/>
    <mergeCell ref="C795:C796"/>
    <mergeCell ref="D795:D796"/>
    <mergeCell ref="E795:E796"/>
    <mergeCell ref="F795:G796"/>
    <mergeCell ref="H795:H796"/>
    <mergeCell ref="I795:I796"/>
    <mergeCell ref="J795:J796"/>
    <mergeCell ref="K795:K796"/>
    <mergeCell ref="L795:L796"/>
    <mergeCell ref="A789:A790"/>
    <mergeCell ref="B789:B790"/>
    <mergeCell ref="C789:C790"/>
    <mergeCell ref="D789:D790"/>
    <mergeCell ref="E789:E790"/>
    <mergeCell ref="F789:G790"/>
    <mergeCell ref="H789:H790"/>
    <mergeCell ref="I789:I790"/>
    <mergeCell ref="J789:J790"/>
    <mergeCell ref="K789:K790"/>
    <mergeCell ref="L789:L790"/>
    <mergeCell ref="A791:A792"/>
    <mergeCell ref="B791:B792"/>
    <mergeCell ref="C791:C792"/>
    <mergeCell ref="D791:D792"/>
    <mergeCell ref="E791:E792"/>
    <mergeCell ref="F791:G792"/>
    <mergeCell ref="H791:H792"/>
    <mergeCell ref="I791:I792"/>
    <mergeCell ref="J791:J792"/>
    <mergeCell ref="K791:K792"/>
    <mergeCell ref="L791:L792"/>
    <mergeCell ref="A785:A786"/>
    <mergeCell ref="B785:B786"/>
    <mergeCell ref="C785:C786"/>
    <mergeCell ref="D785:D786"/>
    <mergeCell ref="E785:E786"/>
    <mergeCell ref="F785:G786"/>
    <mergeCell ref="H785:H786"/>
    <mergeCell ref="I785:I786"/>
    <mergeCell ref="J785:J786"/>
    <mergeCell ref="K785:K786"/>
    <mergeCell ref="L785:L786"/>
    <mergeCell ref="A787:A788"/>
    <mergeCell ref="B787:B788"/>
    <mergeCell ref="C787:C788"/>
    <mergeCell ref="D787:D788"/>
    <mergeCell ref="E787:E788"/>
    <mergeCell ref="F787:G788"/>
    <mergeCell ref="H787:H788"/>
    <mergeCell ref="I787:I788"/>
    <mergeCell ref="J787:J788"/>
    <mergeCell ref="K787:K788"/>
    <mergeCell ref="L787:L788"/>
    <mergeCell ref="A781:A782"/>
    <mergeCell ref="B781:B782"/>
    <mergeCell ref="C781:C782"/>
    <mergeCell ref="D781:D782"/>
    <mergeCell ref="E781:E782"/>
    <mergeCell ref="F781:G782"/>
    <mergeCell ref="H781:H782"/>
    <mergeCell ref="I781:I782"/>
    <mergeCell ref="J781:J782"/>
    <mergeCell ref="K781:K782"/>
    <mergeCell ref="L781:L782"/>
    <mergeCell ref="A783:A784"/>
    <mergeCell ref="B783:B784"/>
    <mergeCell ref="C783:C784"/>
    <mergeCell ref="D783:D784"/>
    <mergeCell ref="E783:E784"/>
    <mergeCell ref="F783:G784"/>
    <mergeCell ref="H783:H784"/>
    <mergeCell ref="I783:I784"/>
    <mergeCell ref="J783:J784"/>
    <mergeCell ref="K783:K784"/>
    <mergeCell ref="L783:L784"/>
    <mergeCell ref="A775:A776"/>
    <mergeCell ref="B769:B770"/>
    <mergeCell ref="C769:C770"/>
    <mergeCell ref="D769:D770"/>
    <mergeCell ref="E769:E770"/>
    <mergeCell ref="F769:G770"/>
    <mergeCell ref="H769:H770"/>
    <mergeCell ref="I769:I770"/>
    <mergeCell ref="J769:J770"/>
    <mergeCell ref="K769:K770"/>
    <mergeCell ref="L769:L770"/>
    <mergeCell ref="A779:A780"/>
    <mergeCell ref="B779:B780"/>
    <mergeCell ref="C779:C780"/>
    <mergeCell ref="D779:D780"/>
    <mergeCell ref="E779:E780"/>
    <mergeCell ref="F779:G780"/>
    <mergeCell ref="H779:H780"/>
    <mergeCell ref="I779:I780"/>
    <mergeCell ref="J779:J780"/>
    <mergeCell ref="K779:K780"/>
    <mergeCell ref="L779:L780"/>
    <mergeCell ref="B771:B772"/>
    <mergeCell ref="C771:C772"/>
    <mergeCell ref="D771:D772"/>
    <mergeCell ref="E771:E772"/>
    <mergeCell ref="F771:G772"/>
    <mergeCell ref="H771:H772"/>
    <mergeCell ref="I771:I772"/>
    <mergeCell ref="J771:J772"/>
    <mergeCell ref="K771:K772"/>
    <mergeCell ref="L771:L772"/>
    <mergeCell ref="A771:A772"/>
    <mergeCell ref="B765:B766"/>
    <mergeCell ref="C765:C766"/>
    <mergeCell ref="D765:D766"/>
    <mergeCell ref="E765:E766"/>
    <mergeCell ref="F765:G766"/>
    <mergeCell ref="H765:H766"/>
    <mergeCell ref="I765:I766"/>
    <mergeCell ref="J765:J766"/>
    <mergeCell ref="K765:K766"/>
    <mergeCell ref="L765:L766"/>
    <mergeCell ref="A773:A774"/>
    <mergeCell ref="B767:B768"/>
    <mergeCell ref="C767:C768"/>
    <mergeCell ref="D767:D768"/>
    <mergeCell ref="E767:E768"/>
    <mergeCell ref="F767:G768"/>
    <mergeCell ref="H767:H768"/>
    <mergeCell ref="I767:I768"/>
    <mergeCell ref="J767:J768"/>
    <mergeCell ref="K767:K768"/>
    <mergeCell ref="L767:L768"/>
    <mergeCell ref="B773:B774"/>
    <mergeCell ref="C773:C774"/>
    <mergeCell ref="D773:D774"/>
    <mergeCell ref="E773:E774"/>
    <mergeCell ref="F773:G774"/>
    <mergeCell ref="H773:H774"/>
    <mergeCell ref="I773:I774"/>
    <mergeCell ref="J773:J774"/>
    <mergeCell ref="K773:K774"/>
    <mergeCell ref="L773:L774"/>
    <mergeCell ref="A769:A770"/>
    <mergeCell ref="A767:A768"/>
    <mergeCell ref="A763:A764"/>
    <mergeCell ref="B763:B764"/>
    <mergeCell ref="C763:C764"/>
    <mergeCell ref="D763:D764"/>
    <mergeCell ref="E763:E764"/>
    <mergeCell ref="F763:G764"/>
    <mergeCell ref="H763:H764"/>
    <mergeCell ref="I763:I764"/>
    <mergeCell ref="J763:J764"/>
    <mergeCell ref="K763:K764"/>
    <mergeCell ref="L763:L764"/>
    <mergeCell ref="A765:A766"/>
    <mergeCell ref="A759:A760"/>
    <mergeCell ref="B759:B760"/>
    <mergeCell ref="C759:C760"/>
    <mergeCell ref="D759:D760"/>
    <mergeCell ref="E759:E760"/>
    <mergeCell ref="F759:G760"/>
    <mergeCell ref="H759:H760"/>
    <mergeCell ref="I759:I760"/>
    <mergeCell ref="J759:J760"/>
    <mergeCell ref="K759:K760"/>
    <mergeCell ref="L759:L760"/>
    <mergeCell ref="A761:A762"/>
    <mergeCell ref="B761:B762"/>
    <mergeCell ref="C761:C762"/>
    <mergeCell ref="D761:D762"/>
    <mergeCell ref="E761:E762"/>
    <mergeCell ref="F761:G762"/>
    <mergeCell ref="H761:H762"/>
    <mergeCell ref="I761:I762"/>
    <mergeCell ref="J761:J762"/>
    <mergeCell ref="K761:K762"/>
    <mergeCell ref="L761:L762"/>
    <mergeCell ref="A755:A756"/>
    <mergeCell ref="B755:B756"/>
    <mergeCell ref="C755:C756"/>
    <mergeCell ref="D755:D756"/>
    <mergeCell ref="E755:E756"/>
    <mergeCell ref="F755:G756"/>
    <mergeCell ref="H755:H756"/>
    <mergeCell ref="I755:I756"/>
    <mergeCell ref="J755:J756"/>
    <mergeCell ref="K755:K756"/>
    <mergeCell ref="L755:L756"/>
    <mergeCell ref="A757:A758"/>
    <mergeCell ref="B757:B758"/>
    <mergeCell ref="C757:C758"/>
    <mergeCell ref="D757:D758"/>
    <mergeCell ref="E757:E758"/>
    <mergeCell ref="F757:G758"/>
    <mergeCell ref="H757:H758"/>
    <mergeCell ref="I757:I758"/>
    <mergeCell ref="J757:J758"/>
    <mergeCell ref="K757:K758"/>
    <mergeCell ref="L757:L758"/>
    <mergeCell ref="A751:A752"/>
    <mergeCell ref="B751:B752"/>
    <mergeCell ref="C751:C752"/>
    <mergeCell ref="D751:D752"/>
    <mergeCell ref="E751:E752"/>
    <mergeCell ref="F751:G752"/>
    <mergeCell ref="H751:H752"/>
    <mergeCell ref="I751:I752"/>
    <mergeCell ref="J751:J752"/>
    <mergeCell ref="K751:K752"/>
    <mergeCell ref="L751:L752"/>
    <mergeCell ref="A753:A754"/>
    <mergeCell ref="B753:B754"/>
    <mergeCell ref="C753:C754"/>
    <mergeCell ref="D753:D754"/>
    <mergeCell ref="E753:E754"/>
    <mergeCell ref="F753:G754"/>
    <mergeCell ref="H753:H754"/>
    <mergeCell ref="I753:I754"/>
    <mergeCell ref="J753:J754"/>
    <mergeCell ref="K753:K754"/>
    <mergeCell ref="L753:L754"/>
    <mergeCell ref="A747:A748"/>
    <mergeCell ref="B747:B748"/>
    <mergeCell ref="C747:C748"/>
    <mergeCell ref="D747:D748"/>
    <mergeCell ref="E747:E748"/>
    <mergeCell ref="F747:G748"/>
    <mergeCell ref="H747:H748"/>
    <mergeCell ref="I747:I748"/>
    <mergeCell ref="J747:J748"/>
    <mergeCell ref="K747:K748"/>
    <mergeCell ref="L747:L748"/>
    <mergeCell ref="A749:A750"/>
    <mergeCell ref="B749:B750"/>
    <mergeCell ref="C749:C750"/>
    <mergeCell ref="D749:D750"/>
    <mergeCell ref="E749:E750"/>
    <mergeCell ref="F749:G750"/>
    <mergeCell ref="H749:H750"/>
    <mergeCell ref="I749:I750"/>
    <mergeCell ref="J749:J750"/>
    <mergeCell ref="K749:K750"/>
    <mergeCell ref="L749:L750"/>
    <mergeCell ref="A745:A746"/>
    <mergeCell ref="B745:B746"/>
    <mergeCell ref="C745:C746"/>
    <mergeCell ref="D745:D746"/>
    <mergeCell ref="E745:E746"/>
    <mergeCell ref="F745:G746"/>
    <mergeCell ref="H745:H746"/>
    <mergeCell ref="I745:I746"/>
    <mergeCell ref="J745:J746"/>
    <mergeCell ref="K745:K746"/>
    <mergeCell ref="L745:L746"/>
    <mergeCell ref="A743:L744"/>
    <mergeCell ref="A739:A740"/>
    <mergeCell ref="B739:B740"/>
    <mergeCell ref="C739:C740"/>
    <mergeCell ref="D739:D740"/>
    <mergeCell ref="E739:E740"/>
    <mergeCell ref="F739:G740"/>
    <mergeCell ref="H739:H740"/>
    <mergeCell ref="I739:I740"/>
    <mergeCell ref="J739:J740"/>
    <mergeCell ref="K739:K740"/>
    <mergeCell ref="L739:L740"/>
    <mergeCell ref="A741:A742"/>
    <mergeCell ref="B741:B742"/>
    <mergeCell ref="C741:C742"/>
    <mergeCell ref="D741:D742"/>
    <mergeCell ref="E741:E742"/>
    <mergeCell ref="F741:G742"/>
    <mergeCell ref="H741:H742"/>
    <mergeCell ref="I741:I742"/>
    <mergeCell ref="J741:J742"/>
    <mergeCell ref="K741:K742"/>
    <mergeCell ref="L741:L742"/>
    <mergeCell ref="A735:A736"/>
    <mergeCell ref="B735:B736"/>
    <mergeCell ref="C735:C736"/>
    <mergeCell ref="D735:D736"/>
    <mergeCell ref="E735:E736"/>
    <mergeCell ref="F735:G736"/>
    <mergeCell ref="H735:H736"/>
    <mergeCell ref="I735:I736"/>
    <mergeCell ref="J735:J736"/>
    <mergeCell ref="K735:K736"/>
    <mergeCell ref="L735:L736"/>
    <mergeCell ref="A737:A738"/>
    <mergeCell ref="B737:B738"/>
    <mergeCell ref="C737:C738"/>
    <mergeCell ref="D737:D738"/>
    <mergeCell ref="E737:E738"/>
    <mergeCell ref="F737:G738"/>
    <mergeCell ref="H737:H738"/>
    <mergeCell ref="I737:I738"/>
    <mergeCell ref="J737:J738"/>
    <mergeCell ref="K737:K738"/>
    <mergeCell ref="L737:L738"/>
    <mergeCell ref="L609:L610"/>
    <mergeCell ref="A621:L622"/>
    <mergeCell ref="A619:A620"/>
    <mergeCell ref="B619:B620"/>
    <mergeCell ref="C619:C620"/>
    <mergeCell ref="D619:D620"/>
    <mergeCell ref="E619:E620"/>
    <mergeCell ref="F619:G620"/>
    <mergeCell ref="H619:H620"/>
    <mergeCell ref="I619:I620"/>
    <mergeCell ref="J619:J620"/>
    <mergeCell ref="K619:K620"/>
    <mergeCell ref="L619:L620"/>
    <mergeCell ref="L539:L540"/>
    <mergeCell ref="A407:A408"/>
    <mergeCell ref="B407:B408"/>
    <mergeCell ref="C407:C408"/>
    <mergeCell ref="D407:D408"/>
    <mergeCell ref="E407:E408"/>
    <mergeCell ref="F407:G408"/>
    <mergeCell ref="H407:H408"/>
    <mergeCell ref="I407:I408"/>
    <mergeCell ref="J407:J408"/>
    <mergeCell ref="K407:K408"/>
    <mergeCell ref="L407:L408"/>
    <mergeCell ref="A409:A410"/>
    <mergeCell ref="B409:B410"/>
    <mergeCell ref="C409:C410"/>
    <mergeCell ref="D409:D410"/>
    <mergeCell ref="E409:E410"/>
    <mergeCell ref="F409:G410"/>
    <mergeCell ref="H409:H410"/>
    <mergeCell ref="A403:A404"/>
    <mergeCell ref="B403:B404"/>
    <mergeCell ref="C403:C404"/>
    <mergeCell ref="D403:D404"/>
    <mergeCell ref="E403:E404"/>
    <mergeCell ref="F403:G404"/>
    <mergeCell ref="H403:H404"/>
    <mergeCell ref="I403:I404"/>
    <mergeCell ref="J403:J404"/>
    <mergeCell ref="K403:K404"/>
    <mergeCell ref="L403:L404"/>
    <mergeCell ref="A405:A406"/>
    <mergeCell ref="B405:B406"/>
    <mergeCell ref="C405:C406"/>
    <mergeCell ref="D405:D406"/>
    <mergeCell ref="E405:E406"/>
    <mergeCell ref="F405:G406"/>
    <mergeCell ref="H405:H406"/>
    <mergeCell ref="I405:I406"/>
    <mergeCell ref="J405:J406"/>
    <mergeCell ref="K405:K406"/>
    <mergeCell ref="L405:L406"/>
    <mergeCell ref="A399:A400"/>
    <mergeCell ref="B399:B400"/>
    <mergeCell ref="C399:C400"/>
    <mergeCell ref="D399:D400"/>
    <mergeCell ref="E399:E400"/>
    <mergeCell ref="F399:G400"/>
    <mergeCell ref="H399:H400"/>
    <mergeCell ref="I399:I400"/>
    <mergeCell ref="J399:J400"/>
    <mergeCell ref="K399:K400"/>
    <mergeCell ref="L399:L400"/>
    <mergeCell ref="A401:A402"/>
    <mergeCell ref="B401:B402"/>
    <mergeCell ref="C401:C402"/>
    <mergeCell ref="D401:D402"/>
    <mergeCell ref="E401:E402"/>
    <mergeCell ref="F401:G402"/>
    <mergeCell ref="H401:H402"/>
    <mergeCell ref="I401:I402"/>
    <mergeCell ref="J401:J402"/>
    <mergeCell ref="K401:K402"/>
    <mergeCell ref="L401:L402"/>
    <mergeCell ref="A395:A396"/>
    <mergeCell ref="B395:B396"/>
    <mergeCell ref="C395:C396"/>
    <mergeCell ref="D395:D396"/>
    <mergeCell ref="E395:E396"/>
    <mergeCell ref="F395:G396"/>
    <mergeCell ref="H395:H396"/>
    <mergeCell ref="I395:I396"/>
    <mergeCell ref="J395:J396"/>
    <mergeCell ref="K395:K396"/>
    <mergeCell ref="L395:L396"/>
    <mergeCell ref="A397:A398"/>
    <mergeCell ref="B397:B398"/>
    <mergeCell ref="C397:C398"/>
    <mergeCell ref="D397:D398"/>
    <mergeCell ref="E397:E398"/>
    <mergeCell ref="F397:G398"/>
    <mergeCell ref="H397:H398"/>
    <mergeCell ref="I397:I398"/>
    <mergeCell ref="J397:J398"/>
    <mergeCell ref="K397:K398"/>
    <mergeCell ref="L397:L398"/>
    <mergeCell ref="A391:A392"/>
    <mergeCell ref="B391:B392"/>
    <mergeCell ref="C391:C392"/>
    <mergeCell ref="D391:D392"/>
    <mergeCell ref="E391:E392"/>
    <mergeCell ref="F391:G392"/>
    <mergeCell ref="H391:H392"/>
    <mergeCell ref="I391:I392"/>
    <mergeCell ref="J391:J392"/>
    <mergeCell ref="K391:K392"/>
    <mergeCell ref="L391:L392"/>
    <mergeCell ref="A393:A394"/>
    <mergeCell ref="B393:B394"/>
    <mergeCell ref="C393:C394"/>
    <mergeCell ref="D393:D394"/>
    <mergeCell ref="E393:E394"/>
    <mergeCell ref="F393:G394"/>
    <mergeCell ref="H393:H394"/>
    <mergeCell ref="I393:I394"/>
    <mergeCell ref="J393:J394"/>
    <mergeCell ref="K393:K394"/>
    <mergeCell ref="L393:L394"/>
    <mergeCell ref="A385:A386"/>
    <mergeCell ref="C385:C386"/>
    <mergeCell ref="D385:D386"/>
    <mergeCell ref="E385:E386"/>
    <mergeCell ref="F385:G386"/>
    <mergeCell ref="H385:H386"/>
    <mergeCell ref="I385:I386"/>
    <mergeCell ref="J385:J386"/>
    <mergeCell ref="K385:K386"/>
    <mergeCell ref="L385:L386"/>
    <mergeCell ref="A389:A390"/>
    <mergeCell ref="B385:B386"/>
    <mergeCell ref="C389:C390"/>
    <mergeCell ref="D389:D390"/>
    <mergeCell ref="E389:E390"/>
    <mergeCell ref="F389:G390"/>
    <mergeCell ref="H389:H390"/>
    <mergeCell ref="I389:I390"/>
    <mergeCell ref="J389:J390"/>
    <mergeCell ref="K389:K390"/>
    <mergeCell ref="L389:L390"/>
    <mergeCell ref="A387:L388"/>
    <mergeCell ref="A381:A382"/>
    <mergeCell ref="B381:B382"/>
    <mergeCell ref="C381:C382"/>
    <mergeCell ref="D381:D382"/>
    <mergeCell ref="E381:E382"/>
    <mergeCell ref="F381:G382"/>
    <mergeCell ref="H381:H382"/>
    <mergeCell ref="I381:I382"/>
    <mergeCell ref="J381:J382"/>
    <mergeCell ref="K381:K382"/>
    <mergeCell ref="L381:L382"/>
    <mergeCell ref="A383:A384"/>
    <mergeCell ref="B383:B384"/>
    <mergeCell ref="C383:C384"/>
    <mergeCell ref="D383:D384"/>
    <mergeCell ref="E383:E384"/>
    <mergeCell ref="F383:G384"/>
    <mergeCell ref="H383:H384"/>
    <mergeCell ref="I383:I384"/>
    <mergeCell ref="J383:J384"/>
    <mergeCell ref="K383:K384"/>
    <mergeCell ref="L383:L384"/>
    <mergeCell ref="A377:A378"/>
    <mergeCell ref="B377:B378"/>
    <mergeCell ref="C377:C378"/>
    <mergeCell ref="D377:D378"/>
    <mergeCell ref="E377:E378"/>
    <mergeCell ref="F377:G378"/>
    <mergeCell ref="H377:H378"/>
    <mergeCell ref="I377:I378"/>
    <mergeCell ref="J377:J378"/>
    <mergeCell ref="K377:K378"/>
    <mergeCell ref="L377:L378"/>
    <mergeCell ref="A379:A380"/>
    <mergeCell ref="B379:B380"/>
    <mergeCell ref="C379:C380"/>
    <mergeCell ref="D379:D380"/>
    <mergeCell ref="E379:E380"/>
    <mergeCell ref="F379:G380"/>
    <mergeCell ref="H379:H380"/>
    <mergeCell ref="I379:I380"/>
    <mergeCell ref="J379:J380"/>
    <mergeCell ref="K379:K380"/>
    <mergeCell ref="L379:L380"/>
    <mergeCell ref="A373:A374"/>
    <mergeCell ref="B373:B374"/>
    <mergeCell ref="C373:C374"/>
    <mergeCell ref="D373:D374"/>
    <mergeCell ref="E373:E374"/>
    <mergeCell ref="F373:G374"/>
    <mergeCell ref="H373:H374"/>
    <mergeCell ref="I373:I374"/>
    <mergeCell ref="J373:J374"/>
    <mergeCell ref="K373:K374"/>
    <mergeCell ref="L373:L374"/>
    <mergeCell ref="A375:A376"/>
    <mergeCell ref="B375:B376"/>
    <mergeCell ref="C375:C376"/>
    <mergeCell ref="D375:D376"/>
    <mergeCell ref="E375:E376"/>
    <mergeCell ref="F375:G376"/>
    <mergeCell ref="H375:H376"/>
    <mergeCell ref="I375:I376"/>
    <mergeCell ref="J375:J376"/>
    <mergeCell ref="K375:K376"/>
    <mergeCell ref="L375:L376"/>
    <mergeCell ref="A369:A370"/>
    <mergeCell ref="B369:B370"/>
    <mergeCell ref="C369:C370"/>
    <mergeCell ref="D369:D370"/>
    <mergeCell ref="E369:E370"/>
    <mergeCell ref="F369:G370"/>
    <mergeCell ref="H369:H370"/>
    <mergeCell ref="I369:I370"/>
    <mergeCell ref="J369:J370"/>
    <mergeCell ref="K369:K370"/>
    <mergeCell ref="L369:L370"/>
    <mergeCell ref="A371:A372"/>
    <mergeCell ref="B371:B372"/>
    <mergeCell ref="C371:C372"/>
    <mergeCell ref="D371:D372"/>
    <mergeCell ref="E371:E372"/>
    <mergeCell ref="F371:G372"/>
    <mergeCell ref="H371:H372"/>
    <mergeCell ref="I371:I372"/>
    <mergeCell ref="J371:J372"/>
    <mergeCell ref="K371:K372"/>
    <mergeCell ref="L371:L372"/>
    <mergeCell ref="A365:A366"/>
    <mergeCell ref="B365:B366"/>
    <mergeCell ref="C365:C366"/>
    <mergeCell ref="D365:D366"/>
    <mergeCell ref="E365:E366"/>
    <mergeCell ref="F365:G366"/>
    <mergeCell ref="H365:H366"/>
    <mergeCell ref="I365:I366"/>
    <mergeCell ref="J365:J366"/>
    <mergeCell ref="K365:K366"/>
    <mergeCell ref="L365:L366"/>
    <mergeCell ref="A367:A368"/>
    <mergeCell ref="B367:B368"/>
    <mergeCell ref="C367:C368"/>
    <mergeCell ref="D367:D368"/>
    <mergeCell ref="E367:E368"/>
    <mergeCell ref="F367:G368"/>
    <mergeCell ref="H367:H368"/>
    <mergeCell ref="I367:I368"/>
    <mergeCell ref="J367:J368"/>
    <mergeCell ref="K367:K368"/>
    <mergeCell ref="L367:L368"/>
    <mergeCell ref="A361:A362"/>
    <mergeCell ref="B361:B362"/>
    <mergeCell ref="C361:C362"/>
    <mergeCell ref="D361:D362"/>
    <mergeCell ref="E361:E362"/>
    <mergeCell ref="F361:G362"/>
    <mergeCell ref="H361:H362"/>
    <mergeCell ref="I361:I362"/>
    <mergeCell ref="J361:J362"/>
    <mergeCell ref="K361:K362"/>
    <mergeCell ref="L361:L362"/>
    <mergeCell ref="A363:A364"/>
    <mergeCell ref="B363:B364"/>
    <mergeCell ref="C363:C364"/>
    <mergeCell ref="D363:D364"/>
    <mergeCell ref="E363:E364"/>
    <mergeCell ref="F363:G364"/>
    <mergeCell ref="H363:H364"/>
    <mergeCell ref="I363:I364"/>
    <mergeCell ref="J363:J364"/>
    <mergeCell ref="K363:K364"/>
    <mergeCell ref="L363:L364"/>
    <mergeCell ref="A357:A358"/>
    <mergeCell ref="B357:B358"/>
    <mergeCell ref="C357:C358"/>
    <mergeCell ref="D357:D358"/>
    <mergeCell ref="E357:E358"/>
    <mergeCell ref="F357:G358"/>
    <mergeCell ref="H357:H358"/>
    <mergeCell ref="I357:I358"/>
    <mergeCell ref="J357:J358"/>
    <mergeCell ref="K357:K358"/>
    <mergeCell ref="L357:L358"/>
    <mergeCell ref="A359:A360"/>
    <mergeCell ref="B359:B360"/>
    <mergeCell ref="C359:C360"/>
    <mergeCell ref="D359:D360"/>
    <mergeCell ref="E359:E360"/>
    <mergeCell ref="F359:G360"/>
    <mergeCell ref="H359:H360"/>
    <mergeCell ref="I359:I360"/>
    <mergeCell ref="J359:J360"/>
    <mergeCell ref="K359:K360"/>
    <mergeCell ref="L359:L360"/>
    <mergeCell ref="A353:A354"/>
    <mergeCell ref="B353:B354"/>
    <mergeCell ref="C353:C354"/>
    <mergeCell ref="D353:D354"/>
    <mergeCell ref="E353:E354"/>
    <mergeCell ref="F353:G354"/>
    <mergeCell ref="H353:H354"/>
    <mergeCell ref="I353:I354"/>
    <mergeCell ref="J353:J354"/>
    <mergeCell ref="K353:K354"/>
    <mergeCell ref="L353:L354"/>
    <mergeCell ref="A355:A356"/>
    <mergeCell ref="B355:B356"/>
    <mergeCell ref="C355:C356"/>
    <mergeCell ref="D355:D356"/>
    <mergeCell ref="E355:E356"/>
    <mergeCell ref="F355:G356"/>
    <mergeCell ref="H355:H356"/>
    <mergeCell ref="I355:I356"/>
    <mergeCell ref="J355:J356"/>
    <mergeCell ref="K355:K356"/>
    <mergeCell ref="L355:L356"/>
    <mergeCell ref="L347:L348"/>
    <mergeCell ref="A349:A350"/>
    <mergeCell ref="B349:B350"/>
    <mergeCell ref="C349:C350"/>
    <mergeCell ref="D349:D350"/>
    <mergeCell ref="E349:E350"/>
    <mergeCell ref="F349:G350"/>
    <mergeCell ref="H349:H350"/>
    <mergeCell ref="I349:I350"/>
    <mergeCell ref="J349:J350"/>
    <mergeCell ref="K349:K350"/>
    <mergeCell ref="L349:L350"/>
    <mergeCell ref="A351:A352"/>
    <mergeCell ref="B351:B352"/>
    <mergeCell ref="C351:C352"/>
    <mergeCell ref="D351:D352"/>
    <mergeCell ref="E351:E352"/>
    <mergeCell ref="F351:G352"/>
    <mergeCell ref="H351:H352"/>
    <mergeCell ref="I351:I352"/>
    <mergeCell ref="J351:J352"/>
    <mergeCell ref="K351:K352"/>
    <mergeCell ref="L351:L352"/>
    <mergeCell ref="F347:G348"/>
    <mergeCell ref="A347:A348"/>
    <mergeCell ref="B347:B348"/>
    <mergeCell ref="C347:C348"/>
    <mergeCell ref="D347:D348"/>
    <mergeCell ref="E347:E348"/>
    <mergeCell ref="H347:H348"/>
    <mergeCell ref="I347:I348"/>
    <mergeCell ref="J347:J348"/>
    <mergeCell ref="F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A1:L2"/>
    <mergeCell ref="F7:G8"/>
    <mergeCell ref="H7:H8"/>
    <mergeCell ref="I7:I8"/>
    <mergeCell ref="J7:J8"/>
    <mergeCell ref="K7:K8"/>
    <mergeCell ref="L7:L8"/>
    <mergeCell ref="H5:H6"/>
    <mergeCell ref="I5:I6"/>
    <mergeCell ref="J5:J6"/>
    <mergeCell ref="K5:K6"/>
    <mergeCell ref="L5:L6"/>
    <mergeCell ref="A7:A8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F5:G6"/>
    <mergeCell ref="F11:G12"/>
    <mergeCell ref="H11:H12"/>
    <mergeCell ref="I11:I12"/>
    <mergeCell ref="J11:J12"/>
    <mergeCell ref="K11:K12"/>
    <mergeCell ref="L11:L12"/>
    <mergeCell ref="H9:H10"/>
    <mergeCell ref="I9:I10"/>
    <mergeCell ref="J9:J10"/>
    <mergeCell ref="K9:K10"/>
    <mergeCell ref="L9:L10"/>
    <mergeCell ref="A11:A12"/>
    <mergeCell ref="B11:B12"/>
    <mergeCell ref="C11:C12"/>
    <mergeCell ref="D11:D12"/>
    <mergeCell ref="E11:E12"/>
    <mergeCell ref="A9:A10"/>
    <mergeCell ref="B9:B10"/>
    <mergeCell ref="C9:C10"/>
    <mergeCell ref="D9:D10"/>
    <mergeCell ref="E9:E10"/>
    <mergeCell ref="F9:G10"/>
    <mergeCell ref="F15:G16"/>
    <mergeCell ref="H15:H16"/>
    <mergeCell ref="I15:I16"/>
    <mergeCell ref="J15:J16"/>
    <mergeCell ref="K15:K16"/>
    <mergeCell ref="L15:L16"/>
    <mergeCell ref="H13:H14"/>
    <mergeCell ref="I13:I14"/>
    <mergeCell ref="J13:J14"/>
    <mergeCell ref="K13:K14"/>
    <mergeCell ref="L13:L14"/>
    <mergeCell ref="A15:A16"/>
    <mergeCell ref="B15:B16"/>
    <mergeCell ref="C15:C16"/>
    <mergeCell ref="D15:D16"/>
    <mergeCell ref="E15:E16"/>
    <mergeCell ref="A13:A14"/>
    <mergeCell ref="B13:B14"/>
    <mergeCell ref="C13:C14"/>
    <mergeCell ref="D13:D14"/>
    <mergeCell ref="E13:E14"/>
    <mergeCell ref="F13:G14"/>
    <mergeCell ref="F19:G20"/>
    <mergeCell ref="H19:H20"/>
    <mergeCell ref="I19:I20"/>
    <mergeCell ref="J19:J20"/>
    <mergeCell ref="K19:K20"/>
    <mergeCell ref="L19:L20"/>
    <mergeCell ref="H17:H18"/>
    <mergeCell ref="I17:I18"/>
    <mergeCell ref="J17:J18"/>
    <mergeCell ref="K17:K18"/>
    <mergeCell ref="L17:L18"/>
    <mergeCell ref="A19:A20"/>
    <mergeCell ref="B19:B20"/>
    <mergeCell ref="C19:C20"/>
    <mergeCell ref="D19:D20"/>
    <mergeCell ref="E19:E20"/>
    <mergeCell ref="A17:A18"/>
    <mergeCell ref="B17:B18"/>
    <mergeCell ref="C17:C18"/>
    <mergeCell ref="D17:D18"/>
    <mergeCell ref="E17:E18"/>
    <mergeCell ref="F17:G18"/>
    <mergeCell ref="H23:H24"/>
    <mergeCell ref="I23:I24"/>
    <mergeCell ref="J23:J24"/>
    <mergeCell ref="K23:K24"/>
    <mergeCell ref="L23:L24"/>
    <mergeCell ref="H21:H22"/>
    <mergeCell ref="I21:I22"/>
    <mergeCell ref="J21:J22"/>
    <mergeCell ref="K21:K22"/>
    <mergeCell ref="L21:L22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1:G22"/>
    <mergeCell ref="F23:F24"/>
    <mergeCell ref="G23:G24"/>
    <mergeCell ref="H25:H26"/>
    <mergeCell ref="I25:I26"/>
    <mergeCell ref="J25:J26"/>
    <mergeCell ref="K25:K26"/>
    <mergeCell ref="L25:L26"/>
    <mergeCell ref="A25:A26"/>
    <mergeCell ref="B25:B26"/>
    <mergeCell ref="C25:C26"/>
    <mergeCell ref="D25:D26"/>
    <mergeCell ref="E25:E26"/>
    <mergeCell ref="F25:F26"/>
    <mergeCell ref="G25:G26"/>
    <mergeCell ref="H29:H30"/>
    <mergeCell ref="I29:I30"/>
    <mergeCell ref="J29:J30"/>
    <mergeCell ref="K29:K30"/>
    <mergeCell ref="L29:L30"/>
    <mergeCell ref="H27:H28"/>
    <mergeCell ref="I27:I28"/>
    <mergeCell ref="J27:J28"/>
    <mergeCell ref="K27:K28"/>
    <mergeCell ref="L27:L28"/>
    <mergeCell ref="A29:A30"/>
    <mergeCell ref="B29:B30"/>
    <mergeCell ref="C29:C30"/>
    <mergeCell ref="D29:D30"/>
    <mergeCell ref="E29:E30"/>
    <mergeCell ref="A27:A28"/>
    <mergeCell ref="B27:B28"/>
    <mergeCell ref="C27:C28"/>
    <mergeCell ref="D27:D28"/>
    <mergeCell ref="E27:E28"/>
    <mergeCell ref="F27:F28"/>
    <mergeCell ref="G27:G28"/>
    <mergeCell ref="F29:F30"/>
    <mergeCell ref="G29:G30"/>
    <mergeCell ref="H33:H34"/>
    <mergeCell ref="I33:I34"/>
    <mergeCell ref="J33:J34"/>
    <mergeCell ref="K33:K34"/>
    <mergeCell ref="L33:L34"/>
    <mergeCell ref="H31:H32"/>
    <mergeCell ref="I31:I32"/>
    <mergeCell ref="J31:J32"/>
    <mergeCell ref="K31:K32"/>
    <mergeCell ref="L31:L32"/>
    <mergeCell ref="A33:A34"/>
    <mergeCell ref="B33:B34"/>
    <mergeCell ref="C33:C34"/>
    <mergeCell ref="D33:D34"/>
    <mergeCell ref="E33:E34"/>
    <mergeCell ref="A31:A32"/>
    <mergeCell ref="B31:B32"/>
    <mergeCell ref="C31:C32"/>
    <mergeCell ref="D31:D32"/>
    <mergeCell ref="E31:E32"/>
    <mergeCell ref="F31:F32"/>
    <mergeCell ref="G31:G32"/>
    <mergeCell ref="F33:F34"/>
    <mergeCell ref="G33:G34"/>
    <mergeCell ref="H39:H40"/>
    <mergeCell ref="I39:I40"/>
    <mergeCell ref="J39:J40"/>
    <mergeCell ref="K39:K40"/>
    <mergeCell ref="L39:L40"/>
    <mergeCell ref="H35:H36"/>
    <mergeCell ref="I35:I36"/>
    <mergeCell ref="J35:J36"/>
    <mergeCell ref="K35:K36"/>
    <mergeCell ref="L35:L36"/>
    <mergeCell ref="A39:A40"/>
    <mergeCell ref="B39:B40"/>
    <mergeCell ref="C39:C40"/>
    <mergeCell ref="D39:D40"/>
    <mergeCell ref="E39:E40"/>
    <mergeCell ref="A35:A36"/>
    <mergeCell ref="B35:B36"/>
    <mergeCell ref="C35:C36"/>
    <mergeCell ref="D35:D36"/>
    <mergeCell ref="E35:E36"/>
    <mergeCell ref="F35:F36"/>
    <mergeCell ref="G35:G36"/>
    <mergeCell ref="F39:F40"/>
    <mergeCell ref="G39:G40"/>
    <mergeCell ref="A37:A38"/>
    <mergeCell ref="B37:B38"/>
    <mergeCell ref="C37:C38"/>
    <mergeCell ref="D37:D38"/>
    <mergeCell ref="E37:E38"/>
    <mergeCell ref="F37:F38"/>
    <mergeCell ref="G37:G38"/>
    <mergeCell ref="H37:H38"/>
    <mergeCell ref="H43:H44"/>
    <mergeCell ref="I43:I44"/>
    <mergeCell ref="J43:J44"/>
    <mergeCell ref="K43:K44"/>
    <mergeCell ref="L43:L44"/>
    <mergeCell ref="H41:H42"/>
    <mergeCell ref="I41:I42"/>
    <mergeCell ref="J41:J42"/>
    <mergeCell ref="K41:K42"/>
    <mergeCell ref="L41:L42"/>
    <mergeCell ref="A43:A44"/>
    <mergeCell ref="B43:B44"/>
    <mergeCell ref="C43:C44"/>
    <mergeCell ref="D43:D44"/>
    <mergeCell ref="E43:E44"/>
    <mergeCell ref="A41:A42"/>
    <mergeCell ref="B41:B42"/>
    <mergeCell ref="C41:C42"/>
    <mergeCell ref="D41:D42"/>
    <mergeCell ref="E41:E42"/>
    <mergeCell ref="F41:F42"/>
    <mergeCell ref="G41:G42"/>
    <mergeCell ref="F43:F44"/>
    <mergeCell ref="G43:G44"/>
    <mergeCell ref="H49:H50"/>
    <mergeCell ref="I49:I50"/>
    <mergeCell ref="J49:J50"/>
    <mergeCell ref="K49:K50"/>
    <mergeCell ref="L49:L50"/>
    <mergeCell ref="H45:H46"/>
    <mergeCell ref="I45:I46"/>
    <mergeCell ref="J45:J46"/>
    <mergeCell ref="K45:K46"/>
    <mergeCell ref="L45:L46"/>
    <mergeCell ref="A49:A50"/>
    <mergeCell ref="B49:B50"/>
    <mergeCell ref="C49:C50"/>
    <mergeCell ref="D49:D50"/>
    <mergeCell ref="E49:E50"/>
    <mergeCell ref="A45:A46"/>
    <mergeCell ref="B45:B46"/>
    <mergeCell ref="C45:C46"/>
    <mergeCell ref="D45:D46"/>
    <mergeCell ref="E45:E46"/>
    <mergeCell ref="F45:F46"/>
    <mergeCell ref="G45:G46"/>
    <mergeCell ref="F49:F50"/>
    <mergeCell ref="G49:G50"/>
    <mergeCell ref="H53:H54"/>
    <mergeCell ref="I53:I54"/>
    <mergeCell ref="J53:J54"/>
    <mergeCell ref="K53:K54"/>
    <mergeCell ref="L53:L54"/>
    <mergeCell ref="H51:H52"/>
    <mergeCell ref="I51:I52"/>
    <mergeCell ref="J51:J52"/>
    <mergeCell ref="K51:K52"/>
    <mergeCell ref="L51:L52"/>
    <mergeCell ref="A53:A54"/>
    <mergeCell ref="B53:B54"/>
    <mergeCell ref="C53:C54"/>
    <mergeCell ref="D53:D54"/>
    <mergeCell ref="E53:E54"/>
    <mergeCell ref="A51:A52"/>
    <mergeCell ref="B51:B52"/>
    <mergeCell ref="C51:C52"/>
    <mergeCell ref="D51:D52"/>
    <mergeCell ref="E51:E52"/>
    <mergeCell ref="F51:F52"/>
    <mergeCell ref="G51:G52"/>
    <mergeCell ref="F53:F54"/>
    <mergeCell ref="G53:G54"/>
    <mergeCell ref="G61:G62"/>
    <mergeCell ref="H57:H58"/>
    <mergeCell ref="I57:I58"/>
    <mergeCell ref="J57:J58"/>
    <mergeCell ref="K57:K58"/>
    <mergeCell ref="L57:L58"/>
    <mergeCell ref="H55:H56"/>
    <mergeCell ref="I55:I56"/>
    <mergeCell ref="J55:J56"/>
    <mergeCell ref="K55:K56"/>
    <mergeCell ref="L55:L56"/>
    <mergeCell ref="A57:A58"/>
    <mergeCell ref="B57:B58"/>
    <mergeCell ref="C57:C58"/>
    <mergeCell ref="D57:D58"/>
    <mergeCell ref="E57:E58"/>
    <mergeCell ref="A55:A56"/>
    <mergeCell ref="B55:B56"/>
    <mergeCell ref="C55:C56"/>
    <mergeCell ref="D55:D56"/>
    <mergeCell ref="E55:E56"/>
    <mergeCell ref="F55:F56"/>
    <mergeCell ref="G55:G56"/>
    <mergeCell ref="F57:F58"/>
    <mergeCell ref="G57:G58"/>
    <mergeCell ref="A63:A64"/>
    <mergeCell ref="B63:B64"/>
    <mergeCell ref="C63:C64"/>
    <mergeCell ref="D63:D64"/>
    <mergeCell ref="E63:E64"/>
    <mergeCell ref="F63:F64"/>
    <mergeCell ref="G63:G64"/>
    <mergeCell ref="F65:F66"/>
    <mergeCell ref="G65:G66"/>
    <mergeCell ref="H61:H62"/>
    <mergeCell ref="I61:I62"/>
    <mergeCell ref="J61:J62"/>
    <mergeCell ref="K61:K62"/>
    <mergeCell ref="L61:L62"/>
    <mergeCell ref="H59:H60"/>
    <mergeCell ref="I59:I60"/>
    <mergeCell ref="J59:J60"/>
    <mergeCell ref="K59:K60"/>
    <mergeCell ref="L59:L60"/>
    <mergeCell ref="A61:A62"/>
    <mergeCell ref="B61:B62"/>
    <mergeCell ref="C61:C62"/>
    <mergeCell ref="D61:D62"/>
    <mergeCell ref="E61:E62"/>
    <mergeCell ref="A59:A60"/>
    <mergeCell ref="B59:B60"/>
    <mergeCell ref="C59:C60"/>
    <mergeCell ref="D59:D60"/>
    <mergeCell ref="E59:E60"/>
    <mergeCell ref="F59:F60"/>
    <mergeCell ref="G59:G60"/>
    <mergeCell ref="F61:F62"/>
    <mergeCell ref="H71:H72"/>
    <mergeCell ref="I71:I72"/>
    <mergeCell ref="J71:J72"/>
    <mergeCell ref="K71:K72"/>
    <mergeCell ref="L71:L72"/>
    <mergeCell ref="H69:H70"/>
    <mergeCell ref="I69:I70"/>
    <mergeCell ref="J69:J70"/>
    <mergeCell ref="K69:K70"/>
    <mergeCell ref="L69:L70"/>
    <mergeCell ref="A71:A72"/>
    <mergeCell ref="B71:B72"/>
    <mergeCell ref="C71:C72"/>
    <mergeCell ref="D71:D72"/>
    <mergeCell ref="E71:E72"/>
    <mergeCell ref="A69:A70"/>
    <mergeCell ref="B69:B70"/>
    <mergeCell ref="C69:C70"/>
    <mergeCell ref="D69:D70"/>
    <mergeCell ref="E69:E70"/>
    <mergeCell ref="F69:F70"/>
    <mergeCell ref="G69:G70"/>
    <mergeCell ref="F71:F72"/>
    <mergeCell ref="G71:G72"/>
    <mergeCell ref="H75:H76"/>
    <mergeCell ref="I75:I76"/>
    <mergeCell ref="J75:J76"/>
    <mergeCell ref="K75:K76"/>
    <mergeCell ref="L75:L76"/>
    <mergeCell ref="H73:H74"/>
    <mergeCell ref="I73:I74"/>
    <mergeCell ref="J73:J74"/>
    <mergeCell ref="K73:K74"/>
    <mergeCell ref="L73:L74"/>
    <mergeCell ref="A75:A76"/>
    <mergeCell ref="B75:B76"/>
    <mergeCell ref="C75:C76"/>
    <mergeCell ref="D75:D76"/>
    <mergeCell ref="E75:E76"/>
    <mergeCell ref="A73:A74"/>
    <mergeCell ref="B73:B74"/>
    <mergeCell ref="C73:C74"/>
    <mergeCell ref="D73:D74"/>
    <mergeCell ref="E73:E74"/>
    <mergeCell ref="F73:F74"/>
    <mergeCell ref="G73:G74"/>
    <mergeCell ref="F75:F76"/>
    <mergeCell ref="G75:G76"/>
    <mergeCell ref="H79:H80"/>
    <mergeCell ref="I79:I80"/>
    <mergeCell ref="J79:J80"/>
    <mergeCell ref="K79:K80"/>
    <mergeCell ref="L79:L80"/>
    <mergeCell ref="H77:H78"/>
    <mergeCell ref="I77:I78"/>
    <mergeCell ref="J77:J78"/>
    <mergeCell ref="K77:K78"/>
    <mergeCell ref="L77:L78"/>
    <mergeCell ref="A79:A80"/>
    <mergeCell ref="B79:B80"/>
    <mergeCell ref="C79:C80"/>
    <mergeCell ref="D79:D80"/>
    <mergeCell ref="E79:E80"/>
    <mergeCell ref="A77:A78"/>
    <mergeCell ref="B77:B78"/>
    <mergeCell ref="C77:C78"/>
    <mergeCell ref="D77:D78"/>
    <mergeCell ref="E77:E78"/>
    <mergeCell ref="F77:F78"/>
    <mergeCell ref="G77:G78"/>
    <mergeCell ref="F79:F80"/>
    <mergeCell ref="G79:G80"/>
    <mergeCell ref="H83:H84"/>
    <mergeCell ref="I83:I84"/>
    <mergeCell ref="J83:J84"/>
    <mergeCell ref="K83:K84"/>
    <mergeCell ref="L83:L84"/>
    <mergeCell ref="H81:H82"/>
    <mergeCell ref="I81:I82"/>
    <mergeCell ref="J81:J82"/>
    <mergeCell ref="K81:K82"/>
    <mergeCell ref="L81:L82"/>
    <mergeCell ref="A83:A84"/>
    <mergeCell ref="B83:B84"/>
    <mergeCell ref="C83:C84"/>
    <mergeCell ref="D83:D84"/>
    <mergeCell ref="E83:E84"/>
    <mergeCell ref="A81:A82"/>
    <mergeCell ref="B81:B82"/>
    <mergeCell ref="C81:C82"/>
    <mergeCell ref="D81:D82"/>
    <mergeCell ref="E81:E82"/>
    <mergeCell ref="F81:F82"/>
    <mergeCell ref="G81:G82"/>
    <mergeCell ref="F83:F84"/>
    <mergeCell ref="G83:G84"/>
    <mergeCell ref="H87:H88"/>
    <mergeCell ref="I87:I88"/>
    <mergeCell ref="J87:J88"/>
    <mergeCell ref="K87:K88"/>
    <mergeCell ref="L87:L88"/>
    <mergeCell ref="H85:H86"/>
    <mergeCell ref="I85:I86"/>
    <mergeCell ref="J85:J86"/>
    <mergeCell ref="K85:K86"/>
    <mergeCell ref="L85:L86"/>
    <mergeCell ref="A87:A88"/>
    <mergeCell ref="B87:B88"/>
    <mergeCell ref="C87:C88"/>
    <mergeCell ref="D87:D88"/>
    <mergeCell ref="E87:E88"/>
    <mergeCell ref="A85:A86"/>
    <mergeCell ref="B85:B86"/>
    <mergeCell ref="C85:C86"/>
    <mergeCell ref="D85:D86"/>
    <mergeCell ref="E85:E86"/>
    <mergeCell ref="F85:F86"/>
    <mergeCell ref="G85:G86"/>
    <mergeCell ref="F87:F88"/>
    <mergeCell ref="G87:G88"/>
    <mergeCell ref="H91:H92"/>
    <mergeCell ref="I91:I92"/>
    <mergeCell ref="J91:J92"/>
    <mergeCell ref="K91:K92"/>
    <mergeCell ref="L91:L92"/>
    <mergeCell ref="H89:H90"/>
    <mergeCell ref="I89:I90"/>
    <mergeCell ref="J89:J90"/>
    <mergeCell ref="K89:K90"/>
    <mergeCell ref="L89:L90"/>
    <mergeCell ref="A91:A92"/>
    <mergeCell ref="B91:B92"/>
    <mergeCell ref="C91:C92"/>
    <mergeCell ref="D91:D92"/>
    <mergeCell ref="E91:E92"/>
    <mergeCell ref="A89:A90"/>
    <mergeCell ref="B89:B90"/>
    <mergeCell ref="C89:C90"/>
    <mergeCell ref="D89:D90"/>
    <mergeCell ref="E89:E90"/>
    <mergeCell ref="F89:F90"/>
    <mergeCell ref="G89:G90"/>
    <mergeCell ref="F91:F92"/>
    <mergeCell ref="G91:G92"/>
    <mergeCell ref="H95:H96"/>
    <mergeCell ref="I95:I96"/>
    <mergeCell ref="J95:J96"/>
    <mergeCell ref="K95:K96"/>
    <mergeCell ref="L95:L96"/>
    <mergeCell ref="H93:H94"/>
    <mergeCell ref="I93:I94"/>
    <mergeCell ref="J93:J94"/>
    <mergeCell ref="K93:K94"/>
    <mergeCell ref="L93:L94"/>
    <mergeCell ref="A95:A96"/>
    <mergeCell ref="B95:B96"/>
    <mergeCell ref="C95:C96"/>
    <mergeCell ref="D95:D96"/>
    <mergeCell ref="E95:E96"/>
    <mergeCell ref="A93:A94"/>
    <mergeCell ref="B93:B94"/>
    <mergeCell ref="C93:C94"/>
    <mergeCell ref="D93:D94"/>
    <mergeCell ref="E93:E94"/>
    <mergeCell ref="F93:F94"/>
    <mergeCell ref="G93:G94"/>
    <mergeCell ref="F95:F96"/>
    <mergeCell ref="G95:G96"/>
    <mergeCell ref="H99:H100"/>
    <mergeCell ref="I99:I100"/>
    <mergeCell ref="J99:J100"/>
    <mergeCell ref="K99:K100"/>
    <mergeCell ref="L99:L100"/>
    <mergeCell ref="H97:H98"/>
    <mergeCell ref="I97:I98"/>
    <mergeCell ref="J97:J98"/>
    <mergeCell ref="K97:K98"/>
    <mergeCell ref="L97:L98"/>
    <mergeCell ref="A99:A100"/>
    <mergeCell ref="B99:B100"/>
    <mergeCell ref="C99:C100"/>
    <mergeCell ref="D99:D100"/>
    <mergeCell ref="E99:E100"/>
    <mergeCell ref="A97:A98"/>
    <mergeCell ref="B97:B98"/>
    <mergeCell ref="C97:C98"/>
    <mergeCell ref="D97:D98"/>
    <mergeCell ref="E97:E98"/>
    <mergeCell ref="F97:F98"/>
    <mergeCell ref="G97:G98"/>
    <mergeCell ref="F99:F100"/>
    <mergeCell ref="G99:G100"/>
    <mergeCell ref="H103:H104"/>
    <mergeCell ref="I103:I104"/>
    <mergeCell ref="J103:J104"/>
    <mergeCell ref="K103:K104"/>
    <mergeCell ref="L103:L104"/>
    <mergeCell ref="H101:H102"/>
    <mergeCell ref="I101:I102"/>
    <mergeCell ref="J101:J102"/>
    <mergeCell ref="K101:K102"/>
    <mergeCell ref="L101:L102"/>
    <mergeCell ref="A103:A104"/>
    <mergeCell ref="B103:B104"/>
    <mergeCell ref="C103:C104"/>
    <mergeCell ref="D103:D104"/>
    <mergeCell ref="E103:E104"/>
    <mergeCell ref="A101:A102"/>
    <mergeCell ref="B101:B102"/>
    <mergeCell ref="C101:C102"/>
    <mergeCell ref="D101:D102"/>
    <mergeCell ref="E101:E102"/>
    <mergeCell ref="F101:F102"/>
    <mergeCell ref="G101:G102"/>
    <mergeCell ref="F103:F104"/>
    <mergeCell ref="G103:G104"/>
    <mergeCell ref="H107:H108"/>
    <mergeCell ref="I107:I108"/>
    <mergeCell ref="J107:J108"/>
    <mergeCell ref="K107:K108"/>
    <mergeCell ref="L107:L108"/>
    <mergeCell ref="H105:H106"/>
    <mergeCell ref="I105:I106"/>
    <mergeCell ref="J105:J106"/>
    <mergeCell ref="K105:K106"/>
    <mergeCell ref="L105:L106"/>
    <mergeCell ref="A107:A108"/>
    <mergeCell ref="B107:B108"/>
    <mergeCell ref="C107:C108"/>
    <mergeCell ref="D107:D108"/>
    <mergeCell ref="E107:E108"/>
    <mergeCell ref="A105:A106"/>
    <mergeCell ref="B105:B106"/>
    <mergeCell ref="C105:C106"/>
    <mergeCell ref="D105:D106"/>
    <mergeCell ref="E105:E106"/>
    <mergeCell ref="F105:F106"/>
    <mergeCell ref="G105:G106"/>
    <mergeCell ref="F107:F108"/>
    <mergeCell ref="G107:G108"/>
    <mergeCell ref="F111:G112"/>
    <mergeCell ref="H111:H112"/>
    <mergeCell ref="I111:I112"/>
    <mergeCell ref="J111:J112"/>
    <mergeCell ref="K111:K112"/>
    <mergeCell ref="L111:L112"/>
    <mergeCell ref="H109:H110"/>
    <mergeCell ref="I109:I110"/>
    <mergeCell ref="J109:J110"/>
    <mergeCell ref="K109:K110"/>
    <mergeCell ref="L109:L110"/>
    <mergeCell ref="D111:D112"/>
    <mergeCell ref="E111:E112"/>
    <mergeCell ref="D109:D110"/>
    <mergeCell ref="E109:E110"/>
    <mergeCell ref="F109:G110"/>
    <mergeCell ref="F115:G116"/>
    <mergeCell ref="H115:H116"/>
    <mergeCell ref="I115:I116"/>
    <mergeCell ref="J115:J116"/>
    <mergeCell ref="K115:K116"/>
    <mergeCell ref="L115:L116"/>
    <mergeCell ref="H113:H114"/>
    <mergeCell ref="I113:I114"/>
    <mergeCell ref="J113:J114"/>
    <mergeCell ref="K113:K114"/>
    <mergeCell ref="L113:L114"/>
    <mergeCell ref="E115:E116"/>
    <mergeCell ref="D113:D114"/>
    <mergeCell ref="E113:E114"/>
    <mergeCell ref="F113:G114"/>
    <mergeCell ref="E117:E118"/>
    <mergeCell ref="F117:G118"/>
    <mergeCell ref="H117:H118"/>
    <mergeCell ref="I117:I118"/>
    <mergeCell ref="J117:J118"/>
    <mergeCell ref="H121:H122"/>
    <mergeCell ref="I121:I122"/>
    <mergeCell ref="J121:J122"/>
    <mergeCell ref="K121:K122"/>
    <mergeCell ref="L121:L122"/>
    <mergeCell ref="H119:H120"/>
    <mergeCell ref="I119:I120"/>
    <mergeCell ref="J119:J120"/>
    <mergeCell ref="K119:K120"/>
    <mergeCell ref="L119:L120"/>
    <mergeCell ref="E121:E122"/>
    <mergeCell ref="E119:E120"/>
    <mergeCell ref="F119:F120"/>
    <mergeCell ref="G119:G120"/>
    <mergeCell ref="F121:F122"/>
    <mergeCell ref="G121:G122"/>
    <mergeCell ref="K117:K118"/>
    <mergeCell ref="L117:L118"/>
    <mergeCell ref="H125:H126"/>
    <mergeCell ref="I125:I126"/>
    <mergeCell ref="J125:J126"/>
    <mergeCell ref="K125:K126"/>
    <mergeCell ref="L125:L126"/>
    <mergeCell ref="H123:H124"/>
    <mergeCell ref="I123:I124"/>
    <mergeCell ref="J123:J124"/>
    <mergeCell ref="K123:K124"/>
    <mergeCell ref="L123:L124"/>
    <mergeCell ref="E125:E126"/>
    <mergeCell ref="E123:E124"/>
    <mergeCell ref="F123:F124"/>
    <mergeCell ref="G123:G124"/>
    <mergeCell ref="F125:F126"/>
    <mergeCell ref="G125:G126"/>
    <mergeCell ref="H129:H130"/>
    <mergeCell ref="I129:I130"/>
    <mergeCell ref="J129:J130"/>
    <mergeCell ref="K129:K130"/>
    <mergeCell ref="L129:L130"/>
    <mergeCell ref="H127:H128"/>
    <mergeCell ref="I127:I128"/>
    <mergeCell ref="J127:J128"/>
    <mergeCell ref="K127:K128"/>
    <mergeCell ref="L127:L128"/>
    <mergeCell ref="D129:D130"/>
    <mergeCell ref="E129:E130"/>
    <mergeCell ref="D127:D128"/>
    <mergeCell ref="E127:E128"/>
    <mergeCell ref="F127:F128"/>
    <mergeCell ref="G127:G128"/>
    <mergeCell ref="F129:F130"/>
    <mergeCell ref="G129:G130"/>
    <mergeCell ref="H133:H134"/>
    <mergeCell ref="I133:I134"/>
    <mergeCell ref="J133:J134"/>
    <mergeCell ref="K133:K134"/>
    <mergeCell ref="L133:L134"/>
    <mergeCell ref="H131:H132"/>
    <mergeCell ref="I131:I132"/>
    <mergeCell ref="J131:J132"/>
    <mergeCell ref="K131:K132"/>
    <mergeCell ref="L131:L132"/>
    <mergeCell ref="D133:D134"/>
    <mergeCell ref="E133:E134"/>
    <mergeCell ref="D131:D132"/>
    <mergeCell ref="E131:E132"/>
    <mergeCell ref="F131:F132"/>
    <mergeCell ref="G131:G132"/>
    <mergeCell ref="F133:F134"/>
    <mergeCell ref="G133:G134"/>
    <mergeCell ref="F137:G138"/>
    <mergeCell ref="H137:H138"/>
    <mergeCell ref="I137:I138"/>
    <mergeCell ref="J137:J138"/>
    <mergeCell ref="K137:K138"/>
    <mergeCell ref="L137:L138"/>
    <mergeCell ref="H135:H136"/>
    <mergeCell ref="I135:I136"/>
    <mergeCell ref="J135:J136"/>
    <mergeCell ref="K135:K136"/>
    <mergeCell ref="L135:L136"/>
    <mergeCell ref="D137:D138"/>
    <mergeCell ref="E137:E138"/>
    <mergeCell ref="D135:D136"/>
    <mergeCell ref="E135:E136"/>
    <mergeCell ref="F135:G136"/>
    <mergeCell ref="F141:G142"/>
    <mergeCell ref="H141:H142"/>
    <mergeCell ref="I141:I142"/>
    <mergeCell ref="J141:J142"/>
    <mergeCell ref="K141:K142"/>
    <mergeCell ref="L141:L142"/>
    <mergeCell ref="H139:H140"/>
    <mergeCell ref="I139:I140"/>
    <mergeCell ref="J139:J140"/>
    <mergeCell ref="K139:K140"/>
    <mergeCell ref="L139:L140"/>
    <mergeCell ref="D141:D142"/>
    <mergeCell ref="E141:E142"/>
    <mergeCell ref="D139:D140"/>
    <mergeCell ref="E139:E140"/>
    <mergeCell ref="F139:G140"/>
    <mergeCell ref="F145:G146"/>
    <mergeCell ref="H145:H146"/>
    <mergeCell ref="I145:I146"/>
    <mergeCell ref="J145:J146"/>
    <mergeCell ref="K145:K146"/>
    <mergeCell ref="L145:L146"/>
    <mergeCell ref="H143:H144"/>
    <mergeCell ref="I143:I144"/>
    <mergeCell ref="J143:J144"/>
    <mergeCell ref="K143:K144"/>
    <mergeCell ref="L143:L144"/>
    <mergeCell ref="D145:D146"/>
    <mergeCell ref="E145:E146"/>
    <mergeCell ref="D143:D144"/>
    <mergeCell ref="E143:E144"/>
    <mergeCell ref="F143:G144"/>
    <mergeCell ref="F149:G150"/>
    <mergeCell ref="H149:H150"/>
    <mergeCell ref="I149:I150"/>
    <mergeCell ref="J149:J150"/>
    <mergeCell ref="K149:K150"/>
    <mergeCell ref="L149:L150"/>
    <mergeCell ref="H147:H148"/>
    <mergeCell ref="I147:I148"/>
    <mergeCell ref="J147:J148"/>
    <mergeCell ref="K147:K148"/>
    <mergeCell ref="L147:L148"/>
    <mergeCell ref="A149:A150"/>
    <mergeCell ref="B149:B150"/>
    <mergeCell ref="C149:C150"/>
    <mergeCell ref="D149:D150"/>
    <mergeCell ref="E149:E150"/>
    <mergeCell ref="D147:D148"/>
    <mergeCell ref="E147:E148"/>
    <mergeCell ref="F147:G148"/>
    <mergeCell ref="F153:G154"/>
    <mergeCell ref="H153:H154"/>
    <mergeCell ref="I153:I154"/>
    <mergeCell ref="J153:J154"/>
    <mergeCell ref="K153:K154"/>
    <mergeCell ref="L153:L154"/>
    <mergeCell ref="H151:H152"/>
    <mergeCell ref="I151:I152"/>
    <mergeCell ref="J151:J152"/>
    <mergeCell ref="K151:K152"/>
    <mergeCell ref="L151:L152"/>
    <mergeCell ref="A153:A154"/>
    <mergeCell ref="B153:B154"/>
    <mergeCell ref="C153:C154"/>
    <mergeCell ref="D153:D154"/>
    <mergeCell ref="E153:E154"/>
    <mergeCell ref="A151:A152"/>
    <mergeCell ref="B151:B152"/>
    <mergeCell ref="C151:C152"/>
    <mergeCell ref="D151:D152"/>
    <mergeCell ref="E151:E152"/>
    <mergeCell ref="F151:G152"/>
    <mergeCell ref="J159:J160"/>
    <mergeCell ref="K159:K160"/>
    <mergeCell ref="L159:L160"/>
    <mergeCell ref="H155:H156"/>
    <mergeCell ref="I155:I156"/>
    <mergeCell ref="J155:J156"/>
    <mergeCell ref="K155:K156"/>
    <mergeCell ref="L155:L156"/>
    <mergeCell ref="A159:A160"/>
    <mergeCell ref="B159:B160"/>
    <mergeCell ref="C159:C160"/>
    <mergeCell ref="D159:D160"/>
    <mergeCell ref="E159:E160"/>
    <mergeCell ref="A155:A156"/>
    <mergeCell ref="B155:B156"/>
    <mergeCell ref="C155:C156"/>
    <mergeCell ref="D155:D156"/>
    <mergeCell ref="E155:E156"/>
    <mergeCell ref="F155:G156"/>
    <mergeCell ref="F159:G160"/>
    <mergeCell ref="I159:I160"/>
    <mergeCell ref="H169:H170"/>
    <mergeCell ref="I169:I170"/>
    <mergeCell ref="J169:J170"/>
    <mergeCell ref="K169:K170"/>
    <mergeCell ref="L169:L170"/>
    <mergeCell ref="H165:H166"/>
    <mergeCell ref="I165:I166"/>
    <mergeCell ref="J165:J166"/>
    <mergeCell ref="K165:K166"/>
    <mergeCell ref="L165:L166"/>
    <mergeCell ref="A169:A170"/>
    <mergeCell ref="B169:B170"/>
    <mergeCell ref="C169:C170"/>
    <mergeCell ref="D169:D170"/>
    <mergeCell ref="E169:E170"/>
    <mergeCell ref="A165:A166"/>
    <mergeCell ref="B165:B166"/>
    <mergeCell ref="C165:C166"/>
    <mergeCell ref="D165:D166"/>
    <mergeCell ref="E165:E166"/>
    <mergeCell ref="E167:E168"/>
    <mergeCell ref="H167:H168"/>
    <mergeCell ref="I167:I168"/>
    <mergeCell ref="J167:J168"/>
    <mergeCell ref="K167:K168"/>
    <mergeCell ref="L167:L168"/>
    <mergeCell ref="F169:F170"/>
    <mergeCell ref="F165:G166"/>
    <mergeCell ref="G169:G170"/>
    <mergeCell ref="H173:H174"/>
    <mergeCell ref="I173:I174"/>
    <mergeCell ref="J173:J174"/>
    <mergeCell ref="K173:K174"/>
    <mergeCell ref="L173:L174"/>
    <mergeCell ref="H171:H172"/>
    <mergeCell ref="I171:I172"/>
    <mergeCell ref="J171:J172"/>
    <mergeCell ref="K171:K172"/>
    <mergeCell ref="L171:L172"/>
    <mergeCell ref="A173:A174"/>
    <mergeCell ref="B173:B174"/>
    <mergeCell ref="C173:C174"/>
    <mergeCell ref="D173:D174"/>
    <mergeCell ref="E173:E174"/>
    <mergeCell ref="A171:A172"/>
    <mergeCell ref="B171:B172"/>
    <mergeCell ref="C171:C172"/>
    <mergeCell ref="D171:D172"/>
    <mergeCell ref="E171:E172"/>
    <mergeCell ref="F171:F172"/>
    <mergeCell ref="G171:G172"/>
    <mergeCell ref="F173:F174"/>
    <mergeCell ref="G173:G174"/>
    <mergeCell ref="H177:H178"/>
    <mergeCell ref="I177:I178"/>
    <mergeCell ref="J177:J178"/>
    <mergeCell ref="K177:K178"/>
    <mergeCell ref="L177:L178"/>
    <mergeCell ref="H175:H176"/>
    <mergeCell ref="I175:I176"/>
    <mergeCell ref="J175:J176"/>
    <mergeCell ref="K175:K176"/>
    <mergeCell ref="L175:L176"/>
    <mergeCell ref="A177:A178"/>
    <mergeCell ref="B177:B178"/>
    <mergeCell ref="C177:C178"/>
    <mergeCell ref="D177:D178"/>
    <mergeCell ref="E177:E178"/>
    <mergeCell ref="A175:A176"/>
    <mergeCell ref="B175:B176"/>
    <mergeCell ref="C175:C176"/>
    <mergeCell ref="D175:D176"/>
    <mergeCell ref="E175:E176"/>
    <mergeCell ref="F175:F176"/>
    <mergeCell ref="G175:G176"/>
    <mergeCell ref="F177:F178"/>
    <mergeCell ref="G177:G178"/>
    <mergeCell ref="H179:H180"/>
    <mergeCell ref="I179:I180"/>
    <mergeCell ref="J179:J180"/>
    <mergeCell ref="K179:K180"/>
    <mergeCell ref="L179:L180"/>
    <mergeCell ref="A181:A182"/>
    <mergeCell ref="B181:B182"/>
    <mergeCell ref="C181:C182"/>
    <mergeCell ref="D181:D182"/>
    <mergeCell ref="E181:E182"/>
    <mergeCell ref="A179:A180"/>
    <mergeCell ref="B179:B180"/>
    <mergeCell ref="C179:C180"/>
    <mergeCell ref="D179:D180"/>
    <mergeCell ref="E179:E180"/>
    <mergeCell ref="F179:F180"/>
    <mergeCell ref="G179:G180"/>
    <mergeCell ref="F181:F182"/>
    <mergeCell ref="G181:G182"/>
    <mergeCell ref="L183:L184"/>
    <mergeCell ref="A185:A186"/>
    <mergeCell ref="B185:B186"/>
    <mergeCell ref="C185:C186"/>
    <mergeCell ref="D185:D186"/>
    <mergeCell ref="E185:E186"/>
    <mergeCell ref="A183:A184"/>
    <mergeCell ref="B183:B184"/>
    <mergeCell ref="C183:C184"/>
    <mergeCell ref="D183:D184"/>
    <mergeCell ref="E183:E184"/>
    <mergeCell ref="F183:F184"/>
    <mergeCell ref="G183:G184"/>
    <mergeCell ref="F185:F186"/>
    <mergeCell ref="G185:G186"/>
    <mergeCell ref="H181:H182"/>
    <mergeCell ref="I181:I182"/>
    <mergeCell ref="J181:J182"/>
    <mergeCell ref="K181:K182"/>
    <mergeCell ref="L181:L182"/>
    <mergeCell ref="F189:F190"/>
    <mergeCell ref="G189:G190"/>
    <mergeCell ref="H185:H186"/>
    <mergeCell ref="I185:I186"/>
    <mergeCell ref="J185:J186"/>
    <mergeCell ref="K185:K186"/>
    <mergeCell ref="C187:C188"/>
    <mergeCell ref="D187:D188"/>
    <mergeCell ref="E187:E188"/>
    <mergeCell ref="F187:G188"/>
    <mergeCell ref="H187:H188"/>
    <mergeCell ref="I187:I188"/>
    <mergeCell ref="J187:J188"/>
    <mergeCell ref="K187:K188"/>
    <mergeCell ref="J189:J190"/>
    <mergeCell ref="K189:K190"/>
    <mergeCell ref="I183:I184"/>
    <mergeCell ref="J183:J184"/>
    <mergeCell ref="K183:K184"/>
    <mergeCell ref="A199:A200"/>
    <mergeCell ref="B199:B200"/>
    <mergeCell ref="C199:C200"/>
    <mergeCell ref="D199:D200"/>
    <mergeCell ref="E199:E200"/>
    <mergeCell ref="F201:G202"/>
    <mergeCell ref="F199:G200"/>
    <mergeCell ref="H197:H198"/>
    <mergeCell ref="I197:I198"/>
    <mergeCell ref="J197:J198"/>
    <mergeCell ref="K197:K198"/>
    <mergeCell ref="L197:L198"/>
    <mergeCell ref="H193:H194"/>
    <mergeCell ref="I193:I194"/>
    <mergeCell ref="J193:J194"/>
    <mergeCell ref="K193:K194"/>
    <mergeCell ref="L193:L194"/>
    <mergeCell ref="A197:A198"/>
    <mergeCell ref="B197:B198"/>
    <mergeCell ref="C197:C198"/>
    <mergeCell ref="D197:D198"/>
    <mergeCell ref="E197:E198"/>
    <mergeCell ref="A193:A194"/>
    <mergeCell ref="B193:B194"/>
    <mergeCell ref="C193:C194"/>
    <mergeCell ref="D193:D194"/>
    <mergeCell ref="E193:E194"/>
    <mergeCell ref="F197:G198"/>
    <mergeCell ref="F193:G194"/>
    <mergeCell ref="A205:A206"/>
    <mergeCell ref="B205:B206"/>
    <mergeCell ref="C205:C206"/>
    <mergeCell ref="D205:D206"/>
    <mergeCell ref="E205:E206"/>
    <mergeCell ref="A203:A204"/>
    <mergeCell ref="B203:B204"/>
    <mergeCell ref="C203:C204"/>
    <mergeCell ref="D203:D204"/>
    <mergeCell ref="E203:E204"/>
    <mergeCell ref="F205:G206"/>
    <mergeCell ref="F203:G204"/>
    <mergeCell ref="H201:H202"/>
    <mergeCell ref="I201:I202"/>
    <mergeCell ref="J201:J202"/>
    <mergeCell ref="K201:K202"/>
    <mergeCell ref="L201:L202"/>
    <mergeCell ref="A201:A202"/>
    <mergeCell ref="B201:B202"/>
    <mergeCell ref="C201:C202"/>
    <mergeCell ref="D201:D202"/>
    <mergeCell ref="E201:E202"/>
    <mergeCell ref="H211:H212"/>
    <mergeCell ref="I211:I212"/>
    <mergeCell ref="J211:J212"/>
    <mergeCell ref="K211:K212"/>
    <mergeCell ref="L211:L212"/>
    <mergeCell ref="H207:H208"/>
    <mergeCell ref="I207:I208"/>
    <mergeCell ref="J207:J208"/>
    <mergeCell ref="K207:K208"/>
    <mergeCell ref="L207:L208"/>
    <mergeCell ref="A211:A212"/>
    <mergeCell ref="B211:B212"/>
    <mergeCell ref="C211:C212"/>
    <mergeCell ref="D211:D212"/>
    <mergeCell ref="E211:E212"/>
    <mergeCell ref="A207:A208"/>
    <mergeCell ref="B207:B208"/>
    <mergeCell ref="C207:C208"/>
    <mergeCell ref="D207:D208"/>
    <mergeCell ref="E207:E208"/>
    <mergeCell ref="F211:G212"/>
    <mergeCell ref="F207:G208"/>
    <mergeCell ref="A209:A210"/>
    <mergeCell ref="B209:B210"/>
    <mergeCell ref="C209:C210"/>
    <mergeCell ref="D209:D210"/>
    <mergeCell ref="E209:E210"/>
    <mergeCell ref="F209:G210"/>
    <mergeCell ref="H209:H210"/>
    <mergeCell ref="I209:I210"/>
    <mergeCell ref="J209:J210"/>
    <mergeCell ref="K209:K210"/>
    <mergeCell ref="H215:H216"/>
    <mergeCell ref="I215:I216"/>
    <mergeCell ref="J215:J216"/>
    <mergeCell ref="K215:K216"/>
    <mergeCell ref="L215:L216"/>
    <mergeCell ref="H213:H214"/>
    <mergeCell ref="I213:I214"/>
    <mergeCell ref="J213:J214"/>
    <mergeCell ref="K213:K214"/>
    <mergeCell ref="L213:L214"/>
    <mergeCell ref="A215:A216"/>
    <mergeCell ref="B215:B216"/>
    <mergeCell ref="C215:C216"/>
    <mergeCell ref="D215:D216"/>
    <mergeCell ref="E215:E216"/>
    <mergeCell ref="A213:A214"/>
    <mergeCell ref="B213:B214"/>
    <mergeCell ref="C213:C214"/>
    <mergeCell ref="D213:D214"/>
    <mergeCell ref="E213:E214"/>
    <mergeCell ref="F215:G216"/>
    <mergeCell ref="F213:G214"/>
    <mergeCell ref="H219:H220"/>
    <mergeCell ref="I219:I220"/>
    <mergeCell ref="J219:J220"/>
    <mergeCell ref="K219:K220"/>
    <mergeCell ref="L219:L220"/>
    <mergeCell ref="H217:H218"/>
    <mergeCell ref="I217:I218"/>
    <mergeCell ref="J217:J218"/>
    <mergeCell ref="K217:K218"/>
    <mergeCell ref="L217:L218"/>
    <mergeCell ref="A219:A220"/>
    <mergeCell ref="B219:B220"/>
    <mergeCell ref="C219:C220"/>
    <mergeCell ref="D219:D220"/>
    <mergeCell ref="E219:E220"/>
    <mergeCell ref="A217:A218"/>
    <mergeCell ref="B217:B218"/>
    <mergeCell ref="C217:C218"/>
    <mergeCell ref="D217:D218"/>
    <mergeCell ref="E217:E218"/>
    <mergeCell ref="F219:G220"/>
    <mergeCell ref="F217:G218"/>
    <mergeCell ref="H223:H224"/>
    <mergeCell ref="I223:I224"/>
    <mergeCell ref="J223:J224"/>
    <mergeCell ref="K223:K224"/>
    <mergeCell ref="L223:L224"/>
    <mergeCell ref="H221:H222"/>
    <mergeCell ref="I221:I222"/>
    <mergeCell ref="J221:J222"/>
    <mergeCell ref="K221:K222"/>
    <mergeCell ref="L221:L222"/>
    <mergeCell ref="A223:A224"/>
    <mergeCell ref="B223:B224"/>
    <mergeCell ref="C223:C224"/>
    <mergeCell ref="D223:D224"/>
    <mergeCell ref="E223:E224"/>
    <mergeCell ref="A221:A222"/>
    <mergeCell ref="B221:B222"/>
    <mergeCell ref="C221:C222"/>
    <mergeCell ref="D221:D222"/>
    <mergeCell ref="E221:E222"/>
    <mergeCell ref="F223:G224"/>
    <mergeCell ref="F221:G222"/>
    <mergeCell ref="H227:H228"/>
    <mergeCell ref="I227:I228"/>
    <mergeCell ref="J227:J228"/>
    <mergeCell ref="K227:K228"/>
    <mergeCell ref="L227:L228"/>
    <mergeCell ref="H225:H226"/>
    <mergeCell ref="I225:I226"/>
    <mergeCell ref="J225:J226"/>
    <mergeCell ref="K225:K226"/>
    <mergeCell ref="L225:L226"/>
    <mergeCell ref="A227:A228"/>
    <mergeCell ref="B227:B228"/>
    <mergeCell ref="C227:C228"/>
    <mergeCell ref="D227:D228"/>
    <mergeCell ref="E227:E228"/>
    <mergeCell ref="A225:A226"/>
    <mergeCell ref="B225:B226"/>
    <mergeCell ref="C225:C226"/>
    <mergeCell ref="D225:D226"/>
    <mergeCell ref="E225:E226"/>
    <mergeCell ref="F227:G228"/>
    <mergeCell ref="F225:G226"/>
    <mergeCell ref="H231:H232"/>
    <mergeCell ref="I231:I232"/>
    <mergeCell ref="J231:J232"/>
    <mergeCell ref="K231:K232"/>
    <mergeCell ref="L231:L232"/>
    <mergeCell ref="H229:H230"/>
    <mergeCell ref="I229:I230"/>
    <mergeCell ref="J229:J230"/>
    <mergeCell ref="K229:K230"/>
    <mergeCell ref="L229:L230"/>
    <mergeCell ref="A231:A232"/>
    <mergeCell ref="B231:B232"/>
    <mergeCell ref="C231:C232"/>
    <mergeCell ref="D231:D232"/>
    <mergeCell ref="E231:E232"/>
    <mergeCell ref="A229:A230"/>
    <mergeCell ref="B229:B230"/>
    <mergeCell ref="C229:C230"/>
    <mergeCell ref="D229:D230"/>
    <mergeCell ref="E229:E230"/>
    <mergeCell ref="F231:G232"/>
    <mergeCell ref="F229:G230"/>
    <mergeCell ref="H235:H236"/>
    <mergeCell ref="I235:I236"/>
    <mergeCell ref="J235:J236"/>
    <mergeCell ref="K235:K236"/>
    <mergeCell ref="L235:L236"/>
    <mergeCell ref="H233:H234"/>
    <mergeCell ref="I233:I234"/>
    <mergeCell ref="J233:J234"/>
    <mergeCell ref="K233:K234"/>
    <mergeCell ref="L233:L234"/>
    <mergeCell ref="A235:A236"/>
    <mergeCell ref="B235:B236"/>
    <mergeCell ref="C235:C236"/>
    <mergeCell ref="D235:D236"/>
    <mergeCell ref="E235:E236"/>
    <mergeCell ref="A233:A234"/>
    <mergeCell ref="B233:B234"/>
    <mergeCell ref="C233:C234"/>
    <mergeCell ref="D233:D234"/>
    <mergeCell ref="E233:E234"/>
    <mergeCell ref="F235:G236"/>
    <mergeCell ref="F233:G234"/>
    <mergeCell ref="H241:H242"/>
    <mergeCell ref="I241:I242"/>
    <mergeCell ref="J241:J242"/>
    <mergeCell ref="K241:K242"/>
    <mergeCell ref="L241:L242"/>
    <mergeCell ref="H239:H240"/>
    <mergeCell ref="I239:I240"/>
    <mergeCell ref="J239:J240"/>
    <mergeCell ref="K239:K240"/>
    <mergeCell ref="L239:L240"/>
    <mergeCell ref="A241:A242"/>
    <mergeCell ref="B241:B242"/>
    <mergeCell ref="C241:C242"/>
    <mergeCell ref="D241:D242"/>
    <mergeCell ref="E241:E242"/>
    <mergeCell ref="A239:A240"/>
    <mergeCell ref="B239:B240"/>
    <mergeCell ref="C239:C240"/>
    <mergeCell ref="D239:D240"/>
    <mergeCell ref="E239:E240"/>
    <mergeCell ref="F241:G242"/>
    <mergeCell ref="F239:G240"/>
    <mergeCell ref="H245:H246"/>
    <mergeCell ref="I245:I246"/>
    <mergeCell ref="J245:J246"/>
    <mergeCell ref="K245:K246"/>
    <mergeCell ref="L245:L246"/>
    <mergeCell ref="H243:H244"/>
    <mergeCell ref="I243:I244"/>
    <mergeCell ref="J243:J244"/>
    <mergeCell ref="K243:K244"/>
    <mergeCell ref="L243:L244"/>
    <mergeCell ref="A245:A246"/>
    <mergeCell ref="B245:B246"/>
    <mergeCell ref="C245:C246"/>
    <mergeCell ref="D245:D246"/>
    <mergeCell ref="E245:E246"/>
    <mergeCell ref="A243:A244"/>
    <mergeCell ref="B243:B244"/>
    <mergeCell ref="C243:C244"/>
    <mergeCell ref="D243:D244"/>
    <mergeCell ref="E243:E244"/>
    <mergeCell ref="F245:G246"/>
    <mergeCell ref="F243:G244"/>
    <mergeCell ref="H249:H250"/>
    <mergeCell ref="I249:I250"/>
    <mergeCell ref="J249:J250"/>
    <mergeCell ref="K249:K250"/>
    <mergeCell ref="L249:L250"/>
    <mergeCell ref="H247:H248"/>
    <mergeCell ref="I247:I248"/>
    <mergeCell ref="J247:J248"/>
    <mergeCell ref="K247:K248"/>
    <mergeCell ref="L247:L248"/>
    <mergeCell ref="A249:A250"/>
    <mergeCell ref="B249:B250"/>
    <mergeCell ref="C249:C250"/>
    <mergeCell ref="D249:D250"/>
    <mergeCell ref="E249:E250"/>
    <mergeCell ref="A247:A248"/>
    <mergeCell ref="B247:B248"/>
    <mergeCell ref="C247:C248"/>
    <mergeCell ref="D247:D248"/>
    <mergeCell ref="E247:E248"/>
    <mergeCell ref="F249:G250"/>
    <mergeCell ref="F247:G248"/>
    <mergeCell ref="H253:H254"/>
    <mergeCell ref="I253:I254"/>
    <mergeCell ref="J253:J254"/>
    <mergeCell ref="K253:K254"/>
    <mergeCell ref="L253:L254"/>
    <mergeCell ref="H251:H252"/>
    <mergeCell ref="I251:I252"/>
    <mergeCell ref="J251:J252"/>
    <mergeCell ref="K251:K252"/>
    <mergeCell ref="L251:L252"/>
    <mergeCell ref="A253:A254"/>
    <mergeCell ref="B253:B254"/>
    <mergeCell ref="C253:C254"/>
    <mergeCell ref="D253:D254"/>
    <mergeCell ref="E253:E254"/>
    <mergeCell ref="A251:A252"/>
    <mergeCell ref="B251:B252"/>
    <mergeCell ref="C251:C252"/>
    <mergeCell ref="D251:D252"/>
    <mergeCell ref="E251:E252"/>
    <mergeCell ref="F253:G254"/>
    <mergeCell ref="F251:G252"/>
    <mergeCell ref="H257:H258"/>
    <mergeCell ref="I257:I258"/>
    <mergeCell ref="J257:J258"/>
    <mergeCell ref="K257:K258"/>
    <mergeCell ref="L257:L258"/>
    <mergeCell ref="A257:A258"/>
    <mergeCell ref="B257:B258"/>
    <mergeCell ref="C257:C258"/>
    <mergeCell ref="D257:D258"/>
    <mergeCell ref="E257:E258"/>
    <mergeCell ref="F257:G258"/>
    <mergeCell ref="C255:C256"/>
    <mergeCell ref="D255:D256"/>
    <mergeCell ref="E255:E256"/>
    <mergeCell ref="F255:G256"/>
    <mergeCell ref="H255:H256"/>
    <mergeCell ref="I255:I256"/>
    <mergeCell ref="J255:J256"/>
    <mergeCell ref="K255:K256"/>
    <mergeCell ref="L255:L256"/>
    <mergeCell ref="H261:H262"/>
    <mergeCell ref="I261:I262"/>
    <mergeCell ref="J261:J262"/>
    <mergeCell ref="K261:K262"/>
    <mergeCell ref="L261:L262"/>
    <mergeCell ref="H259:H260"/>
    <mergeCell ref="I259:I260"/>
    <mergeCell ref="J259:J260"/>
    <mergeCell ref="K259:K260"/>
    <mergeCell ref="L259:L260"/>
    <mergeCell ref="A261:A262"/>
    <mergeCell ref="B261:B262"/>
    <mergeCell ref="C261:C262"/>
    <mergeCell ref="D261:D262"/>
    <mergeCell ref="E261:E262"/>
    <mergeCell ref="A259:A260"/>
    <mergeCell ref="B259:B260"/>
    <mergeCell ref="C259:C260"/>
    <mergeCell ref="D259:D260"/>
    <mergeCell ref="E259:E260"/>
    <mergeCell ref="F261:G262"/>
    <mergeCell ref="F259:G260"/>
    <mergeCell ref="H265:H266"/>
    <mergeCell ref="I265:I266"/>
    <mergeCell ref="J265:J266"/>
    <mergeCell ref="K265:K266"/>
    <mergeCell ref="L265:L266"/>
    <mergeCell ref="H263:H264"/>
    <mergeCell ref="I263:I264"/>
    <mergeCell ref="J263:J264"/>
    <mergeCell ref="K263:K264"/>
    <mergeCell ref="L263:L264"/>
    <mergeCell ref="A265:A266"/>
    <mergeCell ref="B265:B266"/>
    <mergeCell ref="C265:C266"/>
    <mergeCell ref="D265:D266"/>
    <mergeCell ref="E265:E266"/>
    <mergeCell ref="A263:A264"/>
    <mergeCell ref="B263:B264"/>
    <mergeCell ref="C263:C264"/>
    <mergeCell ref="D263:D264"/>
    <mergeCell ref="E263:E264"/>
    <mergeCell ref="F265:G266"/>
    <mergeCell ref="F263:G264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K267:K268"/>
    <mergeCell ref="L267:L268"/>
    <mergeCell ref="A269:A270"/>
    <mergeCell ref="B269:B270"/>
    <mergeCell ref="C269:C270"/>
    <mergeCell ref="D269:D270"/>
    <mergeCell ref="E269:E270"/>
    <mergeCell ref="A267:A268"/>
    <mergeCell ref="B267:B268"/>
    <mergeCell ref="C267:C268"/>
    <mergeCell ref="D267:D268"/>
    <mergeCell ref="E267:E268"/>
    <mergeCell ref="F269:G270"/>
    <mergeCell ref="F267:G268"/>
    <mergeCell ref="H271:H272"/>
    <mergeCell ref="I271:I272"/>
    <mergeCell ref="J271:J272"/>
    <mergeCell ref="K271:K272"/>
    <mergeCell ref="L271:L272"/>
    <mergeCell ref="A275:A276"/>
    <mergeCell ref="B275:B276"/>
    <mergeCell ref="C275:C276"/>
    <mergeCell ref="D275:D276"/>
    <mergeCell ref="E275:E276"/>
    <mergeCell ref="A271:A272"/>
    <mergeCell ref="B271:B272"/>
    <mergeCell ref="C271:C272"/>
    <mergeCell ref="D271:D272"/>
    <mergeCell ref="E271:E272"/>
    <mergeCell ref="F275:G276"/>
    <mergeCell ref="F271:G272"/>
    <mergeCell ref="A281:A282"/>
    <mergeCell ref="B281:B282"/>
    <mergeCell ref="C281:C282"/>
    <mergeCell ref="D281:D282"/>
    <mergeCell ref="E281:E282"/>
    <mergeCell ref="A279:A280"/>
    <mergeCell ref="B279:B280"/>
    <mergeCell ref="C279:C280"/>
    <mergeCell ref="D279:D280"/>
    <mergeCell ref="E279:E280"/>
    <mergeCell ref="F281:G282"/>
    <mergeCell ref="F279:G280"/>
    <mergeCell ref="H275:H276"/>
    <mergeCell ref="I275:I276"/>
    <mergeCell ref="J275:J276"/>
    <mergeCell ref="K275:K276"/>
    <mergeCell ref="L275:L276"/>
    <mergeCell ref="A277:A278"/>
    <mergeCell ref="B277:B278"/>
    <mergeCell ref="C277:C278"/>
    <mergeCell ref="D277:D278"/>
    <mergeCell ref="E277:E278"/>
    <mergeCell ref="F277:G278"/>
    <mergeCell ref="H277:H278"/>
    <mergeCell ref="I277:I278"/>
    <mergeCell ref="J277:J278"/>
    <mergeCell ref="K277:K278"/>
    <mergeCell ref="L277:L278"/>
    <mergeCell ref="H287:H288"/>
    <mergeCell ref="I287:I288"/>
    <mergeCell ref="J287:J288"/>
    <mergeCell ref="K287:K288"/>
    <mergeCell ref="L287:L288"/>
    <mergeCell ref="H285:H286"/>
    <mergeCell ref="I285:I286"/>
    <mergeCell ref="J285:J286"/>
    <mergeCell ref="K285:K286"/>
    <mergeCell ref="L285:L286"/>
    <mergeCell ref="A287:A288"/>
    <mergeCell ref="B287:B288"/>
    <mergeCell ref="C287:C288"/>
    <mergeCell ref="D287:D288"/>
    <mergeCell ref="E287:E288"/>
    <mergeCell ref="A285:A286"/>
    <mergeCell ref="B285:B286"/>
    <mergeCell ref="C285:C286"/>
    <mergeCell ref="D285:D286"/>
    <mergeCell ref="E285:E286"/>
    <mergeCell ref="F287:G288"/>
    <mergeCell ref="F285:G286"/>
    <mergeCell ref="H291:H292"/>
    <mergeCell ref="I291:I292"/>
    <mergeCell ref="J291:J292"/>
    <mergeCell ref="K291:K292"/>
    <mergeCell ref="L291:L292"/>
    <mergeCell ref="H289:H290"/>
    <mergeCell ref="I289:I290"/>
    <mergeCell ref="J289:J290"/>
    <mergeCell ref="K289:K290"/>
    <mergeCell ref="L289:L290"/>
    <mergeCell ref="A291:A292"/>
    <mergeCell ref="B291:B292"/>
    <mergeCell ref="C291:C292"/>
    <mergeCell ref="D291:D292"/>
    <mergeCell ref="E291:E292"/>
    <mergeCell ref="A289:A290"/>
    <mergeCell ref="B289:B290"/>
    <mergeCell ref="C289:C290"/>
    <mergeCell ref="D289:D290"/>
    <mergeCell ref="E289:E290"/>
    <mergeCell ref="F291:G292"/>
    <mergeCell ref="F289:G290"/>
    <mergeCell ref="H295:H296"/>
    <mergeCell ref="I295:I296"/>
    <mergeCell ref="J295:J296"/>
    <mergeCell ref="K295:K296"/>
    <mergeCell ref="L295:L296"/>
    <mergeCell ref="H293:H294"/>
    <mergeCell ref="I293:I294"/>
    <mergeCell ref="J293:J294"/>
    <mergeCell ref="K293:K294"/>
    <mergeCell ref="L293:L294"/>
    <mergeCell ref="A295:A296"/>
    <mergeCell ref="B295:B296"/>
    <mergeCell ref="C295:C296"/>
    <mergeCell ref="D295:D296"/>
    <mergeCell ref="E295:E296"/>
    <mergeCell ref="A293:A294"/>
    <mergeCell ref="B293:B294"/>
    <mergeCell ref="C293:C294"/>
    <mergeCell ref="D293:D294"/>
    <mergeCell ref="E293:E294"/>
    <mergeCell ref="F295:G296"/>
    <mergeCell ref="F293:G294"/>
    <mergeCell ref="H299:H300"/>
    <mergeCell ref="I299:I300"/>
    <mergeCell ref="J299:J300"/>
    <mergeCell ref="K299:K300"/>
    <mergeCell ref="L299:L300"/>
    <mergeCell ref="H297:H298"/>
    <mergeCell ref="I297:I298"/>
    <mergeCell ref="J297:J298"/>
    <mergeCell ref="K297:K298"/>
    <mergeCell ref="L297:L298"/>
    <mergeCell ref="A299:A300"/>
    <mergeCell ref="B299:B300"/>
    <mergeCell ref="C299:C300"/>
    <mergeCell ref="D299:D300"/>
    <mergeCell ref="E299:E300"/>
    <mergeCell ref="A297:A298"/>
    <mergeCell ref="B297:B298"/>
    <mergeCell ref="C297:C298"/>
    <mergeCell ref="D297:D298"/>
    <mergeCell ref="E297:E298"/>
    <mergeCell ref="F299:G300"/>
    <mergeCell ref="F297:G298"/>
    <mergeCell ref="H303:H304"/>
    <mergeCell ref="I303:I304"/>
    <mergeCell ref="J303:J304"/>
    <mergeCell ref="K303:K304"/>
    <mergeCell ref="L303:L304"/>
    <mergeCell ref="H301:H302"/>
    <mergeCell ref="I301:I302"/>
    <mergeCell ref="J301:J302"/>
    <mergeCell ref="K301:K302"/>
    <mergeCell ref="L301:L302"/>
    <mergeCell ref="A303:A304"/>
    <mergeCell ref="B303:B304"/>
    <mergeCell ref="C303:C304"/>
    <mergeCell ref="D303:D304"/>
    <mergeCell ref="E303:E304"/>
    <mergeCell ref="A301:A302"/>
    <mergeCell ref="B301:B302"/>
    <mergeCell ref="C301:C302"/>
    <mergeCell ref="D301:D302"/>
    <mergeCell ref="E301:E302"/>
    <mergeCell ref="F303:G304"/>
    <mergeCell ref="F301:G302"/>
    <mergeCell ref="H307:H308"/>
    <mergeCell ref="I307:I308"/>
    <mergeCell ref="J307:J308"/>
    <mergeCell ref="K307:K308"/>
    <mergeCell ref="L307:L308"/>
    <mergeCell ref="H305:H306"/>
    <mergeCell ref="I305:I306"/>
    <mergeCell ref="J305:J306"/>
    <mergeCell ref="K305:K306"/>
    <mergeCell ref="L305:L306"/>
    <mergeCell ref="A307:A308"/>
    <mergeCell ref="B307:B308"/>
    <mergeCell ref="C307:C308"/>
    <mergeCell ref="D307:D308"/>
    <mergeCell ref="E307:E308"/>
    <mergeCell ref="A305:A306"/>
    <mergeCell ref="B305:B306"/>
    <mergeCell ref="C305:C306"/>
    <mergeCell ref="D305:D306"/>
    <mergeCell ref="E305:E306"/>
    <mergeCell ref="F307:G308"/>
    <mergeCell ref="F305:G306"/>
    <mergeCell ref="F313:G314"/>
    <mergeCell ref="H311:H312"/>
    <mergeCell ref="I311:I312"/>
    <mergeCell ref="J311:J312"/>
    <mergeCell ref="K311:K312"/>
    <mergeCell ref="L311:L312"/>
    <mergeCell ref="H309:H310"/>
    <mergeCell ref="I309:I310"/>
    <mergeCell ref="J309:J310"/>
    <mergeCell ref="K309:K310"/>
    <mergeCell ref="L309:L310"/>
    <mergeCell ref="A311:A312"/>
    <mergeCell ref="B311:B312"/>
    <mergeCell ref="C311:C312"/>
    <mergeCell ref="D311:D312"/>
    <mergeCell ref="E311:E312"/>
    <mergeCell ref="A309:A310"/>
    <mergeCell ref="B309:B310"/>
    <mergeCell ref="C309:C310"/>
    <mergeCell ref="D309:D310"/>
    <mergeCell ref="E309:E310"/>
    <mergeCell ref="F311:G312"/>
    <mergeCell ref="F309:G310"/>
    <mergeCell ref="H317:H318"/>
    <mergeCell ref="I317:I318"/>
    <mergeCell ref="J317:J318"/>
    <mergeCell ref="K317:K318"/>
    <mergeCell ref="L317:L318"/>
    <mergeCell ref="A317:A318"/>
    <mergeCell ref="B317:B318"/>
    <mergeCell ref="C317:C318"/>
    <mergeCell ref="D317:D318"/>
    <mergeCell ref="E317:E318"/>
    <mergeCell ref="F317:G318"/>
    <mergeCell ref="H315:H316"/>
    <mergeCell ref="I315:I316"/>
    <mergeCell ref="J315:J316"/>
    <mergeCell ref="K315:K316"/>
    <mergeCell ref="L315:L316"/>
    <mergeCell ref="H313:H314"/>
    <mergeCell ref="I313:I314"/>
    <mergeCell ref="J313:J314"/>
    <mergeCell ref="K313:K314"/>
    <mergeCell ref="L313:L314"/>
    <mergeCell ref="A315:A316"/>
    <mergeCell ref="B315:B316"/>
    <mergeCell ref="C315:C316"/>
    <mergeCell ref="D315:D316"/>
    <mergeCell ref="E315:E316"/>
    <mergeCell ref="A313:A314"/>
    <mergeCell ref="B313:B314"/>
    <mergeCell ref="C313:C314"/>
    <mergeCell ref="D313:D314"/>
    <mergeCell ref="E313:E314"/>
    <mergeCell ref="F315:G316"/>
    <mergeCell ref="H321:H322"/>
    <mergeCell ref="I321:I322"/>
    <mergeCell ref="J321:J322"/>
    <mergeCell ref="K321:K322"/>
    <mergeCell ref="L321:L322"/>
    <mergeCell ref="H319:H320"/>
    <mergeCell ref="I319:I320"/>
    <mergeCell ref="J319:J320"/>
    <mergeCell ref="K319:K320"/>
    <mergeCell ref="L319:L320"/>
    <mergeCell ref="A321:A322"/>
    <mergeCell ref="B321:B322"/>
    <mergeCell ref="C321:C322"/>
    <mergeCell ref="D321:D322"/>
    <mergeCell ref="E321:E322"/>
    <mergeCell ref="A319:A320"/>
    <mergeCell ref="B319:B320"/>
    <mergeCell ref="C319:C320"/>
    <mergeCell ref="D319:D320"/>
    <mergeCell ref="E319:E320"/>
    <mergeCell ref="F321:G322"/>
    <mergeCell ref="F319:G320"/>
    <mergeCell ref="H325:H326"/>
    <mergeCell ref="I325:I326"/>
    <mergeCell ref="J325:J326"/>
    <mergeCell ref="K325:K326"/>
    <mergeCell ref="L325:L326"/>
    <mergeCell ref="H323:H324"/>
    <mergeCell ref="I323:I324"/>
    <mergeCell ref="J323:J324"/>
    <mergeCell ref="K323:K324"/>
    <mergeCell ref="L323:L324"/>
    <mergeCell ref="A325:A326"/>
    <mergeCell ref="B325:B326"/>
    <mergeCell ref="C325:C326"/>
    <mergeCell ref="D325:D326"/>
    <mergeCell ref="E325:E326"/>
    <mergeCell ref="A323:A324"/>
    <mergeCell ref="B323:B324"/>
    <mergeCell ref="C323:C324"/>
    <mergeCell ref="D323:D324"/>
    <mergeCell ref="E323:E324"/>
    <mergeCell ref="F325:G326"/>
    <mergeCell ref="F323:G324"/>
    <mergeCell ref="H329:H330"/>
    <mergeCell ref="I329:I330"/>
    <mergeCell ref="J329:J330"/>
    <mergeCell ref="K329:K330"/>
    <mergeCell ref="L329:L330"/>
    <mergeCell ref="H327:H328"/>
    <mergeCell ref="I327:I328"/>
    <mergeCell ref="J327:J328"/>
    <mergeCell ref="K327:K328"/>
    <mergeCell ref="L327:L328"/>
    <mergeCell ref="A329:A330"/>
    <mergeCell ref="B329:B330"/>
    <mergeCell ref="C329:C330"/>
    <mergeCell ref="D329:D330"/>
    <mergeCell ref="E329:E330"/>
    <mergeCell ref="A327:A328"/>
    <mergeCell ref="B327:B328"/>
    <mergeCell ref="C327:C328"/>
    <mergeCell ref="D327:D328"/>
    <mergeCell ref="E327:E328"/>
    <mergeCell ref="F329:G330"/>
    <mergeCell ref="F327:G328"/>
    <mergeCell ref="H333:H334"/>
    <mergeCell ref="I333:I334"/>
    <mergeCell ref="J333:J334"/>
    <mergeCell ref="K333:K334"/>
    <mergeCell ref="L333:L334"/>
    <mergeCell ref="H331:H332"/>
    <mergeCell ref="I331:I332"/>
    <mergeCell ref="J331:J332"/>
    <mergeCell ref="K331:K332"/>
    <mergeCell ref="L331:L332"/>
    <mergeCell ref="A333:A334"/>
    <mergeCell ref="B333:B334"/>
    <mergeCell ref="C333:C334"/>
    <mergeCell ref="D333:D334"/>
    <mergeCell ref="E333:E334"/>
    <mergeCell ref="A331:A332"/>
    <mergeCell ref="B331:B332"/>
    <mergeCell ref="C331:C332"/>
    <mergeCell ref="D331:D332"/>
    <mergeCell ref="E331:E332"/>
    <mergeCell ref="F333:G334"/>
    <mergeCell ref="F331:G332"/>
    <mergeCell ref="H337:H338"/>
    <mergeCell ref="I337:I338"/>
    <mergeCell ref="J337:J338"/>
    <mergeCell ref="K337:K338"/>
    <mergeCell ref="L337:L338"/>
    <mergeCell ref="H335:H336"/>
    <mergeCell ref="I335:I336"/>
    <mergeCell ref="J335:J336"/>
    <mergeCell ref="K335:K336"/>
    <mergeCell ref="L335:L336"/>
    <mergeCell ref="A337:A338"/>
    <mergeCell ref="B337:B338"/>
    <mergeCell ref="C337:C338"/>
    <mergeCell ref="D337:D338"/>
    <mergeCell ref="E337:E338"/>
    <mergeCell ref="A335:A336"/>
    <mergeCell ref="B335:B336"/>
    <mergeCell ref="C335:C336"/>
    <mergeCell ref="D335:D336"/>
    <mergeCell ref="E335:E336"/>
    <mergeCell ref="F337:G338"/>
    <mergeCell ref="F335:G336"/>
    <mergeCell ref="H341:H342"/>
    <mergeCell ref="I341:I342"/>
    <mergeCell ref="J341:J342"/>
    <mergeCell ref="K341:K342"/>
    <mergeCell ref="L341:L342"/>
    <mergeCell ref="H339:H340"/>
    <mergeCell ref="I339:I340"/>
    <mergeCell ref="J339:J340"/>
    <mergeCell ref="K339:K340"/>
    <mergeCell ref="L339:L340"/>
    <mergeCell ref="A341:A342"/>
    <mergeCell ref="B341:B342"/>
    <mergeCell ref="C341:C342"/>
    <mergeCell ref="D341:D342"/>
    <mergeCell ref="E341:E342"/>
    <mergeCell ref="A339:A340"/>
    <mergeCell ref="B339:B340"/>
    <mergeCell ref="C339:C340"/>
    <mergeCell ref="D339:D340"/>
    <mergeCell ref="E339:E340"/>
    <mergeCell ref="F341:G342"/>
    <mergeCell ref="F339:G340"/>
    <mergeCell ref="H345:H346"/>
    <mergeCell ref="I345:I346"/>
    <mergeCell ref="J345:J346"/>
    <mergeCell ref="K345:K346"/>
    <mergeCell ref="L345:L346"/>
    <mergeCell ref="H343:H344"/>
    <mergeCell ref="I343:I344"/>
    <mergeCell ref="J343:J344"/>
    <mergeCell ref="K343:K344"/>
    <mergeCell ref="L343:L344"/>
    <mergeCell ref="A345:A346"/>
    <mergeCell ref="B345:B346"/>
    <mergeCell ref="C345:C346"/>
    <mergeCell ref="D345:D346"/>
    <mergeCell ref="E345:E346"/>
    <mergeCell ref="A343:A344"/>
    <mergeCell ref="B343:B344"/>
    <mergeCell ref="C343:C344"/>
    <mergeCell ref="D343:D344"/>
    <mergeCell ref="E343:E344"/>
    <mergeCell ref="F345:G346"/>
    <mergeCell ref="F343:G344"/>
    <mergeCell ref="K347:K348"/>
    <mergeCell ref="A67:L68"/>
    <mergeCell ref="I37:I38"/>
    <mergeCell ref="J37:J38"/>
    <mergeCell ref="K37:K38"/>
    <mergeCell ref="L37:L38"/>
    <mergeCell ref="A47:A48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K47:K48"/>
    <mergeCell ref="L47:L48"/>
    <mergeCell ref="H65:H66"/>
    <mergeCell ref="I65:I66"/>
    <mergeCell ref="J65:J66"/>
    <mergeCell ref="K65:K66"/>
    <mergeCell ref="L65:L66"/>
    <mergeCell ref="H63:H64"/>
    <mergeCell ref="I63:I64"/>
    <mergeCell ref="J63:J64"/>
    <mergeCell ref="K63:K64"/>
    <mergeCell ref="L63:L64"/>
    <mergeCell ref="A65:A66"/>
    <mergeCell ref="B65:B66"/>
    <mergeCell ref="C65:C66"/>
    <mergeCell ref="D65:D66"/>
    <mergeCell ref="E65:E66"/>
    <mergeCell ref="B141:B142"/>
    <mergeCell ref="A167:A168"/>
    <mergeCell ref="B167:B168"/>
    <mergeCell ref="C167:C168"/>
    <mergeCell ref="D167:D168"/>
    <mergeCell ref="A157:L158"/>
    <mergeCell ref="C141:C142"/>
    <mergeCell ref="F167:G168"/>
    <mergeCell ref="H163:H164"/>
    <mergeCell ref="I163:I164"/>
    <mergeCell ref="J163:J164"/>
    <mergeCell ref="K163:K164"/>
    <mergeCell ref="L163:L164"/>
    <mergeCell ref="H161:H162"/>
    <mergeCell ref="I161:I162"/>
    <mergeCell ref="J161:J162"/>
    <mergeCell ref="K161:K162"/>
    <mergeCell ref="L161:L162"/>
    <mergeCell ref="A163:A164"/>
    <mergeCell ref="B163:B164"/>
    <mergeCell ref="C163:C164"/>
    <mergeCell ref="D163:D164"/>
    <mergeCell ref="E163:E164"/>
    <mergeCell ref="A161:A162"/>
    <mergeCell ref="B161:B162"/>
    <mergeCell ref="C161:C162"/>
    <mergeCell ref="D161:D162"/>
    <mergeCell ref="E161:E162"/>
    <mergeCell ref="F163:G164"/>
    <mergeCell ref="F161:G162"/>
    <mergeCell ref="H159:H160"/>
    <mergeCell ref="L209:L210"/>
    <mergeCell ref="C115:C116"/>
    <mergeCell ref="C117:C118"/>
    <mergeCell ref="C119:C120"/>
    <mergeCell ref="C121:C122"/>
    <mergeCell ref="C123:C124"/>
    <mergeCell ref="C125:C126"/>
    <mergeCell ref="D117:D118"/>
    <mergeCell ref="D119:D120"/>
    <mergeCell ref="D121:D122"/>
    <mergeCell ref="D123:D124"/>
    <mergeCell ref="D125:D126"/>
    <mergeCell ref="D115:D116"/>
    <mergeCell ref="C133:C134"/>
    <mergeCell ref="H205:H206"/>
    <mergeCell ref="I205:I206"/>
    <mergeCell ref="J205:J206"/>
    <mergeCell ref="K205:K206"/>
    <mergeCell ref="L205:L206"/>
    <mergeCell ref="H203:H204"/>
    <mergeCell ref="I203:I204"/>
    <mergeCell ref="J203:J204"/>
    <mergeCell ref="K203:K204"/>
    <mergeCell ref="L203:L204"/>
    <mergeCell ref="H199:H200"/>
    <mergeCell ref="I199:I200"/>
    <mergeCell ref="J199:J200"/>
    <mergeCell ref="K199:K200"/>
    <mergeCell ref="L199:L200"/>
    <mergeCell ref="L185:L186"/>
    <mergeCell ref="H183:H184"/>
    <mergeCell ref="C191:C192"/>
    <mergeCell ref="L187:L188"/>
    <mergeCell ref="A187:A188"/>
    <mergeCell ref="B187:B188"/>
    <mergeCell ref="A195:A196"/>
    <mergeCell ref="B195:B196"/>
    <mergeCell ref="C195:C196"/>
    <mergeCell ref="D195:D196"/>
    <mergeCell ref="E195:E196"/>
    <mergeCell ref="F195:G196"/>
    <mergeCell ref="H195:H196"/>
    <mergeCell ref="I195:I196"/>
    <mergeCell ref="J195:J196"/>
    <mergeCell ref="K195:K196"/>
    <mergeCell ref="L195:L196"/>
    <mergeCell ref="H191:H192"/>
    <mergeCell ref="I191:I192"/>
    <mergeCell ref="J191:J192"/>
    <mergeCell ref="K191:K192"/>
    <mergeCell ref="L191:L192"/>
    <mergeCell ref="H189:H190"/>
    <mergeCell ref="I189:I190"/>
    <mergeCell ref="L189:L190"/>
    <mergeCell ref="A191:A192"/>
    <mergeCell ref="B191:B192"/>
    <mergeCell ref="D191:D192"/>
    <mergeCell ref="E191:E192"/>
    <mergeCell ref="A189:A190"/>
    <mergeCell ref="B189:B190"/>
    <mergeCell ref="C189:C190"/>
    <mergeCell ref="D189:D190"/>
    <mergeCell ref="E189:E190"/>
    <mergeCell ref="F191:G192"/>
    <mergeCell ref="A283:L284"/>
    <mergeCell ref="A237:A238"/>
    <mergeCell ref="B237:B238"/>
    <mergeCell ref="C237:C238"/>
    <mergeCell ref="D237:D238"/>
    <mergeCell ref="E237:E238"/>
    <mergeCell ref="F237:G238"/>
    <mergeCell ref="H237:H238"/>
    <mergeCell ref="I237:I238"/>
    <mergeCell ref="J237:J238"/>
    <mergeCell ref="K237:K238"/>
    <mergeCell ref="L237:L238"/>
    <mergeCell ref="H281:H282"/>
    <mergeCell ref="I281:I282"/>
    <mergeCell ref="J281:J282"/>
    <mergeCell ref="K281:K282"/>
    <mergeCell ref="L281:L282"/>
    <mergeCell ref="H279:H280"/>
    <mergeCell ref="I279:I280"/>
    <mergeCell ref="J279:J280"/>
    <mergeCell ref="K279:K280"/>
    <mergeCell ref="B273:B274"/>
    <mergeCell ref="C273:C274"/>
    <mergeCell ref="D273:D274"/>
    <mergeCell ref="E273:E274"/>
    <mergeCell ref="F273:G274"/>
    <mergeCell ref="H273:H274"/>
    <mergeCell ref="I273:I274"/>
    <mergeCell ref="J273:J274"/>
    <mergeCell ref="K273:K274"/>
    <mergeCell ref="L273:L274"/>
    <mergeCell ref="L279:L280"/>
    <mergeCell ref="I409:I410"/>
    <mergeCell ref="J409:J410"/>
    <mergeCell ref="K409:K410"/>
    <mergeCell ref="L409:L410"/>
    <mergeCell ref="A411:A412"/>
    <mergeCell ref="B411:B412"/>
    <mergeCell ref="C411:C412"/>
    <mergeCell ref="D411:D412"/>
    <mergeCell ref="E411:E412"/>
    <mergeCell ref="F411:G412"/>
    <mergeCell ref="H411:H412"/>
    <mergeCell ref="I411:I412"/>
    <mergeCell ref="J411:J412"/>
    <mergeCell ref="K411:K412"/>
    <mergeCell ref="L411:L412"/>
    <mergeCell ref="A413:A414"/>
    <mergeCell ref="B413:B414"/>
    <mergeCell ref="C413:C414"/>
    <mergeCell ref="D413:D414"/>
    <mergeCell ref="E413:E414"/>
    <mergeCell ref="F413:G414"/>
    <mergeCell ref="H413:H414"/>
    <mergeCell ref="I413:I414"/>
    <mergeCell ref="J413:J414"/>
    <mergeCell ref="K413:K414"/>
    <mergeCell ref="L413:L414"/>
    <mergeCell ref="A415:A416"/>
    <mergeCell ref="B415:B416"/>
    <mergeCell ref="C415:C416"/>
    <mergeCell ref="D415:D416"/>
    <mergeCell ref="E415:E416"/>
    <mergeCell ref="F415:G416"/>
    <mergeCell ref="H415:H416"/>
    <mergeCell ref="I415:I416"/>
    <mergeCell ref="J415:J416"/>
    <mergeCell ref="K415:K416"/>
    <mergeCell ref="L415:L416"/>
    <mergeCell ref="A417:A418"/>
    <mergeCell ref="B417:B418"/>
    <mergeCell ref="C417:C418"/>
    <mergeCell ref="D417:D418"/>
    <mergeCell ref="E417:E418"/>
    <mergeCell ref="F417:G418"/>
    <mergeCell ref="H417:H418"/>
    <mergeCell ref="I417:I418"/>
    <mergeCell ref="J417:J418"/>
    <mergeCell ref="K417:K418"/>
    <mergeCell ref="L417:L418"/>
    <mergeCell ref="A419:A420"/>
    <mergeCell ref="B419:B420"/>
    <mergeCell ref="C419:C420"/>
    <mergeCell ref="D419:D420"/>
    <mergeCell ref="E419:E420"/>
    <mergeCell ref="F419:G420"/>
    <mergeCell ref="H419:H420"/>
    <mergeCell ref="I419:I420"/>
    <mergeCell ref="J419:J420"/>
    <mergeCell ref="K419:K420"/>
    <mergeCell ref="L419:L420"/>
    <mergeCell ref="A421:A422"/>
    <mergeCell ref="B421:B422"/>
    <mergeCell ref="C421:C422"/>
    <mergeCell ref="D421:D422"/>
    <mergeCell ref="E421:E422"/>
    <mergeCell ref="F421:G422"/>
    <mergeCell ref="H421:H422"/>
    <mergeCell ref="I421:I422"/>
    <mergeCell ref="J421:J422"/>
    <mergeCell ref="K421:K422"/>
    <mergeCell ref="L421:L422"/>
    <mergeCell ref="A423:A424"/>
    <mergeCell ref="B423:B424"/>
    <mergeCell ref="C423:C424"/>
    <mergeCell ref="D423:D424"/>
    <mergeCell ref="E423:E424"/>
    <mergeCell ref="F423:G424"/>
    <mergeCell ref="H423:H424"/>
    <mergeCell ref="I423:I424"/>
    <mergeCell ref="J423:J424"/>
    <mergeCell ref="K423:K424"/>
    <mergeCell ref="L423:L424"/>
    <mergeCell ref="A425:A426"/>
    <mergeCell ref="B425:B426"/>
    <mergeCell ref="C425:C426"/>
    <mergeCell ref="D425:D426"/>
    <mergeCell ref="E425:E426"/>
    <mergeCell ref="F425:G426"/>
    <mergeCell ref="H425:H426"/>
    <mergeCell ref="I425:I426"/>
    <mergeCell ref="J425:J426"/>
    <mergeCell ref="K425:K426"/>
    <mergeCell ref="L425:L426"/>
    <mergeCell ref="A427:A428"/>
    <mergeCell ref="B427:B428"/>
    <mergeCell ref="C427:C428"/>
    <mergeCell ref="D427:D428"/>
    <mergeCell ref="E427:E428"/>
    <mergeCell ref="F427:G428"/>
    <mergeCell ref="H427:H428"/>
    <mergeCell ref="I427:I428"/>
    <mergeCell ref="J427:J428"/>
    <mergeCell ref="K427:K428"/>
    <mergeCell ref="L427:L428"/>
    <mergeCell ref="A429:A430"/>
    <mergeCell ref="B429:B430"/>
    <mergeCell ref="C429:C430"/>
    <mergeCell ref="D429:D430"/>
    <mergeCell ref="E429:E430"/>
    <mergeCell ref="F429:G430"/>
    <mergeCell ref="H429:H430"/>
    <mergeCell ref="I429:I430"/>
    <mergeCell ref="J429:J430"/>
    <mergeCell ref="K429:K430"/>
    <mergeCell ref="L429:L430"/>
    <mergeCell ref="A431:A432"/>
    <mergeCell ref="B431:B432"/>
    <mergeCell ref="C431:C432"/>
    <mergeCell ref="D431:D432"/>
    <mergeCell ref="E431:E432"/>
    <mergeCell ref="F431:G432"/>
    <mergeCell ref="H431:H432"/>
    <mergeCell ref="I431:I432"/>
    <mergeCell ref="J431:J432"/>
    <mergeCell ref="K431:K432"/>
    <mergeCell ref="L431:L432"/>
    <mergeCell ref="A433:A434"/>
    <mergeCell ref="B433:B434"/>
    <mergeCell ref="C433:C434"/>
    <mergeCell ref="D433:D434"/>
    <mergeCell ref="E433:E434"/>
    <mergeCell ref="F433:G434"/>
    <mergeCell ref="H433:H434"/>
    <mergeCell ref="I433:I434"/>
    <mergeCell ref="J433:J434"/>
    <mergeCell ref="K433:K434"/>
    <mergeCell ref="L433:L434"/>
    <mergeCell ref="A435:A436"/>
    <mergeCell ref="B435:B436"/>
    <mergeCell ref="C435:C436"/>
    <mergeCell ref="D435:D436"/>
    <mergeCell ref="E435:E436"/>
    <mergeCell ref="F435:G436"/>
    <mergeCell ref="H435:H436"/>
    <mergeCell ref="I435:I436"/>
    <mergeCell ref="J435:J436"/>
    <mergeCell ref="K435:K436"/>
    <mergeCell ref="L435:L436"/>
    <mergeCell ref="A437:A438"/>
    <mergeCell ref="B437:B438"/>
    <mergeCell ref="C437:C438"/>
    <mergeCell ref="D437:D438"/>
    <mergeCell ref="E437:E438"/>
    <mergeCell ref="F437:G438"/>
    <mergeCell ref="H437:H438"/>
    <mergeCell ref="I437:I438"/>
    <mergeCell ref="J437:J438"/>
    <mergeCell ref="K437:K438"/>
    <mergeCell ref="L437:L438"/>
    <mergeCell ref="A439:A440"/>
    <mergeCell ref="B439:B440"/>
    <mergeCell ref="C439:C440"/>
    <mergeCell ref="D439:D440"/>
    <mergeCell ref="E439:E440"/>
    <mergeCell ref="F439:G440"/>
    <mergeCell ref="H439:H440"/>
    <mergeCell ref="I439:I440"/>
    <mergeCell ref="J439:J440"/>
    <mergeCell ref="K439:K440"/>
    <mergeCell ref="L439:L440"/>
    <mergeCell ref="A441:A442"/>
    <mergeCell ref="B441:B442"/>
    <mergeCell ref="C441:C442"/>
    <mergeCell ref="D441:D442"/>
    <mergeCell ref="E441:E442"/>
    <mergeCell ref="F441:G442"/>
    <mergeCell ref="H441:H442"/>
    <mergeCell ref="I441:I442"/>
    <mergeCell ref="J441:J442"/>
    <mergeCell ref="K441:K442"/>
    <mergeCell ref="L441:L442"/>
    <mergeCell ref="A443:A444"/>
    <mergeCell ref="B443:B444"/>
    <mergeCell ref="C443:C444"/>
    <mergeCell ref="D443:D444"/>
    <mergeCell ref="E443:E444"/>
    <mergeCell ref="F443:G444"/>
    <mergeCell ref="H443:H444"/>
    <mergeCell ref="I443:I444"/>
    <mergeCell ref="J443:J444"/>
    <mergeCell ref="K443:K444"/>
    <mergeCell ref="L443:L444"/>
    <mergeCell ref="A445:A446"/>
    <mergeCell ref="B445:B446"/>
    <mergeCell ref="C445:C446"/>
    <mergeCell ref="D445:D446"/>
    <mergeCell ref="E445:E446"/>
    <mergeCell ref="F445:G446"/>
    <mergeCell ref="H445:H446"/>
    <mergeCell ref="I445:I446"/>
    <mergeCell ref="J445:J446"/>
    <mergeCell ref="K445:K446"/>
    <mergeCell ref="L445:L446"/>
    <mergeCell ref="A447:A448"/>
    <mergeCell ref="B447:B448"/>
    <mergeCell ref="C447:C448"/>
    <mergeCell ref="D447:D448"/>
    <mergeCell ref="E447:E448"/>
    <mergeCell ref="F447:G448"/>
    <mergeCell ref="H447:H448"/>
    <mergeCell ref="I447:I448"/>
    <mergeCell ref="J447:J448"/>
    <mergeCell ref="K447:K448"/>
    <mergeCell ref="L447:L448"/>
    <mergeCell ref="A449:A450"/>
    <mergeCell ref="B449:B450"/>
    <mergeCell ref="C449:C450"/>
    <mergeCell ref="D449:D450"/>
    <mergeCell ref="E449:E450"/>
    <mergeCell ref="F449:G450"/>
    <mergeCell ref="H449:H450"/>
    <mergeCell ref="I449:I450"/>
    <mergeCell ref="J449:J450"/>
    <mergeCell ref="K449:K450"/>
    <mergeCell ref="L449:L450"/>
    <mergeCell ref="A451:A452"/>
    <mergeCell ref="B451:B452"/>
    <mergeCell ref="C451:C452"/>
    <mergeCell ref="D451:D452"/>
    <mergeCell ref="E451:E452"/>
    <mergeCell ref="F451:G452"/>
    <mergeCell ref="H451:H452"/>
    <mergeCell ref="I451:I452"/>
    <mergeCell ref="J451:J452"/>
    <mergeCell ref="K451:K452"/>
    <mergeCell ref="L451:L452"/>
    <mergeCell ref="A453:A454"/>
    <mergeCell ref="B453:B454"/>
    <mergeCell ref="C453:C454"/>
    <mergeCell ref="D453:D454"/>
    <mergeCell ref="E453:E454"/>
    <mergeCell ref="F453:G454"/>
    <mergeCell ref="H453:H454"/>
    <mergeCell ref="I453:I454"/>
    <mergeCell ref="J453:J454"/>
    <mergeCell ref="K453:K454"/>
    <mergeCell ref="L453:L454"/>
    <mergeCell ref="A455:A456"/>
    <mergeCell ref="B455:B456"/>
    <mergeCell ref="C455:C456"/>
    <mergeCell ref="D455:D456"/>
    <mergeCell ref="E455:E456"/>
    <mergeCell ref="F455:G456"/>
    <mergeCell ref="H455:H456"/>
    <mergeCell ref="I455:I456"/>
    <mergeCell ref="J455:J456"/>
    <mergeCell ref="K455:K456"/>
    <mergeCell ref="L455:L456"/>
    <mergeCell ref="J463:J464"/>
    <mergeCell ref="K463:K464"/>
    <mergeCell ref="L463:L464"/>
    <mergeCell ref="A457:A458"/>
    <mergeCell ref="B457:B458"/>
    <mergeCell ref="C457:C458"/>
    <mergeCell ref="D457:D458"/>
    <mergeCell ref="E457:E458"/>
    <mergeCell ref="F457:G458"/>
    <mergeCell ref="H457:H458"/>
    <mergeCell ref="I457:I458"/>
    <mergeCell ref="J457:J458"/>
    <mergeCell ref="K457:K458"/>
    <mergeCell ref="L457:L458"/>
    <mergeCell ref="A459:A460"/>
    <mergeCell ref="B459:B460"/>
    <mergeCell ref="C459:C460"/>
    <mergeCell ref="D459:D460"/>
    <mergeCell ref="E459:E460"/>
    <mergeCell ref="F459:G460"/>
    <mergeCell ref="H459:H460"/>
    <mergeCell ref="I459:I460"/>
    <mergeCell ref="J459:J460"/>
    <mergeCell ref="K459:K460"/>
    <mergeCell ref="L459:L460"/>
    <mergeCell ref="K509:K510"/>
    <mergeCell ref="L509:L510"/>
    <mergeCell ref="A467:A468"/>
    <mergeCell ref="B467:B468"/>
    <mergeCell ref="C467:C468"/>
    <mergeCell ref="D467:D468"/>
    <mergeCell ref="E467:E468"/>
    <mergeCell ref="F467:G468"/>
    <mergeCell ref="H467:H468"/>
    <mergeCell ref="I467:I468"/>
    <mergeCell ref="J467:J468"/>
    <mergeCell ref="K467:K468"/>
    <mergeCell ref="L467:L468"/>
    <mergeCell ref="A461:A462"/>
    <mergeCell ref="B461:B462"/>
    <mergeCell ref="C461:C462"/>
    <mergeCell ref="D461:D462"/>
    <mergeCell ref="E461:E462"/>
    <mergeCell ref="F461:G462"/>
    <mergeCell ref="H461:H462"/>
    <mergeCell ref="I461:I462"/>
    <mergeCell ref="J461:J462"/>
    <mergeCell ref="K461:K462"/>
    <mergeCell ref="L461:L462"/>
    <mergeCell ref="A463:A464"/>
    <mergeCell ref="B463:B464"/>
    <mergeCell ref="C463:C464"/>
    <mergeCell ref="D463:D464"/>
    <mergeCell ref="E463:E464"/>
    <mergeCell ref="F463:G464"/>
    <mergeCell ref="H463:H464"/>
    <mergeCell ref="I463:I464"/>
    <mergeCell ref="A469:A470"/>
    <mergeCell ref="B469:B470"/>
    <mergeCell ref="C469:C470"/>
    <mergeCell ref="D469:D470"/>
    <mergeCell ref="E469:E470"/>
    <mergeCell ref="F469:G470"/>
    <mergeCell ref="H469:H470"/>
    <mergeCell ref="I469:I470"/>
    <mergeCell ref="J469:J470"/>
    <mergeCell ref="K469:K470"/>
    <mergeCell ref="L469:L470"/>
    <mergeCell ref="A471:A472"/>
    <mergeCell ref="B471:B472"/>
    <mergeCell ref="C471:C472"/>
    <mergeCell ref="D471:D472"/>
    <mergeCell ref="E471:E472"/>
    <mergeCell ref="F471:G472"/>
    <mergeCell ref="H471:H472"/>
    <mergeCell ref="I471:I472"/>
    <mergeCell ref="J471:J472"/>
    <mergeCell ref="K471:K472"/>
    <mergeCell ref="L471:L472"/>
    <mergeCell ref="A473:A474"/>
    <mergeCell ref="B473:B474"/>
    <mergeCell ref="C473:C474"/>
    <mergeCell ref="D473:D474"/>
    <mergeCell ref="E473:E474"/>
    <mergeCell ref="F473:G474"/>
    <mergeCell ref="H473:H474"/>
    <mergeCell ref="I473:I474"/>
    <mergeCell ref="J473:J474"/>
    <mergeCell ref="K473:K474"/>
    <mergeCell ref="L473:L474"/>
    <mergeCell ref="A475:A476"/>
    <mergeCell ref="B475:B476"/>
    <mergeCell ref="C475:C476"/>
    <mergeCell ref="D475:D476"/>
    <mergeCell ref="E475:E476"/>
    <mergeCell ref="F475:G476"/>
    <mergeCell ref="H475:H476"/>
    <mergeCell ref="I475:I476"/>
    <mergeCell ref="J475:J476"/>
    <mergeCell ref="K475:K476"/>
    <mergeCell ref="L475:L476"/>
    <mergeCell ref="A477:A478"/>
    <mergeCell ref="B477:B478"/>
    <mergeCell ref="C477:C478"/>
    <mergeCell ref="D477:D478"/>
    <mergeCell ref="E477:E478"/>
    <mergeCell ref="F477:G478"/>
    <mergeCell ref="H477:H478"/>
    <mergeCell ref="I477:I478"/>
    <mergeCell ref="J477:J478"/>
    <mergeCell ref="K477:K478"/>
    <mergeCell ref="L477:L478"/>
    <mergeCell ref="A479:A480"/>
    <mergeCell ref="B479:B480"/>
    <mergeCell ref="C479:C480"/>
    <mergeCell ref="D479:D480"/>
    <mergeCell ref="E479:E480"/>
    <mergeCell ref="F479:G480"/>
    <mergeCell ref="H479:H480"/>
    <mergeCell ref="I479:I480"/>
    <mergeCell ref="J479:J480"/>
    <mergeCell ref="K479:K480"/>
    <mergeCell ref="L479:L480"/>
    <mergeCell ref="A481:A482"/>
    <mergeCell ref="B481:B482"/>
    <mergeCell ref="C481:C482"/>
    <mergeCell ref="D481:D482"/>
    <mergeCell ref="E481:E482"/>
    <mergeCell ref="F481:G482"/>
    <mergeCell ref="H481:H482"/>
    <mergeCell ref="I481:I482"/>
    <mergeCell ref="J481:J482"/>
    <mergeCell ref="K481:K482"/>
    <mergeCell ref="L481:L482"/>
    <mergeCell ref="A483:A484"/>
    <mergeCell ref="B483:B484"/>
    <mergeCell ref="C483:C484"/>
    <mergeCell ref="D483:D484"/>
    <mergeCell ref="E483:E484"/>
    <mergeCell ref="F483:G484"/>
    <mergeCell ref="H483:H484"/>
    <mergeCell ref="I483:I484"/>
    <mergeCell ref="J483:J484"/>
    <mergeCell ref="K483:K484"/>
    <mergeCell ref="L483:L484"/>
    <mergeCell ref="A485:A486"/>
    <mergeCell ref="B485:B486"/>
    <mergeCell ref="C485:C486"/>
    <mergeCell ref="D485:D486"/>
    <mergeCell ref="E485:E486"/>
    <mergeCell ref="F485:G486"/>
    <mergeCell ref="H485:H486"/>
    <mergeCell ref="I485:I486"/>
    <mergeCell ref="J485:J486"/>
    <mergeCell ref="K485:K486"/>
    <mergeCell ref="L485:L486"/>
    <mergeCell ref="A487:A488"/>
    <mergeCell ref="B487:B488"/>
    <mergeCell ref="C487:C488"/>
    <mergeCell ref="D487:D488"/>
    <mergeCell ref="E487:E488"/>
    <mergeCell ref="F487:G488"/>
    <mergeCell ref="H487:H488"/>
    <mergeCell ref="I487:I488"/>
    <mergeCell ref="J487:J488"/>
    <mergeCell ref="K487:K488"/>
    <mergeCell ref="L487:L488"/>
    <mergeCell ref="A489:A490"/>
    <mergeCell ref="B489:B490"/>
    <mergeCell ref="C489:C490"/>
    <mergeCell ref="D489:D490"/>
    <mergeCell ref="E489:E490"/>
    <mergeCell ref="F489:G490"/>
    <mergeCell ref="H489:H490"/>
    <mergeCell ref="I489:I490"/>
    <mergeCell ref="J489:J490"/>
    <mergeCell ref="K489:K490"/>
    <mergeCell ref="L489:L490"/>
    <mergeCell ref="A491:A492"/>
    <mergeCell ref="B491:B492"/>
    <mergeCell ref="C491:C492"/>
    <mergeCell ref="D491:D492"/>
    <mergeCell ref="E491:E492"/>
    <mergeCell ref="F491:G492"/>
    <mergeCell ref="H491:H492"/>
    <mergeCell ref="I491:I492"/>
    <mergeCell ref="J491:J492"/>
    <mergeCell ref="K491:K492"/>
    <mergeCell ref="L491:L492"/>
    <mergeCell ref="A493:A494"/>
    <mergeCell ref="B493:B494"/>
    <mergeCell ref="C493:C494"/>
    <mergeCell ref="D493:D494"/>
    <mergeCell ref="E493:E494"/>
    <mergeCell ref="F493:G494"/>
    <mergeCell ref="H493:H494"/>
    <mergeCell ref="I493:I494"/>
    <mergeCell ref="J493:J494"/>
    <mergeCell ref="K493:K494"/>
    <mergeCell ref="L493:L494"/>
    <mergeCell ref="A495:A496"/>
    <mergeCell ref="B495:B496"/>
    <mergeCell ref="C495:C496"/>
    <mergeCell ref="D495:D496"/>
    <mergeCell ref="E495:E496"/>
    <mergeCell ref="F495:G496"/>
    <mergeCell ref="H495:H496"/>
    <mergeCell ref="I495:I496"/>
    <mergeCell ref="J495:J496"/>
    <mergeCell ref="K495:K496"/>
    <mergeCell ref="L495:L496"/>
    <mergeCell ref="A497:A498"/>
    <mergeCell ref="B497:B498"/>
    <mergeCell ref="C497:C498"/>
    <mergeCell ref="D497:D498"/>
    <mergeCell ref="E497:E498"/>
    <mergeCell ref="F497:G498"/>
    <mergeCell ref="H497:H498"/>
    <mergeCell ref="I497:I498"/>
    <mergeCell ref="J497:J498"/>
    <mergeCell ref="K497:K498"/>
    <mergeCell ref="L497:L498"/>
    <mergeCell ref="A499:A500"/>
    <mergeCell ref="B499:B500"/>
    <mergeCell ref="C499:C500"/>
    <mergeCell ref="D499:D500"/>
    <mergeCell ref="E499:E500"/>
    <mergeCell ref="F499:G500"/>
    <mergeCell ref="H499:H500"/>
    <mergeCell ref="I499:I500"/>
    <mergeCell ref="J499:J500"/>
    <mergeCell ref="K499:K500"/>
    <mergeCell ref="L499:L500"/>
    <mergeCell ref="A501:A502"/>
    <mergeCell ref="B501:B502"/>
    <mergeCell ref="C501:C502"/>
    <mergeCell ref="D501:D502"/>
    <mergeCell ref="E501:E502"/>
    <mergeCell ref="F501:G502"/>
    <mergeCell ref="H501:H502"/>
    <mergeCell ref="I501:I502"/>
    <mergeCell ref="J501:J502"/>
    <mergeCell ref="K501:K502"/>
    <mergeCell ref="L501:L502"/>
    <mergeCell ref="A503:A504"/>
    <mergeCell ref="B503:B504"/>
    <mergeCell ref="C503:C504"/>
    <mergeCell ref="D503:D504"/>
    <mergeCell ref="E503:E504"/>
    <mergeCell ref="F503:G504"/>
    <mergeCell ref="H503:H504"/>
    <mergeCell ref="I503:I504"/>
    <mergeCell ref="J503:J504"/>
    <mergeCell ref="K503:K504"/>
    <mergeCell ref="L503:L504"/>
    <mergeCell ref="A505:A506"/>
    <mergeCell ref="B505:B506"/>
    <mergeCell ref="C505:C506"/>
    <mergeCell ref="D505:D506"/>
    <mergeCell ref="E505:E506"/>
    <mergeCell ref="F505:G506"/>
    <mergeCell ref="H505:H506"/>
    <mergeCell ref="I505:I506"/>
    <mergeCell ref="J505:J506"/>
    <mergeCell ref="K505:K506"/>
    <mergeCell ref="L505:L506"/>
    <mergeCell ref="A511:A512"/>
    <mergeCell ref="B511:B512"/>
    <mergeCell ref="C511:C512"/>
    <mergeCell ref="D511:D512"/>
    <mergeCell ref="E511:E512"/>
    <mergeCell ref="F511:G512"/>
    <mergeCell ref="H511:H512"/>
    <mergeCell ref="I511:I512"/>
    <mergeCell ref="J511:J512"/>
    <mergeCell ref="K511:K512"/>
    <mergeCell ref="L511:L512"/>
    <mergeCell ref="A507:L508"/>
    <mergeCell ref="A509:A510"/>
    <mergeCell ref="B509:B510"/>
    <mergeCell ref="C509:C510"/>
    <mergeCell ref="D509:D510"/>
    <mergeCell ref="E509:E510"/>
    <mergeCell ref="F509:G510"/>
    <mergeCell ref="H509:H510"/>
    <mergeCell ref="I509:I510"/>
    <mergeCell ref="J509:J510"/>
    <mergeCell ref="A513:A514"/>
    <mergeCell ref="B513:B514"/>
    <mergeCell ref="C513:C514"/>
    <mergeCell ref="D513:D514"/>
    <mergeCell ref="E513:E514"/>
    <mergeCell ref="F513:G514"/>
    <mergeCell ref="H513:H514"/>
    <mergeCell ref="I513:I514"/>
    <mergeCell ref="J513:J514"/>
    <mergeCell ref="K513:K514"/>
    <mergeCell ref="L513:L514"/>
    <mergeCell ref="A515:A516"/>
    <mergeCell ref="B515:B516"/>
    <mergeCell ref="C515:C516"/>
    <mergeCell ref="D515:D516"/>
    <mergeCell ref="E515:E516"/>
    <mergeCell ref="F515:G516"/>
    <mergeCell ref="H515:H516"/>
    <mergeCell ref="I515:I516"/>
    <mergeCell ref="J515:J516"/>
    <mergeCell ref="K515:K516"/>
    <mergeCell ref="L515:L516"/>
    <mergeCell ref="A517:A518"/>
    <mergeCell ref="B517:B518"/>
    <mergeCell ref="C517:C518"/>
    <mergeCell ref="D517:D518"/>
    <mergeCell ref="E517:E518"/>
    <mergeCell ref="F517:G518"/>
    <mergeCell ref="H517:H518"/>
    <mergeCell ref="I517:I518"/>
    <mergeCell ref="J517:J518"/>
    <mergeCell ref="K517:K518"/>
    <mergeCell ref="L517:L518"/>
    <mergeCell ref="A519:A520"/>
    <mergeCell ref="B519:B520"/>
    <mergeCell ref="C519:C520"/>
    <mergeCell ref="D519:D520"/>
    <mergeCell ref="E519:E520"/>
    <mergeCell ref="F519:G520"/>
    <mergeCell ref="H519:H520"/>
    <mergeCell ref="I519:I520"/>
    <mergeCell ref="J519:J520"/>
    <mergeCell ref="K519:K520"/>
    <mergeCell ref="L519:L520"/>
    <mergeCell ref="A521:A522"/>
    <mergeCell ref="B521:B522"/>
    <mergeCell ref="C521:C522"/>
    <mergeCell ref="D521:D522"/>
    <mergeCell ref="E521:E522"/>
    <mergeCell ref="F521:G522"/>
    <mergeCell ref="H521:H522"/>
    <mergeCell ref="I521:I522"/>
    <mergeCell ref="J521:J522"/>
    <mergeCell ref="K521:K522"/>
    <mergeCell ref="L521:L522"/>
    <mergeCell ref="A523:A524"/>
    <mergeCell ref="B523:B524"/>
    <mergeCell ref="C523:C524"/>
    <mergeCell ref="D523:D524"/>
    <mergeCell ref="E523:E524"/>
    <mergeCell ref="F523:G524"/>
    <mergeCell ref="H523:H524"/>
    <mergeCell ref="I523:I524"/>
    <mergeCell ref="J523:J524"/>
    <mergeCell ref="K523:K524"/>
    <mergeCell ref="L523:L524"/>
    <mergeCell ref="A525:A526"/>
    <mergeCell ref="B525:B526"/>
    <mergeCell ref="C525:C526"/>
    <mergeCell ref="D525:D526"/>
    <mergeCell ref="E525:E526"/>
    <mergeCell ref="F525:G526"/>
    <mergeCell ref="H525:H526"/>
    <mergeCell ref="I525:I526"/>
    <mergeCell ref="J525:J526"/>
    <mergeCell ref="K525:K526"/>
    <mergeCell ref="L525:L526"/>
    <mergeCell ref="A527:A528"/>
    <mergeCell ref="B527:B528"/>
    <mergeCell ref="C527:C528"/>
    <mergeCell ref="D527:D528"/>
    <mergeCell ref="E527:E528"/>
    <mergeCell ref="F527:G528"/>
    <mergeCell ref="H527:H528"/>
    <mergeCell ref="I527:I528"/>
    <mergeCell ref="J527:J528"/>
    <mergeCell ref="K527:K528"/>
    <mergeCell ref="L527:L528"/>
    <mergeCell ref="A529:A530"/>
    <mergeCell ref="B529:B530"/>
    <mergeCell ref="C529:C530"/>
    <mergeCell ref="D529:D530"/>
    <mergeCell ref="E529:E530"/>
    <mergeCell ref="F529:G530"/>
    <mergeCell ref="H529:H530"/>
    <mergeCell ref="I529:I530"/>
    <mergeCell ref="J529:J530"/>
    <mergeCell ref="K529:K530"/>
    <mergeCell ref="L529:L530"/>
    <mergeCell ref="A531:A532"/>
    <mergeCell ref="B531:B532"/>
    <mergeCell ref="C531:C532"/>
    <mergeCell ref="D531:D532"/>
    <mergeCell ref="E531:E532"/>
    <mergeCell ref="F531:G532"/>
    <mergeCell ref="H531:H532"/>
    <mergeCell ref="I531:I532"/>
    <mergeCell ref="J531:J532"/>
    <mergeCell ref="K531:K532"/>
    <mergeCell ref="L531:L532"/>
    <mergeCell ref="A533:A534"/>
    <mergeCell ref="B533:B534"/>
    <mergeCell ref="C533:C534"/>
    <mergeCell ref="D533:D534"/>
    <mergeCell ref="E533:E534"/>
    <mergeCell ref="F533:G534"/>
    <mergeCell ref="H533:H534"/>
    <mergeCell ref="I533:I534"/>
    <mergeCell ref="J533:J534"/>
    <mergeCell ref="K533:K534"/>
    <mergeCell ref="L533:L534"/>
    <mergeCell ref="A535:A536"/>
    <mergeCell ref="B535:B536"/>
    <mergeCell ref="C535:C536"/>
    <mergeCell ref="D535:D536"/>
    <mergeCell ref="E535:E536"/>
    <mergeCell ref="F535:G536"/>
    <mergeCell ref="H535:H536"/>
    <mergeCell ref="I535:I536"/>
    <mergeCell ref="J535:J536"/>
    <mergeCell ref="K535:K536"/>
    <mergeCell ref="L535:L536"/>
    <mergeCell ref="A537:A538"/>
    <mergeCell ref="B537:B538"/>
    <mergeCell ref="C537:C538"/>
    <mergeCell ref="D537:D538"/>
    <mergeCell ref="E537:E538"/>
    <mergeCell ref="F537:G538"/>
    <mergeCell ref="H537:H538"/>
    <mergeCell ref="I537:I538"/>
    <mergeCell ref="J537:J538"/>
    <mergeCell ref="K537:K538"/>
    <mergeCell ref="L537:L538"/>
    <mergeCell ref="A541:A542"/>
    <mergeCell ref="B541:B542"/>
    <mergeCell ref="C541:C542"/>
    <mergeCell ref="D541:D542"/>
    <mergeCell ref="E541:E542"/>
    <mergeCell ref="F541:G542"/>
    <mergeCell ref="H541:H542"/>
    <mergeCell ref="I541:I542"/>
    <mergeCell ref="J541:J542"/>
    <mergeCell ref="K541:K542"/>
    <mergeCell ref="L541:L542"/>
    <mergeCell ref="A539:A540"/>
    <mergeCell ref="B539:B540"/>
    <mergeCell ref="C539:C540"/>
    <mergeCell ref="D539:D540"/>
    <mergeCell ref="E539:E540"/>
    <mergeCell ref="F539:G540"/>
    <mergeCell ref="H539:H540"/>
    <mergeCell ref="I539:I540"/>
    <mergeCell ref="J539:J540"/>
    <mergeCell ref="K539:K540"/>
    <mergeCell ref="A543:A544"/>
    <mergeCell ref="B543:B544"/>
    <mergeCell ref="C543:C544"/>
    <mergeCell ref="D543:D544"/>
    <mergeCell ref="E543:E544"/>
    <mergeCell ref="F543:G544"/>
    <mergeCell ref="H543:H544"/>
    <mergeCell ref="I543:I544"/>
    <mergeCell ref="J543:J544"/>
    <mergeCell ref="K543:K544"/>
    <mergeCell ref="L543:L544"/>
    <mergeCell ref="A545:A546"/>
    <mergeCell ref="B545:B546"/>
    <mergeCell ref="C545:C546"/>
    <mergeCell ref="D545:D546"/>
    <mergeCell ref="E545:E546"/>
    <mergeCell ref="F545:G546"/>
    <mergeCell ref="H545:H546"/>
    <mergeCell ref="I545:I546"/>
    <mergeCell ref="J545:J546"/>
    <mergeCell ref="K545:K546"/>
    <mergeCell ref="L545:L546"/>
    <mergeCell ref="A549:A550"/>
    <mergeCell ref="B549:B550"/>
    <mergeCell ref="C549:C550"/>
    <mergeCell ref="D549:D550"/>
    <mergeCell ref="E549:E550"/>
    <mergeCell ref="F549:G550"/>
    <mergeCell ref="H549:H550"/>
    <mergeCell ref="I549:I550"/>
    <mergeCell ref="J549:J550"/>
    <mergeCell ref="K549:K550"/>
    <mergeCell ref="L549:L550"/>
    <mergeCell ref="A551:A552"/>
    <mergeCell ref="B551:B552"/>
    <mergeCell ref="C551:C552"/>
    <mergeCell ref="D551:D552"/>
    <mergeCell ref="E551:E552"/>
    <mergeCell ref="F551:G552"/>
    <mergeCell ref="H551:H552"/>
    <mergeCell ref="I551:I552"/>
    <mergeCell ref="J551:J552"/>
    <mergeCell ref="K551:K552"/>
    <mergeCell ref="L551:L552"/>
    <mergeCell ref="A553:A554"/>
    <mergeCell ref="B553:B554"/>
    <mergeCell ref="C553:C554"/>
    <mergeCell ref="D553:D554"/>
    <mergeCell ref="E553:E554"/>
    <mergeCell ref="F553:G554"/>
    <mergeCell ref="H553:H554"/>
    <mergeCell ref="I553:I554"/>
    <mergeCell ref="J553:J554"/>
    <mergeCell ref="K553:K554"/>
    <mergeCell ref="L553:L554"/>
    <mergeCell ref="A555:A556"/>
    <mergeCell ref="B555:B556"/>
    <mergeCell ref="C555:C556"/>
    <mergeCell ref="D555:D556"/>
    <mergeCell ref="E555:E556"/>
    <mergeCell ref="F555:G556"/>
    <mergeCell ref="H555:H556"/>
    <mergeCell ref="I555:I556"/>
    <mergeCell ref="J555:J556"/>
    <mergeCell ref="K555:K556"/>
    <mergeCell ref="L555:L556"/>
    <mergeCell ref="A557:A558"/>
    <mergeCell ref="B557:B558"/>
    <mergeCell ref="C557:C558"/>
    <mergeCell ref="D557:D558"/>
    <mergeCell ref="E557:E558"/>
    <mergeCell ref="F557:G558"/>
    <mergeCell ref="H557:H558"/>
    <mergeCell ref="I557:I558"/>
    <mergeCell ref="J557:J558"/>
    <mergeCell ref="K557:K558"/>
    <mergeCell ref="L557:L558"/>
    <mergeCell ref="A559:A560"/>
    <mergeCell ref="B559:B560"/>
    <mergeCell ref="C559:C560"/>
    <mergeCell ref="D559:D560"/>
    <mergeCell ref="E559:E560"/>
    <mergeCell ref="F559:G560"/>
    <mergeCell ref="H559:H560"/>
    <mergeCell ref="I559:I560"/>
    <mergeCell ref="J559:J560"/>
    <mergeCell ref="K559:K560"/>
    <mergeCell ref="L559:L560"/>
    <mergeCell ref="A561:A562"/>
    <mergeCell ref="B561:B562"/>
    <mergeCell ref="C561:C562"/>
    <mergeCell ref="D561:D562"/>
    <mergeCell ref="E561:E562"/>
    <mergeCell ref="F561:G562"/>
    <mergeCell ref="H561:H562"/>
    <mergeCell ref="I561:I562"/>
    <mergeCell ref="J561:J562"/>
    <mergeCell ref="K561:K562"/>
    <mergeCell ref="L561:L562"/>
    <mergeCell ref="A563:A564"/>
    <mergeCell ref="B563:B564"/>
    <mergeCell ref="C563:C564"/>
    <mergeCell ref="D563:D564"/>
    <mergeCell ref="E563:E564"/>
    <mergeCell ref="F563:G564"/>
    <mergeCell ref="H563:H564"/>
    <mergeCell ref="I563:I564"/>
    <mergeCell ref="J563:J564"/>
    <mergeCell ref="K563:K564"/>
    <mergeCell ref="L563:L564"/>
    <mergeCell ref="A565:A566"/>
    <mergeCell ref="B565:B566"/>
    <mergeCell ref="C565:C566"/>
    <mergeCell ref="D565:D566"/>
    <mergeCell ref="E565:E566"/>
    <mergeCell ref="F565:G566"/>
    <mergeCell ref="H565:H566"/>
    <mergeCell ref="I565:I566"/>
    <mergeCell ref="J565:J566"/>
    <mergeCell ref="K565:K566"/>
    <mergeCell ref="L565:L566"/>
    <mergeCell ref="A567:A568"/>
    <mergeCell ref="B567:B568"/>
    <mergeCell ref="C567:C568"/>
    <mergeCell ref="D567:D568"/>
    <mergeCell ref="E567:E568"/>
    <mergeCell ref="F567:G568"/>
    <mergeCell ref="H567:H568"/>
    <mergeCell ref="I567:I568"/>
    <mergeCell ref="J567:J568"/>
    <mergeCell ref="K567:K568"/>
    <mergeCell ref="L567:L568"/>
    <mergeCell ref="A569:A570"/>
    <mergeCell ref="B569:B570"/>
    <mergeCell ref="C569:C570"/>
    <mergeCell ref="D569:D570"/>
    <mergeCell ref="E569:E570"/>
    <mergeCell ref="F569:G570"/>
    <mergeCell ref="H569:H570"/>
    <mergeCell ref="I569:I570"/>
    <mergeCell ref="J569:J570"/>
    <mergeCell ref="K569:K570"/>
    <mergeCell ref="L569:L570"/>
    <mergeCell ref="A571:A572"/>
    <mergeCell ref="B571:B572"/>
    <mergeCell ref="C571:C572"/>
    <mergeCell ref="D571:D572"/>
    <mergeCell ref="E571:E572"/>
    <mergeCell ref="F571:G572"/>
    <mergeCell ref="H571:H572"/>
    <mergeCell ref="I571:I572"/>
    <mergeCell ref="J571:J572"/>
    <mergeCell ref="K571:K572"/>
    <mergeCell ref="L571:L572"/>
    <mergeCell ref="A573:A574"/>
    <mergeCell ref="B573:B574"/>
    <mergeCell ref="C573:C574"/>
    <mergeCell ref="D573:D574"/>
    <mergeCell ref="E573:E574"/>
    <mergeCell ref="F573:G574"/>
    <mergeCell ref="H573:H574"/>
    <mergeCell ref="I573:I574"/>
    <mergeCell ref="J573:J574"/>
    <mergeCell ref="K573:K574"/>
    <mergeCell ref="L573:L574"/>
    <mergeCell ref="A575:A576"/>
    <mergeCell ref="B575:B576"/>
    <mergeCell ref="C575:C576"/>
    <mergeCell ref="D575:D576"/>
    <mergeCell ref="E575:E576"/>
    <mergeCell ref="F575:G576"/>
    <mergeCell ref="H575:H576"/>
    <mergeCell ref="I575:I576"/>
    <mergeCell ref="J575:J576"/>
    <mergeCell ref="K575:K576"/>
    <mergeCell ref="L575:L576"/>
    <mergeCell ref="K583:K584"/>
    <mergeCell ref="L583:L584"/>
    <mergeCell ref="A577:A578"/>
    <mergeCell ref="B577:B578"/>
    <mergeCell ref="C577:C578"/>
    <mergeCell ref="D577:D578"/>
    <mergeCell ref="E577:E578"/>
    <mergeCell ref="F577:G578"/>
    <mergeCell ref="H577:H578"/>
    <mergeCell ref="I577:I578"/>
    <mergeCell ref="J577:J578"/>
    <mergeCell ref="K577:K578"/>
    <mergeCell ref="L577:L578"/>
    <mergeCell ref="C579:C580"/>
    <mergeCell ref="D579:D580"/>
    <mergeCell ref="F579:G580"/>
    <mergeCell ref="H579:H580"/>
    <mergeCell ref="I579:I580"/>
    <mergeCell ref="J579:J580"/>
    <mergeCell ref="K579:K580"/>
    <mergeCell ref="L579:L580"/>
    <mergeCell ref="A579:A580"/>
    <mergeCell ref="B579:B580"/>
    <mergeCell ref="E579:E580"/>
    <mergeCell ref="A589:A590"/>
    <mergeCell ref="B589:B590"/>
    <mergeCell ref="C589:C590"/>
    <mergeCell ref="D589:D590"/>
    <mergeCell ref="E589:E590"/>
    <mergeCell ref="F589:G590"/>
    <mergeCell ref="H589:H590"/>
    <mergeCell ref="I589:I590"/>
    <mergeCell ref="J589:J590"/>
    <mergeCell ref="K589:K590"/>
    <mergeCell ref="L589:L590"/>
    <mergeCell ref="C581:C582"/>
    <mergeCell ref="D581:D582"/>
    <mergeCell ref="A587:A588"/>
    <mergeCell ref="B587:B588"/>
    <mergeCell ref="C587:C588"/>
    <mergeCell ref="D587:D588"/>
    <mergeCell ref="E587:E588"/>
    <mergeCell ref="F587:G588"/>
    <mergeCell ref="H587:H588"/>
    <mergeCell ref="I587:I588"/>
    <mergeCell ref="J587:J588"/>
    <mergeCell ref="K587:K588"/>
    <mergeCell ref="L587:L588"/>
    <mergeCell ref="F581:G582"/>
    <mergeCell ref="H581:H582"/>
    <mergeCell ref="I581:I582"/>
    <mergeCell ref="J581:J582"/>
    <mergeCell ref="K581:K582"/>
    <mergeCell ref="L581:L582"/>
    <mergeCell ref="A583:A584"/>
    <mergeCell ref="B583:B584"/>
    <mergeCell ref="A593:A594"/>
    <mergeCell ref="B593:B594"/>
    <mergeCell ref="C593:C594"/>
    <mergeCell ref="D593:D594"/>
    <mergeCell ref="E593:E594"/>
    <mergeCell ref="F593:G594"/>
    <mergeCell ref="H593:H594"/>
    <mergeCell ref="I593:I594"/>
    <mergeCell ref="J593:J594"/>
    <mergeCell ref="K593:K594"/>
    <mergeCell ref="L593:L594"/>
    <mergeCell ref="A591:A592"/>
    <mergeCell ref="B591:B592"/>
    <mergeCell ref="C591:C592"/>
    <mergeCell ref="D591:D592"/>
    <mergeCell ref="E591:E592"/>
    <mergeCell ref="F591:G592"/>
    <mergeCell ref="H591:H592"/>
    <mergeCell ref="I591:I592"/>
    <mergeCell ref="J591:J592"/>
    <mergeCell ref="K591:K592"/>
    <mergeCell ref="L591:L592"/>
    <mergeCell ref="A595:A596"/>
    <mergeCell ref="B595:B596"/>
    <mergeCell ref="C595:C596"/>
    <mergeCell ref="D595:D596"/>
    <mergeCell ref="E595:E596"/>
    <mergeCell ref="F595:G596"/>
    <mergeCell ref="H595:H596"/>
    <mergeCell ref="I595:I596"/>
    <mergeCell ref="J595:J596"/>
    <mergeCell ref="K595:K596"/>
    <mergeCell ref="L595:L596"/>
    <mergeCell ref="A597:A598"/>
    <mergeCell ref="B597:B598"/>
    <mergeCell ref="C597:C598"/>
    <mergeCell ref="D597:D598"/>
    <mergeCell ref="E597:E598"/>
    <mergeCell ref="F597:G598"/>
    <mergeCell ref="H597:H598"/>
    <mergeCell ref="I597:I598"/>
    <mergeCell ref="J597:J598"/>
    <mergeCell ref="K597:K598"/>
    <mergeCell ref="L597:L598"/>
    <mergeCell ref="A599:A600"/>
    <mergeCell ref="B599:B600"/>
    <mergeCell ref="C599:C600"/>
    <mergeCell ref="D599:D600"/>
    <mergeCell ref="E599:E600"/>
    <mergeCell ref="F599:G600"/>
    <mergeCell ref="H599:H600"/>
    <mergeCell ref="I599:I600"/>
    <mergeCell ref="J599:J600"/>
    <mergeCell ref="K599:K600"/>
    <mergeCell ref="L599:L600"/>
    <mergeCell ref="A601:A602"/>
    <mergeCell ref="B601:B602"/>
    <mergeCell ref="C601:C602"/>
    <mergeCell ref="D601:D602"/>
    <mergeCell ref="E601:E602"/>
    <mergeCell ref="F601:G602"/>
    <mergeCell ref="H601:H602"/>
    <mergeCell ref="I601:I602"/>
    <mergeCell ref="J601:J602"/>
    <mergeCell ref="K601:K602"/>
    <mergeCell ref="L601:L602"/>
    <mergeCell ref="A603:A604"/>
    <mergeCell ref="B603:B604"/>
    <mergeCell ref="C603:C604"/>
    <mergeCell ref="D603:D604"/>
    <mergeCell ref="E603:E604"/>
    <mergeCell ref="F603:G604"/>
    <mergeCell ref="H603:H604"/>
    <mergeCell ref="I603:I604"/>
    <mergeCell ref="J603:J604"/>
    <mergeCell ref="K603:K604"/>
    <mergeCell ref="L603:L604"/>
    <mergeCell ref="A605:A606"/>
    <mergeCell ref="B605:B606"/>
    <mergeCell ref="C605:C606"/>
    <mergeCell ref="D605:D606"/>
    <mergeCell ref="E605:E606"/>
    <mergeCell ref="F605:G606"/>
    <mergeCell ref="H605:H606"/>
    <mergeCell ref="I605:I606"/>
    <mergeCell ref="J605:J606"/>
    <mergeCell ref="K605:K606"/>
    <mergeCell ref="L605:L606"/>
    <mergeCell ref="A607:A608"/>
    <mergeCell ref="B607:B608"/>
    <mergeCell ref="C607:C608"/>
    <mergeCell ref="D607:D608"/>
    <mergeCell ref="E607:E608"/>
    <mergeCell ref="F607:G608"/>
    <mergeCell ref="H607:H608"/>
    <mergeCell ref="I607:I608"/>
    <mergeCell ref="J607:J608"/>
    <mergeCell ref="K607:K608"/>
    <mergeCell ref="L607:L608"/>
    <mergeCell ref="A611:A612"/>
    <mergeCell ref="B611:B612"/>
    <mergeCell ref="C611:C612"/>
    <mergeCell ref="D611:D612"/>
    <mergeCell ref="E611:E612"/>
    <mergeCell ref="F611:G612"/>
    <mergeCell ref="H611:H612"/>
    <mergeCell ref="I611:I612"/>
    <mergeCell ref="J611:J612"/>
    <mergeCell ref="K611:K612"/>
    <mergeCell ref="L611:L612"/>
    <mergeCell ref="A609:A610"/>
    <mergeCell ref="B609:B610"/>
    <mergeCell ref="C609:C610"/>
    <mergeCell ref="D609:D610"/>
    <mergeCell ref="E609:E610"/>
    <mergeCell ref="F609:G610"/>
    <mergeCell ref="H609:H610"/>
    <mergeCell ref="I609:I610"/>
    <mergeCell ref="J609:J610"/>
    <mergeCell ref="K609:K610"/>
    <mergeCell ref="A613:A614"/>
    <mergeCell ref="B613:B614"/>
    <mergeCell ref="C613:C614"/>
    <mergeCell ref="D613:D614"/>
    <mergeCell ref="E613:E614"/>
    <mergeCell ref="F613:G614"/>
    <mergeCell ref="H613:H614"/>
    <mergeCell ref="I613:I614"/>
    <mergeCell ref="J613:J614"/>
    <mergeCell ref="K613:K614"/>
    <mergeCell ref="L613:L614"/>
    <mergeCell ref="A615:A616"/>
    <mergeCell ref="B615:B616"/>
    <mergeCell ref="C615:C616"/>
    <mergeCell ref="D615:D616"/>
    <mergeCell ref="E615:E616"/>
    <mergeCell ref="F615:G616"/>
    <mergeCell ref="H615:H616"/>
    <mergeCell ref="I615:I616"/>
    <mergeCell ref="J615:J616"/>
    <mergeCell ref="K615:K616"/>
    <mergeCell ref="L615:L616"/>
    <mergeCell ref="A617:A618"/>
    <mergeCell ref="B617:B618"/>
    <mergeCell ref="C617:C618"/>
    <mergeCell ref="D617:D618"/>
    <mergeCell ref="E617:E618"/>
    <mergeCell ref="F617:G618"/>
    <mergeCell ref="H617:H618"/>
    <mergeCell ref="I617:I618"/>
    <mergeCell ref="J617:J618"/>
    <mergeCell ref="K617:K618"/>
    <mergeCell ref="L617:L618"/>
    <mergeCell ref="A623:A624"/>
    <mergeCell ref="B623:B624"/>
    <mergeCell ref="C623:C624"/>
    <mergeCell ref="D623:D624"/>
    <mergeCell ref="E623:E624"/>
    <mergeCell ref="F623:G624"/>
    <mergeCell ref="H623:H624"/>
    <mergeCell ref="I623:I624"/>
    <mergeCell ref="J623:J624"/>
    <mergeCell ref="K623:K624"/>
    <mergeCell ref="L623:L624"/>
    <mergeCell ref="A625:A626"/>
    <mergeCell ref="B625:B626"/>
    <mergeCell ref="C625:C626"/>
    <mergeCell ref="D625:D626"/>
    <mergeCell ref="E625:E626"/>
    <mergeCell ref="F625:G626"/>
    <mergeCell ref="H625:H626"/>
    <mergeCell ref="I625:I626"/>
    <mergeCell ref="J625:J626"/>
    <mergeCell ref="K625:K626"/>
    <mergeCell ref="L625:L626"/>
    <mergeCell ref="A627:A628"/>
    <mergeCell ref="B627:B628"/>
    <mergeCell ref="C627:C628"/>
    <mergeCell ref="D627:D628"/>
    <mergeCell ref="E627:E628"/>
    <mergeCell ref="F627:G628"/>
    <mergeCell ref="H627:H628"/>
    <mergeCell ref="I627:I628"/>
    <mergeCell ref="J627:J628"/>
    <mergeCell ref="K627:K628"/>
    <mergeCell ref="L627:L628"/>
    <mergeCell ref="A629:A630"/>
    <mergeCell ref="B629:B630"/>
    <mergeCell ref="C629:C630"/>
    <mergeCell ref="D629:D630"/>
    <mergeCell ref="E629:E630"/>
    <mergeCell ref="F629:G630"/>
    <mergeCell ref="H629:H630"/>
    <mergeCell ref="I629:I630"/>
    <mergeCell ref="J629:J630"/>
    <mergeCell ref="K629:K630"/>
    <mergeCell ref="L629:L630"/>
    <mergeCell ref="A631:A632"/>
    <mergeCell ref="B631:B632"/>
    <mergeCell ref="C631:C632"/>
    <mergeCell ref="D631:D632"/>
    <mergeCell ref="E631:E632"/>
    <mergeCell ref="F631:G632"/>
    <mergeCell ref="H631:H632"/>
    <mergeCell ref="I631:I632"/>
    <mergeCell ref="J631:J632"/>
    <mergeCell ref="K631:K632"/>
    <mergeCell ref="L631:L632"/>
    <mergeCell ref="A633:A634"/>
    <mergeCell ref="B633:B634"/>
    <mergeCell ref="C633:C634"/>
    <mergeCell ref="D633:D634"/>
    <mergeCell ref="E633:E634"/>
    <mergeCell ref="F633:G634"/>
    <mergeCell ref="H633:H634"/>
    <mergeCell ref="I633:I634"/>
    <mergeCell ref="J633:J634"/>
    <mergeCell ref="K633:K634"/>
    <mergeCell ref="L633:L634"/>
    <mergeCell ref="A635:A636"/>
    <mergeCell ref="B635:B636"/>
    <mergeCell ref="C635:C636"/>
    <mergeCell ref="D635:D636"/>
    <mergeCell ref="E635:E636"/>
    <mergeCell ref="F635:G636"/>
    <mergeCell ref="H635:H636"/>
    <mergeCell ref="I635:I636"/>
    <mergeCell ref="J635:J636"/>
    <mergeCell ref="K635:K636"/>
    <mergeCell ref="L635:L636"/>
    <mergeCell ref="A637:A638"/>
    <mergeCell ref="B637:B638"/>
    <mergeCell ref="C637:C638"/>
    <mergeCell ref="D637:D638"/>
    <mergeCell ref="E637:E638"/>
    <mergeCell ref="F637:G638"/>
    <mergeCell ref="H637:H638"/>
    <mergeCell ref="I637:I638"/>
    <mergeCell ref="J637:J638"/>
    <mergeCell ref="K637:K638"/>
    <mergeCell ref="L637:L638"/>
    <mergeCell ref="A639:A640"/>
    <mergeCell ref="B639:B640"/>
    <mergeCell ref="C639:C640"/>
    <mergeCell ref="D639:D640"/>
    <mergeCell ref="E639:E640"/>
    <mergeCell ref="F639:G640"/>
    <mergeCell ref="H639:H640"/>
    <mergeCell ref="I639:I640"/>
    <mergeCell ref="J639:J640"/>
    <mergeCell ref="K639:K640"/>
    <mergeCell ref="L639:L640"/>
    <mergeCell ref="A641:A642"/>
    <mergeCell ref="B641:B642"/>
    <mergeCell ref="C641:C642"/>
    <mergeCell ref="D641:D642"/>
    <mergeCell ref="E641:E642"/>
    <mergeCell ref="F641:G642"/>
    <mergeCell ref="H641:H642"/>
    <mergeCell ref="I641:I642"/>
    <mergeCell ref="J641:J642"/>
    <mergeCell ref="K641:K642"/>
    <mergeCell ref="L641:L642"/>
    <mergeCell ref="A643:A644"/>
    <mergeCell ref="B643:B644"/>
    <mergeCell ref="C643:C644"/>
    <mergeCell ref="D643:D644"/>
    <mergeCell ref="E643:E644"/>
    <mergeCell ref="F643:G644"/>
    <mergeCell ref="H643:H644"/>
    <mergeCell ref="I643:I644"/>
    <mergeCell ref="J643:J644"/>
    <mergeCell ref="K643:K644"/>
    <mergeCell ref="L643:L644"/>
    <mergeCell ref="A645:A646"/>
    <mergeCell ref="B645:B646"/>
    <mergeCell ref="C645:C646"/>
    <mergeCell ref="D645:D646"/>
    <mergeCell ref="E645:E646"/>
    <mergeCell ref="F645:G646"/>
    <mergeCell ref="H645:H646"/>
    <mergeCell ref="I645:I646"/>
    <mergeCell ref="J645:J646"/>
    <mergeCell ref="K645:K646"/>
    <mergeCell ref="L645:L646"/>
    <mergeCell ref="A647:A648"/>
    <mergeCell ref="B647:B648"/>
    <mergeCell ref="C647:C648"/>
    <mergeCell ref="D647:D648"/>
    <mergeCell ref="E647:E648"/>
    <mergeCell ref="F647:G648"/>
    <mergeCell ref="H647:H648"/>
    <mergeCell ref="I647:I648"/>
    <mergeCell ref="J647:J648"/>
    <mergeCell ref="K647:K648"/>
    <mergeCell ref="L647:L648"/>
    <mergeCell ref="A649:A650"/>
    <mergeCell ref="B649:B650"/>
    <mergeCell ref="C649:C650"/>
    <mergeCell ref="D649:D650"/>
    <mergeCell ref="E649:E650"/>
    <mergeCell ref="F649:G650"/>
    <mergeCell ref="H649:H650"/>
    <mergeCell ref="I649:I650"/>
    <mergeCell ref="J649:J650"/>
    <mergeCell ref="K649:K650"/>
    <mergeCell ref="L649:L650"/>
    <mergeCell ref="A651:A652"/>
    <mergeCell ref="B651:B652"/>
    <mergeCell ref="C651:C652"/>
    <mergeCell ref="D651:D652"/>
    <mergeCell ref="E651:E652"/>
    <mergeCell ref="F651:G652"/>
    <mergeCell ref="H651:H652"/>
    <mergeCell ref="I651:I652"/>
    <mergeCell ref="J651:J652"/>
    <mergeCell ref="K651:K652"/>
    <mergeCell ref="L651:L652"/>
    <mergeCell ref="A653:A654"/>
    <mergeCell ref="B653:B654"/>
    <mergeCell ref="C653:C654"/>
    <mergeCell ref="D653:D654"/>
    <mergeCell ref="E653:E654"/>
    <mergeCell ref="F653:G654"/>
    <mergeCell ref="H653:H654"/>
    <mergeCell ref="I653:I654"/>
    <mergeCell ref="J653:J654"/>
    <mergeCell ref="K653:K654"/>
    <mergeCell ref="L653:L654"/>
    <mergeCell ref="A655:A656"/>
    <mergeCell ref="B655:B656"/>
    <mergeCell ref="C655:C656"/>
    <mergeCell ref="D655:D656"/>
    <mergeCell ref="E655:E656"/>
    <mergeCell ref="F655:G656"/>
    <mergeCell ref="H655:H656"/>
    <mergeCell ref="I655:I656"/>
    <mergeCell ref="J655:J656"/>
    <mergeCell ref="K655:K656"/>
    <mergeCell ref="L655:L656"/>
    <mergeCell ref="A657:A658"/>
    <mergeCell ref="B657:B658"/>
    <mergeCell ref="C657:C658"/>
    <mergeCell ref="D657:D658"/>
    <mergeCell ref="E657:E658"/>
    <mergeCell ref="F657:G658"/>
    <mergeCell ref="H657:H658"/>
    <mergeCell ref="I657:I658"/>
    <mergeCell ref="J657:J658"/>
    <mergeCell ref="K657:K658"/>
    <mergeCell ref="L657:L658"/>
    <mergeCell ref="A659:A660"/>
    <mergeCell ref="B659:B660"/>
    <mergeCell ref="C659:C660"/>
    <mergeCell ref="D659:D660"/>
    <mergeCell ref="E659:E660"/>
    <mergeCell ref="F659:G660"/>
    <mergeCell ref="H659:H660"/>
    <mergeCell ref="I659:I660"/>
    <mergeCell ref="J659:J660"/>
    <mergeCell ref="K659:K660"/>
    <mergeCell ref="L659:L660"/>
    <mergeCell ref="A661:A662"/>
    <mergeCell ref="B661:B662"/>
    <mergeCell ref="C661:C662"/>
    <mergeCell ref="D661:D662"/>
    <mergeCell ref="E661:E662"/>
    <mergeCell ref="F661:G662"/>
    <mergeCell ref="H661:H662"/>
    <mergeCell ref="I661:I662"/>
    <mergeCell ref="J661:J662"/>
    <mergeCell ref="K661:K662"/>
    <mergeCell ref="L661:L662"/>
    <mergeCell ref="A663:A664"/>
    <mergeCell ref="B663:B664"/>
    <mergeCell ref="C663:C664"/>
    <mergeCell ref="D663:D664"/>
    <mergeCell ref="E663:E664"/>
    <mergeCell ref="F663:G664"/>
    <mergeCell ref="H663:H664"/>
    <mergeCell ref="I663:I664"/>
    <mergeCell ref="J663:J664"/>
    <mergeCell ref="K663:K664"/>
    <mergeCell ref="L663:L664"/>
    <mergeCell ref="A665:A666"/>
    <mergeCell ref="B665:B666"/>
    <mergeCell ref="C665:C666"/>
    <mergeCell ref="D665:D666"/>
    <mergeCell ref="E665:E666"/>
    <mergeCell ref="F665:G666"/>
    <mergeCell ref="H665:H666"/>
    <mergeCell ref="I665:I666"/>
    <mergeCell ref="J665:J666"/>
    <mergeCell ref="K665:K666"/>
    <mergeCell ref="L665:L666"/>
    <mergeCell ref="A667:A668"/>
    <mergeCell ref="B667:B668"/>
    <mergeCell ref="C667:C668"/>
    <mergeCell ref="D667:D668"/>
    <mergeCell ref="E667:E668"/>
    <mergeCell ref="F667:G668"/>
    <mergeCell ref="H667:H668"/>
    <mergeCell ref="I667:I668"/>
    <mergeCell ref="J667:J668"/>
    <mergeCell ref="K667:K668"/>
    <mergeCell ref="L667:L668"/>
    <mergeCell ref="A669:A670"/>
    <mergeCell ref="B669:B670"/>
    <mergeCell ref="C669:C670"/>
    <mergeCell ref="D669:D670"/>
    <mergeCell ref="E669:E670"/>
    <mergeCell ref="F669:G670"/>
    <mergeCell ref="H669:H670"/>
    <mergeCell ref="I669:I670"/>
    <mergeCell ref="J669:J670"/>
    <mergeCell ref="K669:K670"/>
    <mergeCell ref="L669:L670"/>
    <mergeCell ref="A671:A672"/>
    <mergeCell ref="B671:B672"/>
    <mergeCell ref="C671:C672"/>
    <mergeCell ref="D671:D672"/>
    <mergeCell ref="E671:E672"/>
    <mergeCell ref="F671:G672"/>
    <mergeCell ref="H671:H672"/>
    <mergeCell ref="I671:I672"/>
    <mergeCell ref="J671:J672"/>
    <mergeCell ref="K671:K672"/>
    <mergeCell ref="L671:L672"/>
    <mergeCell ref="A673:A674"/>
    <mergeCell ref="B673:B674"/>
    <mergeCell ref="C673:C674"/>
    <mergeCell ref="D673:D674"/>
    <mergeCell ref="E673:E674"/>
    <mergeCell ref="F673:G674"/>
    <mergeCell ref="H673:H674"/>
    <mergeCell ref="I673:I674"/>
    <mergeCell ref="J673:J674"/>
    <mergeCell ref="K673:K674"/>
    <mergeCell ref="L673:L674"/>
    <mergeCell ref="A675:A676"/>
    <mergeCell ref="B675:B676"/>
    <mergeCell ref="C675:C676"/>
    <mergeCell ref="D675:D676"/>
    <mergeCell ref="E675:E676"/>
    <mergeCell ref="F675:G676"/>
    <mergeCell ref="H675:H676"/>
    <mergeCell ref="I675:I676"/>
    <mergeCell ref="J675:J676"/>
    <mergeCell ref="K675:K676"/>
    <mergeCell ref="L675:L676"/>
    <mergeCell ref="L683:L684"/>
    <mergeCell ref="A677:A678"/>
    <mergeCell ref="B677:B678"/>
    <mergeCell ref="C677:C678"/>
    <mergeCell ref="D677:D678"/>
    <mergeCell ref="E677:E678"/>
    <mergeCell ref="F677:G678"/>
    <mergeCell ref="H677:H678"/>
    <mergeCell ref="I677:I678"/>
    <mergeCell ref="J677:J678"/>
    <mergeCell ref="K677:K678"/>
    <mergeCell ref="L677:L678"/>
    <mergeCell ref="A679:A680"/>
    <mergeCell ref="B679:B680"/>
    <mergeCell ref="C679:C680"/>
    <mergeCell ref="D679:D680"/>
    <mergeCell ref="E679:E680"/>
    <mergeCell ref="F679:G680"/>
    <mergeCell ref="H679:H680"/>
    <mergeCell ref="I679:I680"/>
    <mergeCell ref="J679:J680"/>
    <mergeCell ref="K679:K680"/>
    <mergeCell ref="L679:L680"/>
    <mergeCell ref="A685:A686"/>
    <mergeCell ref="B685:B686"/>
    <mergeCell ref="C685:C686"/>
    <mergeCell ref="D685:D686"/>
    <mergeCell ref="E685:E686"/>
    <mergeCell ref="F685:G686"/>
    <mergeCell ref="H685:H686"/>
    <mergeCell ref="I685:I686"/>
    <mergeCell ref="J685:J686"/>
    <mergeCell ref="K685:K686"/>
    <mergeCell ref="L685:L686"/>
    <mergeCell ref="A681:A682"/>
    <mergeCell ref="B681:B682"/>
    <mergeCell ref="C681:C682"/>
    <mergeCell ref="D681:D682"/>
    <mergeCell ref="E681:E682"/>
    <mergeCell ref="F681:G682"/>
    <mergeCell ref="H681:H682"/>
    <mergeCell ref="I681:I682"/>
    <mergeCell ref="J681:J682"/>
    <mergeCell ref="K681:K682"/>
    <mergeCell ref="L681:L682"/>
    <mergeCell ref="A683:A684"/>
    <mergeCell ref="B683:B684"/>
    <mergeCell ref="C683:C684"/>
    <mergeCell ref="D683:D684"/>
    <mergeCell ref="E683:E684"/>
    <mergeCell ref="F683:G684"/>
    <mergeCell ref="H683:H684"/>
    <mergeCell ref="I683:I684"/>
    <mergeCell ref="J683:J684"/>
    <mergeCell ref="K683:K684"/>
    <mergeCell ref="A687:A688"/>
    <mergeCell ref="B687:B688"/>
    <mergeCell ref="C687:C688"/>
    <mergeCell ref="D687:D688"/>
    <mergeCell ref="E687:E688"/>
    <mergeCell ref="F687:G688"/>
    <mergeCell ref="H687:H688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F689:G690"/>
    <mergeCell ref="H689:H690"/>
    <mergeCell ref="I689:I690"/>
    <mergeCell ref="J689:J690"/>
    <mergeCell ref="K689:K690"/>
    <mergeCell ref="L689:L690"/>
    <mergeCell ref="A691:A692"/>
    <mergeCell ref="B691:B692"/>
    <mergeCell ref="C691:C692"/>
    <mergeCell ref="D691:D692"/>
    <mergeCell ref="E691:E692"/>
    <mergeCell ref="F691:G692"/>
    <mergeCell ref="H691:H692"/>
    <mergeCell ref="I691:I692"/>
    <mergeCell ref="J691:J692"/>
    <mergeCell ref="K691:K692"/>
    <mergeCell ref="L691:L692"/>
    <mergeCell ref="A693:A694"/>
    <mergeCell ref="B693:B694"/>
    <mergeCell ref="C693:C694"/>
    <mergeCell ref="D693:D694"/>
    <mergeCell ref="E693:E694"/>
    <mergeCell ref="F693:G694"/>
    <mergeCell ref="H693:H694"/>
    <mergeCell ref="I693:I694"/>
    <mergeCell ref="J693:J694"/>
    <mergeCell ref="K693:K694"/>
    <mergeCell ref="L693:L694"/>
    <mergeCell ref="A703:A704"/>
    <mergeCell ref="B703:B704"/>
    <mergeCell ref="C703:C704"/>
    <mergeCell ref="D703:D704"/>
    <mergeCell ref="E703:E704"/>
    <mergeCell ref="F703:G704"/>
    <mergeCell ref="H703:H704"/>
    <mergeCell ref="I703:I704"/>
    <mergeCell ref="J703:J704"/>
    <mergeCell ref="K703:K704"/>
    <mergeCell ref="L703:L704"/>
    <mergeCell ref="A695:A696"/>
    <mergeCell ref="B695:B696"/>
    <mergeCell ref="C695:C696"/>
    <mergeCell ref="D695:D696"/>
    <mergeCell ref="E695:E696"/>
    <mergeCell ref="F695:G696"/>
    <mergeCell ref="H695:H696"/>
    <mergeCell ref="I695:I696"/>
    <mergeCell ref="J695:J696"/>
    <mergeCell ref="K695:K696"/>
    <mergeCell ref="L695:L696"/>
    <mergeCell ref="A699:A700"/>
    <mergeCell ref="B699:B700"/>
    <mergeCell ref="C699:C700"/>
    <mergeCell ref="D699:D700"/>
    <mergeCell ref="E699:E700"/>
    <mergeCell ref="F699:G700"/>
    <mergeCell ref="H699:H700"/>
    <mergeCell ref="I699:I700"/>
    <mergeCell ref="J699:J700"/>
    <mergeCell ref="K699:K700"/>
    <mergeCell ref="A707:A708"/>
    <mergeCell ref="B707:B708"/>
    <mergeCell ref="C707:C708"/>
    <mergeCell ref="D707:D708"/>
    <mergeCell ref="E707:E708"/>
    <mergeCell ref="F707:G708"/>
    <mergeCell ref="H707:H708"/>
    <mergeCell ref="I707:I708"/>
    <mergeCell ref="J707:J708"/>
    <mergeCell ref="K707:K708"/>
    <mergeCell ref="L707:L708"/>
    <mergeCell ref="A709:A710"/>
    <mergeCell ref="B709:B710"/>
    <mergeCell ref="C709:C710"/>
    <mergeCell ref="D709:D710"/>
    <mergeCell ref="E709:E710"/>
    <mergeCell ref="F709:G710"/>
    <mergeCell ref="H709:H710"/>
    <mergeCell ref="I709:I710"/>
    <mergeCell ref="J709:J710"/>
    <mergeCell ref="K709:K710"/>
    <mergeCell ref="L709:L710"/>
    <mergeCell ref="A711:A712"/>
    <mergeCell ref="B711:B712"/>
    <mergeCell ref="C711:C712"/>
    <mergeCell ref="D711:D712"/>
    <mergeCell ref="E711:E712"/>
    <mergeCell ref="F711:G712"/>
    <mergeCell ref="H711:H712"/>
    <mergeCell ref="I711:I712"/>
    <mergeCell ref="J711:J712"/>
    <mergeCell ref="K711:K712"/>
    <mergeCell ref="L711:L712"/>
    <mergeCell ref="A713:A714"/>
    <mergeCell ref="B713:B714"/>
    <mergeCell ref="C713:C714"/>
    <mergeCell ref="D713:D714"/>
    <mergeCell ref="E713:E714"/>
    <mergeCell ref="F713:G714"/>
    <mergeCell ref="H713:H714"/>
    <mergeCell ref="I713:I714"/>
    <mergeCell ref="J713:J714"/>
    <mergeCell ref="K713:K714"/>
    <mergeCell ref="L713:L714"/>
    <mergeCell ref="A715:A716"/>
    <mergeCell ref="B715:B716"/>
    <mergeCell ref="C715:C716"/>
    <mergeCell ref="D715:D716"/>
    <mergeCell ref="E715:E716"/>
    <mergeCell ref="F715:G716"/>
    <mergeCell ref="H715:H716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F717:G718"/>
    <mergeCell ref="H717:H718"/>
    <mergeCell ref="I717:I718"/>
    <mergeCell ref="J717:J718"/>
    <mergeCell ref="K717:K718"/>
    <mergeCell ref="L717:L718"/>
    <mergeCell ref="A719:A720"/>
    <mergeCell ref="B719:B720"/>
    <mergeCell ref="C719:C720"/>
    <mergeCell ref="D719:D720"/>
    <mergeCell ref="E719:E720"/>
    <mergeCell ref="F719:G720"/>
    <mergeCell ref="H719:H720"/>
    <mergeCell ref="I719:I720"/>
    <mergeCell ref="J719:J720"/>
    <mergeCell ref="K719:K720"/>
    <mergeCell ref="L719:L720"/>
    <mergeCell ref="A721:A722"/>
    <mergeCell ref="B721:B722"/>
    <mergeCell ref="C721:C722"/>
    <mergeCell ref="D721:D722"/>
    <mergeCell ref="E721:E722"/>
    <mergeCell ref="F721:G722"/>
    <mergeCell ref="H721:H722"/>
    <mergeCell ref="I721:I722"/>
    <mergeCell ref="J721:J722"/>
    <mergeCell ref="K721:K722"/>
    <mergeCell ref="L721:L722"/>
    <mergeCell ref="A723:A724"/>
    <mergeCell ref="B723:B724"/>
    <mergeCell ref="C723:C724"/>
    <mergeCell ref="D723:D724"/>
    <mergeCell ref="E723:E724"/>
    <mergeCell ref="F723:G724"/>
    <mergeCell ref="H723:H724"/>
    <mergeCell ref="I723:I724"/>
    <mergeCell ref="J723:J724"/>
    <mergeCell ref="K723:K724"/>
    <mergeCell ref="L723:L724"/>
    <mergeCell ref="A725:A726"/>
    <mergeCell ref="B725:B726"/>
    <mergeCell ref="C725:C726"/>
    <mergeCell ref="D725:D726"/>
    <mergeCell ref="E725:E726"/>
    <mergeCell ref="F725:G726"/>
    <mergeCell ref="H725:H726"/>
    <mergeCell ref="I725:I726"/>
    <mergeCell ref="J725:J726"/>
    <mergeCell ref="K725:K726"/>
    <mergeCell ref="L725:L726"/>
    <mergeCell ref="A729:A730"/>
    <mergeCell ref="B729:B730"/>
    <mergeCell ref="C729:C730"/>
    <mergeCell ref="D729:D730"/>
    <mergeCell ref="E729:E730"/>
    <mergeCell ref="F729:G730"/>
    <mergeCell ref="H729:H730"/>
    <mergeCell ref="I729:I730"/>
    <mergeCell ref="J729:J730"/>
    <mergeCell ref="K729:K730"/>
    <mergeCell ref="L729:L730"/>
    <mergeCell ref="A731:A732"/>
    <mergeCell ref="B731:B732"/>
    <mergeCell ref="C731:C732"/>
    <mergeCell ref="D731:D732"/>
    <mergeCell ref="E731:E732"/>
    <mergeCell ref="F731:G732"/>
    <mergeCell ref="H731:H732"/>
    <mergeCell ref="I731:I732"/>
    <mergeCell ref="J731:J732"/>
    <mergeCell ref="K731:K732"/>
    <mergeCell ref="L731:L732"/>
    <mergeCell ref="A547:A548"/>
    <mergeCell ref="B547:B548"/>
    <mergeCell ref="C547:C548"/>
    <mergeCell ref="D547:D548"/>
    <mergeCell ref="E547:E548"/>
    <mergeCell ref="F547:G548"/>
    <mergeCell ref="H547:H548"/>
    <mergeCell ref="I547:I548"/>
    <mergeCell ref="J547:J548"/>
    <mergeCell ref="K547:K548"/>
    <mergeCell ref="L547:L548"/>
    <mergeCell ref="E581:E582"/>
    <mergeCell ref="A581:A582"/>
    <mergeCell ref="B581:B582"/>
    <mergeCell ref="A585:A586"/>
    <mergeCell ref="B585:B586"/>
    <mergeCell ref="C585:C586"/>
    <mergeCell ref="D585:D586"/>
    <mergeCell ref="E585:E586"/>
    <mergeCell ref="F585:G586"/>
    <mergeCell ref="H585:H586"/>
    <mergeCell ref="I585:I586"/>
    <mergeCell ref="J585:J586"/>
    <mergeCell ref="K585:K586"/>
    <mergeCell ref="L585:L586"/>
    <mergeCell ref="C583:C584"/>
    <mergeCell ref="D583:D584"/>
    <mergeCell ref="E583:E584"/>
    <mergeCell ref="F583:G584"/>
    <mergeCell ref="H583:H584"/>
    <mergeCell ref="I583:I584"/>
    <mergeCell ref="J583:J584"/>
    <mergeCell ref="A697:A698"/>
    <mergeCell ref="B697:B698"/>
    <mergeCell ref="C697:C698"/>
    <mergeCell ref="D697:D698"/>
    <mergeCell ref="E697:E698"/>
    <mergeCell ref="F697:G698"/>
    <mergeCell ref="H697:H698"/>
    <mergeCell ref="I697:I698"/>
    <mergeCell ref="J697:J698"/>
    <mergeCell ref="K697:K698"/>
    <mergeCell ref="L697:L698"/>
    <mergeCell ref="A701:A702"/>
    <mergeCell ref="B701:B702"/>
    <mergeCell ref="C701:C702"/>
    <mergeCell ref="D701:D702"/>
    <mergeCell ref="E701:E702"/>
    <mergeCell ref="F701:G702"/>
    <mergeCell ref="H701:H702"/>
    <mergeCell ref="I701:I702"/>
    <mergeCell ref="J701:J702"/>
    <mergeCell ref="K701:K702"/>
    <mergeCell ref="L701:L702"/>
    <mergeCell ref="L699:L700"/>
    <mergeCell ref="K921:K922"/>
    <mergeCell ref="L921:L922"/>
    <mergeCell ref="K923:K924"/>
    <mergeCell ref="L923:L924"/>
    <mergeCell ref="A923:A924"/>
    <mergeCell ref="B923:B924"/>
    <mergeCell ref="C923:C924"/>
    <mergeCell ref="D923:D924"/>
    <mergeCell ref="E923:E924"/>
    <mergeCell ref="F923:G924"/>
    <mergeCell ref="H923:H924"/>
    <mergeCell ref="A705:A706"/>
    <mergeCell ref="B705:B706"/>
    <mergeCell ref="C705:C706"/>
    <mergeCell ref="D705:D706"/>
    <mergeCell ref="E705:E706"/>
    <mergeCell ref="F705:G706"/>
    <mergeCell ref="H705:H706"/>
    <mergeCell ref="I705:I706"/>
    <mergeCell ref="J705:J706"/>
    <mergeCell ref="L705:L706"/>
    <mergeCell ref="A733:A734"/>
    <mergeCell ref="B733:B734"/>
    <mergeCell ref="C733:C734"/>
    <mergeCell ref="D733:D734"/>
    <mergeCell ref="E733:E734"/>
    <mergeCell ref="F733:G734"/>
    <mergeCell ref="H733:H734"/>
    <mergeCell ref="I733:I734"/>
    <mergeCell ref="J733:J734"/>
    <mergeCell ref="K733:K734"/>
    <mergeCell ref="L733:L734"/>
    <mergeCell ref="C1015:C1016"/>
    <mergeCell ref="D1015:D1016"/>
    <mergeCell ref="E1015:E1016"/>
    <mergeCell ref="F1015:G1016"/>
    <mergeCell ref="H1015:H1016"/>
    <mergeCell ref="I1015:I1016"/>
    <mergeCell ref="J1015:J1016"/>
    <mergeCell ref="K1015:K1016"/>
    <mergeCell ref="L1015:L1016"/>
    <mergeCell ref="A1015:A1016"/>
    <mergeCell ref="B1015:B1016"/>
    <mergeCell ref="J923:J924"/>
    <mergeCell ref="A919:A920"/>
    <mergeCell ref="B919:B920"/>
    <mergeCell ref="C919:C920"/>
    <mergeCell ref="D919:D920"/>
    <mergeCell ref="E919:E920"/>
    <mergeCell ref="F919:G920"/>
    <mergeCell ref="H919:H920"/>
    <mergeCell ref="I919:I920"/>
    <mergeCell ref="J919:J920"/>
    <mergeCell ref="K919:K920"/>
    <mergeCell ref="L919:L920"/>
    <mergeCell ref="A921:A922"/>
    <mergeCell ref="B921:B922"/>
    <mergeCell ref="C921:C922"/>
    <mergeCell ref="D921:D922"/>
    <mergeCell ref="E921:E922"/>
    <mergeCell ref="F921:G922"/>
    <mergeCell ref="H921:H922"/>
    <mergeCell ref="I921:I922"/>
    <mergeCell ref="J921:J922"/>
    <mergeCell ref="A1053:A1054"/>
    <mergeCell ref="B1053:B1054"/>
    <mergeCell ref="C1053:C1054"/>
    <mergeCell ref="D1053:D1054"/>
    <mergeCell ref="E1053:E1054"/>
    <mergeCell ref="F1053:G1054"/>
    <mergeCell ref="H1053:H1054"/>
    <mergeCell ref="I1053:I1054"/>
    <mergeCell ref="J1053:J1054"/>
    <mergeCell ref="K1053:K1054"/>
    <mergeCell ref="L1053:L1054"/>
    <mergeCell ref="A1065:A1066"/>
    <mergeCell ref="B1065:B1066"/>
    <mergeCell ref="C1065:C1066"/>
    <mergeCell ref="D1065:D1066"/>
    <mergeCell ref="E1065:E1066"/>
    <mergeCell ref="F1065:G1066"/>
    <mergeCell ref="H1065:H1066"/>
    <mergeCell ref="I1065:I1066"/>
    <mergeCell ref="J1065:J1066"/>
    <mergeCell ref="K1065:K1066"/>
    <mergeCell ref="L1065:L1066"/>
    <mergeCell ref="A1055:A1056"/>
    <mergeCell ref="B1055:B1056"/>
    <mergeCell ref="C1055:C1056"/>
    <mergeCell ref="D1055:D1056"/>
    <mergeCell ref="E1055:E1056"/>
    <mergeCell ref="F1055:G1056"/>
    <mergeCell ref="H1055:H1056"/>
    <mergeCell ref="I1055:I1056"/>
    <mergeCell ref="J1055:J1056"/>
    <mergeCell ref="K1055:K1056"/>
    <mergeCell ref="A1181:A1182"/>
    <mergeCell ref="B1181:B1182"/>
    <mergeCell ref="C1181:C1182"/>
    <mergeCell ref="D1181:D1182"/>
    <mergeCell ref="E1181:E1182"/>
    <mergeCell ref="F1181:G1182"/>
    <mergeCell ref="H1181:H1182"/>
    <mergeCell ref="I1181:I1182"/>
    <mergeCell ref="J1181:J1182"/>
    <mergeCell ref="K1181:K1182"/>
    <mergeCell ref="L1181:L1182"/>
    <mergeCell ref="A1183:A1184"/>
    <mergeCell ref="B1183:B1184"/>
    <mergeCell ref="C1183:C1184"/>
    <mergeCell ref="D1183:D1184"/>
    <mergeCell ref="E1183:E1184"/>
    <mergeCell ref="F1183:G1184"/>
    <mergeCell ref="H1183:H1184"/>
    <mergeCell ref="I1183:I1184"/>
    <mergeCell ref="J1183:J1184"/>
    <mergeCell ref="K1183:K1184"/>
    <mergeCell ref="L1183:L1184"/>
    <mergeCell ref="A1185:A1186"/>
    <mergeCell ref="B1185:B1186"/>
    <mergeCell ref="C1185:C1186"/>
    <mergeCell ref="D1185:D1186"/>
    <mergeCell ref="E1185:E1186"/>
    <mergeCell ref="F1185:G1186"/>
    <mergeCell ref="H1185:H1186"/>
    <mergeCell ref="I1185:I1186"/>
    <mergeCell ref="J1185:J1186"/>
    <mergeCell ref="K1185:K1186"/>
    <mergeCell ref="L1185:L1186"/>
    <mergeCell ref="A1187:A1188"/>
    <mergeCell ref="B1187:B1188"/>
    <mergeCell ref="C1187:C1188"/>
    <mergeCell ref="D1187:D1188"/>
    <mergeCell ref="E1187:E1188"/>
    <mergeCell ref="F1187:G1188"/>
    <mergeCell ref="H1187:H1188"/>
    <mergeCell ref="I1187:I1188"/>
    <mergeCell ref="J1187:J1188"/>
    <mergeCell ref="K1187:K1188"/>
    <mergeCell ref="L1187:L1188"/>
    <mergeCell ref="A1189:A1190"/>
    <mergeCell ref="B1189:B1190"/>
    <mergeCell ref="C1189:C1190"/>
    <mergeCell ref="D1189:D1190"/>
    <mergeCell ref="E1189:E1190"/>
    <mergeCell ref="F1189:G1190"/>
    <mergeCell ref="H1189:H1190"/>
    <mergeCell ref="I1189:I1190"/>
    <mergeCell ref="J1189:J1190"/>
    <mergeCell ref="K1189:K1190"/>
    <mergeCell ref="L1189:L1190"/>
    <mergeCell ref="A1191:A1192"/>
    <mergeCell ref="B1191:B1192"/>
    <mergeCell ref="C1191:C1192"/>
    <mergeCell ref="D1191:D1192"/>
    <mergeCell ref="E1191:E1192"/>
    <mergeCell ref="F1191:G1192"/>
    <mergeCell ref="H1191:H1192"/>
    <mergeCell ref="I1191:I1192"/>
    <mergeCell ref="J1191:J1192"/>
    <mergeCell ref="K1191:K1192"/>
    <mergeCell ref="L1191:L1192"/>
    <mergeCell ref="A1193:A1194"/>
    <mergeCell ref="B1193:B1194"/>
    <mergeCell ref="C1193:C1194"/>
    <mergeCell ref="D1193:D1194"/>
    <mergeCell ref="E1193:E1194"/>
    <mergeCell ref="F1193:G1194"/>
    <mergeCell ref="H1193:H1194"/>
    <mergeCell ref="I1193:I1194"/>
    <mergeCell ref="J1193:J1194"/>
    <mergeCell ref="K1193:K1194"/>
    <mergeCell ref="L1193:L1194"/>
    <mergeCell ref="A1195:A1196"/>
    <mergeCell ref="B1195:B1196"/>
    <mergeCell ref="C1195:C1196"/>
    <mergeCell ref="D1195:D1196"/>
    <mergeCell ref="E1195:E1196"/>
    <mergeCell ref="F1195:G1196"/>
    <mergeCell ref="H1195:H1196"/>
    <mergeCell ref="I1195:I1196"/>
    <mergeCell ref="J1195:J1196"/>
    <mergeCell ref="K1195:K1196"/>
    <mergeCell ref="L1195:L1196"/>
    <mergeCell ref="A1197:A1198"/>
    <mergeCell ref="B1197:B1198"/>
    <mergeCell ref="C1197:C1198"/>
    <mergeCell ref="D1197:D1198"/>
    <mergeCell ref="E1197:E1198"/>
    <mergeCell ref="F1197:G1198"/>
    <mergeCell ref="H1197:H1198"/>
    <mergeCell ref="I1197:I1198"/>
    <mergeCell ref="J1197:J1198"/>
    <mergeCell ref="K1197:K1198"/>
    <mergeCell ref="L1197:L1198"/>
    <mergeCell ref="A1201:A1202"/>
    <mergeCell ref="B1201:B1202"/>
    <mergeCell ref="C1201:C1202"/>
    <mergeCell ref="D1201:D1202"/>
    <mergeCell ref="E1201:E1202"/>
    <mergeCell ref="F1201:G1202"/>
    <mergeCell ref="H1201:H1202"/>
    <mergeCell ref="I1201:I1202"/>
    <mergeCell ref="J1201:J1202"/>
    <mergeCell ref="K1201:K1202"/>
    <mergeCell ref="L1201:L1202"/>
    <mergeCell ref="A1199:A1200"/>
    <mergeCell ref="B1199:B1200"/>
    <mergeCell ref="C1199:C1200"/>
    <mergeCell ref="D1199:D1200"/>
    <mergeCell ref="E1199:E1200"/>
    <mergeCell ref="F1199:G1200"/>
    <mergeCell ref="H1199:H1200"/>
    <mergeCell ref="I1199:I1200"/>
    <mergeCell ref="J1199:J1200"/>
    <mergeCell ref="K1199:K1200"/>
    <mergeCell ref="A1203:A1204"/>
    <mergeCell ref="B1203:B1204"/>
    <mergeCell ref="C1203:C1204"/>
    <mergeCell ref="D1203:D1204"/>
    <mergeCell ref="E1203:E1204"/>
    <mergeCell ref="F1203:G1204"/>
    <mergeCell ref="H1203:H1204"/>
    <mergeCell ref="I1203:I1204"/>
    <mergeCell ref="J1203:J1204"/>
    <mergeCell ref="K1203:K1204"/>
    <mergeCell ref="L1203:L1204"/>
    <mergeCell ref="A1205:A1206"/>
    <mergeCell ref="B1205:B1206"/>
    <mergeCell ref="C1205:C1206"/>
    <mergeCell ref="D1205:D1206"/>
    <mergeCell ref="E1205:E1206"/>
    <mergeCell ref="F1205:G1206"/>
    <mergeCell ref="H1205:H1206"/>
    <mergeCell ref="I1205:I1206"/>
    <mergeCell ref="J1205:J1206"/>
    <mergeCell ref="K1205:K1206"/>
    <mergeCell ref="L1205:L1206"/>
    <mergeCell ref="A1209:A1210"/>
    <mergeCell ref="B1209:B1210"/>
    <mergeCell ref="C1209:C1210"/>
    <mergeCell ref="D1209:D1210"/>
    <mergeCell ref="E1209:E1210"/>
    <mergeCell ref="F1209:G1210"/>
    <mergeCell ref="H1209:H1210"/>
    <mergeCell ref="I1209:I1210"/>
    <mergeCell ref="J1209:J1210"/>
    <mergeCell ref="K1209:K1210"/>
    <mergeCell ref="L1209:L1210"/>
    <mergeCell ref="A1211:A1212"/>
    <mergeCell ref="B1211:B1212"/>
    <mergeCell ref="C1211:C1212"/>
    <mergeCell ref="D1211:D1212"/>
    <mergeCell ref="E1211:E1212"/>
    <mergeCell ref="F1211:G1212"/>
    <mergeCell ref="H1211:H1212"/>
    <mergeCell ref="I1211:I1212"/>
    <mergeCell ref="J1211:J1212"/>
    <mergeCell ref="K1211:K1212"/>
    <mergeCell ref="L1211:L1212"/>
    <mergeCell ref="A1213:A1214"/>
    <mergeCell ref="B1213:B1214"/>
    <mergeCell ref="C1213:C1214"/>
    <mergeCell ref="D1213:D1214"/>
    <mergeCell ref="E1213:E1214"/>
    <mergeCell ref="F1213:G1214"/>
    <mergeCell ref="H1213:H1214"/>
    <mergeCell ref="I1213:I1214"/>
    <mergeCell ref="J1213:J1214"/>
    <mergeCell ref="K1213:K1214"/>
    <mergeCell ref="L1213:L1214"/>
    <mergeCell ref="A1215:A1216"/>
    <mergeCell ref="B1215:B1216"/>
    <mergeCell ref="C1215:C1216"/>
    <mergeCell ref="D1215:D1216"/>
    <mergeCell ref="E1215:E1216"/>
    <mergeCell ref="F1215:G1216"/>
    <mergeCell ref="H1215:H1216"/>
    <mergeCell ref="I1215:I1216"/>
    <mergeCell ref="J1215:J1216"/>
    <mergeCell ref="K1215:K1216"/>
    <mergeCell ref="L1215:L1216"/>
    <mergeCell ref="A1217:A1218"/>
    <mergeCell ref="B1217:B1218"/>
    <mergeCell ref="C1217:C1218"/>
    <mergeCell ref="D1217:D1218"/>
    <mergeCell ref="E1217:E1218"/>
    <mergeCell ref="F1217:G1218"/>
    <mergeCell ref="H1217:H1218"/>
    <mergeCell ref="I1217:I1218"/>
    <mergeCell ref="J1217:J1218"/>
    <mergeCell ref="K1217:K1218"/>
    <mergeCell ref="L1217:L1218"/>
    <mergeCell ref="A1219:A1220"/>
    <mergeCell ref="B1219:B1220"/>
    <mergeCell ref="C1219:C1220"/>
    <mergeCell ref="D1219:D1220"/>
    <mergeCell ref="E1219:E1220"/>
    <mergeCell ref="F1219:G1220"/>
    <mergeCell ref="H1219:H1220"/>
    <mergeCell ref="I1219:I1220"/>
    <mergeCell ref="J1219:J1220"/>
    <mergeCell ref="K1219:K1220"/>
    <mergeCell ref="L1219:L1220"/>
    <mergeCell ref="A1221:A1222"/>
    <mergeCell ref="B1221:B1222"/>
    <mergeCell ref="C1221:C1222"/>
    <mergeCell ref="D1221:D1222"/>
    <mergeCell ref="E1221:E1222"/>
    <mergeCell ref="F1221:G1222"/>
    <mergeCell ref="H1221:H1222"/>
    <mergeCell ref="I1221:I1222"/>
    <mergeCell ref="J1221:J1222"/>
    <mergeCell ref="K1221:K1222"/>
    <mergeCell ref="L1221:L1222"/>
    <mergeCell ref="A1223:A1224"/>
    <mergeCell ref="B1223:B1224"/>
    <mergeCell ref="C1223:C1224"/>
    <mergeCell ref="D1223:D1224"/>
    <mergeCell ref="E1223:E1224"/>
    <mergeCell ref="F1223:G1224"/>
    <mergeCell ref="H1223:H1224"/>
    <mergeCell ref="I1223:I1224"/>
    <mergeCell ref="J1223:J1224"/>
    <mergeCell ref="K1223:K1224"/>
    <mergeCell ref="L1223:L1224"/>
    <mergeCell ref="A1225:A1226"/>
    <mergeCell ref="B1225:B1226"/>
    <mergeCell ref="C1225:C1226"/>
    <mergeCell ref="D1225:D1226"/>
    <mergeCell ref="E1225:E1226"/>
    <mergeCell ref="F1225:G1226"/>
    <mergeCell ref="H1225:H1226"/>
    <mergeCell ref="I1225:I1226"/>
    <mergeCell ref="J1225:J1226"/>
    <mergeCell ref="K1225:K1226"/>
    <mergeCell ref="L1225:L1226"/>
    <mergeCell ref="A1227:A1228"/>
    <mergeCell ref="B1227:B1228"/>
    <mergeCell ref="C1227:C1228"/>
    <mergeCell ref="D1227:D1228"/>
    <mergeCell ref="E1227:E1228"/>
    <mergeCell ref="F1227:G1228"/>
    <mergeCell ref="H1227:H1228"/>
    <mergeCell ref="I1227:I1228"/>
    <mergeCell ref="J1227:J1228"/>
    <mergeCell ref="K1227:K1228"/>
    <mergeCell ref="L1227:L1228"/>
    <mergeCell ref="K1235:K1236"/>
    <mergeCell ref="L1235:L1236"/>
    <mergeCell ref="A1229:A1230"/>
    <mergeCell ref="B1229:B1230"/>
    <mergeCell ref="C1229:C1230"/>
    <mergeCell ref="D1229:D1230"/>
    <mergeCell ref="E1229:E1230"/>
    <mergeCell ref="F1229:G1230"/>
    <mergeCell ref="H1229:H1230"/>
    <mergeCell ref="I1229:I1230"/>
    <mergeCell ref="J1229:J1230"/>
    <mergeCell ref="K1229:K1230"/>
    <mergeCell ref="L1229:L1230"/>
    <mergeCell ref="A1231:A1232"/>
    <mergeCell ref="B1231:B1232"/>
    <mergeCell ref="C1231:C1232"/>
    <mergeCell ref="D1231:D1232"/>
    <mergeCell ref="E1231:E1232"/>
    <mergeCell ref="F1231:G1232"/>
    <mergeCell ref="H1231:H1232"/>
    <mergeCell ref="I1231:I1232"/>
    <mergeCell ref="J1231:J1232"/>
    <mergeCell ref="K1231:K1232"/>
    <mergeCell ref="L1231:L1232"/>
    <mergeCell ref="L1237:L1238"/>
    <mergeCell ref="A1241:A1242"/>
    <mergeCell ref="B1241:B1242"/>
    <mergeCell ref="C1241:C1242"/>
    <mergeCell ref="D1241:D1242"/>
    <mergeCell ref="E1241:E1242"/>
    <mergeCell ref="F1241:G1242"/>
    <mergeCell ref="H1241:H1242"/>
    <mergeCell ref="I1241:I1242"/>
    <mergeCell ref="J1241:J1242"/>
    <mergeCell ref="K1241:K1242"/>
    <mergeCell ref="L1241:L1242"/>
    <mergeCell ref="A1233:A1234"/>
    <mergeCell ref="B1233:B1234"/>
    <mergeCell ref="C1233:C1234"/>
    <mergeCell ref="D1233:D1234"/>
    <mergeCell ref="E1233:E1234"/>
    <mergeCell ref="F1233:G1234"/>
    <mergeCell ref="H1233:H1234"/>
    <mergeCell ref="I1233:I1234"/>
    <mergeCell ref="J1233:J1234"/>
    <mergeCell ref="K1233:K1234"/>
    <mergeCell ref="L1233:L1234"/>
    <mergeCell ref="A1235:A1236"/>
    <mergeCell ref="B1235:B1236"/>
    <mergeCell ref="C1235:C1236"/>
    <mergeCell ref="D1235:D1236"/>
    <mergeCell ref="E1235:E1236"/>
    <mergeCell ref="F1235:G1236"/>
    <mergeCell ref="H1235:H1236"/>
    <mergeCell ref="I1235:I1236"/>
    <mergeCell ref="J1235:J1236"/>
    <mergeCell ref="A1207:A1208"/>
    <mergeCell ref="B1207:B1208"/>
    <mergeCell ref="C1207:C1208"/>
    <mergeCell ref="D1207:D1208"/>
    <mergeCell ref="E1207:E1208"/>
    <mergeCell ref="F1207:G1208"/>
    <mergeCell ref="H1207:H1208"/>
    <mergeCell ref="I1207:I1208"/>
    <mergeCell ref="J1207:J1208"/>
    <mergeCell ref="K1207:K1208"/>
    <mergeCell ref="L1207:L1208"/>
    <mergeCell ref="A1243:A1244"/>
    <mergeCell ref="B1243:B1244"/>
    <mergeCell ref="C1243:C1244"/>
    <mergeCell ref="D1243:D1244"/>
    <mergeCell ref="E1243:E1244"/>
    <mergeCell ref="F1243:G1244"/>
    <mergeCell ref="H1243:H1244"/>
    <mergeCell ref="I1243:I1244"/>
    <mergeCell ref="J1243:J1244"/>
    <mergeCell ref="K1243:K1244"/>
    <mergeCell ref="L1243:L1244"/>
    <mergeCell ref="A1237:A1238"/>
    <mergeCell ref="B1237:B1238"/>
    <mergeCell ref="C1237:C1238"/>
    <mergeCell ref="D1237:D1238"/>
    <mergeCell ref="E1237:E1238"/>
    <mergeCell ref="F1237:G1238"/>
    <mergeCell ref="H1237:H1238"/>
    <mergeCell ref="I1237:I1238"/>
    <mergeCell ref="J1237:J1238"/>
    <mergeCell ref="K1237:K1238"/>
    <mergeCell ref="A1245:A1246"/>
    <mergeCell ref="B1245:B1246"/>
    <mergeCell ref="C1245:C1246"/>
    <mergeCell ref="D1245:D1246"/>
    <mergeCell ref="E1245:E1246"/>
    <mergeCell ref="F1245:G1246"/>
    <mergeCell ref="H1245:H1246"/>
    <mergeCell ref="I1245:I1246"/>
    <mergeCell ref="J1245:J1246"/>
    <mergeCell ref="K1245:K1246"/>
    <mergeCell ref="L1245:L1246"/>
    <mergeCell ref="A1247:A1248"/>
    <mergeCell ref="B1247:B1248"/>
    <mergeCell ref="C1247:C1248"/>
    <mergeCell ref="D1247:D1248"/>
    <mergeCell ref="E1247:E1248"/>
    <mergeCell ref="F1247:G1248"/>
    <mergeCell ref="H1247:H1248"/>
    <mergeCell ref="I1247:I1248"/>
    <mergeCell ref="J1247:J1248"/>
    <mergeCell ref="K1247:K1248"/>
    <mergeCell ref="L1247:L1248"/>
    <mergeCell ref="A1249:A1250"/>
    <mergeCell ref="B1249:B1250"/>
    <mergeCell ref="C1249:C1250"/>
    <mergeCell ref="D1249:D1250"/>
    <mergeCell ref="E1249:E1250"/>
    <mergeCell ref="F1249:G1250"/>
    <mergeCell ref="H1249:H1250"/>
    <mergeCell ref="I1249:I1250"/>
    <mergeCell ref="J1249:J1250"/>
    <mergeCell ref="K1249:K1250"/>
    <mergeCell ref="L1249:L1250"/>
    <mergeCell ref="A1251:A1252"/>
    <mergeCell ref="B1251:B1252"/>
    <mergeCell ref="C1251:C1252"/>
    <mergeCell ref="D1251:D1252"/>
    <mergeCell ref="E1251:E1252"/>
    <mergeCell ref="F1251:G1252"/>
    <mergeCell ref="H1251:H1252"/>
    <mergeCell ref="I1251:I1252"/>
    <mergeCell ref="J1251:J1252"/>
    <mergeCell ref="K1251:K1252"/>
    <mergeCell ref="L1251:L1252"/>
    <mergeCell ref="A1253:A1254"/>
    <mergeCell ref="B1253:B1254"/>
    <mergeCell ref="C1253:C1254"/>
    <mergeCell ref="D1253:D1254"/>
    <mergeCell ref="E1253:E1254"/>
    <mergeCell ref="F1253:G1254"/>
    <mergeCell ref="H1253:H1254"/>
    <mergeCell ref="I1253:I1254"/>
    <mergeCell ref="J1253:J1254"/>
    <mergeCell ref="K1253:K1254"/>
    <mergeCell ref="L1253:L1254"/>
    <mergeCell ref="A1255:A1256"/>
    <mergeCell ref="B1255:B1256"/>
    <mergeCell ref="C1255:C1256"/>
    <mergeCell ref="D1255:D1256"/>
    <mergeCell ref="E1255:E1256"/>
    <mergeCell ref="F1255:G1256"/>
    <mergeCell ref="H1255:H1256"/>
    <mergeCell ref="I1255:I1256"/>
    <mergeCell ref="J1255:J1256"/>
    <mergeCell ref="K1255:K1256"/>
    <mergeCell ref="L1255:L1256"/>
    <mergeCell ref="A1257:A1258"/>
    <mergeCell ref="B1257:B1258"/>
    <mergeCell ref="C1257:C1258"/>
    <mergeCell ref="D1257:D1258"/>
    <mergeCell ref="E1257:E1258"/>
    <mergeCell ref="F1257:G1258"/>
    <mergeCell ref="H1257:H1258"/>
    <mergeCell ref="I1257:I1258"/>
    <mergeCell ref="J1257:J1258"/>
    <mergeCell ref="K1257:K1258"/>
    <mergeCell ref="L1257:L1258"/>
    <mergeCell ref="A1259:A1260"/>
    <mergeCell ref="B1259:B1260"/>
    <mergeCell ref="C1259:C1260"/>
    <mergeCell ref="D1259:D1260"/>
    <mergeCell ref="E1259:E1260"/>
    <mergeCell ref="F1259:G1260"/>
    <mergeCell ref="H1259:H1260"/>
    <mergeCell ref="I1259:I1260"/>
    <mergeCell ref="J1259:J1260"/>
    <mergeCell ref="K1259:K1260"/>
    <mergeCell ref="L1259:L1260"/>
    <mergeCell ref="A1261:A1262"/>
    <mergeCell ref="B1261:B1262"/>
    <mergeCell ref="C1261:C1262"/>
    <mergeCell ref="D1261:D1262"/>
    <mergeCell ref="E1261:E1262"/>
    <mergeCell ref="F1261:G1262"/>
    <mergeCell ref="H1261:H1262"/>
    <mergeCell ref="I1261:I1262"/>
    <mergeCell ref="J1261:J1262"/>
    <mergeCell ref="K1261:K1262"/>
    <mergeCell ref="L1261:L1262"/>
    <mergeCell ref="A1263:A1264"/>
    <mergeCell ref="B1263:B1264"/>
    <mergeCell ref="C1263:C1264"/>
    <mergeCell ref="D1263:D1264"/>
    <mergeCell ref="E1263:E1264"/>
    <mergeCell ref="F1263:G1264"/>
    <mergeCell ref="H1263:H1264"/>
    <mergeCell ref="I1263:I1264"/>
    <mergeCell ref="J1263:J1264"/>
    <mergeCell ref="K1263:K1264"/>
    <mergeCell ref="L1263:L1264"/>
    <mergeCell ref="A1265:A1266"/>
    <mergeCell ref="B1265:B1266"/>
    <mergeCell ref="C1265:C1266"/>
    <mergeCell ref="D1265:D1266"/>
    <mergeCell ref="E1265:E1266"/>
    <mergeCell ref="F1265:G1266"/>
    <mergeCell ref="H1265:H1266"/>
    <mergeCell ref="I1265:I1266"/>
    <mergeCell ref="J1265:J1266"/>
    <mergeCell ref="K1265:K1266"/>
    <mergeCell ref="L1265:L1266"/>
    <mergeCell ref="A1267:A1268"/>
    <mergeCell ref="B1267:B1268"/>
    <mergeCell ref="C1267:C1268"/>
    <mergeCell ref="D1267:D1268"/>
    <mergeCell ref="E1267:E1268"/>
    <mergeCell ref="F1267:G1268"/>
    <mergeCell ref="H1267:H1268"/>
    <mergeCell ref="I1267:I1268"/>
    <mergeCell ref="J1267:J1268"/>
    <mergeCell ref="K1267:K1268"/>
    <mergeCell ref="L1267:L1268"/>
    <mergeCell ref="A1269:A1270"/>
    <mergeCell ref="B1269:B1270"/>
    <mergeCell ref="C1269:C1270"/>
    <mergeCell ref="D1269:D1270"/>
    <mergeCell ref="E1269:E1270"/>
    <mergeCell ref="F1269:G1270"/>
    <mergeCell ref="H1269:H1270"/>
    <mergeCell ref="I1269:I1270"/>
    <mergeCell ref="J1269:J1270"/>
    <mergeCell ref="K1269:K1270"/>
    <mergeCell ref="L1269:L1270"/>
    <mergeCell ref="A1271:A1272"/>
    <mergeCell ref="B1271:B1272"/>
    <mergeCell ref="C1271:C1272"/>
    <mergeCell ref="D1271:D1272"/>
    <mergeCell ref="E1271:E1272"/>
    <mergeCell ref="F1271:G1272"/>
    <mergeCell ref="H1271:H1272"/>
    <mergeCell ref="I1271:I1272"/>
    <mergeCell ref="J1271:J1272"/>
    <mergeCell ref="K1271:K1272"/>
    <mergeCell ref="L1271:L1272"/>
    <mergeCell ref="A1273:A1274"/>
    <mergeCell ref="B1273:B1274"/>
    <mergeCell ref="C1273:C1274"/>
    <mergeCell ref="D1273:D1274"/>
    <mergeCell ref="E1273:E1274"/>
    <mergeCell ref="F1273:G1274"/>
    <mergeCell ref="H1273:H1274"/>
    <mergeCell ref="I1273:I1274"/>
    <mergeCell ref="J1273:J1274"/>
    <mergeCell ref="K1273:K1274"/>
    <mergeCell ref="L1273:L1274"/>
    <mergeCell ref="A1275:A1276"/>
    <mergeCell ref="B1275:B1276"/>
    <mergeCell ref="C1275:C1276"/>
    <mergeCell ref="D1275:D1276"/>
    <mergeCell ref="E1275:E1276"/>
    <mergeCell ref="F1275:G1276"/>
    <mergeCell ref="H1275:H1276"/>
    <mergeCell ref="I1275:I1276"/>
    <mergeCell ref="J1275:J1276"/>
    <mergeCell ref="K1275:K1276"/>
    <mergeCell ref="L1275:L1276"/>
    <mergeCell ref="A1277:A1278"/>
    <mergeCell ref="B1277:B1278"/>
    <mergeCell ref="C1277:C1278"/>
    <mergeCell ref="D1277:D1278"/>
    <mergeCell ref="E1277:E1278"/>
    <mergeCell ref="F1277:G1278"/>
    <mergeCell ref="H1277:H1278"/>
    <mergeCell ref="I1277:I1278"/>
    <mergeCell ref="J1277:J1278"/>
    <mergeCell ref="K1277:K1278"/>
    <mergeCell ref="L1277:L1278"/>
    <mergeCell ref="A1279:A1280"/>
    <mergeCell ref="B1279:B1280"/>
    <mergeCell ref="C1279:C1280"/>
    <mergeCell ref="D1279:D1280"/>
    <mergeCell ref="E1279:E1280"/>
    <mergeCell ref="F1279:G1280"/>
    <mergeCell ref="H1279:H1280"/>
    <mergeCell ref="I1279:I1280"/>
    <mergeCell ref="J1279:J1280"/>
    <mergeCell ref="K1279:K1280"/>
    <mergeCell ref="L1279:L1280"/>
    <mergeCell ref="A1281:A1282"/>
    <mergeCell ref="B1281:B1282"/>
    <mergeCell ref="C1281:C1282"/>
    <mergeCell ref="D1281:D1282"/>
    <mergeCell ref="E1281:E1282"/>
    <mergeCell ref="F1281:G1282"/>
    <mergeCell ref="H1281:H1282"/>
    <mergeCell ref="I1281:I1282"/>
    <mergeCell ref="J1281:J1282"/>
    <mergeCell ref="K1281:K1282"/>
    <mergeCell ref="L1281:L1282"/>
    <mergeCell ref="A1283:A1284"/>
    <mergeCell ref="B1283:B1284"/>
    <mergeCell ref="C1283:C1284"/>
    <mergeCell ref="D1283:D1284"/>
    <mergeCell ref="E1283:E1284"/>
    <mergeCell ref="F1283:G1284"/>
    <mergeCell ref="H1283:H1284"/>
    <mergeCell ref="I1283:I1284"/>
    <mergeCell ref="J1283:J1284"/>
    <mergeCell ref="K1283:K1284"/>
    <mergeCell ref="L1283:L1284"/>
    <mergeCell ref="A1285:A1286"/>
    <mergeCell ref="B1285:B1286"/>
    <mergeCell ref="C1285:C1286"/>
    <mergeCell ref="D1285:D1286"/>
    <mergeCell ref="E1285:E1286"/>
    <mergeCell ref="F1285:G1286"/>
    <mergeCell ref="H1285:H1286"/>
    <mergeCell ref="I1285:I1286"/>
    <mergeCell ref="J1285:J1286"/>
    <mergeCell ref="K1285:K1286"/>
    <mergeCell ref="L1285:L1286"/>
    <mergeCell ref="A1287:A1288"/>
    <mergeCell ref="B1287:B1288"/>
    <mergeCell ref="C1287:C1288"/>
    <mergeCell ref="D1287:D1288"/>
    <mergeCell ref="E1287:E1288"/>
    <mergeCell ref="F1287:G1288"/>
    <mergeCell ref="H1287:H1288"/>
    <mergeCell ref="I1287:I1288"/>
    <mergeCell ref="J1287:J1288"/>
    <mergeCell ref="K1287:K1288"/>
    <mergeCell ref="L1287:L1288"/>
    <mergeCell ref="A1289:A1290"/>
    <mergeCell ref="B1289:B1290"/>
    <mergeCell ref="C1289:C1290"/>
    <mergeCell ref="D1289:D1290"/>
    <mergeCell ref="E1289:E1290"/>
    <mergeCell ref="F1289:G1290"/>
    <mergeCell ref="H1289:H1290"/>
    <mergeCell ref="I1289:I1290"/>
    <mergeCell ref="J1289:J1290"/>
    <mergeCell ref="K1289:K1290"/>
    <mergeCell ref="L1289:L1290"/>
    <mergeCell ref="A1291:A1292"/>
    <mergeCell ref="B1291:B1292"/>
    <mergeCell ref="C1291:C1292"/>
    <mergeCell ref="D1291:D1292"/>
    <mergeCell ref="E1291:E1292"/>
    <mergeCell ref="F1291:G1292"/>
    <mergeCell ref="H1291:H1292"/>
    <mergeCell ref="I1291:I1292"/>
    <mergeCell ref="J1291:J1292"/>
    <mergeCell ref="K1291:K1292"/>
    <mergeCell ref="L1291:L1292"/>
    <mergeCell ref="A1293:A1294"/>
    <mergeCell ref="B1293:B1294"/>
    <mergeCell ref="C1293:C1294"/>
    <mergeCell ref="D1293:D1294"/>
    <mergeCell ref="E1293:E1294"/>
    <mergeCell ref="F1293:G1294"/>
    <mergeCell ref="H1293:H1294"/>
    <mergeCell ref="I1293:I1294"/>
    <mergeCell ref="J1293:J1294"/>
    <mergeCell ref="K1293:K1294"/>
    <mergeCell ref="L1293:L1294"/>
    <mergeCell ref="A1295:A1296"/>
    <mergeCell ref="B1295:B1296"/>
    <mergeCell ref="C1295:C1296"/>
    <mergeCell ref="D1295:D1296"/>
    <mergeCell ref="E1295:E1296"/>
    <mergeCell ref="F1295:G1296"/>
    <mergeCell ref="H1295:H1296"/>
    <mergeCell ref="I1295:I1296"/>
    <mergeCell ref="J1295:J1296"/>
    <mergeCell ref="K1295:K1296"/>
    <mergeCell ref="L1295:L1296"/>
    <mergeCell ref="A1297:A1298"/>
    <mergeCell ref="B1297:B1298"/>
    <mergeCell ref="C1297:C1298"/>
    <mergeCell ref="D1297:D1298"/>
    <mergeCell ref="E1297:E1298"/>
    <mergeCell ref="F1297:G1298"/>
    <mergeCell ref="H1297:H1298"/>
    <mergeCell ref="I1297:I1298"/>
    <mergeCell ref="J1297:J1298"/>
    <mergeCell ref="K1297:K1298"/>
    <mergeCell ref="L1297:L1298"/>
    <mergeCell ref="A1299:A1300"/>
    <mergeCell ref="B1299:B1300"/>
    <mergeCell ref="C1299:C1300"/>
    <mergeCell ref="D1299:D1300"/>
    <mergeCell ref="E1299:E1300"/>
    <mergeCell ref="F1299:G1300"/>
    <mergeCell ref="H1299:H1300"/>
    <mergeCell ref="I1299:I1300"/>
    <mergeCell ref="J1299:J1300"/>
    <mergeCell ref="K1299:K1300"/>
    <mergeCell ref="L1299:L1300"/>
    <mergeCell ref="A1301:A1302"/>
    <mergeCell ref="B1301:B1302"/>
    <mergeCell ref="C1301:C1302"/>
    <mergeCell ref="D1301:D1302"/>
    <mergeCell ref="E1301:E1302"/>
    <mergeCell ref="F1301:G1302"/>
    <mergeCell ref="H1301:H1302"/>
    <mergeCell ref="I1301:I1302"/>
    <mergeCell ref="J1301:J1302"/>
    <mergeCell ref="K1301:K1302"/>
    <mergeCell ref="L1301:L1302"/>
    <mergeCell ref="A1303:A1304"/>
    <mergeCell ref="B1303:B1304"/>
    <mergeCell ref="C1303:C1304"/>
    <mergeCell ref="D1303:D1304"/>
    <mergeCell ref="E1303:E1304"/>
    <mergeCell ref="F1303:G1304"/>
    <mergeCell ref="H1303:H1304"/>
    <mergeCell ref="I1303:I1304"/>
    <mergeCell ref="J1303:J1304"/>
    <mergeCell ref="K1303:K1304"/>
    <mergeCell ref="L1303:L1304"/>
    <mergeCell ref="A1305:A1306"/>
    <mergeCell ref="B1305:B1306"/>
    <mergeCell ref="C1305:C1306"/>
    <mergeCell ref="D1305:D1306"/>
    <mergeCell ref="E1305:E1306"/>
    <mergeCell ref="F1305:G1306"/>
    <mergeCell ref="H1305:H1306"/>
    <mergeCell ref="I1305:I1306"/>
    <mergeCell ref="J1305:J1306"/>
    <mergeCell ref="K1305:K1306"/>
    <mergeCell ref="L1305:L1306"/>
    <mergeCell ref="A1307:A1308"/>
    <mergeCell ref="B1307:B1308"/>
    <mergeCell ref="C1307:C1308"/>
    <mergeCell ref="D1307:D1308"/>
    <mergeCell ref="E1307:E1308"/>
    <mergeCell ref="F1307:G1308"/>
    <mergeCell ref="H1307:H1308"/>
    <mergeCell ref="I1307:I1308"/>
    <mergeCell ref="J1307:J1308"/>
    <mergeCell ref="K1307:K1308"/>
    <mergeCell ref="L1307:L1308"/>
    <mergeCell ref="A1309:A1310"/>
    <mergeCell ref="B1309:B1310"/>
    <mergeCell ref="C1309:C1310"/>
    <mergeCell ref="D1309:D1310"/>
    <mergeCell ref="E1309:E1310"/>
    <mergeCell ref="F1309:G1310"/>
    <mergeCell ref="H1309:H1310"/>
    <mergeCell ref="I1309:I1310"/>
    <mergeCell ref="J1309:J1310"/>
    <mergeCell ref="K1309:K1310"/>
    <mergeCell ref="L1309:L1310"/>
    <mergeCell ref="A1311:A1312"/>
    <mergeCell ref="B1311:B1312"/>
    <mergeCell ref="C1311:C1312"/>
    <mergeCell ref="D1311:D1312"/>
    <mergeCell ref="E1311:E1312"/>
    <mergeCell ref="F1311:G1312"/>
    <mergeCell ref="H1311:H1312"/>
    <mergeCell ref="I1311:I1312"/>
    <mergeCell ref="J1311:J1312"/>
    <mergeCell ref="K1311:K1312"/>
    <mergeCell ref="L1311:L1312"/>
    <mergeCell ref="A1313:A1314"/>
    <mergeCell ref="B1313:B1314"/>
    <mergeCell ref="C1313:C1314"/>
    <mergeCell ref="D1313:D1314"/>
    <mergeCell ref="E1313:E1314"/>
    <mergeCell ref="F1313:G1314"/>
    <mergeCell ref="H1313:H1314"/>
    <mergeCell ref="I1313:I1314"/>
    <mergeCell ref="J1313:J1314"/>
    <mergeCell ref="K1313:K1314"/>
    <mergeCell ref="L1313:L1314"/>
    <mergeCell ref="A1315:A1316"/>
    <mergeCell ref="B1315:B1316"/>
    <mergeCell ref="C1315:C1316"/>
    <mergeCell ref="D1315:D1316"/>
    <mergeCell ref="E1315:E1316"/>
    <mergeCell ref="F1315:G1316"/>
    <mergeCell ref="H1315:H1316"/>
    <mergeCell ref="I1315:I1316"/>
    <mergeCell ref="J1315:J1316"/>
    <mergeCell ref="K1315:K1316"/>
    <mergeCell ref="L1315:L1316"/>
    <mergeCell ref="A1317:A1318"/>
    <mergeCell ref="B1317:B1318"/>
    <mergeCell ref="C1317:C1318"/>
    <mergeCell ref="D1317:D1318"/>
    <mergeCell ref="E1317:E1318"/>
    <mergeCell ref="F1317:G1318"/>
    <mergeCell ref="H1317:H1318"/>
    <mergeCell ref="I1317:I1318"/>
    <mergeCell ref="J1317:J1318"/>
    <mergeCell ref="K1317:K1318"/>
    <mergeCell ref="L1317:L1318"/>
    <mergeCell ref="A1319:A1320"/>
    <mergeCell ref="B1319:B1320"/>
    <mergeCell ref="C1319:C1320"/>
    <mergeCell ref="D1319:D1320"/>
    <mergeCell ref="E1319:E1320"/>
    <mergeCell ref="F1319:G1320"/>
    <mergeCell ref="H1319:H1320"/>
    <mergeCell ref="I1319:I1320"/>
    <mergeCell ref="J1319:J1320"/>
    <mergeCell ref="K1319:K1320"/>
    <mergeCell ref="L1319:L1320"/>
    <mergeCell ref="A1321:A1322"/>
    <mergeCell ref="B1321:B1322"/>
    <mergeCell ref="C1321:C1322"/>
    <mergeCell ref="D1321:D1322"/>
    <mergeCell ref="E1321:E1322"/>
    <mergeCell ref="F1321:G1322"/>
    <mergeCell ref="H1321:H1322"/>
    <mergeCell ref="I1321:I1322"/>
    <mergeCell ref="J1321:J1322"/>
    <mergeCell ref="K1321:K1322"/>
    <mergeCell ref="L1321:L1322"/>
    <mergeCell ref="A1323:A1324"/>
    <mergeCell ref="B1323:B1324"/>
    <mergeCell ref="C1323:C1324"/>
    <mergeCell ref="D1323:D1324"/>
    <mergeCell ref="E1323:E1324"/>
    <mergeCell ref="F1323:G1324"/>
    <mergeCell ref="H1323:H1324"/>
    <mergeCell ref="I1323:I1324"/>
    <mergeCell ref="J1323:J1324"/>
    <mergeCell ref="K1323:K1324"/>
    <mergeCell ref="L1323:L1324"/>
    <mergeCell ref="A1325:A1326"/>
    <mergeCell ref="B1325:B1326"/>
    <mergeCell ref="C1325:C1326"/>
    <mergeCell ref="D1325:D1326"/>
    <mergeCell ref="E1325:E1326"/>
    <mergeCell ref="F1325:G1326"/>
    <mergeCell ref="H1325:H1326"/>
    <mergeCell ref="I1325:I1326"/>
    <mergeCell ref="J1325:J1326"/>
    <mergeCell ref="K1325:K1326"/>
    <mergeCell ref="L1325:L1326"/>
    <mergeCell ref="A1327:A1328"/>
    <mergeCell ref="B1327:B1328"/>
    <mergeCell ref="C1327:C1328"/>
    <mergeCell ref="D1327:D1328"/>
    <mergeCell ref="E1327:E1328"/>
    <mergeCell ref="F1327:G1328"/>
    <mergeCell ref="H1327:H1328"/>
    <mergeCell ref="I1327:I1328"/>
    <mergeCell ref="J1327:J1328"/>
    <mergeCell ref="K1327:K1328"/>
    <mergeCell ref="L1327:L1328"/>
    <mergeCell ref="A1329:A1330"/>
    <mergeCell ref="B1329:B1330"/>
    <mergeCell ref="C1329:C1330"/>
    <mergeCell ref="D1329:D1330"/>
    <mergeCell ref="E1329:E1330"/>
    <mergeCell ref="F1329:G1330"/>
    <mergeCell ref="H1329:H1330"/>
    <mergeCell ref="I1329:I1330"/>
    <mergeCell ref="J1329:J1330"/>
    <mergeCell ref="K1329:K1330"/>
    <mergeCell ref="L1329:L1330"/>
    <mergeCell ref="A1331:A1332"/>
    <mergeCell ref="B1331:B1332"/>
    <mergeCell ref="C1331:C1332"/>
    <mergeCell ref="D1331:D1332"/>
    <mergeCell ref="E1331:E1332"/>
    <mergeCell ref="F1331:G1332"/>
    <mergeCell ref="H1331:H1332"/>
    <mergeCell ref="I1331:I1332"/>
    <mergeCell ref="J1331:J1332"/>
    <mergeCell ref="K1331:K1332"/>
    <mergeCell ref="L1331:L1332"/>
    <mergeCell ref="A1333:A1334"/>
    <mergeCell ref="B1333:B1334"/>
    <mergeCell ref="C1333:C1334"/>
    <mergeCell ref="D1333:D1334"/>
    <mergeCell ref="E1333:E1334"/>
    <mergeCell ref="F1333:G1334"/>
    <mergeCell ref="H1333:H1334"/>
    <mergeCell ref="I1333:I1334"/>
    <mergeCell ref="J1333:J1334"/>
    <mergeCell ref="K1333:K1334"/>
    <mergeCell ref="L1333:L1334"/>
    <mergeCell ref="A1335:A1336"/>
    <mergeCell ref="B1335:B1336"/>
    <mergeCell ref="C1335:C1336"/>
    <mergeCell ref="D1335:D1336"/>
    <mergeCell ref="E1335:E1336"/>
    <mergeCell ref="F1335:G1336"/>
    <mergeCell ref="H1335:H1336"/>
    <mergeCell ref="I1335:I1336"/>
    <mergeCell ref="J1335:J1336"/>
    <mergeCell ref="K1335:K1336"/>
    <mergeCell ref="L1335:L1336"/>
    <mergeCell ref="A1337:A1338"/>
    <mergeCell ref="B1337:B1338"/>
    <mergeCell ref="C1337:C1338"/>
    <mergeCell ref="D1337:D1338"/>
    <mergeCell ref="E1337:E1338"/>
    <mergeCell ref="F1337:G1338"/>
    <mergeCell ref="H1337:H1338"/>
    <mergeCell ref="I1337:I1338"/>
    <mergeCell ref="J1337:J1338"/>
    <mergeCell ref="K1337:K1338"/>
    <mergeCell ref="L1337:L1338"/>
    <mergeCell ref="A1339:A1340"/>
    <mergeCell ref="B1339:B1340"/>
    <mergeCell ref="C1339:C1340"/>
    <mergeCell ref="D1339:D1340"/>
    <mergeCell ref="E1339:E1340"/>
    <mergeCell ref="F1339:G1340"/>
    <mergeCell ref="H1339:H1340"/>
    <mergeCell ref="I1339:I1340"/>
    <mergeCell ref="J1339:J1340"/>
    <mergeCell ref="K1339:K1340"/>
    <mergeCell ref="L1339:L1340"/>
    <mergeCell ref="A1341:A1342"/>
    <mergeCell ref="B1341:B1342"/>
    <mergeCell ref="C1341:C1342"/>
    <mergeCell ref="D1341:D1342"/>
    <mergeCell ref="E1341:E1342"/>
    <mergeCell ref="F1341:G1342"/>
    <mergeCell ref="H1341:H1342"/>
    <mergeCell ref="I1341:I1342"/>
    <mergeCell ref="J1341:J1342"/>
    <mergeCell ref="K1341:K1342"/>
    <mergeCell ref="L1341:L1342"/>
    <mergeCell ref="A1343:A1344"/>
    <mergeCell ref="B1343:B1344"/>
    <mergeCell ref="C1343:C1344"/>
    <mergeCell ref="D1343:D1344"/>
    <mergeCell ref="E1343:E1344"/>
    <mergeCell ref="F1343:G1344"/>
    <mergeCell ref="H1343:H1344"/>
    <mergeCell ref="I1343:I1344"/>
    <mergeCell ref="J1343:J1344"/>
    <mergeCell ref="K1343:K1344"/>
    <mergeCell ref="L1343:L1344"/>
    <mergeCell ref="J1351:J1352"/>
    <mergeCell ref="K1351:K1352"/>
    <mergeCell ref="L1351:L1352"/>
    <mergeCell ref="A1345:A1346"/>
    <mergeCell ref="B1345:B1346"/>
    <mergeCell ref="C1345:C1346"/>
    <mergeCell ref="D1345:D1346"/>
    <mergeCell ref="E1345:E1346"/>
    <mergeCell ref="F1345:G1346"/>
    <mergeCell ref="H1345:H1346"/>
    <mergeCell ref="I1345:I1346"/>
    <mergeCell ref="J1345:J1346"/>
    <mergeCell ref="K1345:K1346"/>
    <mergeCell ref="L1345:L1346"/>
    <mergeCell ref="A1347:A1348"/>
    <mergeCell ref="B1347:B1348"/>
    <mergeCell ref="C1347:C1348"/>
    <mergeCell ref="D1347:D1348"/>
    <mergeCell ref="E1347:E1348"/>
    <mergeCell ref="F1347:G1348"/>
    <mergeCell ref="H1347:H1348"/>
    <mergeCell ref="I1347:I1348"/>
    <mergeCell ref="J1347:J1348"/>
    <mergeCell ref="K1347:K1348"/>
    <mergeCell ref="L1347:L1348"/>
    <mergeCell ref="K1353:K1354"/>
    <mergeCell ref="L1353:L1354"/>
    <mergeCell ref="A1355:A1356"/>
    <mergeCell ref="B1355:B1356"/>
    <mergeCell ref="C1355:C1356"/>
    <mergeCell ref="D1355:D1356"/>
    <mergeCell ref="E1355:E1356"/>
    <mergeCell ref="F1355:G1356"/>
    <mergeCell ref="H1355:H1356"/>
    <mergeCell ref="I1355:I1356"/>
    <mergeCell ref="J1355:J1356"/>
    <mergeCell ref="K1355:K1356"/>
    <mergeCell ref="L1355:L1356"/>
    <mergeCell ref="A1349:A1350"/>
    <mergeCell ref="B1349:B1350"/>
    <mergeCell ref="C1349:C1350"/>
    <mergeCell ref="D1349:D1350"/>
    <mergeCell ref="E1349:E1350"/>
    <mergeCell ref="F1349:G1350"/>
    <mergeCell ref="H1349:H1350"/>
    <mergeCell ref="I1349:I1350"/>
    <mergeCell ref="J1349:J1350"/>
    <mergeCell ref="K1349:K1350"/>
    <mergeCell ref="L1349:L1350"/>
    <mergeCell ref="A1351:A1352"/>
    <mergeCell ref="B1351:B1352"/>
    <mergeCell ref="C1351:C1352"/>
    <mergeCell ref="D1351:D1352"/>
    <mergeCell ref="E1351:E1352"/>
    <mergeCell ref="F1351:G1352"/>
    <mergeCell ref="H1351:H1352"/>
    <mergeCell ref="I1351:I1352"/>
    <mergeCell ref="A1363:A1364"/>
    <mergeCell ref="B1363:B1364"/>
    <mergeCell ref="C1363:C1364"/>
    <mergeCell ref="D1363:D1364"/>
    <mergeCell ref="E1363:E1364"/>
    <mergeCell ref="F1363:G1364"/>
    <mergeCell ref="H1363:H1364"/>
    <mergeCell ref="I1363:I1364"/>
    <mergeCell ref="J1363:J1364"/>
    <mergeCell ref="K1363:K1364"/>
    <mergeCell ref="L1363:L1364"/>
    <mergeCell ref="A1357:A1358"/>
    <mergeCell ref="B1357:B1358"/>
    <mergeCell ref="C1357:C1358"/>
    <mergeCell ref="D1357:D1358"/>
    <mergeCell ref="E1357:E1358"/>
    <mergeCell ref="F1357:G1358"/>
    <mergeCell ref="H1357:H1358"/>
    <mergeCell ref="I1357:I1358"/>
    <mergeCell ref="J1357:J1358"/>
    <mergeCell ref="K1357:K1358"/>
    <mergeCell ref="L1357:L1358"/>
    <mergeCell ref="A1359:A1360"/>
    <mergeCell ref="B1359:B1360"/>
    <mergeCell ref="C1359:C1360"/>
    <mergeCell ref="D1359:D1360"/>
    <mergeCell ref="E1359:E1360"/>
    <mergeCell ref="F1359:G1360"/>
    <mergeCell ref="H1359:H1360"/>
    <mergeCell ref="I1359:I1360"/>
    <mergeCell ref="J1359:J1360"/>
    <mergeCell ref="K1359:K1360"/>
    <mergeCell ref="A1239:A1240"/>
    <mergeCell ref="B1239:B1240"/>
    <mergeCell ref="C1239:C1240"/>
    <mergeCell ref="D1239:D1240"/>
    <mergeCell ref="E1239:E1240"/>
    <mergeCell ref="F1239:G1240"/>
    <mergeCell ref="H1239:H1240"/>
    <mergeCell ref="I1239:I1240"/>
    <mergeCell ref="J1239:J1240"/>
    <mergeCell ref="K1239:K1240"/>
    <mergeCell ref="L1239:L1240"/>
    <mergeCell ref="A1361:A1362"/>
    <mergeCell ref="B1361:B1362"/>
    <mergeCell ref="C1361:C1362"/>
    <mergeCell ref="D1361:D1362"/>
    <mergeCell ref="E1361:E1362"/>
    <mergeCell ref="F1361:G1362"/>
    <mergeCell ref="H1361:H1362"/>
    <mergeCell ref="I1361:I1362"/>
    <mergeCell ref="J1361:J1362"/>
    <mergeCell ref="K1361:K1362"/>
    <mergeCell ref="L1361:L1362"/>
    <mergeCell ref="L1359:L1360"/>
    <mergeCell ref="A1353:A1354"/>
    <mergeCell ref="B1353:B1354"/>
    <mergeCell ref="C1353:C1354"/>
    <mergeCell ref="D1353:D1354"/>
    <mergeCell ref="E1353:E1354"/>
    <mergeCell ref="F1353:G1354"/>
    <mergeCell ref="H1353:H1354"/>
    <mergeCell ref="I1353:I1354"/>
    <mergeCell ref="J1353:J1354"/>
  </mergeCells>
  <pageMargins left="0.7" right="0.7" top="0.75" bottom="0.75" header="0.3" footer="0.3"/>
  <pageSetup paperSize="9" orientation="portrait" r:id="rId1"/>
  <ignoredErrors>
    <ignoredError sqref="C159 C161 C163 A165 C169 C171 C173" numberStoredAsText="1"/>
    <ignoredError sqref="D159 D161 D163 D165 C167:D167 D169 D171 D173" twoDigitTextYear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zoomScale="85" zoomScaleNormal="85" workbookViewId="0">
      <selection activeCell="B4" sqref="B4:C4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3344</v>
      </c>
      <c r="C2" s="586">
        <v>42338</v>
      </c>
      <c r="D2" s="585" t="s">
        <v>6</v>
      </c>
      <c r="E2" s="586">
        <v>43068</v>
      </c>
      <c r="F2" s="585" t="s">
        <v>3547</v>
      </c>
      <c r="G2" s="586">
        <v>43068</v>
      </c>
      <c r="H2" s="586" t="s">
        <v>3318</v>
      </c>
      <c r="I2" s="586">
        <v>43073</v>
      </c>
      <c r="J2" s="587">
        <v>650</v>
      </c>
      <c r="K2" s="590"/>
      <c r="L2" s="5">
        <f>SUM(J2:J51)</f>
        <v>33044</v>
      </c>
    </row>
    <row r="3" spans="1:12">
      <c r="A3" s="589">
        <v>2</v>
      </c>
      <c r="B3" s="585" t="s">
        <v>6</v>
      </c>
      <c r="C3" s="586">
        <v>42480</v>
      </c>
      <c r="D3" s="585" t="s">
        <v>6</v>
      </c>
      <c r="E3" s="586">
        <v>43070</v>
      </c>
      <c r="F3" s="586">
        <v>43070</v>
      </c>
      <c r="G3" s="586">
        <v>43070</v>
      </c>
      <c r="H3" s="586" t="s">
        <v>3318</v>
      </c>
      <c r="I3" s="586">
        <v>43073</v>
      </c>
      <c r="J3" s="587">
        <v>101</v>
      </c>
      <c r="K3" s="590"/>
    </row>
    <row r="4" spans="1:12">
      <c r="A4" s="585">
        <v>3</v>
      </c>
      <c r="B4" s="585" t="s">
        <v>6</v>
      </c>
      <c r="C4" s="586">
        <v>42389</v>
      </c>
      <c r="D4" s="585" t="s">
        <v>6</v>
      </c>
      <c r="E4" s="586">
        <v>43070</v>
      </c>
      <c r="F4" s="585" t="s">
        <v>3550</v>
      </c>
      <c r="G4" s="586" t="s">
        <v>4334</v>
      </c>
      <c r="H4" s="586" t="s">
        <v>3318</v>
      </c>
      <c r="I4" s="586">
        <v>43073</v>
      </c>
      <c r="J4" s="587">
        <v>1150</v>
      </c>
      <c r="K4" s="590" t="s">
        <v>4110</v>
      </c>
      <c r="L4" s="5">
        <f>SUM(J2:J51)</f>
        <v>33044</v>
      </c>
    </row>
    <row r="5" spans="1:12">
      <c r="A5" s="585">
        <v>4</v>
      </c>
      <c r="B5" s="585" t="s">
        <v>3330</v>
      </c>
      <c r="C5" s="586">
        <v>42373</v>
      </c>
      <c r="D5" s="585" t="s">
        <v>6</v>
      </c>
      <c r="E5" s="586">
        <v>43070</v>
      </c>
      <c r="F5" s="585" t="s">
        <v>3547</v>
      </c>
      <c r="G5" s="586">
        <v>43070</v>
      </c>
      <c r="H5" s="586" t="s">
        <v>3320</v>
      </c>
      <c r="I5" s="586">
        <v>43074</v>
      </c>
      <c r="J5" s="587">
        <v>1530</v>
      </c>
      <c r="K5" s="590"/>
    </row>
    <row r="6" spans="1:12">
      <c r="A6" s="585">
        <v>5</v>
      </c>
      <c r="B6" s="607" t="s">
        <v>3826</v>
      </c>
      <c r="C6" s="586">
        <v>42587</v>
      </c>
      <c r="D6" s="585" t="s">
        <v>6</v>
      </c>
      <c r="E6" s="586">
        <v>43074</v>
      </c>
      <c r="F6" s="585" t="s">
        <v>6</v>
      </c>
      <c r="G6" s="586">
        <v>43074</v>
      </c>
      <c r="H6" s="586" t="s">
        <v>3318</v>
      </c>
      <c r="I6" s="586">
        <v>43076</v>
      </c>
      <c r="J6" s="587">
        <v>330</v>
      </c>
      <c r="K6" s="590"/>
    </row>
    <row r="7" spans="1:12">
      <c r="A7" s="585">
        <v>6</v>
      </c>
      <c r="B7" s="585" t="s">
        <v>6</v>
      </c>
      <c r="C7" s="586">
        <v>43074</v>
      </c>
      <c r="D7" s="585" t="s">
        <v>6</v>
      </c>
      <c r="E7" s="586">
        <v>43075</v>
      </c>
      <c r="F7" s="585" t="s">
        <v>6</v>
      </c>
      <c r="G7" s="586">
        <v>43075</v>
      </c>
      <c r="H7" s="586" t="s">
        <v>3318</v>
      </c>
      <c r="I7" s="586">
        <v>43076</v>
      </c>
      <c r="J7" s="587">
        <v>550</v>
      </c>
      <c r="K7" s="590"/>
    </row>
    <row r="8" spans="1:12">
      <c r="A8" s="585">
        <v>7</v>
      </c>
      <c r="B8" s="585" t="s">
        <v>6</v>
      </c>
      <c r="C8" s="586">
        <v>43074</v>
      </c>
      <c r="D8" s="585" t="s">
        <v>6</v>
      </c>
      <c r="E8" s="586">
        <v>43075</v>
      </c>
      <c r="F8" s="585" t="s">
        <v>6</v>
      </c>
      <c r="G8" s="586">
        <v>43075</v>
      </c>
      <c r="H8" s="586" t="s">
        <v>3318</v>
      </c>
      <c r="I8" s="586">
        <v>43077</v>
      </c>
      <c r="J8" s="587">
        <v>290</v>
      </c>
      <c r="K8" s="590"/>
    </row>
    <row r="9" spans="1:12">
      <c r="A9" s="585">
        <v>8</v>
      </c>
      <c r="B9" s="585" t="s">
        <v>6</v>
      </c>
      <c r="C9" s="586">
        <v>42984</v>
      </c>
      <c r="D9" s="585" t="s">
        <v>6</v>
      </c>
      <c r="E9" s="586">
        <v>43070</v>
      </c>
      <c r="F9" s="585" t="s">
        <v>4335</v>
      </c>
      <c r="G9" s="586">
        <v>43070</v>
      </c>
      <c r="H9" s="586" t="s">
        <v>3320</v>
      </c>
      <c r="I9" s="586">
        <v>43074</v>
      </c>
      <c r="J9" s="587">
        <v>100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43073</v>
      </c>
      <c r="F10" s="585" t="s">
        <v>6</v>
      </c>
      <c r="G10" s="586">
        <v>43073</v>
      </c>
      <c r="H10" s="586" t="s">
        <v>3320</v>
      </c>
      <c r="I10" s="586">
        <v>43075</v>
      </c>
      <c r="J10" s="587">
        <v>1470</v>
      </c>
      <c r="K10" s="590"/>
    </row>
    <row r="11" spans="1:12">
      <c r="A11" s="585">
        <v>10</v>
      </c>
      <c r="B11" s="585" t="s">
        <v>6</v>
      </c>
      <c r="C11" s="586">
        <v>42837</v>
      </c>
      <c r="D11" s="585" t="s">
        <v>6</v>
      </c>
      <c r="E11" s="586">
        <v>43077</v>
      </c>
      <c r="F11" s="585" t="s">
        <v>6</v>
      </c>
      <c r="G11" s="586">
        <v>43077</v>
      </c>
      <c r="H11" s="586" t="s">
        <v>3318</v>
      </c>
      <c r="I11" s="586">
        <v>43078</v>
      </c>
      <c r="J11" s="587">
        <v>400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43077</v>
      </c>
      <c r="F12" s="585" t="s">
        <v>6</v>
      </c>
      <c r="G12" s="586">
        <v>43077</v>
      </c>
      <c r="H12" s="586" t="s">
        <v>3318</v>
      </c>
      <c r="I12" s="586">
        <v>43080</v>
      </c>
      <c r="J12" s="587">
        <v>550</v>
      </c>
      <c r="K12" s="590"/>
    </row>
    <row r="13" spans="1:12">
      <c r="A13" s="585">
        <v>12</v>
      </c>
      <c r="B13" s="585" t="s">
        <v>6</v>
      </c>
      <c r="C13" s="586">
        <v>43075</v>
      </c>
      <c r="D13" s="585" t="s">
        <v>6</v>
      </c>
      <c r="E13" s="586">
        <v>43076</v>
      </c>
      <c r="F13" s="644">
        <v>2091747</v>
      </c>
      <c r="G13" s="586">
        <v>43076</v>
      </c>
      <c r="H13" s="586" t="s">
        <v>3318</v>
      </c>
      <c r="I13" s="586">
        <v>43080</v>
      </c>
      <c r="J13" s="587">
        <v>330</v>
      </c>
      <c r="K13" s="590"/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43073</v>
      </c>
      <c r="F14" s="585" t="s">
        <v>6</v>
      </c>
      <c r="G14" s="586">
        <v>43073</v>
      </c>
      <c r="H14" s="586" t="s">
        <v>3320</v>
      </c>
      <c r="I14" s="586">
        <v>43075</v>
      </c>
      <c r="J14" s="587">
        <v>1470</v>
      </c>
      <c r="K14" s="587"/>
    </row>
    <row r="15" spans="1:12">
      <c r="A15" s="585">
        <v>14</v>
      </c>
      <c r="B15" s="645" t="s">
        <v>4336</v>
      </c>
      <c r="C15" s="586">
        <v>42347</v>
      </c>
      <c r="D15" s="585" t="s">
        <v>6</v>
      </c>
      <c r="E15" s="586">
        <v>43077</v>
      </c>
      <c r="F15" s="646" t="s">
        <v>4337</v>
      </c>
      <c r="G15" s="586">
        <v>43077</v>
      </c>
      <c r="H15" s="586" t="s">
        <v>3318</v>
      </c>
      <c r="I15" s="586">
        <v>43080</v>
      </c>
      <c r="J15" s="587">
        <v>130</v>
      </c>
      <c r="K15" s="590"/>
    </row>
    <row r="16" spans="1:12">
      <c r="A16" s="585">
        <v>15</v>
      </c>
      <c r="B16" s="585" t="s">
        <v>6</v>
      </c>
      <c r="C16" s="586">
        <v>42845</v>
      </c>
      <c r="D16" s="585" t="s">
        <v>6</v>
      </c>
      <c r="E16" s="586">
        <v>43077</v>
      </c>
      <c r="F16" s="646" t="s">
        <v>4338</v>
      </c>
      <c r="G16" s="586">
        <v>43077</v>
      </c>
      <c r="H16" s="586" t="s">
        <v>3318</v>
      </c>
      <c r="I16" s="586">
        <v>43080</v>
      </c>
      <c r="J16" s="587">
        <v>102</v>
      </c>
      <c r="K16" s="590"/>
    </row>
    <row r="17" spans="1:11">
      <c r="A17" s="585">
        <v>16</v>
      </c>
      <c r="B17" s="585" t="s">
        <v>3330</v>
      </c>
      <c r="C17" s="586">
        <v>42373</v>
      </c>
      <c r="D17" s="585" t="s">
        <v>6</v>
      </c>
      <c r="E17" s="586">
        <v>43077</v>
      </c>
      <c r="F17" s="585" t="s">
        <v>6</v>
      </c>
      <c r="G17" s="586">
        <v>43077</v>
      </c>
      <c r="H17" s="586" t="s">
        <v>3320</v>
      </c>
      <c r="I17" s="586">
        <v>43080</v>
      </c>
      <c r="J17" s="587">
        <v>1470</v>
      </c>
      <c r="K17" s="590"/>
    </row>
    <row r="18" spans="1:11">
      <c r="A18" s="593">
        <v>17</v>
      </c>
      <c r="B18" s="585" t="s">
        <v>3344</v>
      </c>
      <c r="C18" s="586">
        <v>42338</v>
      </c>
      <c r="D18" s="585" t="s">
        <v>6</v>
      </c>
      <c r="E18" s="586">
        <v>43083</v>
      </c>
      <c r="F18" s="585" t="s">
        <v>4339</v>
      </c>
      <c r="G18" s="586">
        <v>43083</v>
      </c>
      <c r="H18" s="586" t="s">
        <v>3318</v>
      </c>
      <c r="I18" s="586">
        <v>43084</v>
      </c>
      <c r="J18" s="587">
        <v>260</v>
      </c>
      <c r="K18" s="590"/>
    </row>
    <row r="19" spans="1:11">
      <c r="A19" s="593">
        <v>18</v>
      </c>
      <c r="B19" s="585" t="s">
        <v>6</v>
      </c>
      <c r="C19" s="586">
        <v>42795</v>
      </c>
      <c r="D19" s="585" t="s">
        <v>6</v>
      </c>
      <c r="E19" s="586">
        <v>43082</v>
      </c>
      <c r="F19" s="585" t="s">
        <v>6</v>
      </c>
      <c r="G19" s="586">
        <v>43082</v>
      </c>
      <c r="H19" s="586" t="s">
        <v>3318</v>
      </c>
      <c r="I19" s="586">
        <v>43084</v>
      </c>
      <c r="J19" s="587">
        <v>370</v>
      </c>
      <c r="K19" s="590"/>
    </row>
    <row r="20" spans="1:11">
      <c r="A20" s="593">
        <v>19</v>
      </c>
      <c r="B20" s="607" t="s">
        <v>3826</v>
      </c>
      <c r="C20" s="586">
        <v>42587</v>
      </c>
      <c r="D20" s="585" t="s">
        <v>6</v>
      </c>
      <c r="E20" s="586">
        <v>43082</v>
      </c>
      <c r="F20" s="585" t="s">
        <v>6</v>
      </c>
      <c r="G20" s="586">
        <v>43082</v>
      </c>
      <c r="H20" s="586" t="s">
        <v>3318</v>
      </c>
      <c r="I20" s="586">
        <v>43084</v>
      </c>
      <c r="J20" s="587">
        <v>240</v>
      </c>
      <c r="K20" s="590"/>
    </row>
    <row r="21" spans="1:11">
      <c r="A21" s="593">
        <v>20</v>
      </c>
      <c r="B21" s="585" t="s">
        <v>6</v>
      </c>
      <c r="C21" s="586">
        <v>43023</v>
      </c>
      <c r="D21" s="585" t="s">
        <v>6</v>
      </c>
      <c r="E21" s="586">
        <v>43083</v>
      </c>
      <c r="F21" s="585">
        <v>14122017</v>
      </c>
      <c r="G21" s="586">
        <v>43083</v>
      </c>
      <c r="H21" s="586" t="s">
        <v>3318</v>
      </c>
      <c r="I21" s="586">
        <v>43084</v>
      </c>
      <c r="J21" s="587">
        <v>350</v>
      </c>
      <c r="K21" s="590"/>
    </row>
    <row r="22" spans="1:11">
      <c r="A22" s="593">
        <v>21</v>
      </c>
      <c r="B22" s="585" t="s">
        <v>6</v>
      </c>
      <c r="C22" s="586">
        <v>42443</v>
      </c>
      <c r="D22" s="585" t="s">
        <v>6</v>
      </c>
      <c r="E22" s="586">
        <v>43082</v>
      </c>
      <c r="F22" s="585" t="s">
        <v>6</v>
      </c>
      <c r="G22" s="586">
        <v>43082</v>
      </c>
      <c r="H22" s="586" t="s">
        <v>3318</v>
      </c>
      <c r="I22" s="586">
        <v>43084</v>
      </c>
      <c r="J22" s="587">
        <v>50</v>
      </c>
      <c r="K22" s="590"/>
    </row>
    <row r="23" spans="1:11">
      <c r="A23" s="593">
        <v>22</v>
      </c>
      <c r="B23" s="585" t="s">
        <v>6</v>
      </c>
      <c r="C23" s="586">
        <v>42962</v>
      </c>
      <c r="D23" s="585" t="s">
        <v>6</v>
      </c>
      <c r="E23" s="586">
        <v>43081</v>
      </c>
      <c r="F23" s="585" t="s">
        <v>6</v>
      </c>
      <c r="G23" s="586">
        <v>43081</v>
      </c>
      <c r="H23" s="586" t="s">
        <v>3318</v>
      </c>
      <c r="I23" s="586">
        <v>43084</v>
      </c>
      <c r="J23" s="587">
        <v>30</v>
      </c>
      <c r="K23" s="590"/>
    </row>
    <row r="24" spans="1:11">
      <c r="A24" s="593">
        <v>23</v>
      </c>
      <c r="B24" s="585" t="s">
        <v>3330</v>
      </c>
      <c r="C24" s="586">
        <v>42373</v>
      </c>
      <c r="D24" s="585" t="s">
        <v>6</v>
      </c>
      <c r="E24" s="586">
        <v>43080</v>
      </c>
      <c r="F24" s="585" t="s">
        <v>6</v>
      </c>
      <c r="G24" s="586">
        <v>43080</v>
      </c>
      <c r="H24" s="586" t="s">
        <v>3320</v>
      </c>
      <c r="I24" s="586">
        <v>43082</v>
      </c>
      <c r="J24" s="587">
        <v>1470</v>
      </c>
      <c r="K24" s="590"/>
    </row>
    <row r="25" spans="1:11">
      <c r="A25" s="593">
        <v>24</v>
      </c>
      <c r="B25" s="585" t="s">
        <v>6</v>
      </c>
      <c r="C25" s="586">
        <v>42389</v>
      </c>
      <c r="D25" s="585" t="s">
        <v>6</v>
      </c>
      <c r="E25" s="586">
        <v>43083</v>
      </c>
      <c r="F25" s="585" t="s">
        <v>6</v>
      </c>
      <c r="G25" s="586">
        <v>43083</v>
      </c>
      <c r="H25" s="586" t="s">
        <v>3318</v>
      </c>
      <c r="I25" s="586">
        <v>43087</v>
      </c>
      <c r="J25" s="587">
        <v>850</v>
      </c>
      <c r="K25" s="590" t="s">
        <v>4340</v>
      </c>
    </row>
    <row r="26" spans="1:11">
      <c r="A26" s="593">
        <v>25</v>
      </c>
      <c r="B26" s="585" t="s">
        <v>6</v>
      </c>
      <c r="C26" s="586">
        <v>42480</v>
      </c>
      <c r="D26" s="585" t="s">
        <v>6</v>
      </c>
      <c r="E26" s="586">
        <v>43084</v>
      </c>
      <c r="F26" s="586">
        <v>43084</v>
      </c>
      <c r="G26" s="586">
        <v>43084</v>
      </c>
      <c r="H26" s="586" t="s">
        <v>3318</v>
      </c>
      <c r="I26" s="586">
        <v>43087</v>
      </c>
      <c r="J26" s="587">
        <v>101</v>
      </c>
      <c r="K26" s="590"/>
    </row>
    <row r="27" spans="1:11">
      <c r="A27" s="593">
        <v>26</v>
      </c>
      <c r="B27" s="585" t="s">
        <v>6</v>
      </c>
      <c r="C27" s="586">
        <v>42389</v>
      </c>
      <c r="D27" s="585" t="s">
        <v>6</v>
      </c>
      <c r="E27" s="586">
        <v>43083</v>
      </c>
      <c r="F27" s="585" t="s">
        <v>3547</v>
      </c>
      <c r="G27" s="586">
        <v>43083</v>
      </c>
      <c r="H27" s="586" t="s">
        <v>3318</v>
      </c>
      <c r="I27" s="586">
        <v>43087</v>
      </c>
      <c r="J27" s="587">
        <v>200</v>
      </c>
      <c r="K27" s="590"/>
    </row>
    <row r="28" spans="1:11">
      <c r="A28" s="593">
        <v>27</v>
      </c>
      <c r="B28" s="585" t="s">
        <v>3330</v>
      </c>
      <c r="C28" s="586">
        <v>42373</v>
      </c>
      <c r="D28" s="585" t="s">
        <v>6</v>
      </c>
      <c r="E28" s="586">
        <v>43080</v>
      </c>
      <c r="F28" s="585" t="s">
        <v>3547</v>
      </c>
      <c r="G28" s="586">
        <v>43080</v>
      </c>
      <c r="H28" s="586" t="s">
        <v>3320</v>
      </c>
      <c r="I28" s="586">
        <v>43082</v>
      </c>
      <c r="J28" s="587">
        <v>1530</v>
      </c>
      <c r="K28" s="590"/>
    </row>
    <row r="29" spans="1:11">
      <c r="A29" s="593">
        <v>28</v>
      </c>
      <c r="B29" s="585" t="s">
        <v>6</v>
      </c>
      <c r="C29" s="586">
        <v>42389</v>
      </c>
      <c r="D29" s="585" t="s">
        <v>6</v>
      </c>
      <c r="E29" s="586">
        <v>43083</v>
      </c>
      <c r="F29" s="585" t="s">
        <v>6</v>
      </c>
      <c r="G29" s="586">
        <v>43083</v>
      </c>
      <c r="H29" s="586" t="s">
        <v>3318</v>
      </c>
      <c r="I29" s="586">
        <v>43087</v>
      </c>
      <c r="J29" s="587">
        <v>1350</v>
      </c>
      <c r="K29" s="590"/>
    </row>
    <row r="30" spans="1:11">
      <c r="A30" s="593">
        <v>29</v>
      </c>
      <c r="B30" s="585" t="s">
        <v>3330</v>
      </c>
      <c r="C30" s="586">
        <v>42373</v>
      </c>
      <c r="D30" s="585" t="s">
        <v>6</v>
      </c>
      <c r="E30" s="586">
        <v>43081</v>
      </c>
      <c r="F30" s="585" t="s">
        <v>3823</v>
      </c>
      <c r="G30" s="586">
        <v>43081</v>
      </c>
      <c r="H30" s="586" t="s">
        <v>3320</v>
      </c>
      <c r="I30" s="586">
        <v>43083</v>
      </c>
      <c r="J30" s="587">
        <v>1530</v>
      </c>
      <c r="K30" s="590"/>
    </row>
    <row r="31" spans="1:11">
      <c r="A31" s="596">
        <v>30</v>
      </c>
      <c r="B31" s="585" t="s">
        <v>6</v>
      </c>
      <c r="C31" s="586">
        <v>42795</v>
      </c>
      <c r="D31" s="585" t="s">
        <v>6</v>
      </c>
      <c r="E31" s="586">
        <v>43083</v>
      </c>
      <c r="F31" s="585" t="s">
        <v>6</v>
      </c>
      <c r="G31" s="586">
        <v>43083</v>
      </c>
      <c r="H31" s="586" t="s">
        <v>3318</v>
      </c>
      <c r="I31" s="586">
        <v>43087</v>
      </c>
      <c r="J31" s="587">
        <v>550</v>
      </c>
      <c r="K31" s="590" t="s">
        <v>3754</v>
      </c>
    </row>
    <row r="32" spans="1:11">
      <c r="A32" s="596">
        <v>31</v>
      </c>
      <c r="B32" s="585" t="s">
        <v>6</v>
      </c>
      <c r="C32" s="586">
        <v>42795</v>
      </c>
      <c r="D32" s="585" t="s">
        <v>6</v>
      </c>
      <c r="E32" s="586">
        <v>43084</v>
      </c>
      <c r="F32" s="585" t="s">
        <v>6</v>
      </c>
      <c r="G32" s="586">
        <v>43084</v>
      </c>
      <c r="H32" s="586" t="s">
        <v>3318</v>
      </c>
      <c r="I32" s="586">
        <v>43087</v>
      </c>
      <c r="J32" s="587">
        <v>480</v>
      </c>
      <c r="K32" s="590"/>
    </row>
    <row r="33" spans="1:11">
      <c r="A33" s="596">
        <v>32</v>
      </c>
      <c r="B33" s="585" t="s">
        <v>6</v>
      </c>
      <c r="C33" s="586">
        <v>42755</v>
      </c>
      <c r="D33" s="585" t="s">
        <v>6</v>
      </c>
      <c r="E33" s="586">
        <v>43084</v>
      </c>
      <c r="F33" s="585" t="s">
        <v>6</v>
      </c>
      <c r="G33" s="586">
        <v>43084</v>
      </c>
      <c r="H33" s="586" t="s">
        <v>3318</v>
      </c>
      <c r="I33" s="586">
        <v>43087</v>
      </c>
      <c r="J33" s="587">
        <v>400</v>
      </c>
      <c r="K33" s="590"/>
    </row>
    <row r="34" spans="1:11">
      <c r="A34" s="596">
        <v>33</v>
      </c>
      <c r="B34" s="585" t="s">
        <v>3330</v>
      </c>
      <c r="C34" s="586">
        <v>42373</v>
      </c>
      <c r="D34" s="585" t="s">
        <v>6</v>
      </c>
      <c r="E34" s="586">
        <v>43087</v>
      </c>
      <c r="F34" s="585" t="s">
        <v>3876</v>
      </c>
      <c r="G34" s="586">
        <v>43087</v>
      </c>
      <c r="H34" s="586" t="s">
        <v>3320</v>
      </c>
      <c r="I34" s="586">
        <v>43088</v>
      </c>
      <c r="J34" s="587">
        <v>1590</v>
      </c>
      <c r="K34" s="590"/>
    </row>
    <row r="35" spans="1:11">
      <c r="A35" s="596">
        <v>34</v>
      </c>
      <c r="B35" s="607" t="s">
        <v>3826</v>
      </c>
      <c r="C35" s="586">
        <v>42587</v>
      </c>
      <c r="D35" s="585" t="s">
        <v>6</v>
      </c>
      <c r="E35" s="586">
        <v>43088</v>
      </c>
      <c r="F35" s="585" t="s">
        <v>6</v>
      </c>
      <c r="G35" s="586">
        <v>43088</v>
      </c>
      <c r="H35" s="586" t="s">
        <v>3318</v>
      </c>
      <c r="I35" s="586">
        <v>43091</v>
      </c>
      <c r="J35" s="587">
        <v>240</v>
      </c>
      <c r="K35" s="590"/>
    </row>
    <row r="36" spans="1:11">
      <c r="A36" s="596">
        <v>35</v>
      </c>
      <c r="B36" s="585" t="s">
        <v>6</v>
      </c>
      <c r="C36" s="586">
        <v>42396</v>
      </c>
      <c r="D36" s="585" t="s">
        <v>6</v>
      </c>
      <c r="E36" s="586">
        <v>43090</v>
      </c>
      <c r="F36" s="585" t="s">
        <v>6</v>
      </c>
      <c r="G36" s="586">
        <v>43090</v>
      </c>
      <c r="H36" s="586" t="s">
        <v>3318</v>
      </c>
      <c r="I36" s="586">
        <v>43091</v>
      </c>
      <c r="J36" s="587">
        <v>60</v>
      </c>
      <c r="K36" s="590"/>
    </row>
    <row r="37" spans="1:11">
      <c r="A37" s="596">
        <v>36</v>
      </c>
      <c r="B37" s="585">
        <v>7698</v>
      </c>
      <c r="C37" s="586">
        <v>41264</v>
      </c>
      <c r="D37" s="585" t="s">
        <v>6</v>
      </c>
      <c r="E37" s="586">
        <v>43089</v>
      </c>
      <c r="F37" s="585" t="s">
        <v>6</v>
      </c>
      <c r="G37" s="586">
        <v>43089</v>
      </c>
      <c r="H37" s="586" t="s">
        <v>3318</v>
      </c>
      <c r="I37" s="586">
        <v>43091</v>
      </c>
      <c r="J37" s="587">
        <v>300</v>
      </c>
      <c r="K37" s="590"/>
    </row>
    <row r="38" spans="1:11">
      <c r="A38" s="596">
        <v>37</v>
      </c>
      <c r="B38" s="585" t="s">
        <v>6</v>
      </c>
      <c r="C38" s="586">
        <v>43087</v>
      </c>
      <c r="D38" s="585" t="s">
        <v>6</v>
      </c>
      <c r="E38" s="586">
        <v>43090</v>
      </c>
      <c r="F38" s="585" t="s">
        <v>6</v>
      </c>
      <c r="G38" s="586">
        <v>43090</v>
      </c>
      <c r="H38" s="586" t="s">
        <v>3318</v>
      </c>
      <c r="I38" s="586">
        <v>43091</v>
      </c>
      <c r="J38" s="587">
        <v>430</v>
      </c>
      <c r="K38" s="590"/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43087</v>
      </c>
      <c r="F39" s="585" t="s">
        <v>3551</v>
      </c>
      <c r="G39" s="586">
        <v>43087</v>
      </c>
      <c r="H39" s="586" t="s">
        <v>3320</v>
      </c>
      <c r="I39" s="586">
        <v>43090</v>
      </c>
      <c r="J39" s="587">
        <v>1530</v>
      </c>
      <c r="K39" s="590"/>
    </row>
    <row r="40" spans="1:11">
      <c r="A40" s="596">
        <v>39</v>
      </c>
      <c r="B40" s="585" t="s">
        <v>3831</v>
      </c>
      <c r="C40" s="586">
        <v>42683</v>
      </c>
      <c r="D40" s="585" t="s">
        <v>6</v>
      </c>
      <c r="E40" s="586">
        <v>43091</v>
      </c>
      <c r="F40" s="585" t="s">
        <v>6</v>
      </c>
      <c r="G40" s="586">
        <v>43091</v>
      </c>
      <c r="H40" s="586" t="s">
        <v>3318</v>
      </c>
      <c r="I40" s="586">
        <v>43095</v>
      </c>
      <c r="J40" s="587">
        <v>460</v>
      </c>
      <c r="K40" s="590"/>
    </row>
    <row r="41" spans="1:11" ht="12.75" customHeight="1">
      <c r="A41" s="596">
        <v>40</v>
      </c>
      <c r="B41" s="622" t="s">
        <v>4341</v>
      </c>
      <c r="C41" s="586">
        <v>42307</v>
      </c>
      <c r="D41" s="585" t="s">
        <v>6</v>
      </c>
      <c r="E41" s="586">
        <v>43091</v>
      </c>
      <c r="F41" s="585" t="s">
        <v>6</v>
      </c>
      <c r="G41" s="586">
        <v>43091</v>
      </c>
      <c r="H41" s="586" t="s">
        <v>3318</v>
      </c>
      <c r="I41" s="586">
        <v>43095</v>
      </c>
      <c r="J41" s="587">
        <v>420</v>
      </c>
      <c r="K41" s="590"/>
    </row>
    <row r="42" spans="1:11">
      <c r="A42" s="596">
        <v>41</v>
      </c>
      <c r="B42" s="585" t="s">
        <v>3330</v>
      </c>
      <c r="C42" s="586">
        <v>42373</v>
      </c>
      <c r="D42" s="585" t="s">
        <v>6</v>
      </c>
      <c r="E42" s="586">
        <v>43088</v>
      </c>
      <c r="F42" s="585" t="s">
        <v>6</v>
      </c>
      <c r="G42" s="586">
        <v>43088</v>
      </c>
      <c r="H42" s="586" t="s">
        <v>3320</v>
      </c>
      <c r="I42" s="586">
        <v>43089</v>
      </c>
      <c r="J42" s="587">
        <v>970</v>
      </c>
      <c r="K42" s="590"/>
    </row>
    <row r="43" spans="1:11">
      <c r="A43" s="596">
        <v>42</v>
      </c>
      <c r="B43" s="626" t="s">
        <v>4342</v>
      </c>
      <c r="C43" s="586">
        <v>43032</v>
      </c>
      <c r="D43" s="585" t="s">
        <v>6</v>
      </c>
      <c r="E43" s="586">
        <v>43088</v>
      </c>
      <c r="F43" s="585" t="s">
        <v>6</v>
      </c>
      <c r="G43" s="586">
        <v>43088</v>
      </c>
      <c r="H43" s="586" t="s">
        <v>3320</v>
      </c>
      <c r="I43" s="586">
        <v>43089</v>
      </c>
      <c r="J43" s="587">
        <v>500</v>
      </c>
      <c r="K43" s="590"/>
    </row>
    <row r="44" spans="1:11">
      <c r="A44" s="596">
        <v>43</v>
      </c>
      <c r="B44" s="585" t="s">
        <v>6</v>
      </c>
      <c r="C44" s="586">
        <v>42389</v>
      </c>
      <c r="D44" s="585" t="s">
        <v>6</v>
      </c>
      <c r="E44" s="586">
        <v>43091</v>
      </c>
      <c r="F44" s="585" t="s">
        <v>3550</v>
      </c>
      <c r="G44" s="586">
        <v>43091</v>
      </c>
      <c r="H44" s="586" t="s">
        <v>3318</v>
      </c>
      <c r="I44" s="586">
        <v>43095</v>
      </c>
      <c r="J44" s="587">
        <v>850</v>
      </c>
      <c r="K44" s="590"/>
    </row>
    <row r="45" spans="1:11">
      <c r="A45" s="596">
        <v>44</v>
      </c>
      <c r="B45" s="607" t="s">
        <v>3826</v>
      </c>
      <c r="C45" s="586">
        <v>42587</v>
      </c>
      <c r="D45" s="585" t="s">
        <v>6</v>
      </c>
      <c r="E45" s="586">
        <v>43091</v>
      </c>
      <c r="F45" s="585" t="s">
        <v>6</v>
      </c>
      <c r="G45" s="586">
        <v>43091</v>
      </c>
      <c r="H45" s="586" t="s">
        <v>3318</v>
      </c>
      <c r="I45" s="586">
        <v>43095</v>
      </c>
      <c r="J45" s="587">
        <v>600</v>
      </c>
      <c r="K45" s="590"/>
    </row>
    <row r="46" spans="1:11">
      <c r="A46" s="596">
        <v>45</v>
      </c>
      <c r="B46" s="585" t="s">
        <v>3330</v>
      </c>
      <c r="C46" s="586">
        <v>42373</v>
      </c>
      <c r="D46" s="585" t="s">
        <v>6</v>
      </c>
      <c r="E46" s="586">
        <v>43089</v>
      </c>
      <c r="F46" s="585" t="s">
        <v>3547</v>
      </c>
      <c r="G46" s="586">
        <v>43089</v>
      </c>
      <c r="H46" s="586" t="s">
        <v>3320</v>
      </c>
      <c r="I46" s="586">
        <v>43090</v>
      </c>
      <c r="J46" s="587">
        <v>1530</v>
      </c>
      <c r="K46" s="590"/>
    </row>
    <row r="47" spans="1:11">
      <c r="A47" s="596">
        <v>46</v>
      </c>
      <c r="B47" s="585" t="s">
        <v>6</v>
      </c>
      <c r="C47" s="586">
        <v>42480</v>
      </c>
      <c r="D47" s="585" t="s">
        <v>6</v>
      </c>
      <c r="E47" s="586">
        <v>43091</v>
      </c>
      <c r="F47" s="586">
        <v>43091</v>
      </c>
      <c r="G47" s="586">
        <v>43091</v>
      </c>
      <c r="H47" s="586" t="s">
        <v>3318</v>
      </c>
      <c r="I47" s="586">
        <v>43095</v>
      </c>
      <c r="J47" s="587">
        <v>100</v>
      </c>
      <c r="K47" s="590"/>
    </row>
    <row r="48" spans="1:11">
      <c r="A48" s="596">
        <v>47</v>
      </c>
      <c r="B48" s="585" t="s">
        <v>6</v>
      </c>
      <c r="C48" s="586">
        <v>42795</v>
      </c>
      <c r="D48" s="585" t="s">
        <v>6</v>
      </c>
      <c r="E48" s="586">
        <v>43092</v>
      </c>
      <c r="F48" s="585" t="s">
        <v>6</v>
      </c>
      <c r="G48" s="586">
        <v>43092</v>
      </c>
      <c r="H48" s="586" t="s">
        <v>3318</v>
      </c>
      <c r="I48" s="586">
        <v>43095</v>
      </c>
      <c r="J48" s="587">
        <v>450</v>
      </c>
      <c r="K48" s="590"/>
    </row>
    <row r="49" spans="1:11">
      <c r="A49" s="596">
        <v>48</v>
      </c>
      <c r="B49" s="585" t="s">
        <v>3330</v>
      </c>
      <c r="C49" s="586">
        <v>42373</v>
      </c>
      <c r="D49" s="585" t="s">
        <v>6</v>
      </c>
      <c r="E49" s="586">
        <v>43093</v>
      </c>
      <c r="F49" s="585" t="s">
        <v>3547</v>
      </c>
      <c r="G49" s="586">
        <v>43093</v>
      </c>
      <c r="H49" s="586" t="s">
        <v>3320</v>
      </c>
      <c r="I49" s="586">
        <v>43096</v>
      </c>
      <c r="J49" s="587">
        <v>1530</v>
      </c>
      <c r="K49" s="590"/>
    </row>
    <row r="50" spans="1:11">
      <c r="A50" s="596">
        <v>49</v>
      </c>
      <c r="B50" s="585" t="s">
        <v>6</v>
      </c>
      <c r="C50" s="586">
        <v>42389</v>
      </c>
      <c r="D50" s="585" t="s">
        <v>6</v>
      </c>
      <c r="E50" s="586">
        <v>43097</v>
      </c>
      <c r="F50" s="585" t="s">
        <v>6</v>
      </c>
      <c r="G50" s="586">
        <v>43097</v>
      </c>
      <c r="H50" s="586" t="s">
        <v>3318</v>
      </c>
      <c r="I50" s="586">
        <v>43098</v>
      </c>
      <c r="J50" s="587">
        <v>1100</v>
      </c>
      <c r="K50" s="590"/>
    </row>
    <row r="51" spans="1:11">
      <c r="A51" s="596">
        <v>50</v>
      </c>
      <c r="B51" s="585" t="s">
        <v>6</v>
      </c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90"/>
    </row>
    <row r="52" spans="1:11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/>
      <c r="G79" s="586"/>
      <c r="H79" s="586"/>
      <c r="I79" s="586"/>
      <c r="J79" s="587"/>
      <c r="K79" s="590"/>
    </row>
  </sheetData>
  <conditionalFormatting sqref="E54">
    <cfRule type="timePeriod" dxfId="74" priority="26" timePeriod="lastMonth">
      <formula>AND(MONTH(E54)=MONTH(EDATE(TODAY(),0-1)),YEAR(E54)=YEAR(EDATE(TODAY(),0-1)))</formula>
    </cfRule>
  </conditionalFormatting>
  <conditionalFormatting sqref="G54">
    <cfRule type="timePeriod" dxfId="73" priority="25" timePeriod="lastMonth">
      <formula>AND(MONTH(G54)=MONTH(EDATE(TODAY(),0-1)),YEAR(G54)=YEAR(EDATE(TODAY(),0-1)))</formula>
    </cfRule>
  </conditionalFormatting>
  <conditionalFormatting sqref="C13">
    <cfRule type="timePeriod" dxfId="72" priority="24" timePeriod="lastMonth">
      <formula>AND(MONTH(C13)=MONTH(EDATE(TODAY(),0-1)),YEAR(C13)=YEAR(EDATE(TODAY(),0-1)))</formula>
    </cfRule>
  </conditionalFormatting>
  <conditionalFormatting sqref="C16">
    <cfRule type="timePeriod" dxfId="71" priority="23" timePeriod="lastMonth">
      <formula>AND(MONTH(C16)=MONTH(EDATE(TODAY(),0-1)),YEAR(C16)=YEAR(EDATE(TODAY(),0-1)))</formula>
    </cfRule>
  </conditionalFormatting>
  <conditionalFormatting sqref="C23">
    <cfRule type="timePeriod" dxfId="70" priority="21" timePeriod="lastMonth">
      <formula>AND(MONTH(C23)=MONTH(EDATE(TODAY(),0-1)),YEAR(C23)=YEAR(EDATE(TODAY(),0-1)))</formula>
    </cfRule>
  </conditionalFormatting>
  <conditionalFormatting sqref="C37">
    <cfRule type="timePeriod" dxfId="69" priority="17" timePeriod="lastMonth">
      <formula>AND(MONTH(C37)=MONTH(EDATE(TODAY(),0-1)),YEAR(C37)=YEAR(EDATE(TODAY(),0-1)))</formula>
    </cfRule>
  </conditionalFormatting>
  <conditionalFormatting sqref="C41">
    <cfRule type="timePeriod" dxfId="68" priority="16" timePeriod="lastMonth">
      <formula>AND(MONTH(C41)=MONTH(EDATE(TODAY(),0-1)),YEAR(C41)=YEAR(EDATE(TODAY(),0-1)))</formula>
    </cfRule>
  </conditionalFormatting>
  <conditionalFormatting sqref="C5">
    <cfRule type="timePeriod" dxfId="67" priority="12" timePeriod="lastMonth">
      <formula>AND(MONTH(C5)=MONTH(EDATE(TODAY(),0-1)),YEAR(C5)=YEAR(EDATE(TODAY(),0-1)))</formula>
    </cfRule>
  </conditionalFormatting>
  <conditionalFormatting sqref="C10">
    <cfRule type="timePeriod" dxfId="66" priority="11" timePeriod="lastMonth">
      <formula>AND(MONTH(C10)=MONTH(EDATE(TODAY(),0-1)),YEAR(C10)=YEAR(EDATE(TODAY(),0-1)))</formula>
    </cfRule>
  </conditionalFormatting>
  <conditionalFormatting sqref="C14">
    <cfRule type="timePeriod" dxfId="65" priority="10" timePeriod="lastMonth">
      <formula>AND(MONTH(C14)=MONTH(EDATE(TODAY(),0-1)),YEAR(C14)=YEAR(EDATE(TODAY(),0-1)))</formula>
    </cfRule>
  </conditionalFormatting>
  <conditionalFormatting sqref="C17">
    <cfRule type="timePeriod" dxfId="64" priority="9" timePeriod="lastMonth">
      <formula>AND(MONTH(C17)=MONTH(EDATE(TODAY(),0-1)),YEAR(C17)=YEAR(EDATE(TODAY(),0-1)))</formula>
    </cfRule>
  </conditionalFormatting>
  <conditionalFormatting sqref="C24">
    <cfRule type="timePeriod" dxfId="63" priority="8" timePeriod="lastMonth">
      <formula>AND(MONTH(C24)=MONTH(EDATE(TODAY(),0-1)),YEAR(C24)=YEAR(EDATE(TODAY(),0-1)))</formula>
    </cfRule>
  </conditionalFormatting>
  <conditionalFormatting sqref="C28">
    <cfRule type="timePeriod" dxfId="62" priority="7" timePeriod="lastMonth">
      <formula>AND(MONTH(C28)=MONTH(EDATE(TODAY(),0-1)),YEAR(C28)=YEAR(EDATE(TODAY(),0-1)))</formula>
    </cfRule>
  </conditionalFormatting>
  <conditionalFormatting sqref="C30">
    <cfRule type="timePeriod" dxfId="61" priority="6" timePeriod="lastMonth">
      <formula>AND(MONTH(C30)=MONTH(EDATE(TODAY(),0-1)),YEAR(C30)=YEAR(EDATE(TODAY(),0-1)))</formula>
    </cfRule>
  </conditionalFormatting>
  <conditionalFormatting sqref="C34">
    <cfRule type="timePeriod" dxfId="60" priority="5" timePeriod="lastMonth">
      <formula>AND(MONTH(C34)=MONTH(EDATE(TODAY(),0-1)),YEAR(C34)=YEAR(EDATE(TODAY(),0-1)))</formula>
    </cfRule>
  </conditionalFormatting>
  <conditionalFormatting sqref="C39">
    <cfRule type="timePeriod" dxfId="59" priority="4" timePeriod="lastMonth">
      <formula>AND(MONTH(C39)=MONTH(EDATE(TODAY(),0-1)),YEAR(C39)=YEAR(EDATE(TODAY(),0-1)))</formula>
    </cfRule>
  </conditionalFormatting>
  <conditionalFormatting sqref="C42">
    <cfRule type="timePeriod" dxfId="58" priority="3" timePeriod="lastMonth">
      <formula>AND(MONTH(C42)=MONTH(EDATE(TODAY(),0-1)),YEAR(C42)=YEAR(EDATE(TODAY(),0-1)))</formula>
    </cfRule>
  </conditionalFormatting>
  <conditionalFormatting sqref="C46">
    <cfRule type="timePeriod" dxfId="57" priority="2" timePeriod="lastMonth">
      <formula>AND(MONTH(C46)=MONTH(EDATE(TODAY(),0-1)),YEAR(C46)=YEAR(EDATE(TODAY(),0-1)))</formula>
    </cfRule>
  </conditionalFormatting>
  <conditionalFormatting sqref="C49">
    <cfRule type="timePeriod" dxfId="56" priority="1" timePeriod="lastMonth">
      <formula>AND(MONTH(C49)=MONTH(EDATE(TODAY(),0-1)),YEAR(C49)=YEAR(EDATE(TODAY(),0-1)))</formula>
    </cfRule>
  </conditionalFormatting>
  <pageMargins left="0.7" right="0.7" top="0.75" bottom="0.75" header="0.3" footer="0.3"/>
  <pageSetup paperSize="9" fitToHeight="0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5"/>
  <sheetViews>
    <sheetView topLeftCell="A75" zoomScaleNormal="100" workbookViewId="0">
      <selection sqref="A1:I100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78" t="s">
        <v>4323</v>
      </c>
      <c r="B2" s="678"/>
      <c r="C2" s="678"/>
      <c r="D2" s="678"/>
      <c r="E2" s="678"/>
      <c r="F2" s="678"/>
      <c r="G2" s="678"/>
      <c r="H2" s="620"/>
      <c r="I2" s="641"/>
    </row>
    <row r="3" spans="1:9">
      <c r="A3" s="679">
        <v>1</v>
      </c>
      <c r="B3" s="658" t="s">
        <v>3478</v>
      </c>
      <c r="C3" s="658" t="s">
        <v>2722</v>
      </c>
      <c r="D3" s="658" t="s">
        <v>2723</v>
      </c>
      <c r="E3" s="657">
        <v>650</v>
      </c>
      <c r="F3" s="657">
        <f t="shared" ref="F3" si="0">E3</f>
        <v>650</v>
      </c>
      <c r="G3" s="681"/>
      <c r="H3" s="620"/>
      <c r="I3" s="640">
        <f>SUM(F3:F100)</f>
        <v>33044</v>
      </c>
    </row>
    <row r="4" spans="1:9">
      <c r="A4" s="680"/>
      <c r="B4" s="658"/>
      <c r="C4" s="658"/>
      <c r="D4" s="658"/>
      <c r="E4" s="657"/>
      <c r="F4" s="657"/>
      <c r="G4" s="681"/>
      <c r="H4" s="620"/>
    </row>
    <row r="5" spans="1:9">
      <c r="A5" s="679">
        <v>2</v>
      </c>
      <c r="B5" s="658" t="s">
        <v>3479</v>
      </c>
      <c r="C5" s="658" t="s">
        <v>2722</v>
      </c>
      <c r="D5" s="658" t="s">
        <v>3025</v>
      </c>
      <c r="E5" s="657">
        <v>101</v>
      </c>
      <c r="F5" s="657">
        <f t="shared" ref="F5" si="1">E5</f>
        <v>101</v>
      </c>
      <c r="G5" s="681"/>
      <c r="H5" s="13"/>
      <c r="I5" s="5"/>
    </row>
    <row r="6" spans="1:9">
      <c r="A6" s="680"/>
      <c r="B6" s="658"/>
      <c r="C6" s="658"/>
      <c r="D6" s="658"/>
      <c r="E6" s="657"/>
      <c r="F6" s="657"/>
      <c r="G6" s="681"/>
      <c r="H6" s="13"/>
    </row>
    <row r="7" spans="1:9">
      <c r="A7" s="679">
        <v>3</v>
      </c>
      <c r="B7" s="658" t="s">
        <v>4265</v>
      </c>
      <c r="C7" s="658" t="s">
        <v>4264</v>
      </c>
      <c r="D7" s="658" t="s">
        <v>239</v>
      </c>
      <c r="E7" s="657">
        <v>1530</v>
      </c>
      <c r="F7" s="657">
        <f t="shared" ref="F7" si="2">E7</f>
        <v>1530</v>
      </c>
      <c r="G7" s="681"/>
      <c r="H7" s="13"/>
    </row>
    <row r="8" spans="1:9">
      <c r="A8" s="680"/>
      <c r="B8" s="658"/>
      <c r="C8" s="658"/>
      <c r="D8" s="658"/>
      <c r="E8" s="657"/>
      <c r="F8" s="657"/>
      <c r="G8" s="681"/>
      <c r="H8" s="13"/>
    </row>
    <row r="9" spans="1:9">
      <c r="A9" s="679">
        <v>4</v>
      </c>
      <c r="B9" s="658" t="s">
        <v>3481</v>
      </c>
      <c r="C9" s="658" t="s">
        <v>4262</v>
      </c>
      <c r="D9" s="658" t="s">
        <v>2780</v>
      </c>
      <c r="E9" s="657">
        <v>330</v>
      </c>
      <c r="F9" s="657">
        <f t="shared" ref="F9" si="3">E9</f>
        <v>330</v>
      </c>
      <c r="G9" s="681"/>
      <c r="H9" s="13"/>
    </row>
    <row r="10" spans="1:9">
      <c r="A10" s="680"/>
      <c r="B10" s="658"/>
      <c r="C10" s="658"/>
      <c r="D10" s="658"/>
      <c r="E10" s="657"/>
      <c r="F10" s="657"/>
      <c r="G10" s="681"/>
      <c r="H10" s="13"/>
    </row>
    <row r="11" spans="1:9">
      <c r="A11" s="679">
        <v>5</v>
      </c>
      <c r="B11" s="658" t="s">
        <v>3482</v>
      </c>
      <c r="C11" s="658" t="s">
        <v>4262</v>
      </c>
      <c r="D11" s="658" t="s">
        <v>1503</v>
      </c>
      <c r="E11" s="657">
        <v>550</v>
      </c>
      <c r="F11" s="657">
        <f t="shared" ref="F11" si="4">E11</f>
        <v>550</v>
      </c>
      <c r="G11" s="681"/>
      <c r="H11" s="13"/>
    </row>
    <row r="12" spans="1:9">
      <c r="A12" s="680"/>
      <c r="B12" s="658"/>
      <c r="C12" s="658"/>
      <c r="D12" s="658"/>
      <c r="E12" s="657"/>
      <c r="F12" s="657"/>
      <c r="G12" s="681"/>
      <c r="H12" s="13"/>
    </row>
    <row r="13" spans="1:9">
      <c r="A13" s="679">
        <v>6</v>
      </c>
      <c r="B13" s="658" t="s">
        <v>3491</v>
      </c>
      <c r="C13" s="658" t="s">
        <v>4263</v>
      </c>
      <c r="D13" s="658" t="s">
        <v>4261</v>
      </c>
      <c r="E13" s="657">
        <v>290</v>
      </c>
      <c r="F13" s="657">
        <f t="shared" ref="F13" si="5">E13</f>
        <v>290</v>
      </c>
      <c r="G13" s="681"/>
      <c r="H13" s="13"/>
    </row>
    <row r="14" spans="1:9">
      <c r="A14" s="680"/>
      <c r="B14" s="658"/>
      <c r="C14" s="658"/>
      <c r="D14" s="658"/>
      <c r="E14" s="657"/>
      <c r="F14" s="657"/>
      <c r="G14" s="681"/>
      <c r="H14" s="13"/>
    </row>
    <row r="15" spans="1:9">
      <c r="A15" s="679">
        <v>7</v>
      </c>
      <c r="B15" s="658" t="s">
        <v>3492</v>
      </c>
      <c r="C15" s="658" t="s">
        <v>4264</v>
      </c>
      <c r="D15" s="658" t="s">
        <v>4213</v>
      </c>
      <c r="E15" s="657">
        <v>100</v>
      </c>
      <c r="F15" s="657">
        <f t="shared" ref="F15" si="6">E15</f>
        <v>100</v>
      </c>
      <c r="G15" s="681"/>
      <c r="H15" s="13"/>
    </row>
    <row r="16" spans="1:9">
      <c r="A16" s="680"/>
      <c r="B16" s="658"/>
      <c r="C16" s="658"/>
      <c r="D16" s="658"/>
      <c r="E16" s="657"/>
      <c r="F16" s="657"/>
      <c r="G16" s="681"/>
      <c r="H16" s="13"/>
    </row>
    <row r="17" spans="1:15">
      <c r="A17" s="679">
        <v>8</v>
      </c>
      <c r="B17" s="658" t="s">
        <v>4267</v>
      </c>
      <c r="C17" s="658" t="s">
        <v>4266</v>
      </c>
      <c r="D17" s="658" t="s">
        <v>239</v>
      </c>
      <c r="E17" s="657">
        <v>42692</v>
      </c>
      <c r="F17" s="657">
        <v>1470</v>
      </c>
      <c r="G17" s="681">
        <v>3.4432999999999998</v>
      </c>
      <c r="H17" s="13"/>
    </row>
    <row r="18" spans="1:15">
      <c r="A18" s="680"/>
      <c r="B18" s="658"/>
      <c r="C18" s="658"/>
      <c r="D18" s="658"/>
      <c r="E18" s="657"/>
      <c r="F18" s="657"/>
      <c r="G18" s="681"/>
      <c r="H18" s="13"/>
    </row>
    <row r="19" spans="1:15">
      <c r="A19" s="679">
        <v>9</v>
      </c>
      <c r="B19" s="658" t="s">
        <v>3493</v>
      </c>
      <c r="C19" s="658" t="s">
        <v>4324</v>
      </c>
      <c r="D19" s="658" t="s">
        <v>3769</v>
      </c>
      <c r="E19" s="657">
        <v>400</v>
      </c>
      <c r="F19" s="657">
        <f t="shared" ref="F19" si="7">E19</f>
        <v>400</v>
      </c>
      <c r="G19" s="681"/>
      <c r="H19" s="13"/>
    </row>
    <row r="20" spans="1:15">
      <c r="A20" s="680"/>
      <c r="B20" s="658"/>
      <c r="C20" s="658"/>
      <c r="D20" s="658"/>
      <c r="E20" s="657"/>
      <c r="F20" s="657"/>
      <c r="G20" s="681"/>
      <c r="H20" s="13"/>
    </row>
    <row r="21" spans="1:15">
      <c r="A21" s="679">
        <v>10</v>
      </c>
      <c r="B21" s="658" t="s">
        <v>3494</v>
      </c>
      <c r="C21" s="658" t="s">
        <v>2750</v>
      </c>
      <c r="D21" s="658" t="s">
        <v>2723</v>
      </c>
      <c r="E21" s="657">
        <v>550</v>
      </c>
      <c r="F21" s="657">
        <f t="shared" ref="F21" si="8">E21</f>
        <v>550</v>
      </c>
      <c r="G21" s="681"/>
      <c r="H21" s="13"/>
    </row>
    <row r="22" spans="1:15">
      <c r="A22" s="680"/>
      <c r="B22" s="658"/>
      <c r="C22" s="658"/>
      <c r="D22" s="658"/>
      <c r="E22" s="657"/>
      <c r="F22" s="657"/>
      <c r="G22" s="681"/>
      <c r="H22" s="13"/>
    </row>
    <row r="23" spans="1:15">
      <c r="A23" s="679">
        <v>11</v>
      </c>
      <c r="B23" s="658" t="s">
        <v>3495</v>
      </c>
      <c r="C23" s="658" t="s">
        <v>2750</v>
      </c>
      <c r="D23" s="658" t="s">
        <v>4269</v>
      </c>
      <c r="E23" s="657">
        <v>330</v>
      </c>
      <c r="F23" s="657">
        <f t="shared" ref="F23" si="9">E23</f>
        <v>330</v>
      </c>
      <c r="G23" s="681"/>
      <c r="H23" s="13"/>
    </row>
    <row r="24" spans="1:15">
      <c r="A24" s="680"/>
      <c r="B24" s="658"/>
      <c r="C24" s="658"/>
      <c r="D24" s="658"/>
      <c r="E24" s="657"/>
      <c r="F24" s="657"/>
      <c r="G24" s="681"/>
      <c r="H24" s="13"/>
    </row>
    <row r="25" spans="1:15">
      <c r="A25" s="679">
        <v>12</v>
      </c>
      <c r="B25" s="658" t="s">
        <v>4268</v>
      </c>
      <c r="C25" s="658" t="s">
        <v>4266</v>
      </c>
      <c r="D25" s="658" t="s">
        <v>239</v>
      </c>
      <c r="E25" s="657">
        <v>1470</v>
      </c>
      <c r="F25" s="657">
        <f t="shared" ref="F25" si="10">E25</f>
        <v>1470</v>
      </c>
      <c r="G25" s="681"/>
      <c r="H25" s="13"/>
    </row>
    <row r="26" spans="1:15">
      <c r="A26" s="680"/>
      <c r="B26" s="658"/>
      <c r="C26" s="658"/>
      <c r="D26" s="658"/>
      <c r="E26" s="657"/>
      <c r="F26" s="657"/>
      <c r="G26" s="681"/>
      <c r="H26" s="13"/>
    </row>
    <row r="27" spans="1:15">
      <c r="A27" s="679">
        <v>13</v>
      </c>
      <c r="B27" s="658" t="s">
        <v>3496</v>
      </c>
      <c r="C27" s="658" t="s">
        <v>2750</v>
      </c>
      <c r="D27" s="658" t="s">
        <v>2764</v>
      </c>
      <c r="E27" s="657">
        <v>130</v>
      </c>
      <c r="F27" s="657">
        <f t="shared" ref="F27" si="11">E27</f>
        <v>130</v>
      </c>
      <c r="G27" s="681"/>
      <c r="H27" s="13"/>
    </row>
    <row r="28" spans="1:15">
      <c r="A28" s="680"/>
      <c r="B28" s="658"/>
      <c r="C28" s="658"/>
      <c r="D28" s="658"/>
      <c r="E28" s="657"/>
      <c r="F28" s="657"/>
      <c r="G28" s="681"/>
      <c r="H28" s="13"/>
    </row>
    <row r="29" spans="1:15">
      <c r="A29" s="679">
        <v>14</v>
      </c>
      <c r="B29" s="658" t="s">
        <v>3497</v>
      </c>
      <c r="C29" s="658" t="s">
        <v>2750</v>
      </c>
      <c r="D29" s="658" t="s">
        <v>3025</v>
      </c>
      <c r="E29" s="657">
        <v>102</v>
      </c>
      <c r="F29" s="657">
        <f t="shared" ref="F29" si="12">E29</f>
        <v>102</v>
      </c>
      <c r="G29" s="681"/>
      <c r="H29" s="13"/>
    </row>
    <row r="30" spans="1:15">
      <c r="A30" s="680"/>
      <c r="B30" s="658"/>
      <c r="C30" s="658"/>
      <c r="D30" s="658"/>
      <c r="E30" s="657"/>
      <c r="F30" s="657"/>
      <c r="G30" s="681"/>
      <c r="H30" s="13"/>
    </row>
    <row r="31" spans="1:15">
      <c r="A31" s="679">
        <v>15</v>
      </c>
      <c r="B31" s="658" t="s">
        <v>4288</v>
      </c>
      <c r="C31" s="658" t="s">
        <v>2750</v>
      </c>
      <c r="D31" s="658" t="s">
        <v>239</v>
      </c>
      <c r="E31" s="657">
        <v>1470</v>
      </c>
      <c r="F31" s="657">
        <v>1470</v>
      </c>
      <c r="G31" s="681"/>
      <c r="H31" s="13"/>
    </row>
    <row r="32" spans="1:15">
      <c r="A32" s="680"/>
      <c r="B32" s="658"/>
      <c r="C32" s="658"/>
      <c r="D32" s="658"/>
      <c r="E32" s="657"/>
      <c r="F32" s="657"/>
      <c r="G32" s="681"/>
      <c r="H32" s="13"/>
      <c r="M32" s="628"/>
      <c r="O32" s="628"/>
    </row>
    <row r="33" spans="1:18" ht="15.75">
      <c r="A33" s="679">
        <v>16</v>
      </c>
      <c r="B33" s="658" t="s">
        <v>3498</v>
      </c>
      <c r="C33" s="658" t="s">
        <v>4283</v>
      </c>
      <c r="D33" s="658" t="s">
        <v>2723</v>
      </c>
      <c r="E33" s="657">
        <v>260</v>
      </c>
      <c r="F33" s="657">
        <f t="shared" ref="F33" si="13">E33</f>
        <v>260</v>
      </c>
      <c r="G33" s="681"/>
      <c r="H33" s="13"/>
      <c r="M33" s="629"/>
      <c r="O33" s="628"/>
    </row>
    <row r="34" spans="1:18">
      <c r="A34" s="680"/>
      <c r="B34" s="658"/>
      <c r="C34" s="658"/>
      <c r="D34" s="658"/>
      <c r="E34" s="657"/>
      <c r="F34" s="657"/>
      <c r="G34" s="681"/>
      <c r="H34" s="13"/>
      <c r="N34" s="630"/>
    </row>
    <row r="35" spans="1:18" ht="15.75">
      <c r="A35" s="679">
        <v>17</v>
      </c>
      <c r="B35" s="658" t="s">
        <v>3499</v>
      </c>
      <c r="C35" s="658" t="s">
        <v>4283</v>
      </c>
      <c r="D35" s="658" t="s">
        <v>1661</v>
      </c>
      <c r="E35" s="657">
        <v>370</v>
      </c>
      <c r="F35" s="657">
        <f t="shared" ref="F35" si="14">E35</f>
        <v>370</v>
      </c>
      <c r="G35" s="681"/>
      <c r="H35" s="13"/>
      <c r="N35" s="606"/>
      <c r="R35" s="637" t="s">
        <v>4104</v>
      </c>
    </row>
    <row r="36" spans="1:18">
      <c r="A36" s="680"/>
      <c r="B36" s="658"/>
      <c r="C36" s="658"/>
      <c r="D36" s="658"/>
      <c r="E36" s="657"/>
      <c r="F36" s="657"/>
      <c r="G36" s="681"/>
      <c r="H36" s="13"/>
    </row>
    <row r="37" spans="1:18">
      <c r="A37" s="679">
        <v>18</v>
      </c>
      <c r="B37" s="658" t="s">
        <v>3517</v>
      </c>
      <c r="C37" s="658" t="s">
        <v>4283</v>
      </c>
      <c r="D37" s="658" t="s">
        <v>2780</v>
      </c>
      <c r="E37" s="657">
        <v>240</v>
      </c>
      <c r="F37" s="657">
        <f t="shared" ref="F37" si="15">E37</f>
        <v>240</v>
      </c>
      <c r="G37" s="681"/>
      <c r="H37" s="13"/>
    </row>
    <row r="38" spans="1:18">
      <c r="A38" s="680"/>
      <c r="B38" s="658"/>
      <c r="C38" s="658"/>
      <c r="D38" s="658"/>
      <c r="E38" s="657"/>
      <c r="F38" s="657"/>
      <c r="G38" s="681"/>
      <c r="H38" s="13"/>
    </row>
    <row r="39" spans="1:18">
      <c r="A39" s="679">
        <v>19</v>
      </c>
      <c r="B39" s="658" t="s">
        <v>3518</v>
      </c>
      <c r="C39" s="658" t="s">
        <v>4283</v>
      </c>
      <c r="D39" s="658" t="s">
        <v>4181</v>
      </c>
      <c r="E39" s="657">
        <v>350</v>
      </c>
      <c r="F39" s="657">
        <f t="shared" ref="F39" si="16">E39</f>
        <v>350</v>
      </c>
      <c r="G39" s="681"/>
      <c r="H39" s="13"/>
    </row>
    <row r="40" spans="1:18">
      <c r="A40" s="680"/>
      <c r="B40" s="658"/>
      <c r="C40" s="658"/>
      <c r="D40" s="658"/>
      <c r="E40" s="657"/>
      <c r="F40" s="657"/>
      <c r="G40" s="681"/>
      <c r="H40" s="13"/>
    </row>
    <row r="41" spans="1:18">
      <c r="A41" s="679">
        <v>20</v>
      </c>
      <c r="B41" s="658" t="s">
        <v>3519</v>
      </c>
      <c r="C41" s="658" t="s">
        <v>4283</v>
      </c>
      <c r="D41" s="658" t="s">
        <v>2348</v>
      </c>
      <c r="E41" s="657">
        <v>50</v>
      </c>
      <c r="F41" s="657">
        <f t="shared" ref="F41" si="17">E41</f>
        <v>50</v>
      </c>
      <c r="G41" s="681"/>
      <c r="H41" s="13"/>
    </row>
    <row r="42" spans="1:18">
      <c r="A42" s="680"/>
      <c r="B42" s="658"/>
      <c r="C42" s="658"/>
      <c r="D42" s="658"/>
      <c r="E42" s="657"/>
      <c r="F42" s="657"/>
      <c r="G42" s="681"/>
      <c r="H42" s="13"/>
    </row>
    <row r="43" spans="1:18">
      <c r="A43" s="679">
        <v>21</v>
      </c>
      <c r="B43" s="658" t="s">
        <v>3532</v>
      </c>
      <c r="C43" s="658" t="s">
        <v>4283</v>
      </c>
      <c r="D43" s="658" t="s">
        <v>4120</v>
      </c>
      <c r="E43" s="657">
        <v>30</v>
      </c>
      <c r="F43" s="657">
        <f t="shared" ref="F43" si="18">E43</f>
        <v>30</v>
      </c>
      <c r="G43" s="681"/>
      <c r="H43" s="13"/>
      <c r="I43" s="628"/>
    </row>
    <row r="44" spans="1:18" ht="15.75">
      <c r="A44" s="680"/>
      <c r="B44" s="658"/>
      <c r="C44" s="658"/>
      <c r="D44" s="658"/>
      <c r="E44" s="657"/>
      <c r="F44" s="657"/>
      <c r="G44" s="681"/>
      <c r="H44" s="13"/>
      <c r="I44" s="606"/>
    </row>
    <row r="45" spans="1:18">
      <c r="A45" s="679">
        <v>22</v>
      </c>
      <c r="B45" s="658" t="s">
        <v>4290</v>
      </c>
      <c r="C45" s="658" t="s">
        <v>4289</v>
      </c>
      <c r="D45" s="658" t="s">
        <v>239</v>
      </c>
      <c r="E45" s="657">
        <v>1470</v>
      </c>
      <c r="F45" s="657">
        <f t="shared" ref="F45" si="19">E45</f>
        <v>1470</v>
      </c>
      <c r="G45" s="681"/>
      <c r="H45" s="13"/>
    </row>
    <row r="46" spans="1:18">
      <c r="A46" s="680"/>
      <c r="B46" s="658"/>
      <c r="C46" s="658"/>
      <c r="D46" s="658"/>
      <c r="E46" s="657"/>
      <c r="F46" s="657"/>
      <c r="G46" s="681"/>
      <c r="H46" s="13"/>
    </row>
    <row r="47" spans="1:18">
      <c r="A47" s="679">
        <v>23</v>
      </c>
      <c r="B47" s="658" t="s">
        <v>3530</v>
      </c>
      <c r="C47" s="658" t="s">
        <v>4273</v>
      </c>
      <c r="D47" s="658" t="s">
        <v>1727</v>
      </c>
      <c r="E47" s="657">
        <v>850</v>
      </c>
      <c r="F47" s="657">
        <f t="shared" ref="F47" si="20">E47</f>
        <v>850</v>
      </c>
      <c r="G47" s="681"/>
      <c r="H47" s="13"/>
    </row>
    <row r="48" spans="1:18">
      <c r="A48" s="680"/>
      <c r="B48" s="658"/>
      <c r="C48" s="658"/>
      <c r="D48" s="658"/>
      <c r="E48" s="657"/>
      <c r="F48" s="657"/>
      <c r="G48" s="681"/>
      <c r="H48" s="13"/>
    </row>
    <row r="49" spans="1:14">
      <c r="A49" s="679">
        <v>24</v>
      </c>
      <c r="B49" s="658" t="s">
        <v>3531</v>
      </c>
      <c r="C49" s="658" t="s">
        <v>4273</v>
      </c>
      <c r="D49" s="658" t="s">
        <v>3025</v>
      </c>
      <c r="E49" s="657">
        <v>101</v>
      </c>
      <c r="F49" s="657">
        <f t="shared" ref="F49" si="21">E49</f>
        <v>101</v>
      </c>
      <c r="G49" s="681"/>
      <c r="H49" s="13"/>
    </row>
    <row r="50" spans="1:14">
      <c r="A50" s="680"/>
      <c r="B50" s="658"/>
      <c r="C50" s="658"/>
      <c r="D50" s="658"/>
      <c r="E50" s="657"/>
      <c r="F50" s="657"/>
      <c r="G50" s="681"/>
      <c r="H50" s="13"/>
    </row>
    <row r="51" spans="1:14" ht="15.75">
      <c r="A51" s="679">
        <v>25</v>
      </c>
      <c r="B51" s="658" t="s">
        <v>4286</v>
      </c>
      <c r="C51" s="658" t="s">
        <v>4273</v>
      </c>
      <c r="D51" s="658" t="s">
        <v>3990</v>
      </c>
      <c r="E51" s="657">
        <v>200</v>
      </c>
      <c r="F51" s="657">
        <f t="shared" ref="F51" si="22">E51</f>
        <v>200</v>
      </c>
      <c r="G51" s="681"/>
      <c r="H51" s="13"/>
      <c r="I51" s="631"/>
    </row>
    <row r="52" spans="1:14" ht="15.75">
      <c r="A52" s="680"/>
      <c r="B52" s="658"/>
      <c r="C52" s="658"/>
      <c r="D52" s="658"/>
      <c r="E52" s="657"/>
      <c r="F52" s="657"/>
      <c r="G52" s="681"/>
      <c r="H52" s="13"/>
      <c r="I52" s="606"/>
    </row>
    <row r="53" spans="1:14">
      <c r="A53" s="679">
        <v>26</v>
      </c>
      <c r="B53" s="658" t="s">
        <v>4291</v>
      </c>
      <c r="C53" s="658" t="s">
        <v>4289</v>
      </c>
      <c r="D53" s="658" t="s">
        <v>239</v>
      </c>
      <c r="E53" s="657">
        <v>44347</v>
      </c>
      <c r="F53" s="657">
        <v>1530</v>
      </c>
      <c r="G53" s="681">
        <v>3.4500999999999999</v>
      </c>
      <c r="H53" s="13"/>
    </row>
    <row r="54" spans="1:14">
      <c r="A54" s="680"/>
      <c r="B54" s="658"/>
      <c r="C54" s="658"/>
      <c r="D54" s="658"/>
      <c r="E54" s="657"/>
      <c r="F54" s="657"/>
      <c r="G54" s="681"/>
      <c r="H54" s="13"/>
    </row>
    <row r="55" spans="1:14" ht="15.75">
      <c r="A55" s="679">
        <v>27</v>
      </c>
      <c r="B55" s="658" t="s">
        <v>4284</v>
      </c>
      <c r="C55" s="658" t="s">
        <v>4273</v>
      </c>
      <c r="D55" s="658" t="s">
        <v>3990</v>
      </c>
      <c r="E55" s="657">
        <v>1350</v>
      </c>
      <c r="F55" s="657">
        <f t="shared" ref="F55" si="23">E55</f>
        <v>1350</v>
      </c>
      <c r="G55" s="681"/>
      <c r="H55" s="13"/>
      <c r="I55" s="632"/>
    </row>
    <row r="56" spans="1:14" ht="15.75">
      <c r="A56" s="680"/>
      <c r="B56" s="658"/>
      <c r="C56" s="658"/>
      <c r="D56" s="658"/>
      <c r="E56" s="657"/>
      <c r="F56" s="657"/>
      <c r="G56" s="681"/>
      <c r="H56" s="13"/>
      <c r="I56" s="632"/>
      <c r="N56" s="606"/>
    </row>
    <row r="57" spans="1:14" ht="15.75">
      <c r="A57" s="679">
        <v>28</v>
      </c>
      <c r="B57" s="658" t="s">
        <v>4293</v>
      </c>
      <c r="C57" s="658" t="s">
        <v>4292</v>
      </c>
      <c r="D57" s="658" t="s">
        <v>239</v>
      </c>
      <c r="E57" s="657">
        <v>44395</v>
      </c>
      <c r="F57" s="657">
        <v>1530</v>
      </c>
      <c r="G57" s="681">
        <v>3.4462999999999999</v>
      </c>
      <c r="H57" s="13"/>
      <c r="I57" s="632"/>
    </row>
    <row r="58" spans="1:14" ht="15.75">
      <c r="A58" s="680"/>
      <c r="B58" s="658"/>
      <c r="C58" s="658"/>
      <c r="D58" s="658"/>
      <c r="E58" s="657"/>
      <c r="F58" s="657"/>
      <c r="G58" s="681"/>
      <c r="H58" s="13"/>
      <c r="I58" s="632"/>
      <c r="L58" s="629"/>
    </row>
    <row r="59" spans="1:14">
      <c r="A59" s="679">
        <v>29</v>
      </c>
      <c r="B59" s="658" t="s">
        <v>3657</v>
      </c>
      <c r="C59" s="658" t="s">
        <v>4273</v>
      </c>
      <c r="D59" s="658" t="s">
        <v>1661</v>
      </c>
      <c r="E59" s="657">
        <v>550</v>
      </c>
      <c r="F59" s="657">
        <f t="shared" ref="F59" si="24">E59</f>
        <v>550</v>
      </c>
      <c r="G59" s="681"/>
      <c r="H59" s="13"/>
    </row>
    <row r="60" spans="1:14">
      <c r="A60" s="680"/>
      <c r="B60" s="658"/>
      <c r="C60" s="658"/>
      <c r="D60" s="658"/>
      <c r="E60" s="657"/>
      <c r="F60" s="657"/>
      <c r="G60" s="681"/>
      <c r="H60" s="13"/>
    </row>
    <row r="61" spans="1:14">
      <c r="A61" s="679">
        <v>30</v>
      </c>
      <c r="B61" s="658" t="s">
        <v>4285</v>
      </c>
      <c r="C61" s="658" t="s">
        <v>4273</v>
      </c>
      <c r="D61" s="658" t="s">
        <v>1661</v>
      </c>
      <c r="E61" s="657">
        <v>480</v>
      </c>
      <c r="F61" s="657">
        <f t="shared" ref="F61" si="25">E61</f>
        <v>480</v>
      </c>
      <c r="G61" s="681"/>
      <c r="H61" s="13"/>
    </row>
    <row r="62" spans="1:14">
      <c r="A62" s="680"/>
      <c r="B62" s="658"/>
      <c r="C62" s="658"/>
      <c r="D62" s="658"/>
      <c r="E62" s="657"/>
      <c r="F62" s="657"/>
      <c r="G62" s="681"/>
      <c r="H62" s="13"/>
    </row>
    <row r="63" spans="1:14">
      <c r="A63" s="679">
        <v>31</v>
      </c>
      <c r="B63" s="658" t="s">
        <v>4287</v>
      </c>
      <c r="C63" s="658" t="s">
        <v>4273</v>
      </c>
      <c r="D63" s="658" t="s">
        <v>4182</v>
      </c>
      <c r="E63" s="657">
        <v>400</v>
      </c>
      <c r="F63" s="657">
        <f t="shared" ref="F63" si="26">E63</f>
        <v>400</v>
      </c>
      <c r="G63" s="681"/>
      <c r="H63" s="13"/>
    </row>
    <row r="64" spans="1:14">
      <c r="A64" s="680"/>
      <c r="B64" s="658"/>
      <c r="C64" s="658"/>
      <c r="D64" s="658"/>
      <c r="E64" s="657"/>
      <c r="F64" s="657"/>
      <c r="G64" s="681"/>
      <c r="H64" s="13"/>
    </row>
    <row r="65" spans="1:11" ht="15.75">
      <c r="A65" s="679">
        <v>32</v>
      </c>
      <c r="B65" s="658" t="s">
        <v>4314</v>
      </c>
      <c r="C65" s="658" t="s">
        <v>4315</v>
      </c>
      <c r="D65" s="658" t="s">
        <v>239</v>
      </c>
      <c r="E65" s="657">
        <v>1590</v>
      </c>
      <c r="F65" s="657">
        <f t="shared" ref="F65" si="27">E65</f>
        <v>1590</v>
      </c>
      <c r="G65" s="681"/>
      <c r="H65" s="13"/>
      <c r="I65" s="629"/>
      <c r="K65" s="606"/>
    </row>
    <row r="66" spans="1:11">
      <c r="A66" s="680"/>
      <c r="B66" s="658"/>
      <c r="C66" s="658"/>
      <c r="D66" s="658"/>
      <c r="E66" s="657"/>
      <c r="F66" s="657"/>
      <c r="G66" s="681"/>
      <c r="H66" s="13"/>
    </row>
    <row r="67" spans="1:11">
      <c r="A67" s="679">
        <v>33</v>
      </c>
      <c r="B67" s="658" t="s">
        <v>4300</v>
      </c>
      <c r="C67" s="658" t="s">
        <v>4299</v>
      </c>
      <c r="D67" s="658" t="s">
        <v>2780</v>
      </c>
      <c r="E67" s="657">
        <v>240</v>
      </c>
      <c r="F67" s="657">
        <f t="shared" ref="F67" si="28">E67</f>
        <v>240</v>
      </c>
      <c r="G67" s="681"/>
      <c r="H67" s="13"/>
    </row>
    <row r="68" spans="1:11">
      <c r="A68" s="680"/>
      <c r="B68" s="658"/>
      <c r="C68" s="658"/>
      <c r="D68" s="658"/>
      <c r="E68" s="657"/>
      <c r="F68" s="657"/>
      <c r="G68" s="681"/>
      <c r="H68" s="13"/>
    </row>
    <row r="69" spans="1:11">
      <c r="A69" s="679">
        <v>34</v>
      </c>
      <c r="B69" s="658" t="s">
        <v>4301</v>
      </c>
      <c r="C69" s="658" t="s">
        <v>4299</v>
      </c>
      <c r="D69" s="658" t="s">
        <v>2376</v>
      </c>
      <c r="E69" s="657">
        <v>60</v>
      </c>
      <c r="F69" s="657">
        <f t="shared" ref="F69" si="29">E69</f>
        <v>60</v>
      </c>
      <c r="G69" s="681"/>
      <c r="H69" s="13"/>
    </row>
    <row r="70" spans="1:11">
      <c r="A70" s="680"/>
      <c r="B70" s="658"/>
      <c r="C70" s="658"/>
      <c r="D70" s="658"/>
      <c r="E70" s="657"/>
      <c r="F70" s="657"/>
      <c r="G70" s="681"/>
      <c r="H70" s="13"/>
    </row>
    <row r="71" spans="1:11">
      <c r="A71" s="679">
        <v>35</v>
      </c>
      <c r="B71" s="658" t="s">
        <v>4302</v>
      </c>
      <c r="C71" s="658" t="s">
        <v>4299</v>
      </c>
      <c r="D71" s="658" t="s">
        <v>4294</v>
      </c>
      <c r="E71" s="657">
        <v>300</v>
      </c>
      <c r="F71" s="657">
        <f t="shared" ref="F71" si="30">E71</f>
        <v>300</v>
      </c>
      <c r="G71" s="681"/>
      <c r="H71" s="13"/>
    </row>
    <row r="72" spans="1:11">
      <c r="A72" s="680"/>
      <c r="B72" s="658"/>
      <c r="C72" s="658"/>
      <c r="D72" s="658"/>
      <c r="E72" s="657"/>
      <c r="F72" s="657"/>
      <c r="G72" s="681"/>
      <c r="H72" s="13"/>
    </row>
    <row r="73" spans="1:11">
      <c r="A73" s="679">
        <v>36</v>
      </c>
      <c r="B73" s="658" t="s">
        <v>4304</v>
      </c>
      <c r="C73" s="658" t="s">
        <v>4299</v>
      </c>
      <c r="D73" s="658" t="s">
        <v>4322</v>
      </c>
      <c r="E73" s="657">
        <v>430</v>
      </c>
      <c r="F73" s="657">
        <f t="shared" ref="F73" si="31">E73</f>
        <v>430</v>
      </c>
      <c r="G73" s="681"/>
      <c r="H73" s="13"/>
    </row>
    <row r="74" spans="1:11">
      <c r="A74" s="680"/>
      <c r="B74" s="658"/>
      <c r="C74" s="658"/>
      <c r="D74" s="658"/>
      <c r="E74" s="657"/>
      <c r="F74" s="657"/>
      <c r="G74" s="681"/>
      <c r="H74" s="13"/>
    </row>
    <row r="75" spans="1:11" ht="15.75">
      <c r="A75" s="679">
        <v>37</v>
      </c>
      <c r="B75" s="658" t="s">
        <v>4316</v>
      </c>
      <c r="C75" s="658" t="s">
        <v>4313</v>
      </c>
      <c r="D75" s="658" t="s">
        <v>239</v>
      </c>
      <c r="E75" s="657">
        <v>44626</v>
      </c>
      <c r="F75" s="657">
        <v>1530</v>
      </c>
      <c r="G75" s="681">
        <v>3.4285000000000001</v>
      </c>
      <c r="H75" s="13"/>
      <c r="I75" s="633"/>
    </row>
    <row r="76" spans="1:11" ht="15.75">
      <c r="A76" s="680"/>
      <c r="B76" s="658"/>
      <c r="C76" s="658"/>
      <c r="D76" s="658"/>
      <c r="E76" s="657"/>
      <c r="F76" s="657"/>
      <c r="G76" s="681"/>
      <c r="H76" s="13"/>
      <c r="I76" s="633"/>
      <c r="K76" s="606"/>
    </row>
    <row r="77" spans="1:11">
      <c r="A77" s="679">
        <v>38</v>
      </c>
      <c r="B77" s="658" t="s">
        <v>4305</v>
      </c>
      <c r="C77" s="658" t="s">
        <v>4303</v>
      </c>
      <c r="D77" s="658" t="s">
        <v>4295</v>
      </c>
      <c r="E77" s="657">
        <v>460</v>
      </c>
      <c r="F77" s="657">
        <f t="shared" ref="F77" si="32">E77</f>
        <v>460</v>
      </c>
      <c r="G77" s="681"/>
      <c r="H77" s="13"/>
    </row>
    <row r="78" spans="1:11">
      <c r="A78" s="680"/>
      <c r="B78" s="658"/>
      <c r="C78" s="658"/>
      <c r="D78" s="658"/>
      <c r="E78" s="657"/>
      <c r="F78" s="657"/>
      <c r="G78" s="681"/>
      <c r="H78" s="13"/>
    </row>
    <row r="79" spans="1:11" ht="15.75">
      <c r="A79" s="679">
        <v>39</v>
      </c>
      <c r="B79" s="658" t="s">
        <v>4306</v>
      </c>
      <c r="C79" s="658" t="s">
        <v>4303</v>
      </c>
      <c r="D79" s="658" t="s">
        <v>4296</v>
      </c>
      <c r="E79" s="657">
        <v>420</v>
      </c>
      <c r="F79" s="657">
        <f t="shared" ref="F79" si="33">E79</f>
        <v>420</v>
      </c>
      <c r="G79" s="681"/>
      <c r="H79" s="13"/>
      <c r="I79" s="632"/>
    </row>
    <row r="80" spans="1:11" ht="15.75">
      <c r="A80" s="680"/>
      <c r="B80" s="658"/>
      <c r="C80" s="658"/>
      <c r="D80" s="658"/>
      <c r="E80" s="657"/>
      <c r="F80" s="657"/>
      <c r="G80" s="681"/>
      <c r="H80" s="13"/>
      <c r="I80" s="606"/>
    </row>
    <row r="81" spans="1:10">
      <c r="A81" s="679">
        <v>40</v>
      </c>
      <c r="B81" s="658" t="s">
        <v>4318</v>
      </c>
      <c r="C81" s="658" t="s">
        <v>4317</v>
      </c>
      <c r="D81" s="658" t="s">
        <v>239</v>
      </c>
      <c r="E81" s="657">
        <v>970</v>
      </c>
      <c r="F81" s="657">
        <f t="shared" ref="F81" si="34">E81</f>
        <v>970</v>
      </c>
      <c r="G81" s="681"/>
      <c r="H81" s="638"/>
      <c r="I81" s="635"/>
    </row>
    <row r="82" spans="1:10" ht="15.75">
      <c r="A82" s="680"/>
      <c r="B82" s="658"/>
      <c r="C82" s="658"/>
      <c r="D82" s="658"/>
      <c r="E82" s="657"/>
      <c r="F82" s="657"/>
      <c r="G82" s="681"/>
      <c r="H82" s="13"/>
      <c r="I82" s="606"/>
    </row>
    <row r="83" spans="1:10">
      <c r="A83" s="679">
        <v>41</v>
      </c>
      <c r="B83" s="658" t="s">
        <v>3797</v>
      </c>
      <c r="C83" s="658" t="s">
        <v>4317</v>
      </c>
      <c r="D83" s="658" t="s">
        <v>4298</v>
      </c>
      <c r="E83" s="657">
        <v>500</v>
      </c>
      <c r="F83" s="657">
        <f t="shared" ref="F83" si="35">E83</f>
        <v>500</v>
      </c>
      <c r="G83" s="681"/>
      <c r="H83" s="13"/>
      <c r="I83" s="634"/>
    </row>
    <row r="84" spans="1:10">
      <c r="A84" s="680"/>
      <c r="B84" s="658"/>
      <c r="C84" s="658"/>
      <c r="D84" s="658"/>
      <c r="E84" s="657"/>
      <c r="F84" s="657"/>
      <c r="G84" s="681"/>
      <c r="H84" s="13"/>
      <c r="I84" s="634"/>
    </row>
    <row r="85" spans="1:10">
      <c r="A85" s="679">
        <v>42</v>
      </c>
      <c r="B85" s="658" t="s">
        <v>4307</v>
      </c>
      <c r="C85" s="658" t="s">
        <v>4303</v>
      </c>
      <c r="D85" s="658" t="s">
        <v>1601</v>
      </c>
      <c r="E85" s="657">
        <v>850</v>
      </c>
      <c r="F85" s="657">
        <f t="shared" ref="F85" si="36">E85</f>
        <v>850</v>
      </c>
      <c r="G85" s="681"/>
      <c r="H85" s="13"/>
      <c r="I85" s="634"/>
      <c r="J85" s="6"/>
    </row>
    <row r="86" spans="1:10">
      <c r="A86" s="680"/>
      <c r="B86" s="658"/>
      <c r="C86" s="658"/>
      <c r="D86" s="658"/>
      <c r="E86" s="657"/>
      <c r="F86" s="657"/>
      <c r="G86" s="681"/>
      <c r="H86" s="13"/>
    </row>
    <row r="87" spans="1:10">
      <c r="A87" s="679">
        <v>43</v>
      </c>
      <c r="B87" s="658" t="s">
        <v>4308</v>
      </c>
      <c r="C87" s="658" t="s">
        <v>4303</v>
      </c>
      <c r="D87" s="658" t="s">
        <v>4297</v>
      </c>
      <c r="E87" s="657">
        <v>600</v>
      </c>
      <c r="F87" s="657">
        <f t="shared" ref="F87" si="37">E87</f>
        <v>600</v>
      </c>
      <c r="G87" s="681"/>
      <c r="H87" s="13"/>
    </row>
    <row r="88" spans="1:10">
      <c r="A88" s="680"/>
      <c r="B88" s="658"/>
      <c r="C88" s="658"/>
      <c r="D88" s="658"/>
      <c r="E88" s="657"/>
      <c r="F88" s="657"/>
      <c r="G88" s="681"/>
      <c r="H88" s="13"/>
    </row>
    <row r="89" spans="1:10">
      <c r="A89" s="679">
        <v>44</v>
      </c>
      <c r="B89" s="658" t="s">
        <v>4319</v>
      </c>
      <c r="C89" s="658" t="s">
        <v>4313</v>
      </c>
      <c r="D89" s="658" t="s">
        <v>239</v>
      </c>
      <c r="E89" s="657">
        <v>44626</v>
      </c>
      <c r="F89" s="657">
        <v>1530</v>
      </c>
      <c r="G89" s="681">
        <v>3.4285000000000001</v>
      </c>
      <c r="H89" s="13"/>
    </row>
    <row r="90" spans="1:10">
      <c r="A90" s="680"/>
      <c r="B90" s="658"/>
      <c r="C90" s="658"/>
      <c r="D90" s="658"/>
      <c r="E90" s="657"/>
      <c r="F90" s="657"/>
      <c r="G90" s="681"/>
      <c r="H90" s="13"/>
    </row>
    <row r="91" spans="1:10">
      <c r="A91" s="679">
        <v>45</v>
      </c>
      <c r="B91" s="658" t="s">
        <v>4309</v>
      </c>
      <c r="C91" s="658" t="s">
        <v>4303</v>
      </c>
      <c r="D91" s="658" t="s">
        <v>3025</v>
      </c>
      <c r="E91" s="657">
        <v>100</v>
      </c>
      <c r="F91" s="657">
        <f t="shared" ref="F91" si="38">E91</f>
        <v>100</v>
      </c>
      <c r="G91" s="681"/>
      <c r="H91" s="13"/>
    </row>
    <row r="92" spans="1:10">
      <c r="A92" s="680"/>
      <c r="B92" s="658"/>
      <c r="C92" s="658"/>
      <c r="D92" s="658"/>
      <c r="E92" s="657"/>
      <c r="F92" s="657"/>
      <c r="G92" s="681"/>
      <c r="H92" s="13"/>
    </row>
    <row r="93" spans="1:10">
      <c r="A93" s="679">
        <v>46</v>
      </c>
      <c r="B93" s="658" t="s">
        <v>4310</v>
      </c>
      <c r="C93" s="658" t="s">
        <v>4303</v>
      </c>
      <c r="D93" s="658" t="s">
        <v>1661</v>
      </c>
      <c r="E93" s="657">
        <v>450</v>
      </c>
      <c r="F93" s="657">
        <f t="shared" ref="F93" si="39">E93</f>
        <v>450</v>
      </c>
      <c r="G93" s="681"/>
      <c r="H93" s="13"/>
    </row>
    <row r="94" spans="1:10">
      <c r="A94" s="680"/>
      <c r="B94" s="658"/>
      <c r="C94" s="658"/>
      <c r="D94" s="658"/>
      <c r="E94" s="657"/>
      <c r="F94" s="657"/>
      <c r="G94" s="681"/>
      <c r="H94" s="13"/>
    </row>
    <row r="95" spans="1:10">
      <c r="A95" s="679">
        <v>47</v>
      </c>
      <c r="B95" s="658" t="s">
        <v>4320</v>
      </c>
      <c r="C95" s="658" t="s">
        <v>4321</v>
      </c>
      <c r="D95" s="658" t="s">
        <v>239</v>
      </c>
      <c r="E95" s="657">
        <v>1530</v>
      </c>
      <c r="F95" s="657">
        <f t="shared" ref="F95" si="40">E95</f>
        <v>1530</v>
      </c>
      <c r="G95" s="681"/>
      <c r="H95" s="13"/>
    </row>
    <row r="96" spans="1:10">
      <c r="A96" s="680"/>
      <c r="B96" s="658"/>
      <c r="C96" s="658"/>
      <c r="D96" s="658"/>
      <c r="E96" s="657"/>
      <c r="F96" s="657"/>
      <c r="G96" s="681"/>
      <c r="H96" s="13"/>
    </row>
    <row r="97" spans="1:9">
      <c r="A97" s="679">
        <v>48</v>
      </c>
      <c r="B97" s="658" t="s">
        <v>4311</v>
      </c>
      <c r="C97" s="658" t="s">
        <v>4312</v>
      </c>
      <c r="D97" s="658" t="s">
        <v>1601</v>
      </c>
      <c r="E97" s="657">
        <v>1100</v>
      </c>
      <c r="F97" s="657">
        <f t="shared" ref="F97" si="41">E97</f>
        <v>1100</v>
      </c>
      <c r="G97" s="681"/>
      <c r="H97" s="13"/>
    </row>
    <row r="98" spans="1:9" ht="15">
      <c r="A98" s="680"/>
      <c r="B98" s="658"/>
      <c r="C98" s="658"/>
      <c r="D98" s="658"/>
      <c r="E98" s="657"/>
      <c r="F98" s="657"/>
      <c r="G98" s="681"/>
      <c r="H98" s="13"/>
      <c r="I98" s="636"/>
    </row>
    <row r="99" spans="1:9" ht="15.75">
      <c r="A99" s="679">
        <v>49</v>
      </c>
      <c r="B99" s="658" t="s">
        <v>3480</v>
      </c>
      <c r="C99" s="658" t="s">
        <v>2722</v>
      </c>
      <c r="D99" s="658" t="s">
        <v>1601</v>
      </c>
      <c r="E99" s="657">
        <v>1150</v>
      </c>
      <c r="F99" s="657">
        <f>E99</f>
        <v>1150</v>
      </c>
      <c r="G99" s="681"/>
      <c r="H99" s="13"/>
      <c r="I99" s="606"/>
    </row>
    <row r="100" spans="1:9">
      <c r="A100" s="680"/>
      <c r="B100" s="658"/>
      <c r="C100" s="658"/>
      <c r="D100" s="658"/>
      <c r="E100" s="657"/>
      <c r="F100" s="657"/>
      <c r="G100" s="681"/>
      <c r="H100" s="13"/>
    </row>
    <row r="101" spans="1:9">
      <c r="A101" s="679">
        <v>50</v>
      </c>
      <c r="B101" s="658"/>
      <c r="C101" s="658"/>
      <c r="D101" s="658"/>
      <c r="E101" s="682"/>
      <c r="F101" s="682"/>
      <c r="G101" s="681"/>
    </row>
    <row r="102" spans="1:9">
      <c r="A102" s="680"/>
      <c r="B102" s="658"/>
      <c r="C102" s="658"/>
      <c r="D102" s="658"/>
      <c r="E102" s="682"/>
      <c r="F102" s="682"/>
      <c r="G102" s="681"/>
    </row>
    <row r="103" spans="1:9">
      <c r="A103" s="679">
        <v>51</v>
      </c>
      <c r="B103" s="658"/>
      <c r="C103" s="658"/>
      <c r="D103" s="658"/>
      <c r="E103" s="682"/>
      <c r="F103" s="682"/>
      <c r="G103" s="681"/>
    </row>
    <row r="104" spans="1:9">
      <c r="A104" s="680"/>
      <c r="B104" s="658"/>
      <c r="C104" s="658"/>
      <c r="D104" s="658"/>
      <c r="E104" s="682"/>
      <c r="F104" s="682"/>
      <c r="G104" s="681"/>
    </row>
    <row r="105" spans="1:9">
      <c r="A105" s="679"/>
      <c r="B105" s="658"/>
      <c r="C105" s="658"/>
      <c r="D105" s="658"/>
      <c r="E105" s="657"/>
      <c r="F105" s="657"/>
      <c r="G105" s="681"/>
    </row>
    <row r="106" spans="1:9">
      <c r="A106" s="680"/>
      <c r="B106" s="658"/>
      <c r="C106" s="658"/>
      <c r="D106" s="658"/>
      <c r="E106" s="657"/>
      <c r="F106" s="657"/>
      <c r="G106" s="681"/>
    </row>
    <row r="107" spans="1:9">
      <c r="A107" s="679"/>
      <c r="B107" s="658"/>
      <c r="C107" s="658"/>
      <c r="D107" s="658"/>
      <c r="E107" s="657"/>
      <c r="F107" s="657"/>
      <c r="G107" s="681"/>
    </row>
    <row r="108" spans="1:9">
      <c r="A108" s="680"/>
      <c r="B108" s="658"/>
      <c r="C108" s="658"/>
      <c r="D108" s="658"/>
      <c r="E108" s="657"/>
      <c r="F108" s="657"/>
      <c r="G108" s="681"/>
    </row>
    <row r="109" spans="1:9">
      <c r="A109" s="679"/>
      <c r="B109" s="658"/>
      <c r="C109" s="658"/>
      <c r="D109" s="658"/>
      <c r="E109" s="657"/>
      <c r="F109" s="657"/>
      <c r="G109" s="681"/>
    </row>
    <row r="110" spans="1:9">
      <c r="A110" s="680"/>
      <c r="B110" s="658"/>
      <c r="C110" s="658"/>
      <c r="D110" s="658"/>
      <c r="E110" s="657"/>
      <c r="F110" s="657"/>
      <c r="G110" s="681"/>
    </row>
    <row r="111" spans="1:9">
      <c r="A111" s="679"/>
      <c r="B111" s="658"/>
      <c r="C111" s="658"/>
      <c r="D111" s="658"/>
      <c r="E111" s="657"/>
      <c r="F111" s="657"/>
      <c r="G111" s="683"/>
    </row>
    <row r="112" spans="1:9">
      <c r="A112" s="680"/>
      <c r="B112" s="658"/>
      <c r="C112" s="658"/>
      <c r="D112" s="658"/>
      <c r="E112" s="657"/>
      <c r="F112" s="657"/>
      <c r="G112" s="684"/>
    </row>
    <row r="113" spans="1:7">
      <c r="A113" s="679"/>
      <c r="B113" s="658"/>
      <c r="C113" s="658"/>
      <c r="D113" s="658"/>
      <c r="E113" s="657"/>
      <c r="F113" s="657"/>
      <c r="G113" s="685"/>
    </row>
    <row r="114" spans="1:7">
      <c r="A114" s="680"/>
      <c r="B114" s="658"/>
      <c r="C114" s="658"/>
      <c r="D114" s="658"/>
      <c r="E114" s="657"/>
      <c r="F114" s="657"/>
      <c r="G114" s="686"/>
    </row>
    <row r="115" spans="1:7">
      <c r="A115" s="679"/>
      <c r="B115" s="658"/>
      <c r="C115" s="658"/>
      <c r="D115" s="658"/>
      <c r="E115" s="657"/>
      <c r="F115" s="657"/>
      <c r="G115" s="685"/>
    </row>
    <row r="116" spans="1:7">
      <c r="A116" s="680"/>
      <c r="B116" s="658"/>
      <c r="C116" s="658"/>
      <c r="D116" s="658"/>
      <c r="E116" s="657"/>
      <c r="F116" s="657"/>
      <c r="G116" s="686"/>
    </row>
    <row r="117" spans="1:7">
      <c r="A117" s="679"/>
      <c r="B117" s="658"/>
      <c r="C117" s="658"/>
      <c r="D117" s="658"/>
      <c r="E117" s="657"/>
      <c r="F117" s="657"/>
      <c r="G117" s="685"/>
    </row>
    <row r="118" spans="1:7">
      <c r="A118" s="680"/>
      <c r="B118" s="658"/>
      <c r="C118" s="658"/>
      <c r="D118" s="658"/>
      <c r="E118" s="657"/>
      <c r="F118" s="657"/>
      <c r="G118" s="686"/>
    </row>
    <row r="119" spans="1:7">
      <c r="A119" s="679"/>
      <c r="B119" s="658"/>
      <c r="C119" s="658"/>
      <c r="D119" s="658"/>
      <c r="E119" s="657"/>
      <c r="F119" s="657"/>
      <c r="G119" s="685"/>
    </row>
    <row r="120" spans="1:7">
      <c r="A120" s="680"/>
      <c r="B120" s="658"/>
      <c r="C120" s="658"/>
      <c r="D120" s="658"/>
      <c r="E120" s="657"/>
      <c r="F120" s="657"/>
      <c r="G120" s="686"/>
    </row>
    <row r="121" spans="1:7">
      <c r="A121" s="679"/>
      <c r="B121" s="658"/>
      <c r="C121" s="658"/>
      <c r="D121" s="658"/>
      <c r="E121" s="657"/>
      <c r="F121" s="657"/>
      <c r="G121" s="685"/>
    </row>
    <row r="122" spans="1:7">
      <c r="A122" s="680"/>
      <c r="B122" s="658"/>
      <c r="C122" s="658"/>
      <c r="D122" s="658"/>
      <c r="E122" s="657"/>
      <c r="F122" s="657"/>
      <c r="G122" s="686"/>
    </row>
    <row r="123" spans="1:7">
      <c r="A123" s="679"/>
      <c r="B123" s="658"/>
      <c r="C123" s="658"/>
      <c r="D123" s="658"/>
      <c r="E123" s="657"/>
      <c r="F123" s="657"/>
      <c r="G123" s="685"/>
    </row>
    <row r="124" spans="1:7">
      <c r="A124" s="680"/>
      <c r="B124" s="658"/>
      <c r="C124" s="658"/>
      <c r="D124" s="658"/>
      <c r="E124" s="657"/>
      <c r="F124" s="657"/>
      <c r="G124" s="686"/>
    </row>
    <row r="125" spans="1:7">
      <c r="A125" s="687"/>
      <c r="B125" s="658"/>
      <c r="C125" s="658"/>
      <c r="D125" s="658"/>
      <c r="E125" s="657"/>
      <c r="F125" s="657"/>
      <c r="G125" s="685"/>
    </row>
    <row r="126" spans="1:7">
      <c r="A126" s="688"/>
      <c r="B126" s="658"/>
      <c r="C126" s="658"/>
      <c r="D126" s="658"/>
      <c r="E126" s="657"/>
      <c r="F126" s="657"/>
      <c r="G126" s="686"/>
    </row>
    <row r="127" spans="1:7">
      <c r="A127" s="687"/>
      <c r="B127" s="689"/>
      <c r="C127" s="689"/>
      <c r="D127" s="689"/>
      <c r="E127" s="689"/>
      <c r="F127" s="689"/>
      <c r="G127" s="685"/>
    </row>
    <row r="128" spans="1:7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  <row r="1155" spans="13:13">
      <c r="M1155" t="e">
        <f>SUM('2017'!C1161:E1162+дек17!B99I1155:I1158,I1161:I1254)</f>
        <v>#VALUE!</v>
      </c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9"/>
  <sheetViews>
    <sheetView topLeftCell="A28" zoomScale="85" zoomScaleNormal="85" workbookViewId="0">
      <selection activeCell="B48" sqref="B48:C48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3344</v>
      </c>
      <c r="C2" s="586">
        <v>42338</v>
      </c>
      <c r="D2" s="585" t="s">
        <v>6</v>
      </c>
      <c r="E2" s="586">
        <v>43039</v>
      </c>
      <c r="F2" s="585" t="s">
        <v>6</v>
      </c>
      <c r="G2" s="586">
        <v>43039</v>
      </c>
      <c r="H2" s="586" t="s">
        <v>3318</v>
      </c>
      <c r="I2" s="586">
        <v>43040</v>
      </c>
      <c r="J2" s="587">
        <v>50</v>
      </c>
      <c r="K2" s="590"/>
      <c r="L2" s="5">
        <f>SUM(J2:J51)</f>
        <v>33099</v>
      </c>
    </row>
    <row r="3" spans="1:12">
      <c r="A3" s="589">
        <v>2</v>
      </c>
      <c r="B3" s="585" t="s">
        <v>6</v>
      </c>
      <c r="C3" s="586">
        <v>42396</v>
      </c>
      <c r="D3" s="585" t="s">
        <v>6</v>
      </c>
      <c r="E3" s="586">
        <v>43039</v>
      </c>
      <c r="F3" s="585" t="s">
        <v>6</v>
      </c>
      <c r="G3" s="586">
        <v>43039</v>
      </c>
      <c r="H3" s="586" t="s">
        <v>3318</v>
      </c>
      <c r="I3" s="586">
        <v>43040</v>
      </c>
      <c r="J3" s="587">
        <v>900</v>
      </c>
      <c r="K3" s="590"/>
    </row>
    <row r="4" spans="1:12">
      <c r="A4" s="585">
        <v>3</v>
      </c>
      <c r="B4" s="585" t="s">
        <v>3330</v>
      </c>
      <c r="C4" s="586">
        <v>42373</v>
      </c>
      <c r="D4" s="585" t="s">
        <v>6</v>
      </c>
      <c r="E4" s="586">
        <v>43039</v>
      </c>
      <c r="F4" s="585" t="s">
        <v>6</v>
      </c>
      <c r="G4" s="586">
        <v>43039</v>
      </c>
      <c r="H4" s="586" t="s">
        <v>3320</v>
      </c>
      <c r="I4" s="586">
        <v>43040</v>
      </c>
      <c r="J4" s="587">
        <v>920</v>
      </c>
      <c r="K4" s="590"/>
      <c r="L4" s="5">
        <f>SUM(J2:J51)</f>
        <v>33099</v>
      </c>
    </row>
    <row r="5" spans="1:12">
      <c r="A5" s="585">
        <v>4</v>
      </c>
      <c r="B5" s="585" t="s">
        <v>4270</v>
      </c>
      <c r="C5" s="586">
        <v>43032</v>
      </c>
      <c r="D5" s="585" t="s">
        <v>6</v>
      </c>
      <c r="E5" s="586">
        <v>43039</v>
      </c>
      <c r="F5" s="585" t="s">
        <v>6</v>
      </c>
      <c r="G5" s="586">
        <v>43039</v>
      </c>
      <c r="H5" s="586" t="s">
        <v>3320</v>
      </c>
      <c r="I5" s="586">
        <v>43040</v>
      </c>
      <c r="J5" s="587">
        <v>550</v>
      </c>
      <c r="K5" s="590"/>
    </row>
    <row r="6" spans="1:12">
      <c r="A6" s="585">
        <v>5</v>
      </c>
      <c r="B6" s="585" t="s">
        <v>6</v>
      </c>
      <c r="C6" s="586">
        <v>42396</v>
      </c>
      <c r="D6" s="585" t="s">
        <v>6</v>
      </c>
      <c r="E6" s="586">
        <v>43041</v>
      </c>
      <c r="F6" s="585" t="s">
        <v>3876</v>
      </c>
      <c r="G6" s="586">
        <v>43041</v>
      </c>
      <c r="H6" s="586" t="s">
        <v>3318</v>
      </c>
      <c r="I6" s="586">
        <v>43043</v>
      </c>
      <c r="J6" s="587">
        <v>580</v>
      </c>
      <c r="K6" s="590"/>
    </row>
    <row r="7" spans="1:12">
      <c r="A7" s="585">
        <v>6</v>
      </c>
      <c r="B7" s="585" t="s">
        <v>6</v>
      </c>
      <c r="C7" s="586">
        <v>42396</v>
      </c>
      <c r="D7" s="585" t="s">
        <v>6</v>
      </c>
      <c r="E7" s="586">
        <v>43042</v>
      </c>
      <c r="F7" s="585" t="s">
        <v>6</v>
      </c>
      <c r="G7" s="586">
        <v>43042</v>
      </c>
      <c r="H7" s="586" t="s">
        <v>3318</v>
      </c>
      <c r="I7" s="586">
        <v>43043</v>
      </c>
      <c r="J7" s="587">
        <v>40</v>
      </c>
      <c r="K7" s="590"/>
    </row>
    <row r="8" spans="1:12">
      <c r="A8" s="585">
        <v>7</v>
      </c>
      <c r="B8" s="585" t="s">
        <v>6</v>
      </c>
      <c r="C8" s="586">
        <v>42404</v>
      </c>
      <c r="D8" s="585" t="s">
        <v>6</v>
      </c>
      <c r="E8" s="586">
        <v>43042</v>
      </c>
      <c r="F8" s="585" t="s">
        <v>6</v>
      </c>
      <c r="G8" s="586">
        <v>43042</v>
      </c>
      <c r="H8" s="586" t="s">
        <v>3318</v>
      </c>
      <c r="I8" s="586">
        <v>43043</v>
      </c>
      <c r="J8" s="587">
        <v>60</v>
      </c>
      <c r="K8" s="590"/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43039</v>
      </c>
      <c r="F9" s="585" t="s">
        <v>6</v>
      </c>
      <c r="G9" s="586">
        <v>43039</v>
      </c>
      <c r="H9" s="586" t="s">
        <v>3320</v>
      </c>
      <c r="I9" s="586">
        <v>43040</v>
      </c>
      <c r="J9" s="587">
        <v>1470</v>
      </c>
      <c r="K9" s="590"/>
    </row>
    <row r="10" spans="1:12">
      <c r="A10" s="585">
        <v>9</v>
      </c>
      <c r="B10" s="585" t="s">
        <v>3344</v>
      </c>
      <c r="C10" s="586">
        <v>42338</v>
      </c>
      <c r="D10" s="585" t="s">
        <v>6</v>
      </c>
      <c r="E10" s="586">
        <v>43041</v>
      </c>
      <c r="F10" s="585" t="s">
        <v>6</v>
      </c>
      <c r="G10" s="586">
        <v>43041</v>
      </c>
      <c r="H10" s="586" t="s">
        <v>3318</v>
      </c>
      <c r="I10" s="586">
        <v>43043</v>
      </c>
      <c r="J10" s="587">
        <v>500</v>
      </c>
      <c r="K10" s="590"/>
    </row>
    <row r="11" spans="1:12">
      <c r="A11" s="585">
        <v>10</v>
      </c>
      <c r="B11" s="585" t="s">
        <v>6</v>
      </c>
      <c r="C11" s="586">
        <v>42480</v>
      </c>
      <c r="D11" s="585" t="s">
        <v>6</v>
      </c>
      <c r="E11" s="586">
        <v>43042</v>
      </c>
      <c r="F11" s="586">
        <v>43042</v>
      </c>
      <c r="G11" s="586">
        <v>43042</v>
      </c>
      <c r="H11" s="586" t="s">
        <v>3318</v>
      </c>
      <c r="I11" s="586">
        <v>43043</v>
      </c>
      <c r="J11" s="587">
        <v>99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43041</v>
      </c>
      <c r="F12" s="585" t="s">
        <v>3551</v>
      </c>
      <c r="G12" s="586">
        <v>43041</v>
      </c>
      <c r="H12" s="586" t="s">
        <v>3318</v>
      </c>
      <c r="I12" s="586">
        <v>43043</v>
      </c>
      <c r="J12" s="587">
        <v>220</v>
      </c>
      <c r="K12" s="590"/>
    </row>
    <row r="13" spans="1:12">
      <c r="A13" s="585">
        <v>12</v>
      </c>
      <c r="B13" s="585" t="s">
        <v>3330</v>
      </c>
      <c r="C13" s="586">
        <v>42373</v>
      </c>
      <c r="D13" s="585" t="s">
        <v>6</v>
      </c>
      <c r="E13" s="586">
        <v>43043</v>
      </c>
      <c r="F13" s="585" t="s">
        <v>3551</v>
      </c>
      <c r="G13" s="586">
        <v>43043</v>
      </c>
      <c r="H13" s="586" t="s">
        <v>3320</v>
      </c>
      <c r="I13" s="586">
        <v>43046</v>
      </c>
      <c r="J13" s="587">
        <v>1530</v>
      </c>
      <c r="K13" s="590"/>
    </row>
    <row r="14" spans="1:12">
      <c r="A14" s="585">
        <v>13</v>
      </c>
      <c r="B14" s="585" t="s">
        <v>6</v>
      </c>
      <c r="C14" s="586">
        <v>43046</v>
      </c>
      <c r="D14" s="585" t="s">
        <v>6</v>
      </c>
      <c r="E14" s="586">
        <v>43048</v>
      </c>
      <c r="F14" s="585" t="s">
        <v>4272</v>
      </c>
      <c r="G14" s="586">
        <v>43048</v>
      </c>
      <c r="H14" s="586" t="s">
        <v>3318</v>
      </c>
      <c r="I14" s="586">
        <v>43049</v>
      </c>
      <c r="J14" s="587">
        <v>100</v>
      </c>
      <c r="K14" s="587"/>
    </row>
    <row r="15" spans="1:12">
      <c r="A15" s="585">
        <v>14</v>
      </c>
      <c r="B15" s="585" t="s">
        <v>4271</v>
      </c>
      <c r="C15" s="586">
        <v>43048</v>
      </c>
      <c r="D15" s="585" t="s">
        <v>6</v>
      </c>
      <c r="E15" s="586">
        <v>43048</v>
      </c>
      <c r="F15" s="585">
        <v>92</v>
      </c>
      <c r="G15" s="586">
        <v>43048</v>
      </c>
      <c r="H15" s="586" t="s">
        <v>3318</v>
      </c>
      <c r="I15" s="586">
        <v>43049</v>
      </c>
      <c r="J15" s="587">
        <v>550</v>
      </c>
      <c r="K15" s="590"/>
    </row>
    <row r="16" spans="1:12">
      <c r="A16" s="585">
        <v>15</v>
      </c>
      <c r="B16" s="585" t="s">
        <v>3330</v>
      </c>
      <c r="C16" s="586">
        <v>42373</v>
      </c>
      <c r="D16" s="585" t="s">
        <v>6</v>
      </c>
      <c r="E16" s="586">
        <v>43046</v>
      </c>
      <c r="F16" s="585" t="s">
        <v>6</v>
      </c>
      <c r="G16" s="586">
        <v>43046</v>
      </c>
      <c r="H16" s="586" t="s">
        <v>3320</v>
      </c>
      <c r="I16" s="586">
        <v>43047</v>
      </c>
      <c r="J16" s="587">
        <v>1470</v>
      </c>
      <c r="K16" s="590"/>
    </row>
    <row r="17" spans="1:11">
      <c r="A17" s="585">
        <v>16</v>
      </c>
      <c r="B17" s="585" t="s">
        <v>4274</v>
      </c>
      <c r="C17" s="586">
        <v>42626</v>
      </c>
      <c r="D17" s="585" t="s">
        <v>6</v>
      </c>
      <c r="E17" s="586">
        <v>43048</v>
      </c>
      <c r="F17" s="585" t="s">
        <v>3551</v>
      </c>
      <c r="G17" s="586">
        <v>43048</v>
      </c>
      <c r="H17" s="586" t="s">
        <v>3318</v>
      </c>
      <c r="I17" s="586">
        <v>43052</v>
      </c>
      <c r="J17" s="587">
        <v>400</v>
      </c>
      <c r="K17" s="590"/>
    </row>
    <row r="18" spans="1:11">
      <c r="A18" s="593">
        <v>17</v>
      </c>
      <c r="B18" s="585">
        <v>3356</v>
      </c>
      <c r="C18" s="586">
        <v>43049</v>
      </c>
      <c r="D18" s="585" t="s">
        <v>6</v>
      </c>
      <c r="E18" s="586">
        <v>43049</v>
      </c>
      <c r="F18" s="585" t="s">
        <v>6</v>
      </c>
      <c r="G18" s="586">
        <v>43049</v>
      </c>
      <c r="H18" s="586" t="s">
        <v>3318</v>
      </c>
      <c r="I18" s="586">
        <v>43052</v>
      </c>
      <c r="J18" s="587">
        <v>350</v>
      </c>
      <c r="K18" s="590"/>
    </row>
    <row r="19" spans="1:11">
      <c r="A19" s="593">
        <v>18</v>
      </c>
      <c r="B19" s="585">
        <v>3234</v>
      </c>
      <c r="C19" s="586">
        <v>43047</v>
      </c>
      <c r="D19" s="585" t="s">
        <v>6</v>
      </c>
      <c r="E19" s="586">
        <v>43048</v>
      </c>
      <c r="F19" s="585" t="s">
        <v>6</v>
      </c>
      <c r="G19" s="586">
        <v>43048</v>
      </c>
      <c r="H19" s="586" t="s">
        <v>3318</v>
      </c>
      <c r="I19" s="586">
        <v>43053</v>
      </c>
      <c r="J19" s="587">
        <v>500</v>
      </c>
      <c r="K19" s="590"/>
    </row>
    <row r="20" spans="1:11">
      <c r="A20" s="593">
        <v>19</v>
      </c>
      <c r="B20" s="585" t="s">
        <v>3330</v>
      </c>
      <c r="C20" s="586">
        <v>42373</v>
      </c>
      <c r="D20" s="585" t="s">
        <v>6</v>
      </c>
      <c r="E20" s="586">
        <v>43047</v>
      </c>
      <c r="F20" s="585" t="s">
        <v>6</v>
      </c>
      <c r="G20" s="586">
        <v>43047</v>
      </c>
      <c r="H20" s="586" t="s">
        <v>3320</v>
      </c>
      <c r="I20" s="586">
        <v>43048</v>
      </c>
      <c r="J20" s="587">
        <v>1470</v>
      </c>
      <c r="K20" s="590"/>
    </row>
    <row r="21" spans="1:11">
      <c r="A21" s="593">
        <v>20</v>
      </c>
      <c r="B21" s="585" t="s">
        <v>6</v>
      </c>
      <c r="C21" s="586">
        <v>42430</v>
      </c>
      <c r="D21" s="585" t="s">
        <v>6</v>
      </c>
      <c r="E21" s="586">
        <v>43050</v>
      </c>
      <c r="F21" s="585" t="s">
        <v>6</v>
      </c>
      <c r="G21" s="586">
        <v>43050</v>
      </c>
      <c r="H21" s="586" t="s">
        <v>3318</v>
      </c>
      <c r="I21" s="586">
        <v>43052</v>
      </c>
      <c r="J21" s="587">
        <v>520</v>
      </c>
      <c r="K21" s="590"/>
    </row>
    <row r="22" spans="1:11">
      <c r="A22" s="593">
        <v>21</v>
      </c>
      <c r="B22" s="585" t="s">
        <v>6</v>
      </c>
      <c r="C22" s="586">
        <v>42480</v>
      </c>
      <c r="D22" s="585" t="s">
        <v>6</v>
      </c>
      <c r="E22" s="586">
        <v>43049</v>
      </c>
      <c r="F22" s="586">
        <v>43049</v>
      </c>
      <c r="G22" s="586">
        <v>43049</v>
      </c>
      <c r="H22" s="586" t="s">
        <v>3318</v>
      </c>
      <c r="I22" s="586">
        <v>43052</v>
      </c>
      <c r="J22" s="587">
        <v>100</v>
      </c>
      <c r="K22" s="590"/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43049</v>
      </c>
      <c r="F23" s="585" t="s">
        <v>6</v>
      </c>
      <c r="G23" s="586">
        <v>43049</v>
      </c>
      <c r="H23" s="586" t="s">
        <v>3320</v>
      </c>
      <c r="I23" s="586">
        <v>43052</v>
      </c>
      <c r="J23" s="587">
        <v>1470</v>
      </c>
      <c r="K23" s="590"/>
    </row>
    <row r="24" spans="1:11">
      <c r="A24" s="593">
        <v>23</v>
      </c>
      <c r="B24" s="585" t="s">
        <v>6</v>
      </c>
      <c r="C24" s="586">
        <v>42888</v>
      </c>
      <c r="D24" s="585" t="s">
        <v>6</v>
      </c>
      <c r="E24" s="586">
        <v>43052</v>
      </c>
      <c r="F24" s="585" t="s">
        <v>4275</v>
      </c>
      <c r="G24" s="586">
        <v>43052</v>
      </c>
      <c r="H24" s="586" t="s">
        <v>3318</v>
      </c>
      <c r="I24" s="586">
        <v>43054</v>
      </c>
      <c r="J24" s="587">
        <v>700</v>
      </c>
      <c r="K24" s="590"/>
    </row>
    <row r="25" spans="1:11">
      <c r="A25" s="593">
        <v>24</v>
      </c>
      <c r="B25" s="585">
        <v>13</v>
      </c>
      <c r="C25" s="586">
        <v>42914</v>
      </c>
      <c r="D25" s="585" t="s">
        <v>6</v>
      </c>
      <c r="E25" s="586">
        <v>43053</v>
      </c>
      <c r="F25" s="585" t="s">
        <v>4276</v>
      </c>
      <c r="G25" s="586">
        <v>43053</v>
      </c>
      <c r="H25" s="586" t="s">
        <v>3318</v>
      </c>
      <c r="I25" s="586">
        <v>43054</v>
      </c>
      <c r="J25" s="587">
        <v>460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43052</v>
      </c>
      <c r="F26" s="585" t="s">
        <v>6</v>
      </c>
      <c r="G26" s="586">
        <v>43052</v>
      </c>
      <c r="H26" s="586" t="s">
        <v>3320</v>
      </c>
      <c r="I26" s="586">
        <v>43054</v>
      </c>
      <c r="J26" s="587">
        <v>1470</v>
      </c>
      <c r="K26" s="590"/>
    </row>
    <row r="27" spans="1:11">
      <c r="A27" s="593">
        <v>26</v>
      </c>
      <c r="B27" s="585" t="s">
        <v>6</v>
      </c>
      <c r="C27" s="586">
        <v>42755</v>
      </c>
      <c r="D27" s="585" t="s">
        <v>6</v>
      </c>
      <c r="E27" s="586">
        <v>43054</v>
      </c>
      <c r="F27" s="585" t="s">
        <v>3564</v>
      </c>
      <c r="G27" s="586" t="s">
        <v>4277</v>
      </c>
      <c r="H27" s="586" t="s">
        <v>3318</v>
      </c>
      <c r="I27" s="586">
        <v>43059</v>
      </c>
      <c r="J27" s="587">
        <v>1350</v>
      </c>
      <c r="K27" s="590"/>
    </row>
    <row r="28" spans="1:11">
      <c r="A28" s="593">
        <v>27</v>
      </c>
      <c r="B28" s="585" t="s">
        <v>3330</v>
      </c>
      <c r="C28" s="586">
        <v>42373</v>
      </c>
      <c r="D28" s="585" t="s">
        <v>6</v>
      </c>
      <c r="E28" s="586">
        <v>43053</v>
      </c>
      <c r="F28" s="585" t="s">
        <v>3550</v>
      </c>
      <c r="G28" s="586">
        <v>43053</v>
      </c>
      <c r="H28" s="586" t="s">
        <v>3320</v>
      </c>
      <c r="I28" s="586">
        <v>43055</v>
      </c>
      <c r="J28" s="587">
        <v>1590</v>
      </c>
      <c r="K28" s="590"/>
    </row>
    <row r="29" spans="1:11">
      <c r="A29" s="593">
        <v>28</v>
      </c>
      <c r="B29" s="585" t="s">
        <v>6</v>
      </c>
      <c r="C29" s="586">
        <v>42389</v>
      </c>
      <c r="D29" s="585" t="s">
        <v>6</v>
      </c>
      <c r="E29" s="586">
        <v>43057</v>
      </c>
      <c r="F29" s="585" t="s">
        <v>6</v>
      </c>
      <c r="G29" s="586">
        <v>43057</v>
      </c>
      <c r="H29" s="586" t="s">
        <v>3318</v>
      </c>
      <c r="I29" s="586">
        <v>43059</v>
      </c>
      <c r="J29" s="587">
        <v>450</v>
      </c>
      <c r="K29" s="590"/>
    </row>
    <row r="30" spans="1:11">
      <c r="A30" s="593">
        <v>29</v>
      </c>
      <c r="B30" s="585" t="s">
        <v>6</v>
      </c>
      <c r="C30" s="586">
        <v>42396</v>
      </c>
      <c r="D30" s="585" t="s">
        <v>6</v>
      </c>
      <c r="E30" s="586">
        <v>43056</v>
      </c>
      <c r="F30" s="585" t="s">
        <v>6</v>
      </c>
      <c r="G30" s="586">
        <v>43056</v>
      </c>
      <c r="H30" s="586" t="s">
        <v>3318</v>
      </c>
      <c r="I30" s="586">
        <v>43059</v>
      </c>
      <c r="J30" s="587">
        <v>60</v>
      </c>
      <c r="K30" s="590"/>
    </row>
    <row r="31" spans="1:11">
      <c r="A31" s="596">
        <v>30</v>
      </c>
      <c r="B31" s="585" t="s">
        <v>6</v>
      </c>
      <c r="C31" s="586">
        <v>42480</v>
      </c>
      <c r="D31" s="585" t="s">
        <v>6</v>
      </c>
      <c r="E31" s="586">
        <v>43056</v>
      </c>
      <c r="F31" s="586">
        <v>43056</v>
      </c>
      <c r="G31" s="586">
        <v>43056</v>
      </c>
      <c r="H31" s="586" t="s">
        <v>3318</v>
      </c>
      <c r="I31" s="586">
        <v>43059</v>
      </c>
      <c r="J31" s="587">
        <v>100</v>
      </c>
      <c r="K31" s="590"/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43056</v>
      </c>
      <c r="F32" s="585" t="s">
        <v>3547</v>
      </c>
      <c r="G32" s="586">
        <v>43056</v>
      </c>
      <c r="H32" s="586" t="s">
        <v>3320</v>
      </c>
      <c r="I32" s="586">
        <v>43059</v>
      </c>
      <c r="J32" s="587">
        <v>790</v>
      </c>
      <c r="K32" s="590"/>
    </row>
    <row r="33" spans="1:11">
      <c r="A33" s="596">
        <v>32</v>
      </c>
      <c r="B33" s="585" t="s">
        <v>4270</v>
      </c>
      <c r="C33" s="586">
        <v>43032</v>
      </c>
      <c r="D33" s="585" t="s">
        <v>6</v>
      </c>
      <c r="E33" s="586">
        <v>43056</v>
      </c>
      <c r="F33" s="585" t="s">
        <v>6</v>
      </c>
      <c r="G33" s="586">
        <v>43056</v>
      </c>
      <c r="H33" s="586" t="s">
        <v>3320</v>
      </c>
      <c r="I33" s="586">
        <v>43059</v>
      </c>
      <c r="J33" s="587">
        <v>740</v>
      </c>
      <c r="K33" s="590"/>
    </row>
    <row r="34" spans="1:11">
      <c r="A34" s="596">
        <v>33</v>
      </c>
      <c r="B34" s="585" t="s">
        <v>6</v>
      </c>
      <c r="C34" s="586">
        <v>42396</v>
      </c>
      <c r="D34" s="585" t="s">
        <v>6</v>
      </c>
      <c r="E34" s="586">
        <v>43061</v>
      </c>
      <c r="F34" s="585" t="s">
        <v>6</v>
      </c>
      <c r="G34" s="586">
        <v>43061</v>
      </c>
      <c r="H34" s="586" t="s">
        <v>3318</v>
      </c>
      <c r="I34" s="586">
        <v>43062</v>
      </c>
      <c r="J34" s="587">
        <v>40</v>
      </c>
      <c r="K34" s="590"/>
    </row>
    <row r="35" spans="1:11">
      <c r="A35" s="596">
        <v>34</v>
      </c>
      <c r="B35" s="585" t="s">
        <v>6</v>
      </c>
      <c r="C35" s="586">
        <v>42984</v>
      </c>
      <c r="D35" s="585" t="s">
        <v>6</v>
      </c>
      <c r="E35" s="586">
        <v>43047</v>
      </c>
      <c r="F35" s="585" t="s">
        <v>4278</v>
      </c>
      <c r="G35" s="586">
        <v>43058</v>
      </c>
      <c r="H35" s="586" t="s">
        <v>3320</v>
      </c>
      <c r="I35" s="586">
        <v>43059</v>
      </c>
      <c r="J35" s="587">
        <v>200</v>
      </c>
      <c r="K35" s="590"/>
    </row>
    <row r="36" spans="1:11">
      <c r="A36" s="596">
        <v>35</v>
      </c>
      <c r="B36" s="585" t="s">
        <v>3344</v>
      </c>
      <c r="C36" s="586">
        <v>42338</v>
      </c>
      <c r="D36" s="585" t="s">
        <v>6</v>
      </c>
      <c r="E36" s="586">
        <v>43060</v>
      </c>
      <c r="F36" s="585" t="s">
        <v>4279</v>
      </c>
      <c r="G36" s="586">
        <v>43060</v>
      </c>
      <c r="H36" s="586" t="s">
        <v>3318</v>
      </c>
      <c r="I36" s="586">
        <v>43062</v>
      </c>
      <c r="J36" s="587">
        <v>660</v>
      </c>
      <c r="K36" s="590"/>
    </row>
    <row r="37" spans="1:11">
      <c r="A37" s="596">
        <v>36</v>
      </c>
      <c r="B37" s="585" t="s">
        <v>3330</v>
      </c>
      <c r="C37" s="586">
        <v>42373</v>
      </c>
      <c r="D37" s="585" t="s">
        <v>6</v>
      </c>
      <c r="E37" s="586">
        <v>43059</v>
      </c>
      <c r="F37" s="585" t="s">
        <v>3557</v>
      </c>
      <c r="G37" s="586">
        <v>43059</v>
      </c>
      <c r="H37" s="586" t="s">
        <v>3320</v>
      </c>
      <c r="I37" s="586">
        <v>43061</v>
      </c>
      <c r="J37" s="587">
        <v>1470</v>
      </c>
      <c r="K37" s="590"/>
    </row>
    <row r="38" spans="1:11">
      <c r="A38" s="596">
        <v>37</v>
      </c>
      <c r="B38" s="585" t="s">
        <v>4280</v>
      </c>
      <c r="C38" s="586">
        <v>42857</v>
      </c>
      <c r="D38" s="585" t="s">
        <v>6</v>
      </c>
      <c r="E38" s="586">
        <v>43062</v>
      </c>
      <c r="F38" s="585" t="s">
        <v>6</v>
      </c>
      <c r="G38" s="586">
        <v>43062</v>
      </c>
      <c r="H38" s="586" t="s">
        <v>3318</v>
      </c>
      <c r="I38" s="586">
        <v>43067</v>
      </c>
      <c r="J38" s="587">
        <v>400</v>
      </c>
      <c r="K38" s="590"/>
    </row>
    <row r="39" spans="1:11">
      <c r="A39" s="596">
        <v>38</v>
      </c>
      <c r="B39" s="585" t="s">
        <v>6</v>
      </c>
      <c r="C39" s="586">
        <v>43062</v>
      </c>
      <c r="D39" s="585" t="s">
        <v>6</v>
      </c>
      <c r="E39" s="586">
        <v>43063</v>
      </c>
      <c r="F39" s="585" t="s">
        <v>6</v>
      </c>
      <c r="G39" s="586">
        <v>43063</v>
      </c>
      <c r="H39" s="586" t="s">
        <v>3318</v>
      </c>
      <c r="I39" s="586">
        <v>43066</v>
      </c>
      <c r="J39" s="587">
        <v>380</v>
      </c>
      <c r="K39" s="590"/>
    </row>
    <row r="40" spans="1:11">
      <c r="A40" s="596">
        <v>39</v>
      </c>
      <c r="B40" s="585" t="s">
        <v>6</v>
      </c>
      <c r="C40" s="586">
        <v>42755</v>
      </c>
      <c r="D40" s="585" t="s">
        <v>6</v>
      </c>
      <c r="E40" s="586">
        <v>43063</v>
      </c>
      <c r="F40" s="585" t="s">
        <v>6</v>
      </c>
      <c r="G40" s="586">
        <v>43063</v>
      </c>
      <c r="H40" s="586" t="s">
        <v>3318</v>
      </c>
      <c r="I40" s="586">
        <v>43066</v>
      </c>
      <c r="J40" s="587">
        <v>480</v>
      </c>
      <c r="K40" s="590"/>
    </row>
    <row r="41" spans="1:11" ht="12.75" customHeight="1">
      <c r="A41" s="596">
        <v>40</v>
      </c>
      <c r="B41" s="585" t="s">
        <v>3330</v>
      </c>
      <c r="C41" s="586">
        <v>42373</v>
      </c>
      <c r="D41" s="585" t="s">
        <v>6</v>
      </c>
      <c r="E41" s="586">
        <v>43059</v>
      </c>
      <c r="F41" s="585" t="s">
        <v>3557</v>
      </c>
      <c r="G41" s="586">
        <v>43059</v>
      </c>
      <c r="H41" s="586" t="s">
        <v>3320</v>
      </c>
      <c r="I41" s="586">
        <v>43061</v>
      </c>
      <c r="J41" s="587">
        <v>1470</v>
      </c>
      <c r="K41" s="590"/>
    </row>
    <row r="42" spans="1:11">
      <c r="A42" s="596">
        <v>41</v>
      </c>
      <c r="B42" s="585">
        <v>13</v>
      </c>
      <c r="C42" s="586">
        <v>42914</v>
      </c>
      <c r="D42" s="585" t="s">
        <v>6</v>
      </c>
      <c r="E42" s="586">
        <v>43062</v>
      </c>
      <c r="F42" s="585" t="s">
        <v>3564</v>
      </c>
      <c r="G42" s="586">
        <v>43062</v>
      </c>
      <c r="H42" s="586" t="s">
        <v>3318</v>
      </c>
      <c r="I42" s="586">
        <v>43066</v>
      </c>
      <c r="J42" s="587">
        <v>480</v>
      </c>
      <c r="K42" s="590"/>
    </row>
    <row r="43" spans="1:11">
      <c r="A43" s="596">
        <v>42</v>
      </c>
      <c r="B43" s="585" t="s">
        <v>6</v>
      </c>
      <c r="C43" s="586">
        <v>42480</v>
      </c>
      <c r="D43" s="585" t="s">
        <v>6</v>
      </c>
      <c r="E43" s="586">
        <v>43063</v>
      </c>
      <c r="F43" s="586">
        <v>43063</v>
      </c>
      <c r="G43" s="586">
        <v>43063</v>
      </c>
      <c r="H43" s="586" t="s">
        <v>3318</v>
      </c>
      <c r="I43" s="586">
        <v>43066</v>
      </c>
      <c r="J43" s="587">
        <v>100</v>
      </c>
      <c r="K43" s="590"/>
    </row>
    <row r="44" spans="1:11">
      <c r="A44" s="596">
        <v>43</v>
      </c>
      <c r="B44" s="585" t="s">
        <v>3330</v>
      </c>
      <c r="C44" s="586">
        <v>42373</v>
      </c>
      <c r="D44" s="585" t="s">
        <v>6</v>
      </c>
      <c r="E44" s="586" t="s">
        <v>4281</v>
      </c>
      <c r="F44" s="585" t="s">
        <v>3557</v>
      </c>
      <c r="G44" s="586" t="s">
        <v>4281</v>
      </c>
      <c r="H44" s="586" t="s">
        <v>3320</v>
      </c>
      <c r="I44" s="586">
        <v>43066</v>
      </c>
      <c r="J44" s="587">
        <v>1600</v>
      </c>
      <c r="K44" s="590"/>
    </row>
    <row r="45" spans="1:11">
      <c r="A45" s="596">
        <v>44</v>
      </c>
      <c r="B45" s="585" t="s">
        <v>3344</v>
      </c>
      <c r="C45" s="586">
        <v>42338</v>
      </c>
      <c r="D45" s="585" t="s">
        <v>6</v>
      </c>
      <c r="E45" s="586">
        <v>43067</v>
      </c>
      <c r="F45" s="585" t="s">
        <v>6</v>
      </c>
      <c r="G45" s="586">
        <v>43067</v>
      </c>
      <c r="H45" s="586" t="s">
        <v>3318</v>
      </c>
      <c r="I45" s="586">
        <v>43069</v>
      </c>
      <c r="J45" s="587">
        <v>40</v>
      </c>
      <c r="K45" s="590"/>
    </row>
    <row r="46" spans="1:11">
      <c r="A46" s="596">
        <v>45</v>
      </c>
      <c r="B46" s="585" t="s">
        <v>3344</v>
      </c>
      <c r="C46" s="586">
        <v>42338</v>
      </c>
      <c r="D46" s="585" t="s">
        <v>6</v>
      </c>
      <c r="E46" s="586">
        <v>43067</v>
      </c>
      <c r="F46" s="585" t="s">
        <v>6</v>
      </c>
      <c r="G46" s="586">
        <v>43067</v>
      </c>
      <c r="H46" s="586" t="s">
        <v>3318</v>
      </c>
      <c r="I46" s="586">
        <v>43069</v>
      </c>
      <c r="J46" s="587">
        <v>560</v>
      </c>
      <c r="K46" s="590"/>
    </row>
    <row r="47" spans="1:11">
      <c r="A47" s="596">
        <v>46</v>
      </c>
      <c r="B47" s="585" t="s">
        <v>6</v>
      </c>
      <c r="C47" s="586">
        <v>42445</v>
      </c>
      <c r="D47" s="585" t="s">
        <v>6</v>
      </c>
      <c r="E47" s="586">
        <v>43067</v>
      </c>
      <c r="F47" s="585">
        <v>24123</v>
      </c>
      <c r="G47" s="586">
        <v>43067</v>
      </c>
      <c r="H47" s="586" t="s">
        <v>3318</v>
      </c>
      <c r="I47" s="586">
        <v>43069</v>
      </c>
      <c r="J47" s="587">
        <v>600</v>
      </c>
      <c r="K47" s="590"/>
    </row>
    <row r="48" spans="1:11">
      <c r="A48" s="596">
        <v>47</v>
      </c>
      <c r="B48" s="585" t="s">
        <v>3330</v>
      </c>
      <c r="C48" s="586">
        <v>42373</v>
      </c>
      <c r="D48" s="585" t="s">
        <v>6</v>
      </c>
      <c r="E48" s="586" t="s">
        <v>4282</v>
      </c>
      <c r="F48" s="585" t="s">
        <v>3547</v>
      </c>
      <c r="G48" s="586" t="s">
        <v>4282</v>
      </c>
      <c r="H48" s="586" t="s">
        <v>3320</v>
      </c>
      <c r="I48" s="586">
        <v>43067</v>
      </c>
      <c r="J48" s="587">
        <v>1530</v>
      </c>
      <c r="K48" s="590"/>
    </row>
    <row r="49" spans="1:11">
      <c r="A49" s="596">
        <v>48</v>
      </c>
      <c r="B49" s="585" t="s">
        <v>3330</v>
      </c>
      <c r="C49" s="586">
        <v>42373</v>
      </c>
      <c r="D49" s="585" t="s">
        <v>6</v>
      </c>
      <c r="E49" s="586">
        <v>43067</v>
      </c>
      <c r="F49" s="585" t="s">
        <v>3547</v>
      </c>
      <c r="G49" s="586">
        <v>43067</v>
      </c>
      <c r="H49" s="586" t="s">
        <v>3320</v>
      </c>
      <c r="I49" s="586">
        <v>43069</v>
      </c>
      <c r="J49" s="587">
        <v>1530</v>
      </c>
      <c r="K49" s="590"/>
    </row>
    <row r="50" spans="1:11">
      <c r="A50" s="596">
        <v>49</v>
      </c>
      <c r="B50" s="585" t="s">
        <v>6</v>
      </c>
      <c r="C50" s="586"/>
      <c r="D50" s="585" t="s">
        <v>6</v>
      </c>
      <c r="E50" s="586"/>
      <c r="F50" s="585" t="s">
        <v>6</v>
      </c>
      <c r="G50" s="586"/>
      <c r="H50" s="586"/>
      <c r="I50" s="586"/>
      <c r="J50" s="587"/>
      <c r="K50" s="590"/>
    </row>
    <row r="51" spans="1:11">
      <c r="A51" s="596">
        <v>50</v>
      </c>
      <c r="B51" s="585" t="s">
        <v>6</v>
      </c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90"/>
    </row>
    <row r="52" spans="1:11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/>
      <c r="G79" s="586"/>
      <c r="H79" s="586"/>
      <c r="I79" s="586"/>
      <c r="J79" s="587"/>
      <c r="K79" s="590"/>
    </row>
  </sheetData>
  <conditionalFormatting sqref="E54">
    <cfRule type="timePeriod" dxfId="55" priority="14" timePeriod="lastMonth">
      <formula>AND(MONTH(E54)=MONTH(EDATE(TODAY(),0-1)),YEAR(E54)=YEAR(EDATE(TODAY(),0-1)))</formula>
    </cfRule>
  </conditionalFormatting>
  <conditionalFormatting sqref="G54">
    <cfRule type="timePeriod" dxfId="54" priority="13" timePeriod="lastMonth">
      <formula>AND(MONTH(G54)=MONTH(EDATE(TODAY(),0-1)),YEAR(G54)=YEAR(EDATE(TODAY(),0-1)))</formula>
    </cfRule>
  </conditionalFormatting>
  <conditionalFormatting sqref="C13">
    <cfRule type="timePeriod" dxfId="53" priority="12" timePeriod="lastMonth">
      <formula>AND(MONTH(C13)=MONTH(EDATE(TODAY(),0-1)),YEAR(C13)=YEAR(EDATE(TODAY(),0-1)))</formula>
    </cfRule>
  </conditionalFormatting>
  <conditionalFormatting sqref="C16">
    <cfRule type="timePeriod" dxfId="52" priority="11" timePeriod="lastMonth">
      <formula>AND(MONTH(C16)=MONTH(EDATE(TODAY(),0-1)),YEAR(C16)=YEAR(EDATE(TODAY(),0-1)))</formula>
    </cfRule>
  </conditionalFormatting>
  <conditionalFormatting sqref="C20">
    <cfRule type="timePeriod" dxfId="51" priority="10" timePeriod="lastMonth">
      <formula>AND(MONTH(C20)=MONTH(EDATE(TODAY(),0-1)),YEAR(C20)=YEAR(EDATE(TODAY(),0-1)))</formula>
    </cfRule>
  </conditionalFormatting>
  <conditionalFormatting sqref="C23">
    <cfRule type="timePeriod" dxfId="50" priority="9" timePeriod="lastMonth">
      <formula>AND(MONTH(C23)=MONTH(EDATE(TODAY(),0-1)),YEAR(C23)=YEAR(EDATE(TODAY(),0-1)))</formula>
    </cfRule>
  </conditionalFormatting>
  <conditionalFormatting sqref="C26">
    <cfRule type="timePeriod" dxfId="49" priority="8" timePeriod="lastMonth">
      <formula>AND(MONTH(C26)=MONTH(EDATE(TODAY(),0-1)),YEAR(C26)=YEAR(EDATE(TODAY(),0-1)))</formula>
    </cfRule>
  </conditionalFormatting>
  <conditionalFormatting sqref="C28">
    <cfRule type="timePeriod" dxfId="48" priority="7" timePeriod="lastMonth">
      <formula>AND(MONTH(C28)=MONTH(EDATE(TODAY(),0-1)),YEAR(C28)=YEAR(EDATE(TODAY(),0-1)))</formula>
    </cfRule>
  </conditionalFormatting>
  <conditionalFormatting sqref="C32">
    <cfRule type="timePeriod" dxfId="47" priority="6" timePeriod="lastMonth">
      <formula>AND(MONTH(C32)=MONTH(EDATE(TODAY(),0-1)),YEAR(C32)=YEAR(EDATE(TODAY(),0-1)))</formula>
    </cfRule>
  </conditionalFormatting>
  <conditionalFormatting sqref="C37">
    <cfRule type="timePeriod" dxfId="46" priority="5" timePeriod="lastMonth">
      <formula>AND(MONTH(C37)=MONTH(EDATE(TODAY(),0-1)),YEAR(C37)=YEAR(EDATE(TODAY(),0-1)))</formula>
    </cfRule>
  </conditionalFormatting>
  <conditionalFormatting sqref="C41">
    <cfRule type="timePeriod" dxfId="45" priority="4" timePeriod="lastMonth">
      <formula>AND(MONTH(C41)=MONTH(EDATE(TODAY(),0-1)),YEAR(C41)=YEAR(EDATE(TODAY(),0-1)))</formula>
    </cfRule>
  </conditionalFormatting>
  <conditionalFormatting sqref="C44">
    <cfRule type="timePeriod" dxfId="44" priority="3" timePeriod="lastMonth">
      <formula>AND(MONTH(C44)=MONTH(EDATE(TODAY(),0-1)),YEAR(C44)=YEAR(EDATE(TODAY(),0-1)))</formula>
    </cfRule>
  </conditionalFormatting>
  <conditionalFormatting sqref="C48">
    <cfRule type="timePeriod" dxfId="43" priority="2" timePeriod="lastMonth">
      <formula>AND(MONTH(C48)=MONTH(EDATE(TODAY(),0-1)),YEAR(C48)=YEAR(EDATE(TODAY(),0-1)))</formula>
    </cfRule>
  </conditionalFormatting>
  <conditionalFormatting sqref="C49">
    <cfRule type="timePeriod" dxfId="42" priority="1" timePeriod="lastMonth">
      <formula>AND(MONTH(C49)=MONTH(EDATE(TODAY(),0-1)),YEAR(C49)=YEAR(EDATE(TODAY(),0-1)))</formula>
    </cfRule>
  </conditionalFormatting>
  <pageMargins left="0.7" right="0.7" top="0.75" bottom="0.75" header="0.3" footer="0.3"/>
  <pageSetup paperSize="9" fitToHeight="0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topLeftCell="A34" zoomScaleNormal="100" workbookViewId="0">
      <selection sqref="A1:I98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78" t="s">
        <v>4260</v>
      </c>
      <c r="B2" s="678"/>
      <c r="C2" s="678"/>
      <c r="D2" s="678"/>
      <c r="E2" s="678"/>
      <c r="F2" s="678"/>
      <c r="G2" s="678"/>
      <c r="H2" s="620"/>
      <c r="I2" s="641"/>
    </row>
    <row r="3" spans="1:9">
      <c r="A3" s="679">
        <v>1</v>
      </c>
      <c r="B3" s="658" t="s">
        <v>3407</v>
      </c>
      <c r="C3" s="658" t="s">
        <v>4198</v>
      </c>
      <c r="D3" s="658" t="s">
        <v>2723</v>
      </c>
      <c r="E3" s="657">
        <v>50</v>
      </c>
      <c r="F3" s="657">
        <v>50</v>
      </c>
      <c r="G3" s="681"/>
      <c r="H3" s="620"/>
      <c r="I3" s="640">
        <f>SUM(F3:F102)</f>
        <v>33099</v>
      </c>
    </row>
    <row r="4" spans="1:9">
      <c r="A4" s="680"/>
      <c r="B4" s="658"/>
      <c r="C4" s="658"/>
      <c r="D4" s="658"/>
      <c r="E4" s="657"/>
      <c r="F4" s="657"/>
      <c r="G4" s="681"/>
      <c r="H4" s="620"/>
    </row>
    <row r="5" spans="1:9">
      <c r="A5" s="679">
        <v>2</v>
      </c>
      <c r="B5" s="658" t="s">
        <v>3408</v>
      </c>
      <c r="C5" s="658" t="s">
        <v>4198</v>
      </c>
      <c r="D5" s="658" t="s">
        <v>1601</v>
      </c>
      <c r="E5" s="657">
        <v>900</v>
      </c>
      <c r="F5" s="657">
        <v>900</v>
      </c>
      <c r="G5" s="681"/>
      <c r="H5" s="13"/>
      <c r="I5" s="5"/>
    </row>
    <row r="6" spans="1:9">
      <c r="A6" s="680"/>
      <c r="B6" s="658"/>
      <c r="C6" s="658"/>
      <c r="D6" s="658"/>
      <c r="E6" s="657"/>
      <c r="F6" s="657"/>
      <c r="G6" s="681"/>
      <c r="H6" s="13"/>
    </row>
    <row r="7" spans="1:9">
      <c r="A7" s="679">
        <v>3</v>
      </c>
      <c r="B7" s="658" t="s">
        <v>4205</v>
      </c>
      <c r="C7" s="658" t="s">
        <v>4198</v>
      </c>
      <c r="D7" s="658" t="s">
        <v>239</v>
      </c>
      <c r="E7" s="657">
        <v>920</v>
      </c>
      <c r="F7" s="657">
        <f t="shared" ref="F7" si="0">E7</f>
        <v>920</v>
      </c>
      <c r="G7" s="681"/>
      <c r="H7" s="13"/>
    </row>
    <row r="8" spans="1:9">
      <c r="A8" s="680"/>
      <c r="B8" s="658"/>
      <c r="C8" s="658"/>
      <c r="D8" s="658"/>
      <c r="E8" s="657"/>
      <c r="F8" s="657"/>
      <c r="G8" s="681"/>
      <c r="H8" s="13"/>
    </row>
    <row r="9" spans="1:9">
      <c r="A9" s="679">
        <v>4</v>
      </c>
      <c r="B9" s="658" t="s">
        <v>3424</v>
      </c>
      <c r="C9" s="658" t="s">
        <v>4198</v>
      </c>
      <c r="D9" s="658" t="s">
        <v>4203</v>
      </c>
      <c r="E9" s="657">
        <v>550</v>
      </c>
      <c r="F9" s="657">
        <f t="shared" ref="F9" si="1">E9</f>
        <v>550</v>
      </c>
      <c r="G9" s="681"/>
      <c r="H9" s="13"/>
    </row>
    <row r="10" spans="1:9">
      <c r="A10" s="680"/>
      <c r="B10" s="658"/>
      <c r="C10" s="658"/>
      <c r="D10" s="658"/>
      <c r="E10" s="657"/>
      <c r="F10" s="657"/>
      <c r="G10" s="681"/>
      <c r="H10" s="13"/>
    </row>
    <row r="11" spans="1:9">
      <c r="A11" s="679">
        <v>5</v>
      </c>
      <c r="B11" s="658" t="s">
        <v>3410</v>
      </c>
      <c r="C11" s="658" t="s">
        <v>4204</v>
      </c>
      <c r="D11" s="658" t="s">
        <v>1601</v>
      </c>
      <c r="E11" s="657">
        <v>580</v>
      </c>
      <c r="F11" s="657">
        <f t="shared" ref="F11" si="2">E11</f>
        <v>580</v>
      </c>
      <c r="G11" s="681"/>
      <c r="H11" s="13"/>
    </row>
    <row r="12" spans="1:9">
      <c r="A12" s="680"/>
      <c r="B12" s="658"/>
      <c r="C12" s="658"/>
      <c r="D12" s="658"/>
      <c r="E12" s="657"/>
      <c r="F12" s="657"/>
      <c r="G12" s="681"/>
      <c r="H12" s="13"/>
    </row>
    <row r="13" spans="1:9">
      <c r="A13" s="679">
        <v>6</v>
      </c>
      <c r="B13" s="658" t="s">
        <v>3411</v>
      </c>
      <c r="C13" s="658" t="s">
        <v>4204</v>
      </c>
      <c r="D13" s="658" t="s">
        <v>2376</v>
      </c>
      <c r="E13" s="657">
        <v>40</v>
      </c>
      <c r="F13" s="657">
        <f t="shared" ref="F13" si="3">E13</f>
        <v>40</v>
      </c>
      <c r="G13" s="681"/>
      <c r="H13" s="13"/>
    </row>
    <row r="14" spans="1:9">
      <c r="A14" s="680"/>
      <c r="B14" s="658"/>
      <c r="C14" s="658"/>
      <c r="D14" s="658"/>
      <c r="E14" s="657"/>
      <c r="F14" s="657"/>
      <c r="G14" s="681"/>
      <c r="H14" s="13"/>
    </row>
    <row r="15" spans="1:9">
      <c r="A15" s="679">
        <v>7</v>
      </c>
      <c r="B15" s="658" t="s">
        <v>3419</v>
      </c>
      <c r="C15" s="658" t="s">
        <v>4204</v>
      </c>
      <c r="D15" s="658" t="s">
        <v>2375</v>
      </c>
      <c r="E15" s="657">
        <v>60</v>
      </c>
      <c r="F15" s="657">
        <f t="shared" ref="F15" si="4">E15</f>
        <v>60</v>
      </c>
      <c r="G15" s="681"/>
      <c r="H15" s="13"/>
    </row>
    <row r="16" spans="1:9">
      <c r="A16" s="680"/>
      <c r="B16" s="658"/>
      <c r="C16" s="658"/>
      <c r="D16" s="658"/>
      <c r="E16" s="657"/>
      <c r="F16" s="657"/>
      <c r="G16" s="681"/>
      <c r="H16" s="13"/>
    </row>
    <row r="17" spans="1:15">
      <c r="A17" s="679">
        <v>8</v>
      </c>
      <c r="B17" s="658" t="s">
        <v>4206</v>
      </c>
      <c r="C17" s="658" t="s">
        <v>4198</v>
      </c>
      <c r="D17" s="658" t="s">
        <v>239</v>
      </c>
      <c r="E17" s="657">
        <v>43270</v>
      </c>
      <c r="F17" s="657">
        <v>1470</v>
      </c>
      <c r="G17" s="681">
        <v>3.3972000000000002</v>
      </c>
      <c r="H17" s="13"/>
    </row>
    <row r="18" spans="1:15">
      <c r="A18" s="680"/>
      <c r="B18" s="658"/>
      <c r="C18" s="658"/>
      <c r="D18" s="658"/>
      <c r="E18" s="657"/>
      <c r="F18" s="657"/>
      <c r="G18" s="681"/>
      <c r="H18" s="13"/>
    </row>
    <row r="19" spans="1:15">
      <c r="A19" s="679">
        <v>9</v>
      </c>
      <c r="B19" s="658" t="s">
        <v>3420</v>
      </c>
      <c r="C19" s="658" t="s">
        <v>4204</v>
      </c>
      <c r="D19" s="658" t="s">
        <v>2723</v>
      </c>
      <c r="E19" s="657">
        <v>500</v>
      </c>
      <c r="F19" s="657">
        <f t="shared" ref="F19" si="5">E19</f>
        <v>500</v>
      </c>
      <c r="G19" s="681"/>
      <c r="H19" s="13"/>
    </row>
    <row r="20" spans="1:15">
      <c r="A20" s="680"/>
      <c r="B20" s="658"/>
      <c r="C20" s="658"/>
      <c r="D20" s="658"/>
      <c r="E20" s="657"/>
      <c r="F20" s="657"/>
      <c r="G20" s="681"/>
      <c r="H20" s="13"/>
    </row>
    <row r="21" spans="1:15">
      <c r="A21" s="679">
        <v>10</v>
      </c>
      <c r="B21" s="658" t="s">
        <v>3425</v>
      </c>
      <c r="C21" s="658" t="s">
        <v>4204</v>
      </c>
      <c r="D21" s="658" t="s">
        <v>3025</v>
      </c>
      <c r="E21" s="657">
        <v>99</v>
      </c>
      <c r="F21" s="657">
        <f t="shared" ref="F21" si="6">E21</f>
        <v>99</v>
      </c>
      <c r="G21" s="681"/>
      <c r="H21" s="13"/>
    </row>
    <row r="22" spans="1:15">
      <c r="A22" s="680"/>
      <c r="B22" s="658"/>
      <c r="C22" s="658"/>
      <c r="D22" s="658"/>
      <c r="E22" s="657"/>
      <c r="F22" s="657"/>
      <c r="G22" s="681"/>
      <c r="H22" s="13"/>
    </row>
    <row r="23" spans="1:15">
      <c r="A23" s="679">
        <v>11</v>
      </c>
      <c r="B23" s="658" t="s">
        <v>3426</v>
      </c>
      <c r="C23" s="658" t="s">
        <v>4204</v>
      </c>
      <c r="D23" s="658" t="s">
        <v>2723</v>
      </c>
      <c r="E23" s="657">
        <v>220</v>
      </c>
      <c r="F23" s="657">
        <f t="shared" ref="F23" si="7">E23</f>
        <v>220</v>
      </c>
      <c r="G23" s="681"/>
      <c r="H23" s="13"/>
    </row>
    <row r="24" spans="1:15">
      <c r="A24" s="680"/>
      <c r="B24" s="658"/>
      <c r="C24" s="658"/>
      <c r="D24" s="658"/>
      <c r="E24" s="657"/>
      <c r="F24" s="657"/>
      <c r="G24" s="681"/>
      <c r="H24" s="13"/>
    </row>
    <row r="25" spans="1:15">
      <c r="A25" s="679">
        <v>12</v>
      </c>
      <c r="B25" s="658" t="s">
        <v>4215</v>
      </c>
      <c r="C25" s="658" t="s">
        <v>4214</v>
      </c>
      <c r="D25" s="658" t="s">
        <v>239</v>
      </c>
      <c r="E25" s="657">
        <v>45457</v>
      </c>
      <c r="F25" s="657">
        <v>1530</v>
      </c>
      <c r="G25" s="681">
        <v>3.3658000000000001</v>
      </c>
      <c r="H25" s="13"/>
    </row>
    <row r="26" spans="1:15">
      <c r="A26" s="680"/>
      <c r="B26" s="658"/>
      <c r="C26" s="658"/>
      <c r="D26" s="658"/>
      <c r="E26" s="657"/>
      <c r="F26" s="657"/>
      <c r="G26" s="681"/>
      <c r="H26" s="13"/>
    </row>
    <row r="27" spans="1:15">
      <c r="A27" s="679">
        <v>13</v>
      </c>
      <c r="B27" s="658" t="s">
        <v>3428</v>
      </c>
      <c r="C27" s="658" t="s">
        <v>4209</v>
      </c>
      <c r="D27" s="658" t="s">
        <v>4207</v>
      </c>
      <c r="E27" s="657">
        <v>100</v>
      </c>
      <c r="F27" s="657">
        <f t="shared" ref="F27" si="8">E27</f>
        <v>100</v>
      </c>
      <c r="G27" s="681"/>
      <c r="H27" s="13"/>
    </row>
    <row r="28" spans="1:15">
      <c r="A28" s="680"/>
      <c r="B28" s="658"/>
      <c r="C28" s="658"/>
      <c r="D28" s="658"/>
      <c r="E28" s="657"/>
      <c r="F28" s="657"/>
      <c r="G28" s="681"/>
      <c r="H28" s="13"/>
    </row>
    <row r="29" spans="1:15">
      <c r="A29" s="679">
        <v>14</v>
      </c>
      <c r="B29" s="658" t="s">
        <v>3429</v>
      </c>
      <c r="C29" s="658" t="s">
        <v>4209</v>
      </c>
      <c r="D29" s="658" t="s">
        <v>4208</v>
      </c>
      <c r="E29" s="657">
        <v>550</v>
      </c>
      <c r="F29" s="657">
        <f t="shared" ref="F29" si="9">E29</f>
        <v>550</v>
      </c>
      <c r="G29" s="681"/>
      <c r="H29" s="13"/>
    </row>
    <row r="30" spans="1:15">
      <c r="A30" s="680"/>
      <c r="B30" s="658"/>
      <c r="C30" s="658"/>
      <c r="D30" s="658"/>
      <c r="E30" s="657"/>
      <c r="F30" s="657"/>
      <c r="G30" s="681"/>
      <c r="H30" s="13"/>
    </row>
    <row r="31" spans="1:15">
      <c r="A31" s="679">
        <v>15</v>
      </c>
      <c r="B31" s="658" t="s">
        <v>4219</v>
      </c>
      <c r="C31" s="658" t="s">
        <v>4218</v>
      </c>
      <c r="D31" s="658" t="s">
        <v>239</v>
      </c>
      <c r="E31" s="657">
        <v>1470</v>
      </c>
      <c r="F31" s="657">
        <f t="shared" ref="F31" si="10">E31</f>
        <v>1470</v>
      </c>
      <c r="G31" s="681"/>
      <c r="H31" s="13"/>
    </row>
    <row r="32" spans="1:15">
      <c r="A32" s="680"/>
      <c r="B32" s="658"/>
      <c r="C32" s="658"/>
      <c r="D32" s="658"/>
      <c r="E32" s="657"/>
      <c r="F32" s="657"/>
      <c r="G32" s="681"/>
      <c r="H32" s="13"/>
      <c r="M32" s="628"/>
      <c r="O32" s="628"/>
    </row>
    <row r="33" spans="1:18" ht="15.75">
      <c r="A33" s="679">
        <v>16</v>
      </c>
      <c r="B33" s="658" t="s">
        <v>3437</v>
      </c>
      <c r="C33" s="658" t="s">
        <v>4211</v>
      </c>
      <c r="D33" s="658" t="s">
        <v>3258</v>
      </c>
      <c r="E33" s="657">
        <v>400</v>
      </c>
      <c r="F33" s="657">
        <f t="shared" ref="F33" si="11">E33</f>
        <v>400</v>
      </c>
      <c r="G33" s="681"/>
      <c r="H33" s="13"/>
      <c r="M33" s="629"/>
      <c r="O33" s="628"/>
    </row>
    <row r="34" spans="1:18">
      <c r="A34" s="680"/>
      <c r="B34" s="658"/>
      <c r="C34" s="658"/>
      <c r="D34" s="658"/>
      <c r="E34" s="657"/>
      <c r="F34" s="657"/>
      <c r="G34" s="681"/>
      <c r="H34" s="13"/>
      <c r="N34" s="630"/>
    </row>
    <row r="35" spans="1:18" ht="15.75">
      <c r="A35" s="679">
        <v>17</v>
      </c>
      <c r="B35" s="658" t="s">
        <v>3441</v>
      </c>
      <c r="C35" s="658" t="s">
        <v>4211</v>
      </c>
      <c r="D35" s="658" t="s">
        <v>4210</v>
      </c>
      <c r="E35" s="657">
        <v>350</v>
      </c>
      <c r="F35" s="657">
        <f t="shared" ref="F35" si="12">E35</f>
        <v>350</v>
      </c>
      <c r="G35" s="681"/>
      <c r="H35" s="13"/>
      <c r="N35" s="606"/>
      <c r="R35" s="637" t="s">
        <v>4104</v>
      </c>
    </row>
    <row r="36" spans="1:18">
      <c r="A36" s="680"/>
      <c r="B36" s="658"/>
      <c r="C36" s="658"/>
      <c r="D36" s="658"/>
      <c r="E36" s="657"/>
      <c r="F36" s="657"/>
      <c r="G36" s="681"/>
      <c r="H36" s="13"/>
    </row>
    <row r="37" spans="1:18">
      <c r="A37" s="679">
        <v>18</v>
      </c>
      <c r="B37" s="658" t="s">
        <v>3442</v>
      </c>
      <c r="C37" s="658" t="s">
        <v>4211</v>
      </c>
      <c r="D37" s="658" t="s">
        <v>2547</v>
      </c>
      <c r="E37" s="657">
        <v>500</v>
      </c>
      <c r="F37" s="657">
        <f t="shared" ref="F37" si="13">E37</f>
        <v>500</v>
      </c>
      <c r="G37" s="681"/>
      <c r="H37" s="13"/>
    </row>
    <row r="38" spans="1:18">
      <c r="A38" s="680"/>
      <c r="B38" s="658"/>
      <c r="C38" s="658"/>
      <c r="D38" s="658"/>
      <c r="E38" s="657"/>
      <c r="F38" s="657"/>
      <c r="G38" s="681"/>
      <c r="H38" s="13"/>
    </row>
    <row r="39" spans="1:18">
      <c r="A39" s="679">
        <v>19</v>
      </c>
      <c r="B39" s="658" t="s">
        <v>4217</v>
      </c>
      <c r="C39" s="658" t="s">
        <v>4216</v>
      </c>
      <c r="D39" s="658" t="s">
        <v>239</v>
      </c>
      <c r="E39" s="657">
        <v>1470</v>
      </c>
      <c r="F39" s="657">
        <f t="shared" ref="F39" si="14">E39</f>
        <v>1470</v>
      </c>
      <c r="G39" s="681"/>
      <c r="H39" s="13"/>
    </row>
    <row r="40" spans="1:18">
      <c r="A40" s="680"/>
      <c r="B40" s="658"/>
      <c r="C40" s="658"/>
      <c r="D40" s="658"/>
      <c r="E40" s="657"/>
      <c r="F40" s="657"/>
      <c r="G40" s="681"/>
      <c r="H40" s="13"/>
    </row>
    <row r="41" spans="1:18">
      <c r="A41" s="679">
        <v>20</v>
      </c>
      <c r="B41" s="658" t="s">
        <v>3446</v>
      </c>
      <c r="C41" s="658" t="s">
        <v>4211</v>
      </c>
      <c r="D41" s="658" t="s">
        <v>1661</v>
      </c>
      <c r="E41" s="657">
        <v>520</v>
      </c>
      <c r="F41" s="657">
        <f t="shared" ref="F41" si="15">E41</f>
        <v>520</v>
      </c>
      <c r="G41" s="681"/>
      <c r="H41" s="13"/>
    </row>
    <row r="42" spans="1:18">
      <c r="A42" s="680"/>
      <c r="B42" s="658"/>
      <c r="C42" s="658"/>
      <c r="D42" s="658"/>
      <c r="E42" s="657"/>
      <c r="F42" s="657"/>
      <c r="G42" s="681"/>
      <c r="H42" s="13"/>
    </row>
    <row r="43" spans="1:18">
      <c r="A43" s="679">
        <v>21</v>
      </c>
      <c r="B43" s="658" t="s">
        <v>3447</v>
      </c>
      <c r="C43" s="658" t="s">
        <v>4211</v>
      </c>
      <c r="D43" s="658" t="s">
        <v>3025</v>
      </c>
      <c r="E43" s="657">
        <v>100</v>
      </c>
      <c r="F43" s="657">
        <f t="shared" ref="F43" si="16">E43</f>
        <v>100</v>
      </c>
      <c r="G43" s="681"/>
      <c r="H43" s="13"/>
      <c r="I43" s="628"/>
    </row>
    <row r="44" spans="1:18" ht="15.75">
      <c r="A44" s="680"/>
      <c r="B44" s="658"/>
      <c r="C44" s="658"/>
      <c r="D44" s="658"/>
      <c r="E44" s="657"/>
      <c r="F44" s="657"/>
      <c r="G44" s="681"/>
      <c r="H44" s="13"/>
      <c r="I44" s="606"/>
    </row>
    <row r="45" spans="1:18">
      <c r="A45" s="679">
        <v>22</v>
      </c>
      <c r="B45" s="658" t="s">
        <v>4235</v>
      </c>
      <c r="C45" s="658" t="s">
        <v>4211</v>
      </c>
      <c r="D45" s="658" t="s">
        <v>239</v>
      </c>
      <c r="E45" s="657">
        <v>43728</v>
      </c>
      <c r="F45" s="657">
        <v>1470</v>
      </c>
      <c r="G45" s="681">
        <v>3.3616999999999999</v>
      </c>
      <c r="H45" s="13"/>
    </row>
    <row r="46" spans="1:18">
      <c r="A46" s="680"/>
      <c r="B46" s="658"/>
      <c r="C46" s="658"/>
      <c r="D46" s="658"/>
      <c r="E46" s="657"/>
      <c r="F46" s="657"/>
      <c r="G46" s="681"/>
      <c r="H46" s="13"/>
    </row>
    <row r="47" spans="1:18">
      <c r="A47" s="679">
        <v>23</v>
      </c>
      <c r="B47" s="658" t="s">
        <v>3449</v>
      </c>
      <c r="C47" s="658" t="s">
        <v>4234</v>
      </c>
      <c r="D47" s="658" t="s">
        <v>3860</v>
      </c>
      <c r="E47" s="657">
        <v>700</v>
      </c>
      <c r="F47" s="657">
        <f t="shared" ref="F47" si="17">E47</f>
        <v>700</v>
      </c>
      <c r="G47" s="681"/>
      <c r="H47" s="13"/>
    </row>
    <row r="48" spans="1:18">
      <c r="A48" s="680"/>
      <c r="B48" s="658"/>
      <c r="C48" s="658"/>
      <c r="D48" s="658"/>
      <c r="E48" s="657"/>
      <c r="F48" s="657"/>
      <c r="G48" s="681"/>
      <c r="H48" s="13"/>
    </row>
    <row r="49" spans="1:14">
      <c r="A49" s="679">
        <v>24</v>
      </c>
      <c r="B49" s="658" t="s">
        <v>3450</v>
      </c>
      <c r="C49" s="658" t="s">
        <v>4234</v>
      </c>
      <c r="D49" s="658" t="s">
        <v>3309</v>
      </c>
      <c r="E49" s="657">
        <v>460</v>
      </c>
      <c r="F49" s="657">
        <f t="shared" ref="F49" si="18">E49</f>
        <v>460</v>
      </c>
      <c r="G49" s="681"/>
      <c r="H49" s="13"/>
    </row>
    <row r="50" spans="1:14">
      <c r="A50" s="680"/>
      <c r="B50" s="658"/>
      <c r="C50" s="658"/>
      <c r="D50" s="658"/>
      <c r="E50" s="657"/>
      <c r="F50" s="657"/>
      <c r="G50" s="681"/>
      <c r="H50" s="13"/>
    </row>
    <row r="51" spans="1:14" ht="15.75">
      <c r="A51" s="679">
        <v>25</v>
      </c>
      <c r="B51" s="658" t="s">
        <v>4238</v>
      </c>
      <c r="C51" s="658" t="s">
        <v>4234</v>
      </c>
      <c r="D51" s="658" t="s">
        <v>1873</v>
      </c>
      <c r="E51" s="657">
        <v>1470</v>
      </c>
      <c r="F51" s="657">
        <f t="shared" ref="F51" si="19">E51</f>
        <v>1470</v>
      </c>
      <c r="G51" s="681"/>
      <c r="H51" s="13"/>
      <c r="I51" s="631"/>
    </row>
    <row r="52" spans="1:14" ht="15.75">
      <c r="A52" s="680"/>
      <c r="B52" s="658"/>
      <c r="C52" s="658"/>
      <c r="D52" s="658"/>
      <c r="E52" s="657"/>
      <c r="F52" s="657"/>
      <c r="G52" s="681"/>
      <c r="H52" s="13"/>
      <c r="I52" s="606"/>
    </row>
    <row r="53" spans="1:14">
      <c r="A53" s="679">
        <v>26</v>
      </c>
      <c r="B53" s="658" t="s">
        <v>4237</v>
      </c>
      <c r="C53" s="658" t="s">
        <v>4236</v>
      </c>
      <c r="D53" s="658" t="s">
        <v>1601</v>
      </c>
      <c r="E53" s="657">
        <v>1350</v>
      </c>
      <c r="F53" s="657">
        <f t="shared" ref="F53" si="20">E53</f>
        <v>1350</v>
      </c>
      <c r="G53" s="681"/>
      <c r="H53" s="13"/>
    </row>
    <row r="54" spans="1:14">
      <c r="A54" s="680"/>
      <c r="B54" s="658"/>
      <c r="C54" s="658"/>
      <c r="D54" s="658"/>
      <c r="E54" s="657"/>
      <c r="F54" s="657"/>
      <c r="G54" s="681"/>
      <c r="H54" s="13"/>
    </row>
    <row r="55" spans="1:14" ht="15.75">
      <c r="A55" s="679">
        <v>27</v>
      </c>
      <c r="B55" s="658" t="s">
        <v>4240</v>
      </c>
      <c r="C55" s="658" t="s">
        <v>4239</v>
      </c>
      <c r="D55" s="658" t="s">
        <v>1873</v>
      </c>
      <c r="E55" s="657">
        <v>47753</v>
      </c>
      <c r="F55" s="657">
        <v>1590</v>
      </c>
      <c r="G55" s="681">
        <v>3.3296000000000001</v>
      </c>
      <c r="H55" s="13"/>
      <c r="I55" s="632"/>
    </row>
    <row r="56" spans="1:14" ht="15.75">
      <c r="A56" s="680"/>
      <c r="B56" s="658"/>
      <c r="C56" s="658"/>
      <c r="D56" s="658"/>
      <c r="E56" s="657"/>
      <c r="F56" s="657"/>
      <c r="G56" s="681"/>
      <c r="H56" s="13"/>
      <c r="I56" s="632"/>
      <c r="N56" s="606"/>
    </row>
    <row r="57" spans="1:14" ht="15.75">
      <c r="A57" s="679">
        <v>28</v>
      </c>
      <c r="B57" s="658" t="s">
        <v>3451</v>
      </c>
      <c r="C57" s="658" t="s">
        <v>4236</v>
      </c>
      <c r="D57" s="658" t="s">
        <v>1140</v>
      </c>
      <c r="E57" s="657">
        <v>450</v>
      </c>
      <c r="F57" s="657">
        <f t="shared" ref="F57" si="21">E57</f>
        <v>450</v>
      </c>
      <c r="G57" s="681"/>
      <c r="H57" s="13"/>
      <c r="I57" s="632"/>
    </row>
    <row r="58" spans="1:14" ht="15.75">
      <c r="A58" s="680"/>
      <c r="B58" s="658"/>
      <c r="C58" s="658"/>
      <c r="D58" s="658"/>
      <c r="E58" s="657"/>
      <c r="F58" s="657"/>
      <c r="G58" s="681"/>
      <c r="H58" s="13"/>
      <c r="I58" s="632"/>
      <c r="L58" s="629"/>
    </row>
    <row r="59" spans="1:14">
      <c r="A59" s="679">
        <v>29</v>
      </c>
      <c r="B59" s="658" t="s">
        <v>3456</v>
      </c>
      <c r="C59" s="658" t="s">
        <v>4236</v>
      </c>
      <c r="D59" s="658" t="s">
        <v>2376</v>
      </c>
      <c r="E59" s="657">
        <v>60</v>
      </c>
      <c r="F59" s="657">
        <f t="shared" ref="F59" si="22">E59</f>
        <v>60</v>
      </c>
      <c r="G59" s="681"/>
      <c r="H59" s="13"/>
    </row>
    <row r="60" spans="1:14">
      <c r="A60" s="680"/>
      <c r="B60" s="658"/>
      <c r="C60" s="658"/>
      <c r="D60" s="658"/>
      <c r="E60" s="657"/>
      <c r="F60" s="657"/>
      <c r="G60" s="681"/>
      <c r="H60" s="13"/>
    </row>
    <row r="61" spans="1:14">
      <c r="A61" s="679">
        <v>30</v>
      </c>
      <c r="B61" s="658" t="s">
        <v>3457</v>
      </c>
      <c r="C61" s="658" t="s">
        <v>4236</v>
      </c>
      <c r="D61" s="658" t="s">
        <v>3025</v>
      </c>
      <c r="E61" s="657">
        <v>100</v>
      </c>
      <c r="F61" s="657">
        <f t="shared" ref="F61" si="23">E61</f>
        <v>100</v>
      </c>
      <c r="G61" s="681"/>
      <c r="H61" s="13"/>
    </row>
    <row r="62" spans="1:14">
      <c r="A62" s="680"/>
      <c r="B62" s="658"/>
      <c r="C62" s="658"/>
      <c r="D62" s="658"/>
      <c r="E62" s="657"/>
      <c r="F62" s="657"/>
      <c r="G62" s="681"/>
      <c r="H62" s="13"/>
    </row>
    <row r="63" spans="1:14">
      <c r="A63" s="679">
        <v>31</v>
      </c>
      <c r="B63" s="658" t="s">
        <v>4246</v>
      </c>
      <c r="C63" s="658" t="s">
        <v>4236</v>
      </c>
      <c r="D63" s="658" t="s">
        <v>239</v>
      </c>
      <c r="E63" s="657">
        <v>790</v>
      </c>
      <c r="F63" s="657">
        <f t="shared" ref="F63" si="24">E63</f>
        <v>790</v>
      </c>
      <c r="G63" s="681"/>
      <c r="H63" s="13"/>
    </row>
    <row r="64" spans="1:14">
      <c r="A64" s="680"/>
      <c r="B64" s="658"/>
      <c r="C64" s="658"/>
      <c r="D64" s="658"/>
      <c r="E64" s="657"/>
      <c r="F64" s="657"/>
      <c r="G64" s="681"/>
      <c r="H64" s="13"/>
    </row>
    <row r="65" spans="1:11" ht="15.75">
      <c r="A65" s="679">
        <v>32</v>
      </c>
      <c r="B65" s="658" t="s">
        <v>3458</v>
      </c>
      <c r="C65" s="658" t="s">
        <v>4241</v>
      </c>
      <c r="D65" s="658" t="s">
        <v>2376</v>
      </c>
      <c r="E65" s="657">
        <v>40</v>
      </c>
      <c r="F65" s="657">
        <f t="shared" ref="F65" si="25">E65</f>
        <v>40</v>
      </c>
      <c r="G65" s="681"/>
      <c r="H65" s="13"/>
      <c r="I65" s="629"/>
      <c r="K65" s="606"/>
    </row>
    <row r="66" spans="1:11">
      <c r="A66" s="680"/>
      <c r="B66" s="658"/>
      <c r="C66" s="658"/>
      <c r="D66" s="658"/>
      <c r="E66" s="657"/>
      <c r="F66" s="657"/>
      <c r="G66" s="681"/>
      <c r="H66" s="13"/>
    </row>
    <row r="67" spans="1:11">
      <c r="A67" s="679">
        <v>33</v>
      </c>
      <c r="B67" s="658" t="s">
        <v>3459</v>
      </c>
      <c r="C67" s="658" t="s">
        <v>4236</v>
      </c>
      <c r="D67" s="658" t="s">
        <v>4203</v>
      </c>
      <c r="E67" s="657">
        <v>740</v>
      </c>
      <c r="F67" s="657">
        <f t="shared" ref="F67" si="26">E67</f>
        <v>740</v>
      </c>
      <c r="G67" s="681"/>
      <c r="H67" s="13"/>
    </row>
    <row r="68" spans="1:11">
      <c r="A68" s="680"/>
      <c r="B68" s="658"/>
      <c r="C68" s="658"/>
      <c r="D68" s="658"/>
      <c r="E68" s="657"/>
      <c r="F68" s="657"/>
      <c r="G68" s="681"/>
      <c r="H68" s="13"/>
    </row>
    <row r="69" spans="1:11">
      <c r="A69" s="679">
        <v>34</v>
      </c>
      <c r="B69" s="658" t="s">
        <v>3448</v>
      </c>
      <c r="C69" s="658" t="s">
        <v>4236</v>
      </c>
      <c r="D69" s="658" t="s">
        <v>4213</v>
      </c>
      <c r="E69" s="657">
        <v>200</v>
      </c>
      <c r="F69" s="657">
        <f t="shared" ref="F69" si="27">E69</f>
        <v>200</v>
      </c>
      <c r="G69" s="681"/>
      <c r="H69" s="13"/>
    </row>
    <row r="70" spans="1:11">
      <c r="A70" s="680"/>
      <c r="B70" s="658"/>
      <c r="C70" s="658"/>
      <c r="D70" s="658"/>
      <c r="E70" s="657"/>
      <c r="F70" s="657"/>
      <c r="G70" s="681"/>
      <c r="H70" s="13"/>
    </row>
    <row r="71" spans="1:11">
      <c r="A71" s="679">
        <v>35</v>
      </c>
      <c r="B71" s="658" t="s">
        <v>3460</v>
      </c>
      <c r="C71" s="658" t="s">
        <v>4241</v>
      </c>
      <c r="D71" s="658" t="s">
        <v>3352</v>
      </c>
      <c r="E71" s="657">
        <v>660</v>
      </c>
      <c r="F71" s="657">
        <f t="shared" ref="F71" si="28">E71</f>
        <v>660</v>
      </c>
      <c r="G71" s="681"/>
      <c r="H71" s="13"/>
    </row>
    <row r="72" spans="1:11">
      <c r="A72" s="680"/>
      <c r="B72" s="658"/>
      <c r="C72" s="658"/>
      <c r="D72" s="658"/>
      <c r="E72" s="657"/>
      <c r="F72" s="657"/>
      <c r="G72" s="681"/>
      <c r="H72" s="13"/>
    </row>
    <row r="73" spans="1:11">
      <c r="A73" s="679">
        <v>36</v>
      </c>
      <c r="B73" s="658" t="s">
        <v>4255</v>
      </c>
      <c r="C73" s="658" t="s">
        <v>4247</v>
      </c>
      <c r="D73" s="658" t="s">
        <v>239</v>
      </c>
      <c r="E73" s="657">
        <v>43565</v>
      </c>
      <c r="F73" s="657">
        <v>1470</v>
      </c>
      <c r="G73" s="681">
        <v>3.3742999999999999</v>
      </c>
      <c r="H73" s="13"/>
    </row>
    <row r="74" spans="1:11">
      <c r="A74" s="680"/>
      <c r="B74" s="658"/>
      <c r="C74" s="658"/>
      <c r="D74" s="658"/>
      <c r="E74" s="657"/>
      <c r="F74" s="657"/>
      <c r="G74" s="681"/>
      <c r="H74" s="13"/>
    </row>
    <row r="75" spans="1:11" ht="15.75">
      <c r="A75" s="679">
        <v>37</v>
      </c>
      <c r="B75" s="658" t="s">
        <v>3461</v>
      </c>
      <c r="C75" s="658" t="s">
        <v>4244</v>
      </c>
      <c r="D75" s="658" t="s">
        <v>3802</v>
      </c>
      <c r="E75" s="657">
        <v>400</v>
      </c>
      <c r="F75" s="657">
        <f t="shared" ref="F75" si="29">E75</f>
        <v>400</v>
      </c>
      <c r="G75" s="681"/>
      <c r="H75" s="13"/>
      <c r="I75" s="633"/>
    </row>
    <row r="76" spans="1:11" ht="15.75">
      <c r="A76" s="680"/>
      <c r="B76" s="658"/>
      <c r="C76" s="658"/>
      <c r="D76" s="658"/>
      <c r="E76" s="657"/>
      <c r="F76" s="657"/>
      <c r="G76" s="681"/>
      <c r="H76" s="13"/>
      <c r="I76" s="633"/>
      <c r="K76" s="606"/>
    </row>
    <row r="77" spans="1:11">
      <c r="A77" s="679">
        <v>38</v>
      </c>
      <c r="B77" s="658" t="s">
        <v>3462</v>
      </c>
      <c r="C77" s="658" t="s">
        <v>4243</v>
      </c>
      <c r="D77" s="658" t="s">
        <v>4242</v>
      </c>
      <c r="E77" s="657">
        <v>380</v>
      </c>
      <c r="F77" s="657">
        <f t="shared" ref="F77" si="30">E77</f>
        <v>380</v>
      </c>
      <c r="G77" s="681"/>
      <c r="H77" s="13"/>
    </row>
    <row r="78" spans="1:11">
      <c r="A78" s="680"/>
      <c r="B78" s="658"/>
      <c r="C78" s="658"/>
      <c r="D78" s="658"/>
      <c r="E78" s="657"/>
      <c r="F78" s="657"/>
      <c r="G78" s="681"/>
      <c r="H78" s="13"/>
    </row>
    <row r="79" spans="1:11" ht="15.75">
      <c r="A79" s="679">
        <v>39</v>
      </c>
      <c r="B79" s="658" t="s">
        <v>4245</v>
      </c>
      <c r="C79" s="658" t="s">
        <v>4243</v>
      </c>
      <c r="D79" s="658" t="s">
        <v>2517</v>
      </c>
      <c r="E79" s="657">
        <v>480</v>
      </c>
      <c r="F79" s="657">
        <f t="shared" ref="F79" si="31">E79</f>
        <v>480</v>
      </c>
      <c r="G79" s="681"/>
      <c r="H79" s="13"/>
      <c r="I79" s="632"/>
    </row>
    <row r="80" spans="1:11" ht="15.75">
      <c r="A80" s="680"/>
      <c r="B80" s="658"/>
      <c r="C80" s="658"/>
      <c r="D80" s="658"/>
      <c r="E80" s="657"/>
      <c r="F80" s="657"/>
      <c r="G80" s="681"/>
      <c r="H80" s="13"/>
      <c r="I80" s="606"/>
    </row>
    <row r="81" spans="1:10">
      <c r="A81" s="679">
        <v>40</v>
      </c>
      <c r="B81" s="658" t="s">
        <v>4248</v>
      </c>
      <c r="C81" s="658" t="s">
        <v>4247</v>
      </c>
      <c r="D81" s="658" t="s">
        <v>239</v>
      </c>
      <c r="E81" s="657">
        <v>1470</v>
      </c>
      <c r="F81" s="657">
        <f t="shared" ref="F81" si="32">E81</f>
        <v>1470</v>
      </c>
      <c r="G81" s="681"/>
      <c r="H81" s="638"/>
      <c r="I81" s="635"/>
    </row>
    <row r="82" spans="1:10" ht="15.75">
      <c r="A82" s="680"/>
      <c r="B82" s="658"/>
      <c r="C82" s="658"/>
      <c r="D82" s="658"/>
      <c r="E82" s="657"/>
      <c r="F82" s="657"/>
      <c r="G82" s="681"/>
      <c r="H82" s="13"/>
      <c r="I82" s="606"/>
    </row>
    <row r="83" spans="1:10">
      <c r="A83" s="679">
        <v>41</v>
      </c>
      <c r="B83" s="658" t="s">
        <v>3463</v>
      </c>
      <c r="C83" s="658" t="s">
        <v>4243</v>
      </c>
      <c r="D83" s="658" t="s">
        <v>3309</v>
      </c>
      <c r="E83" s="657">
        <v>480</v>
      </c>
      <c r="F83" s="657">
        <f t="shared" ref="F83" si="33">E83</f>
        <v>480</v>
      </c>
      <c r="G83" s="681"/>
      <c r="H83" s="13"/>
      <c r="I83" s="634"/>
    </row>
    <row r="84" spans="1:10">
      <c r="A84" s="680"/>
      <c r="B84" s="658"/>
      <c r="C84" s="658"/>
      <c r="D84" s="658"/>
      <c r="E84" s="657"/>
      <c r="F84" s="657"/>
      <c r="G84" s="681"/>
      <c r="H84" s="13"/>
      <c r="I84" s="634"/>
    </row>
    <row r="85" spans="1:10">
      <c r="A85" s="679">
        <v>42</v>
      </c>
      <c r="B85" s="658" t="s">
        <v>3473</v>
      </c>
      <c r="C85" s="658" t="s">
        <v>4243</v>
      </c>
      <c r="D85" s="658" t="s">
        <v>3025</v>
      </c>
      <c r="E85" s="657">
        <v>100</v>
      </c>
      <c r="F85" s="657">
        <f t="shared" ref="F85" si="34">E85</f>
        <v>100</v>
      </c>
      <c r="G85" s="681"/>
      <c r="H85" s="13"/>
      <c r="I85" s="634"/>
      <c r="J85" s="6"/>
    </row>
    <row r="86" spans="1:10">
      <c r="A86" s="680"/>
      <c r="B86" s="658"/>
      <c r="C86" s="658"/>
      <c r="D86" s="658"/>
      <c r="E86" s="657"/>
      <c r="F86" s="657"/>
      <c r="G86" s="681"/>
      <c r="H86" s="13"/>
    </row>
    <row r="87" spans="1:10">
      <c r="A87" s="679">
        <v>43</v>
      </c>
      <c r="B87" s="658" t="s">
        <v>4254</v>
      </c>
      <c r="C87" s="658" t="s">
        <v>4243</v>
      </c>
      <c r="D87" s="658" t="s">
        <v>239</v>
      </c>
      <c r="E87" s="657">
        <v>46826</v>
      </c>
      <c r="F87" s="657">
        <v>1600</v>
      </c>
      <c r="G87" s="681">
        <v>3.4169</v>
      </c>
      <c r="H87" s="13"/>
    </row>
    <row r="88" spans="1:10">
      <c r="A88" s="680"/>
      <c r="B88" s="658"/>
      <c r="C88" s="658"/>
      <c r="D88" s="658"/>
      <c r="E88" s="657"/>
      <c r="F88" s="657"/>
      <c r="G88" s="681"/>
      <c r="H88" s="13"/>
    </row>
    <row r="89" spans="1:10">
      <c r="A89" s="679">
        <v>44</v>
      </c>
      <c r="B89" s="658" t="s">
        <v>3474</v>
      </c>
      <c r="C89" s="658" t="s">
        <v>4253</v>
      </c>
      <c r="D89" s="658" t="s">
        <v>2723</v>
      </c>
      <c r="E89" s="657">
        <v>560</v>
      </c>
      <c r="F89" s="657">
        <f t="shared" ref="F89" si="35">E89</f>
        <v>560</v>
      </c>
      <c r="G89" s="681"/>
      <c r="H89" s="13"/>
    </row>
    <row r="90" spans="1:10">
      <c r="A90" s="680"/>
      <c r="B90" s="658"/>
      <c r="C90" s="658"/>
      <c r="D90" s="658"/>
      <c r="E90" s="657"/>
      <c r="F90" s="657"/>
      <c r="G90" s="681"/>
      <c r="H90" s="13"/>
    </row>
    <row r="91" spans="1:10">
      <c r="A91" s="679">
        <v>45</v>
      </c>
      <c r="B91" s="658" t="s">
        <v>3475</v>
      </c>
      <c r="C91" s="658" t="s">
        <v>4253</v>
      </c>
      <c r="D91" s="658" t="s">
        <v>4252</v>
      </c>
      <c r="E91" s="657">
        <v>600</v>
      </c>
      <c r="F91" s="657">
        <f t="shared" ref="F91" si="36">E91</f>
        <v>600</v>
      </c>
      <c r="G91" s="681"/>
      <c r="H91" s="13"/>
    </row>
    <row r="92" spans="1:10">
      <c r="A92" s="680"/>
      <c r="B92" s="658"/>
      <c r="C92" s="658"/>
      <c r="D92" s="658"/>
      <c r="E92" s="657"/>
      <c r="F92" s="657"/>
      <c r="G92" s="681"/>
      <c r="H92" s="13"/>
    </row>
    <row r="93" spans="1:10">
      <c r="A93" s="679">
        <v>46</v>
      </c>
      <c r="B93" s="658" t="s">
        <v>3476</v>
      </c>
      <c r="C93" s="658" t="s">
        <v>4253</v>
      </c>
      <c r="D93" s="658" t="s">
        <v>2723</v>
      </c>
      <c r="E93" s="657">
        <v>40</v>
      </c>
      <c r="F93" s="657">
        <f t="shared" ref="F93" si="37">E93</f>
        <v>40</v>
      </c>
      <c r="G93" s="681"/>
      <c r="H93" s="13"/>
    </row>
    <row r="94" spans="1:10">
      <c r="A94" s="680"/>
      <c r="B94" s="658"/>
      <c r="C94" s="658"/>
      <c r="D94" s="658"/>
      <c r="E94" s="657"/>
      <c r="F94" s="657"/>
      <c r="G94" s="681"/>
      <c r="H94" s="13"/>
    </row>
    <row r="95" spans="1:10">
      <c r="A95" s="679">
        <v>47</v>
      </c>
      <c r="B95" s="658" t="s">
        <v>4257</v>
      </c>
      <c r="C95" s="658" t="s">
        <v>4244</v>
      </c>
      <c r="D95" s="658" t="s">
        <v>239</v>
      </c>
      <c r="E95" s="657">
        <v>1530</v>
      </c>
      <c r="F95" s="657">
        <f t="shared" ref="F95" si="38">E95</f>
        <v>1530</v>
      </c>
      <c r="G95" s="681"/>
      <c r="H95" s="13"/>
    </row>
    <row r="96" spans="1:10">
      <c r="A96" s="680"/>
      <c r="B96" s="658"/>
      <c r="C96" s="658"/>
      <c r="D96" s="658"/>
      <c r="E96" s="657"/>
      <c r="F96" s="657"/>
      <c r="G96" s="681"/>
      <c r="H96" s="13"/>
    </row>
    <row r="97" spans="1:9">
      <c r="A97" s="679">
        <v>48</v>
      </c>
      <c r="B97" s="658" t="s">
        <v>4256</v>
      </c>
      <c r="C97" s="658" t="s">
        <v>4253</v>
      </c>
      <c r="D97" s="658" t="s">
        <v>239</v>
      </c>
      <c r="E97" s="657">
        <v>44548</v>
      </c>
      <c r="F97" s="657">
        <v>1530</v>
      </c>
      <c r="G97" s="681">
        <v>3.4344999999999999</v>
      </c>
      <c r="H97" s="13"/>
    </row>
    <row r="98" spans="1:9" ht="15">
      <c r="A98" s="680"/>
      <c r="B98" s="658"/>
      <c r="C98" s="658"/>
      <c r="D98" s="658"/>
      <c r="E98" s="657"/>
      <c r="F98" s="657"/>
      <c r="G98" s="681"/>
      <c r="H98" s="13"/>
      <c r="I98" s="636"/>
    </row>
    <row r="99" spans="1:9" ht="15.75">
      <c r="A99" s="679">
        <v>49</v>
      </c>
      <c r="B99" s="658"/>
      <c r="C99" s="658"/>
      <c r="D99" s="658"/>
      <c r="E99" s="657"/>
      <c r="F99" s="657"/>
      <c r="G99" s="681"/>
      <c r="H99" s="13"/>
      <c r="I99" s="606"/>
    </row>
    <row r="100" spans="1:9">
      <c r="A100" s="680"/>
      <c r="B100" s="658"/>
      <c r="C100" s="658"/>
      <c r="D100" s="658"/>
      <c r="E100" s="657"/>
      <c r="F100" s="657"/>
      <c r="G100" s="681"/>
      <c r="H100" s="13"/>
    </row>
    <row r="101" spans="1:9">
      <c r="A101" s="679">
        <v>50</v>
      </c>
      <c r="B101" s="658"/>
      <c r="C101" s="658"/>
      <c r="D101" s="658"/>
      <c r="E101" s="682"/>
      <c r="F101" s="682"/>
      <c r="G101" s="681"/>
    </row>
    <row r="102" spans="1:9">
      <c r="A102" s="680"/>
      <c r="B102" s="658"/>
      <c r="C102" s="658"/>
      <c r="D102" s="658"/>
      <c r="E102" s="682"/>
      <c r="F102" s="682"/>
      <c r="G102" s="681"/>
    </row>
    <row r="103" spans="1:9">
      <c r="A103" s="679">
        <v>51</v>
      </c>
      <c r="B103" s="658"/>
      <c r="C103" s="658"/>
      <c r="D103" s="658"/>
      <c r="E103" s="682"/>
      <c r="F103" s="682"/>
      <c r="G103" s="681"/>
    </row>
    <row r="104" spans="1:9">
      <c r="A104" s="680"/>
      <c r="B104" s="658"/>
      <c r="C104" s="658"/>
      <c r="D104" s="658"/>
      <c r="E104" s="682"/>
      <c r="F104" s="682"/>
      <c r="G104" s="681"/>
    </row>
    <row r="105" spans="1:9">
      <c r="A105" s="679"/>
      <c r="B105" s="658"/>
      <c r="C105" s="658"/>
      <c r="D105" s="658"/>
      <c r="E105" s="657"/>
      <c r="F105" s="657"/>
      <c r="G105" s="681"/>
    </row>
    <row r="106" spans="1:9">
      <c r="A106" s="680"/>
      <c r="B106" s="658"/>
      <c r="C106" s="658"/>
      <c r="D106" s="658"/>
      <c r="E106" s="657"/>
      <c r="F106" s="657"/>
      <c r="G106" s="681"/>
    </row>
    <row r="107" spans="1:9">
      <c r="A107" s="679"/>
      <c r="B107" s="658"/>
      <c r="C107" s="658"/>
      <c r="D107" s="658"/>
      <c r="E107" s="657"/>
      <c r="F107" s="657"/>
      <c r="G107" s="681"/>
    </row>
    <row r="108" spans="1:9">
      <c r="A108" s="680"/>
      <c r="B108" s="658"/>
      <c r="C108" s="658"/>
      <c r="D108" s="658"/>
      <c r="E108" s="657"/>
      <c r="F108" s="657"/>
      <c r="G108" s="681"/>
    </row>
    <row r="109" spans="1:9">
      <c r="A109" s="679"/>
      <c r="B109" s="658"/>
      <c r="C109" s="658"/>
      <c r="D109" s="658"/>
      <c r="E109" s="657"/>
      <c r="F109" s="657"/>
      <c r="G109" s="681"/>
    </row>
    <row r="110" spans="1:9">
      <c r="A110" s="680"/>
      <c r="B110" s="658"/>
      <c r="C110" s="658"/>
      <c r="D110" s="658"/>
      <c r="E110" s="657"/>
      <c r="F110" s="657"/>
      <c r="G110" s="681"/>
    </row>
    <row r="111" spans="1:9">
      <c r="A111" s="679"/>
      <c r="B111" s="658"/>
      <c r="C111" s="658"/>
      <c r="D111" s="658"/>
      <c r="E111" s="657"/>
      <c r="F111" s="657"/>
      <c r="G111" s="683"/>
    </row>
    <row r="112" spans="1:9">
      <c r="A112" s="680"/>
      <c r="B112" s="658"/>
      <c r="C112" s="658"/>
      <c r="D112" s="658"/>
      <c r="E112" s="657"/>
      <c r="F112" s="657"/>
      <c r="G112" s="684"/>
    </row>
    <row r="113" spans="1:7">
      <c r="A113" s="679"/>
      <c r="B113" s="658"/>
      <c r="C113" s="658"/>
      <c r="D113" s="658"/>
      <c r="E113" s="657"/>
      <c r="F113" s="657"/>
      <c r="G113" s="685"/>
    </row>
    <row r="114" spans="1:7">
      <c r="A114" s="680"/>
      <c r="B114" s="658"/>
      <c r="C114" s="658"/>
      <c r="D114" s="658"/>
      <c r="E114" s="657"/>
      <c r="F114" s="657"/>
      <c r="G114" s="686"/>
    </row>
    <row r="115" spans="1:7">
      <c r="A115" s="679"/>
      <c r="B115" s="658"/>
      <c r="C115" s="658"/>
      <c r="D115" s="658"/>
      <c r="E115" s="657"/>
      <c r="F115" s="657"/>
      <c r="G115" s="685"/>
    </row>
    <row r="116" spans="1:7">
      <c r="A116" s="680"/>
      <c r="B116" s="658"/>
      <c r="C116" s="658"/>
      <c r="D116" s="658"/>
      <c r="E116" s="657"/>
      <c r="F116" s="657"/>
      <c r="G116" s="686"/>
    </row>
    <row r="117" spans="1:7">
      <c r="A117" s="679"/>
      <c r="B117" s="658"/>
      <c r="C117" s="658"/>
      <c r="D117" s="658"/>
      <c r="E117" s="657"/>
      <c r="F117" s="657"/>
      <c r="G117" s="685"/>
    </row>
    <row r="118" spans="1:7">
      <c r="A118" s="680"/>
      <c r="B118" s="658"/>
      <c r="C118" s="658"/>
      <c r="D118" s="658"/>
      <c r="E118" s="657"/>
      <c r="F118" s="657"/>
      <c r="G118" s="686"/>
    </row>
    <row r="119" spans="1:7">
      <c r="A119" s="679"/>
      <c r="B119" s="658"/>
      <c r="C119" s="658"/>
      <c r="D119" s="658"/>
      <c r="E119" s="657"/>
      <c r="F119" s="657"/>
      <c r="G119" s="685"/>
    </row>
    <row r="120" spans="1:7">
      <c r="A120" s="680"/>
      <c r="B120" s="658"/>
      <c r="C120" s="658"/>
      <c r="D120" s="658"/>
      <c r="E120" s="657"/>
      <c r="F120" s="657"/>
      <c r="G120" s="686"/>
    </row>
    <row r="121" spans="1:7">
      <c r="A121" s="679"/>
      <c r="B121" s="658"/>
      <c r="C121" s="658"/>
      <c r="D121" s="658"/>
      <c r="E121" s="657"/>
      <c r="F121" s="657"/>
      <c r="G121" s="685"/>
    </row>
    <row r="122" spans="1:7">
      <c r="A122" s="680"/>
      <c r="B122" s="658"/>
      <c r="C122" s="658"/>
      <c r="D122" s="658"/>
      <c r="E122" s="657"/>
      <c r="F122" s="657"/>
      <c r="G122" s="686"/>
    </row>
    <row r="123" spans="1:7">
      <c r="A123" s="679"/>
      <c r="B123" s="658"/>
      <c r="C123" s="658"/>
      <c r="D123" s="658"/>
      <c r="E123" s="657"/>
      <c r="F123" s="657"/>
      <c r="G123" s="685"/>
    </row>
    <row r="124" spans="1:7">
      <c r="A124" s="680"/>
      <c r="B124" s="658"/>
      <c r="C124" s="658"/>
      <c r="D124" s="658"/>
      <c r="E124" s="657"/>
      <c r="F124" s="657"/>
      <c r="G124" s="686"/>
    </row>
    <row r="125" spans="1:7">
      <c r="A125" s="687"/>
      <c r="B125" s="658"/>
      <c r="C125" s="658"/>
      <c r="D125" s="658"/>
      <c r="E125" s="657"/>
      <c r="F125" s="657"/>
      <c r="G125" s="685"/>
    </row>
    <row r="126" spans="1:7">
      <c r="A126" s="688"/>
      <c r="B126" s="658"/>
      <c r="C126" s="658"/>
      <c r="D126" s="658"/>
      <c r="E126" s="657"/>
      <c r="F126" s="657"/>
      <c r="G126" s="686"/>
    </row>
    <row r="127" spans="1:7">
      <c r="A127" s="687"/>
      <c r="B127" s="689"/>
      <c r="C127" s="689"/>
      <c r="D127" s="689"/>
      <c r="E127" s="689"/>
      <c r="F127" s="689"/>
      <c r="G127" s="685"/>
    </row>
    <row r="128" spans="1:7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topLeftCell="A95" zoomScaleNormal="100" workbookViewId="0">
      <selection sqref="A1:H102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78" t="s">
        <v>4202</v>
      </c>
      <c r="B2" s="678"/>
      <c r="C2" s="678"/>
      <c r="D2" s="678"/>
      <c r="E2" s="678"/>
      <c r="F2" s="678"/>
      <c r="G2" s="678"/>
      <c r="H2" s="620"/>
      <c r="I2" s="641" t="s">
        <v>4106</v>
      </c>
    </row>
    <row r="3" spans="1:9">
      <c r="A3" s="679">
        <v>1</v>
      </c>
      <c r="B3" s="658" t="s">
        <v>2719</v>
      </c>
      <c r="C3" s="658" t="s">
        <v>4147</v>
      </c>
      <c r="D3" s="658" t="s">
        <v>4143</v>
      </c>
      <c r="E3" s="657">
        <v>15000</v>
      </c>
      <c r="F3" s="657">
        <v>508</v>
      </c>
      <c r="G3" s="681">
        <v>3.3854000000000002</v>
      </c>
      <c r="H3" s="620"/>
      <c r="I3" s="640">
        <f>SUM(F3:F102)</f>
        <v>33666</v>
      </c>
    </row>
    <row r="4" spans="1:9">
      <c r="A4" s="680"/>
      <c r="B4" s="658"/>
      <c r="C4" s="658"/>
      <c r="D4" s="658"/>
      <c r="E4" s="657"/>
      <c r="F4" s="657"/>
      <c r="G4" s="681"/>
      <c r="H4" s="620"/>
    </row>
    <row r="5" spans="1:9">
      <c r="A5" s="679">
        <v>2</v>
      </c>
      <c r="B5" s="658" t="s">
        <v>2729</v>
      </c>
      <c r="C5" s="658" t="s">
        <v>4147</v>
      </c>
      <c r="D5" s="658" t="s">
        <v>3025</v>
      </c>
      <c r="E5" s="657">
        <v>98</v>
      </c>
      <c r="F5" s="657">
        <f t="shared" ref="F5" si="0">E5</f>
        <v>98</v>
      </c>
      <c r="G5" s="681"/>
      <c r="H5" s="13"/>
      <c r="I5" s="5"/>
    </row>
    <row r="6" spans="1:9">
      <c r="A6" s="680"/>
      <c r="B6" s="658"/>
      <c r="C6" s="658"/>
      <c r="D6" s="658"/>
      <c r="E6" s="657"/>
      <c r="F6" s="657"/>
      <c r="G6" s="681"/>
      <c r="H6" s="13"/>
    </row>
    <row r="7" spans="1:9">
      <c r="A7" s="679">
        <v>3</v>
      </c>
      <c r="B7" s="658" t="s">
        <v>2730</v>
      </c>
      <c r="C7" s="658" t="s">
        <v>4147</v>
      </c>
      <c r="D7" s="658" t="s">
        <v>1661</v>
      </c>
      <c r="E7" s="657">
        <v>550</v>
      </c>
      <c r="F7" s="657">
        <f t="shared" ref="F7" si="1">E7</f>
        <v>550</v>
      </c>
      <c r="G7" s="681"/>
      <c r="H7" s="13"/>
    </row>
    <row r="8" spans="1:9">
      <c r="A8" s="680"/>
      <c r="B8" s="658"/>
      <c r="C8" s="658"/>
      <c r="D8" s="658"/>
      <c r="E8" s="657"/>
      <c r="F8" s="657"/>
      <c r="G8" s="681"/>
      <c r="H8" s="13"/>
    </row>
    <row r="9" spans="1:9">
      <c r="A9" s="679">
        <v>4</v>
      </c>
      <c r="B9" s="658" t="s">
        <v>2731</v>
      </c>
      <c r="C9" s="658" t="s">
        <v>4147</v>
      </c>
      <c r="D9" s="658" t="s">
        <v>2723</v>
      </c>
      <c r="E9" s="657">
        <v>830</v>
      </c>
      <c r="F9" s="657">
        <f t="shared" ref="F9" si="2">E9</f>
        <v>830</v>
      </c>
      <c r="G9" s="681"/>
      <c r="H9" s="13"/>
    </row>
    <row r="10" spans="1:9">
      <c r="A10" s="680"/>
      <c r="B10" s="658"/>
      <c r="C10" s="658"/>
      <c r="D10" s="658"/>
      <c r="E10" s="657"/>
      <c r="F10" s="657"/>
      <c r="G10" s="681"/>
      <c r="H10" s="13"/>
    </row>
    <row r="11" spans="1:9">
      <c r="A11" s="679">
        <v>5</v>
      </c>
      <c r="B11" s="658" t="s">
        <v>4166</v>
      </c>
      <c r="C11" s="658" t="s">
        <v>4167</v>
      </c>
      <c r="D11" s="658" t="s">
        <v>239</v>
      </c>
      <c r="E11" s="657">
        <v>1530</v>
      </c>
      <c r="F11" s="657">
        <f t="shared" ref="F11" si="3">E11</f>
        <v>1530</v>
      </c>
      <c r="G11" s="681"/>
      <c r="H11" s="13"/>
    </row>
    <row r="12" spans="1:9">
      <c r="A12" s="680"/>
      <c r="B12" s="658"/>
      <c r="C12" s="658"/>
      <c r="D12" s="658"/>
      <c r="E12" s="657"/>
      <c r="F12" s="657"/>
      <c r="G12" s="681"/>
      <c r="H12" s="13"/>
    </row>
    <row r="13" spans="1:9">
      <c r="A13" s="679">
        <v>6</v>
      </c>
      <c r="B13" s="658" t="s">
        <v>2732</v>
      </c>
      <c r="C13" s="658" t="s">
        <v>4155</v>
      </c>
      <c r="D13" s="658" t="s">
        <v>1140</v>
      </c>
      <c r="E13" s="657">
        <v>460</v>
      </c>
      <c r="F13" s="657">
        <f t="shared" ref="F13" si="4">E13</f>
        <v>460</v>
      </c>
      <c r="G13" s="681"/>
      <c r="H13" s="13"/>
    </row>
    <row r="14" spans="1:9">
      <c r="A14" s="680"/>
      <c r="B14" s="658"/>
      <c r="C14" s="658"/>
      <c r="D14" s="658"/>
      <c r="E14" s="657"/>
      <c r="F14" s="657"/>
      <c r="G14" s="681"/>
      <c r="H14" s="13"/>
    </row>
    <row r="15" spans="1:9">
      <c r="A15" s="679">
        <v>7</v>
      </c>
      <c r="B15" s="658" t="s">
        <v>2733</v>
      </c>
      <c r="C15" s="658" t="s">
        <v>4157</v>
      </c>
      <c r="D15" s="658" t="s">
        <v>4156</v>
      </c>
      <c r="E15" s="657">
        <v>500</v>
      </c>
      <c r="F15" s="657">
        <f t="shared" ref="F15" si="5">E15</f>
        <v>500</v>
      </c>
      <c r="G15" s="681"/>
      <c r="H15" s="13"/>
    </row>
    <row r="16" spans="1:9">
      <c r="A16" s="680"/>
      <c r="B16" s="658"/>
      <c r="C16" s="658"/>
      <c r="D16" s="658"/>
      <c r="E16" s="657"/>
      <c r="F16" s="657"/>
      <c r="G16" s="681"/>
      <c r="H16" s="13"/>
    </row>
    <row r="17" spans="1:15">
      <c r="A17" s="679">
        <v>8</v>
      </c>
      <c r="B17" s="658" t="s">
        <v>2734</v>
      </c>
      <c r="C17" s="658" t="s">
        <v>4155</v>
      </c>
      <c r="D17" s="658" t="s">
        <v>1601</v>
      </c>
      <c r="E17" s="657">
        <v>300</v>
      </c>
      <c r="F17" s="657">
        <f t="shared" ref="F17" si="6">E17</f>
        <v>300</v>
      </c>
      <c r="G17" s="681"/>
      <c r="H17" s="13"/>
    </row>
    <row r="18" spans="1:15">
      <c r="A18" s="680"/>
      <c r="B18" s="658"/>
      <c r="C18" s="658"/>
      <c r="D18" s="658"/>
      <c r="E18" s="657"/>
      <c r="F18" s="657"/>
      <c r="G18" s="681"/>
      <c r="H18" s="13"/>
    </row>
    <row r="19" spans="1:15">
      <c r="A19" s="679">
        <v>9</v>
      </c>
      <c r="B19" s="658" t="s">
        <v>4164</v>
      </c>
      <c r="C19" s="658" t="s">
        <v>4163</v>
      </c>
      <c r="D19" s="658" t="s">
        <v>239</v>
      </c>
      <c r="E19" s="657">
        <v>43332</v>
      </c>
      <c r="F19" s="657">
        <v>1470</v>
      </c>
      <c r="G19" s="681">
        <v>3.3923999999999999</v>
      </c>
      <c r="H19" s="13"/>
    </row>
    <row r="20" spans="1:15">
      <c r="A20" s="680"/>
      <c r="B20" s="658"/>
      <c r="C20" s="658"/>
      <c r="D20" s="658"/>
      <c r="E20" s="657"/>
      <c r="F20" s="657"/>
      <c r="G20" s="681"/>
      <c r="H20" s="13"/>
    </row>
    <row r="21" spans="1:15">
      <c r="A21" s="679">
        <v>10</v>
      </c>
      <c r="B21" s="658" t="s">
        <v>2735</v>
      </c>
      <c r="C21" s="658" t="s">
        <v>4158</v>
      </c>
      <c r="D21" s="658" t="s">
        <v>3309</v>
      </c>
      <c r="E21" s="657">
        <v>550</v>
      </c>
      <c r="F21" s="657">
        <f t="shared" ref="F21" si="7">E21</f>
        <v>550</v>
      </c>
      <c r="G21" s="681"/>
      <c r="H21" s="13"/>
    </row>
    <row r="22" spans="1:15">
      <c r="A22" s="680"/>
      <c r="B22" s="658"/>
      <c r="C22" s="658"/>
      <c r="D22" s="658"/>
      <c r="E22" s="657"/>
      <c r="F22" s="657"/>
      <c r="G22" s="681"/>
      <c r="H22" s="13"/>
    </row>
    <row r="23" spans="1:15">
      <c r="A23" s="679">
        <v>11</v>
      </c>
      <c r="B23" s="658" t="s">
        <v>2743</v>
      </c>
      <c r="C23" s="658" t="s">
        <v>4158</v>
      </c>
      <c r="D23" s="658" t="s">
        <v>2723</v>
      </c>
      <c r="E23" s="657">
        <v>650</v>
      </c>
      <c r="F23" s="657">
        <f t="shared" ref="F23" si="8">E23</f>
        <v>650</v>
      </c>
      <c r="G23" s="681"/>
      <c r="H23" s="13"/>
    </row>
    <row r="24" spans="1:15">
      <c r="A24" s="680"/>
      <c r="B24" s="658"/>
      <c r="C24" s="658"/>
      <c r="D24" s="658"/>
      <c r="E24" s="657"/>
      <c r="F24" s="657"/>
      <c r="G24" s="681"/>
      <c r="H24" s="13"/>
    </row>
    <row r="25" spans="1:15">
      <c r="A25" s="679">
        <v>12</v>
      </c>
      <c r="B25" s="658" t="s">
        <v>4165</v>
      </c>
      <c r="C25" s="658" t="s">
        <v>4163</v>
      </c>
      <c r="D25" s="658" t="s">
        <v>239</v>
      </c>
      <c r="E25" s="657">
        <v>43332</v>
      </c>
      <c r="F25" s="657">
        <v>1470</v>
      </c>
      <c r="G25" s="681">
        <v>3.3923999999999999</v>
      </c>
      <c r="H25" s="13"/>
    </row>
    <row r="26" spans="1:15">
      <c r="A26" s="680"/>
      <c r="B26" s="658"/>
      <c r="C26" s="658"/>
      <c r="D26" s="658"/>
      <c r="E26" s="657"/>
      <c r="F26" s="657"/>
      <c r="G26" s="681"/>
      <c r="H26" s="13"/>
    </row>
    <row r="27" spans="1:15">
      <c r="A27" s="679">
        <v>13</v>
      </c>
      <c r="B27" s="658" t="s">
        <v>2744</v>
      </c>
      <c r="C27" s="658" t="s">
        <v>4158</v>
      </c>
      <c r="D27" s="658" t="s">
        <v>4159</v>
      </c>
      <c r="E27" s="657">
        <v>200</v>
      </c>
      <c r="F27" s="657">
        <f t="shared" ref="F27" si="9">E27</f>
        <v>200</v>
      </c>
      <c r="G27" s="681"/>
      <c r="H27" s="13"/>
    </row>
    <row r="28" spans="1:15">
      <c r="A28" s="680"/>
      <c r="B28" s="658"/>
      <c r="C28" s="658"/>
      <c r="D28" s="658"/>
      <c r="E28" s="657"/>
      <c r="F28" s="657"/>
      <c r="G28" s="681"/>
      <c r="H28" s="13"/>
    </row>
    <row r="29" spans="1:15">
      <c r="A29" s="679">
        <v>14</v>
      </c>
      <c r="B29" s="658" t="s">
        <v>2747</v>
      </c>
      <c r="C29" s="658" t="s">
        <v>4158</v>
      </c>
      <c r="D29" s="658" t="s">
        <v>4159</v>
      </c>
      <c r="E29" s="657">
        <v>300</v>
      </c>
      <c r="F29" s="657">
        <f t="shared" ref="F29" si="10">E29</f>
        <v>300</v>
      </c>
      <c r="G29" s="681"/>
      <c r="H29" s="13"/>
    </row>
    <row r="30" spans="1:15">
      <c r="A30" s="680"/>
      <c r="B30" s="658"/>
      <c r="C30" s="658"/>
      <c r="D30" s="658"/>
      <c r="E30" s="657"/>
      <c r="F30" s="657"/>
      <c r="G30" s="681"/>
      <c r="H30" s="13"/>
    </row>
    <row r="31" spans="1:15">
      <c r="A31" s="679">
        <v>15</v>
      </c>
      <c r="B31" s="658" t="s">
        <v>2751</v>
      </c>
      <c r="C31" s="658" t="s">
        <v>4158</v>
      </c>
      <c r="D31" s="658" t="s">
        <v>4161</v>
      </c>
      <c r="E31" s="657">
        <v>380</v>
      </c>
      <c r="F31" s="657">
        <f t="shared" ref="F31" si="11">E31</f>
        <v>380</v>
      </c>
      <c r="G31" s="681"/>
      <c r="H31" s="13"/>
    </row>
    <row r="32" spans="1:15">
      <c r="A32" s="680"/>
      <c r="B32" s="658"/>
      <c r="C32" s="658"/>
      <c r="D32" s="658"/>
      <c r="E32" s="657"/>
      <c r="F32" s="657"/>
      <c r="G32" s="681"/>
      <c r="H32" s="13"/>
      <c r="M32" s="628"/>
      <c r="O32" s="628"/>
    </row>
    <row r="33" spans="1:18" ht="15.75">
      <c r="A33" s="679">
        <v>16</v>
      </c>
      <c r="B33" s="658" t="s">
        <v>2752</v>
      </c>
      <c r="C33" s="658" t="s">
        <v>4158</v>
      </c>
      <c r="D33" s="658" t="s">
        <v>1601</v>
      </c>
      <c r="E33" s="657">
        <v>400</v>
      </c>
      <c r="F33" s="657">
        <f t="shared" ref="F33" si="12">E33</f>
        <v>400</v>
      </c>
      <c r="G33" s="681"/>
      <c r="H33" s="13"/>
      <c r="M33" s="629"/>
      <c r="O33" s="628"/>
    </row>
    <row r="34" spans="1:18">
      <c r="A34" s="680"/>
      <c r="B34" s="658"/>
      <c r="C34" s="658"/>
      <c r="D34" s="658"/>
      <c r="E34" s="657"/>
      <c r="F34" s="657"/>
      <c r="G34" s="681"/>
      <c r="H34" s="13"/>
      <c r="N34" s="630"/>
    </row>
    <row r="35" spans="1:18" ht="15.75">
      <c r="A35" s="679">
        <v>17</v>
      </c>
      <c r="B35" s="658" t="s">
        <v>4168</v>
      </c>
      <c r="C35" s="658" t="s">
        <v>4155</v>
      </c>
      <c r="D35" s="658" t="s">
        <v>239</v>
      </c>
      <c r="E35" s="657">
        <v>1470</v>
      </c>
      <c r="F35" s="657">
        <f t="shared" ref="F35" si="13">E35</f>
        <v>1470</v>
      </c>
      <c r="G35" s="681"/>
      <c r="H35" s="13"/>
      <c r="N35" s="606"/>
      <c r="R35" s="637" t="s">
        <v>4104</v>
      </c>
    </row>
    <row r="36" spans="1:18">
      <c r="A36" s="680"/>
      <c r="B36" s="658"/>
      <c r="C36" s="658"/>
      <c r="D36" s="658"/>
      <c r="E36" s="657"/>
      <c r="F36" s="657"/>
      <c r="G36" s="681"/>
      <c r="H36" s="13"/>
    </row>
    <row r="37" spans="1:18">
      <c r="A37" s="679">
        <v>18</v>
      </c>
      <c r="B37" s="658" t="s">
        <v>2758</v>
      </c>
      <c r="C37" s="658" t="s">
        <v>4158</v>
      </c>
      <c r="D37" s="658" t="s">
        <v>4162</v>
      </c>
      <c r="E37" s="657">
        <v>98</v>
      </c>
      <c r="F37" s="657">
        <f t="shared" ref="F37" si="14">E37</f>
        <v>98</v>
      </c>
      <c r="G37" s="681"/>
      <c r="H37" s="13"/>
    </row>
    <row r="38" spans="1:18">
      <c r="A38" s="680"/>
      <c r="B38" s="658"/>
      <c r="C38" s="658"/>
      <c r="D38" s="658"/>
      <c r="E38" s="657"/>
      <c r="F38" s="657"/>
      <c r="G38" s="681"/>
      <c r="H38" s="13"/>
    </row>
    <row r="39" spans="1:18">
      <c r="A39" s="679">
        <v>19</v>
      </c>
      <c r="B39" s="658" t="s">
        <v>2759</v>
      </c>
      <c r="C39" s="658" t="s">
        <v>4158</v>
      </c>
      <c r="D39" s="658" t="s">
        <v>3309</v>
      </c>
      <c r="E39" s="657">
        <v>400</v>
      </c>
      <c r="F39" s="657">
        <f t="shared" ref="F39" si="15">E39</f>
        <v>400</v>
      </c>
      <c r="G39" s="681"/>
      <c r="H39" s="13"/>
    </row>
    <row r="40" spans="1:18">
      <c r="A40" s="680"/>
      <c r="B40" s="658"/>
      <c r="C40" s="658"/>
      <c r="D40" s="658"/>
      <c r="E40" s="657"/>
      <c r="F40" s="657"/>
      <c r="G40" s="681"/>
      <c r="H40" s="13"/>
    </row>
    <row r="41" spans="1:18">
      <c r="A41" s="679">
        <v>20</v>
      </c>
      <c r="B41" s="658" t="s">
        <v>2760</v>
      </c>
      <c r="C41" s="658" t="s">
        <v>4158</v>
      </c>
      <c r="D41" s="658" t="s">
        <v>3309</v>
      </c>
      <c r="E41" s="657">
        <v>300</v>
      </c>
      <c r="F41" s="657">
        <f t="shared" ref="F41" si="16">E41</f>
        <v>300</v>
      </c>
      <c r="G41" s="681"/>
      <c r="H41" s="13"/>
    </row>
    <row r="42" spans="1:18">
      <c r="A42" s="680"/>
      <c r="B42" s="658"/>
      <c r="C42" s="658"/>
      <c r="D42" s="658"/>
      <c r="E42" s="657"/>
      <c r="F42" s="657"/>
      <c r="G42" s="681"/>
      <c r="H42" s="13"/>
    </row>
    <row r="43" spans="1:18">
      <c r="A43" s="679">
        <v>21</v>
      </c>
      <c r="B43" s="658" t="s">
        <v>4179</v>
      </c>
      <c r="C43" s="658" t="s">
        <v>4178</v>
      </c>
      <c r="D43" s="658" t="s">
        <v>239</v>
      </c>
      <c r="E43" s="657">
        <v>45046</v>
      </c>
      <c r="F43" s="657">
        <v>1530</v>
      </c>
      <c r="G43" s="681">
        <v>3.3965000000000001</v>
      </c>
      <c r="H43" s="13"/>
      <c r="I43" s="628"/>
    </row>
    <row r="44" spans="1:18" ht="15.75">
      <c r="A44" s="680"/>
      <c r="B44" s="658"/>
      <c r="C44" s="658"/>
      <c r="D44" s="658"/>
      <c r="E44" s="657"/>
      <c r="F44" s="657"/>
      <c r="G44" s="681"/>
      <c r="H44" s="13"/>
      <c r="I44" s="606"/>
    </row>
    <row r="45" spans="1:18">
      <c r="A45" s="679">
        <v>22</v>
      </c>
      <c r="B45" s="658" t="s">
        <v>2766</v>
      </c>
      <c r="C45" s="658" t="s">
        <v>4177</v>
      </c>
      <c r="D45" s="658" t="s">
        <v>2780</v>
      </c>
      <c r="E45" s="657">
        <v>495</v>
      </c>
      <c r="F45" s="657">
        <f t="shared" ref="F45" si="17">E45</f>
        <v>495</v>
      </c>
      <c r="G45" s="681"/>
      <c r="H45" s="13"/>
    </row>
    <row r="46" spans="1:18">
      <c r="A46" s="680"/>
      <c r="B46" s="658"/>
      <c r="C46" s="658"/>
      <c r="D46" s="658"/>
      <c r="E46" s="657"/>
      <c r="F46" s="657"/>
      <c r="G46" s="681"/>
      <c r="H46" s="13"/>
    </row>
    <row r="47" spans="1:18">
      <c r="A47" s="679">
        <v>23</v>
      </c>
      <c r="B47" s="658" t="s">
        <v>2768</v>
      </c>
      <c r="C47" s="658" t="s">
        <v>4177</v>
      </c>
      <c r="D47" s="658" t="s">
        <v>2723</v>
      </c>
      <c r="E47" s="657">
        <v>833</v>
      </c>
      <c r="F47" s="657">
        <f t="shared" ref="F47" si="18">E47</f>
        <v>833</v>
      </c>
      <c r="G47" s="681"/>
      <c r="H47" s="13"/>
    </row>
    <row r="48" spans="1:18">
      <c r="A48" s="680"/>
      <c r="B48" s="658"/>
      <c r="C48" s="658"/>
      <c r="D48" s="658"/>
      <c r="E48" s="657"/>
      <c r="F48" s="657"/>
      <c r="G48" s="681"/>
      <c r="H48" s="13"/>
    </row>
    <row r="49" spans="1:14">
      <c r="A49" s="679">
        <v>24</v>
      </c>
      <c r="B49" s="658" t="s">
        <v>4180</v>
      </c>
      <c r="C49" s="658" t="s">
        <v>4178</v>
      </c>
      <c r="D49" s="658" t="s">
        <v>239</v>
      </c>
      <c r="E49" s="657">
        <v>1530</v>
      </c>
      <c r="F49" s="657">
        <f t="shared" ref="F49" si="19">E49</f>
        <v>1530</v>
      </c>
      <c r="G49" s="681"/>
      <c r="H49" s="13"/>
    </row>
    <row r="50" spans="1:14">
      <c r="A50" s="680"/>
      <c r="B50" s="658"/>
      <c r="C50" s="658"/>
      <c r="D50" s="658"/>
      <c r="E50" s="657"/>
      <c r="F50" s="657"/>
      <c r="G50" s="681"/>
      <c r="H50" s="13"/>
    </row>
    <row r="51" spans="1:14" ht="15.75">
      <c r="A51" s="679">
        <v>25</v>
      </c>
      <c r="B51" s="658" t="s">
        <v>2769</v>
      </c>
      <c r="C51" s="658" t="s">
        <v>4177</v>
      </c>
      <c r="D51" s="658" t="s">
        <v>1601</v>
      </c>
      <c r="E51" s="657">
        <v>700</v>
      </c>
      <c r="F51" s="657">
        <f t="shared" ref="F51" si="20">E51</f>
        <v>700</v>
      </c>
      <c r="G51" s="681"/>
      <c r="H51" s="13"/>
      <c r="I51" s="631"/>
    </row>
    <row r="52" spans="1:14" ht="15.75">
      <c r="A52" s="680"/>
      <c r="B52" s="658"/>
      <c r="C52" s="658"/>
      <c r="D52" s="658"/>
      <c r="E52" s="657"/>
      <c r="F52" s="657"/>
      <c r="G52" s="681"/>
      <c r="H52" s="13"/>
      <c r="I52" s="606"/>
    </row>
    <row r="53" spans="1:14">
      <c r="A53" s="679">
        <v>26</v>
      </c>
      <c r="B53" s="658" t="s">
        <v>2765</v>
      </c>
      <c r="C53" s="658" t="s">
        <v>4177</v>
      </c>
      <c r="D53" s="658" t="s">
        <v>2376</v>
      </c>
      <c r="E53" s="657">
        <v>59</v>
      </c>
      <c r="F53" s="657">
        <f t="shared" ref="F53" si="21">E53</f>
        <v>59</v>
      </c>
      <c r="G53" s="681"/>
      <c r="H53" s="13"/>
    </row>
    <row r="54" spans="1:14">
      <c r="A54" s="680"/>
      <c r="B54" s="658"/>
      <c r="C54" s="658"/>
      <c r="D54" s="658"/>
      <c r="E54" s="657"/>
      <c r="F54" s="657"/>
      <c r="G54" s="681"/>
      <c r="H54" s="13"/>
    </row>
    <row r="55" spans="1:14" ht="15.75">
      <c r="A55" s="679">
        <v>27</v>
      </c>
      <c r="B55" s="658" t="s">
        <v>2775</v>
      </c>
      <c r="C55" s="658" t="s">
        <v>4177</v>
      </c>
      <c r="D55" s="658" t="s">
        <v>3025</v>
      </c>
      <c r="E55" s="657">
        <v>98</v>
      </c>
      <c r="F55" s="657">
        <f t="shared" ref="F55" si="22">E55</f>
        <v>98</v>
      </c>
      <c r="G55" s="681"/>
      <c r="H55" s="13"/>
      <c r="I55" s="632"/>
    </row>
    <row r="56" spans="1:14" ht="15.75">
      <c r="A56" s="680"/>
      <c r="B56" s="658"/>
      <c r="C56" s="658"/>
      <c r="D56" s="658"/>
      <c r="E56" s="657"/>
      <c r="F56" s="657"/>
      <c r="G56" s="681"/>
      <c r="H56" s="13"/>
      <c r="I56" s="632"/>
      <c r="N56" s="606"/>
    </row>
    <row r="57" spans="1:14" ht="15.75">
      <c r="A57" s="679">
        <v>28</v>
      </c>
      <c r="B57" s="658" t="s">
        <v>4188</v>
      </c>
      <c r="C57" s="658" t="s">
        <v>4187</v>
      </c>
      <c r="D57" s="658" t="s">
        <v>239</v>
      </c>
      <c r="E57" s="657">
        <v>44757</v>
      </c>
      <c r="F57" s="657">
        <v>1530</v>
      </c>
      <c r="G57" s="681">
        <v>3.4184999999999999</v>
      </c>
      <c r="H57" s="13"/>
      <c r="I57" s="632"/>
    </row>
    <row r="58" spans="1:14" ht="15.75">
      <c r="A58" s="680"/>
      <c r="B58" s="658"/>
      <c r="C58" s="658"/>
      <c r="D58" s="658"/>
      <c r="E58" s="657"/>
      <c r="F58" s="657"/>
      <c r="G58" s="681"/>
      <c r="H58" s="13"/>
      <c r="I58" s="632"/>
      <c r="L58" s="629"/>
    </row>
    <row r="59" spans="1:14">
      <c r="A59" s="679">
        <v>29</v>
      </c>
      <c r="B59" s="658" t="s">
        <v>2776</v>
      </c>
      <c r="C59" s="658" t="s">
        <v>4183</v>
      </c>
      <c r="D59" s="658" t="s">
        <v>4181</v>
      </c>
      <c r="E59" s="657">
        <v>200</v>
      </c>
      <c r="F59" s="657">
        <f t="shared" ref="F59" si="23">E59</f>
        <v>200</v>
      </c>
      <c r="G59" s="681"/>
      <c r="H59" s="13"/>
    </row>
    <row r="60" spans="1:14">
      <c r="A60" s="680"/>
      <c r="B60" s="658"/>
      <c r="C60" s="658"/>
      <c r="D60" s="658"/>
      <c r="E60" s="657"/>
      <c r="F60" s="657"/>
      <c r="G60" s="681"/>
      <c r="H60" s="13"/>
    </row>
    <row r="61" spans="1:14">
      <c r="A61" s="679">
        <v>30</v>
      </c>
      <c r="B61" s="658" t="s">
        <v>2788</v>
      </c>
      <c r="C61" s="658" t="s">
        <v>4183</v>
      </c>
      <c r="D61" s="658" t="s">
        <v>4181</v>
      </c>
      <c r="E61" s="657">
        <v>200</v>
      </c>
      <c r="F61" s="657">
        <f t="shared" ref="F61" si="24">E61</f>
        <v>200</v>
      </c>
      <c r="G61" s="681"/>
      <c r="H61" s="13"/>
    </row>
    <row r="62" spans="1:14">
      <c r="A62" s="680"/>
      <c r="B62" s="658"/>
      <c r="C62" s="658"/>
      <c r="D62" s="658"/>
      <c r="E62" s="657"/>
      <c r="F62" s="657"/>
      <c r="G62" s="681"/>
      <c r="H62" s="13"/>
    </row>
    <row r="63" spans="1:14">
      <c r="A63" s="679">
        <v>31</v>
      </c>
      <c r="B63" s="658" t="s">
        <v>2783</v>
      </c>
      <c r="C63" s="658" t="s">
        <v>4183</v>
      </c>
      <c r="D63" s="658" t="s">
        <v>4185</v>
      </c>
      <c r="E63" s="657">
        <v>300</v>
      </c>
      <c r="F63" s="657">
        <f t="shared" ref="F63" si="25">E63</f>
        <v>300</v>
      </c>
      <c r="G63" s="681"/>
      <c r="H63" s="13"/>
    </row>
    <row r="64" spans="1:14">
      <c r="A64" s="680"/>
      <c r="B64" s="658"/>
      <c r="C64" s="658"/>
      <c r="D64" s="658"/>
      <c r="E64" s="657"/>
      <c r="F64" s="657"/>
      <c r="G64" s="681"/>
      <c r="H64" s="13"/>
    </row>
    <row r="65" spans="1:11" ht="15.75">
      <c r="A65" s="679">
        <v>32</v>
      </c>
      <c r="B65" s="659" t="s">
        <v>4189</v>
      </c>
      <c r="C65" s="659" t="s">
        <v>4187</v>
      </c>
      <c r="D65" s="658" t="s">
        <v>239</v>
      </c>
      <c r="E65" s="657">
        <v>1470</v>
      </c>
      <c r="F65" s="657">
        <f t="shared" ref="F65" si="26">E65</f>
        <v>1470</v>
      </c>
      <c r="G65" s="681"/>
      <c r="H65" s="13"/>
      <c r="I65" s="629"/>
      <c r="K65" s="606"/>
    </row>
    <row r="66" spans="1:11">
      <c r="A66" s="680"/>
      <c r="B66" s="660"/>
      <c r="C66" s="660"/>
      <c r="D66" s="658"/>
      <c r="E66" s="657"/>
      <c r="F66" s="657"/>
      <c r="G66" s="681"/>
      <c r="H66" s="13"/>
    </row>
    <row r="67" spans="1:11">
      <c r="A67" s="679">
        <v>33</v>
      </c>
      <c r="B67" s="659" t="s">
        <v>2784</v>
      </c>
      <c r="C67" s="658" t="s">
        <v>4184</v>
      </c>
      <c r="D67" s="659" t="s">
        <v>3309</v>
      </c>
      <c r="E67" s="657">
        <v>550</v>
      </c>
      <c r="F67" s="657">
        <f t="shared" ref="F67" si="27">E67</f>
        <v>550</v>
      </c>
      <c r="G67" s="681"/>
      <c r="H67" s="13"/>
    </row>
    <row r="68" spans="1:11">
      <c r="A68" s="680"/>
      <c r="B68" s="660"/>
      <c r="C68" s="658"/>
      <c r="D68" s="660"/>
      <c r="E68" s="657"/>
      <c r="F68" s="657"/>
      <c r="G68" s="681"/>
      <c r="H68" s="13"/>
    </row>
    <row r="69" spans="1:11">
      <c r="A69" s="679">
        <v>34</v>
      </c>
      <c r="B69" s="659" t="s">
        <v>2785</v>
      </c>
      <c r="C69" s="658" t="s">
        <v>4184</v>
      </c>
      <c r="D69" s="659" t="s">
        <v>3025</v>
      </c>
      <c r="E69" s="657">
        <v>98</v>
      </c>
      <c r="F69" s="657">
        <f t="shared" ref="F69" si="28">E69</f>
        <v>98</v>
      </c>
      <c r="G69" s="681"/>
      <c r="H69" s="13"/>
    </row>
    <row r="70" spans="1:11">
      <c r="A70" s="680"/>
      <c r="B70" s="660"/>
      <c r="C70" s="658"/>
      <c r="D70" s="660"/>
      <c r="E70" s="657"/>
      <c r="F70" s="657"/>
      <c r="G70" s="681"/>
      <c r="H70" s="13"/>
    </row>
    <row r="71" spans="1:11">
      <c r="A71" s="679">
        <v>35</v>
      </c>
      <c r="B71" s="659" t="s">
        <v>4190</v>
      </c>
      <c r="C71" s="659" t="s">
        <v>4187</v>
      </c>
      <c r="D71" s="658" t="s">
        <v>239</v>
      </c>
      <c r="E71" s="657">
        <v>1470</v>
      </c>
      <c r="F71" s="657">
        <f t="shared" ref="F71" si="29">E71</f>
        <v>1470</v>
      </c>
      <c r="G71" s="681"/>
      <c r="H71" s="13"/>
    </row>
    <row r="72" spans="1:11">
      <c r="A72" s="680"/>
      <c r="B72" s="660"/>
      <c r="C72" s="660"/>
      <c r="D72" s="658"/>
      <c r="E72" s="657"/>
      <c r="F72" s="657"/>
      <c r="G72" s="681"/>
      <c r="H72" s="13"/>
    </row>
    <row r="73" spans="1:11">
      <c r="A73" s="679">
        <v>36</v>
      </c>
      <c r="B73" s="658" t="s">
        <v>2786</v>
      </c>
      <c r="C73" s="658" t="s">
        <v>4184</v>
      </c>
      <c r="D73" s="658" t="s">
        <v>1601</v>
      </c>
      <c r="E73" s="657">
        <v>380</v>
      </c>
      <c r="F73" s="657">
        <f t="shared" ref="F73" si="30">E73</f>
        <v>380</v>
      </c>
      <c r="G73" s="681"/>
      <c r="H73" s="13"/>
    </row>
    <row r="74" spans="1:11">
      <c r="A74" s="680"/>
      <c r="B74" s="658"/>
      <c r="C74" s="658"/>
      <c r="D74" s="658"/>
      <c r="E74" s="657"/>
      <c r="F74" s="657"/>
      <c r="G74" s="681"/>
      <c r="H74" s="13"/>
    </row>
    <row r="75" spans="1:11" ht="15.75">
      <c r="A75" s="679">
        <v>37</v>
      </c>
      <c r="B75" s="658" t="s">
        <v>2787</v>
      </c>
      <c r="C75" s="658" t="s">
        <v>4184</v>
      </c>
      <c r="D75" s="658" t="s">
        <v>4182</v>
      </c>
      <c r="E75" s="657">
        <v>490</v>
      </c>
      <c r="F75" s="657">
        <f t="shared" ref="F75" si="31">E75</f>
        <v>490</v>
      </c>
      <c r="G75" s="681"/>
      <c r="H75" s="13"/>
      <c r="I75" s="633"/>
    </row>
    <row r="76" spans="1:11" ht="15.75">
      <c r="A76" s="680"/>
      <c r="B76" s="658"/>
      <c r="C76" s="658"/>
      <c r="D76" s="658"/>
      <c r="E76" s="657"/>
      <c r="F76" s="657"/>
      <c r="G76" s="681"/>
      <c r="H76" s="13"/>
      <c r="I76" s="633"/>
      <c r="K76" s="606"/>
    </row>
    <row r="77" spans="1:11">
      <c r="A77" s="679">
        <v>38</v>
      </c>
      <c r="B77" s="658" t="s">
        <v>2789</v>
      </c>
      <c r="C77" s="658" t="s">
        <v>4184</v>
      </c>
      <c r="D77" s="658" t="s">
        <v>4185</v>
      </c>
      <c r="E77" s="657">
        <v>290</v>
      </c>
      <c r="F77" s="657">
        <f t="shared" ref="F77" si="32">E77</f>
        <v>290</v>
      </c>
      <c r="G77" s="681"/>
      <c r="H77" s="13"/>
    </row>
    <row r="78" spans="1:11">
      <c r="A78" s="680"/>
      <c r="B78" s="658"/>
      <c r="C78" s="658"/>
      <c r="D78" s="658"/>
      <c r="E78" s="657"/>
      <c r="F78" s="657"/>
      <c r="G78" s="681"/>
      <c r="H78" s="13"/>
    </row>
    <row r="79" spans="1:11" ht="15.75">
      <c r="A79" s="679">
        <v>39</v>
      </c>
      <c r="B79" s="658" t="s">
        <v>4193</v>
      </c>
      <c r="C79" s="658" t="s">
        <v>4184</v>
      </c>
      <c r="D79" s="658" t="s">
        <v>239</v>
      </c>
      <c r="E79" s="657">
        <v>1470</v>
      </c>
      <c r="F79" s="657">
        <v>1470</v>
      </c>
      <c r="G79" s="681"/>
      <c r="H79" s="13"/>
      <c r="I79" s="632"/>
    </row>
    <row r="80" spans="1:11" ht="15.75">
      <c r="A80" s="680"/>
      <c r="B80" s="658"/>
      <c r="C80" s="658"/>
      <c r="D80" s="658"/>
      <c r="E80" s="657"/>
      <c r="F80" s="657"/>
      <c r="G80" s="681"/>
      <c r="H80" s="13"/>
      <c r="I80" s="606"/>
    </row>
    <row r="81" spans="1:10">
      <c r="A81" s="679">
        <v>40</v>
      </c>
      <c r="B81" s="658" t="s">
        <v>2805</v>
      </c>
      <c r="C81" s="658" t="s">
        <v>4186</v>
      </c>
      <c r="D81" s="658" t="s">
        <v>1140</v>
      </c>
      <c r="E81" s="657">
        <v>950</v>
      </c>
      <c r="F81" s="657">
        <f t="shared" ref="F81" si="33">E81</f>
        <v>950</v>
      </c>
      <c r="G81" s="681"/>
      <c r="H81" s="638"/>
      <c r="I81" s="635"/>
    </row>
    <row r="82" spans="1:10" ht="15.75">
      <c r="A82" s="680"/>
      <c r="B82" s="658"/>
      <c r="C82" s="658"/>
      <c r="D82" s="658"/>
      <c r="E82" s="657"/>
      <c r="F82" s="657"/>
      <c r="G82" s="681"/>
      <c r="H82" s="13"/>
      <c r="I82" s="606"/>
    </row>
    <row r="83" spans="1:10">
      <c r="A83" s="679">
        <v>41</v>
      </c>
      <c r="B83" s="658" t="s">
        <v>2806</v>
      </c>
      <c r="C83" s="658" t="s">
        <v>4186</v>
      </c>
      <c r="D83" s="658" t="s">
        <v>4191</v>
      </c>
      <c r="E83" s="657">
        <v>320</v>
      </c>
      <c r="F83" s="657">
        <f t="shared" ref="F83" si="34">E83</f>
        <v>320</v>
      </c>
      <c r="G83" s="681"/>
      <c r="H83" s="13"/>
      <c r="I83" s="634"/>
    </row>
    <row r="84" spans="1:10">
      <c r="A84" s="680"/>
      <c r="B84" s="658"/>
      <c r="C84" s="658"/>
      <c r="D84" s="658"/>
      <c r="E84" s="657"/>
      <c r="F84" s="657"/>
      <c r="G84" s="681"/>
      <c r="H84" s="13"/>
      <c r="I84" s="634"/>
    </row>
    <row r="85" spans="1:10">
      <c r="A85" s="679">
        <v>42</v>
      </c>
      <c r="B85" s="658" t="s">
        <v>4194</v>
      </c>
      <c r="C85" s="658" t="s">
        <v>4186</v>
      </c>
      <c r="D85" s="658" t="s">
        <v>239</v>
      </c>
      <c r="E85" s="657">
        <v>1470</v>
      </c>
      <c r="F85" s="657">
        <f t="shared" ref="F85" si="35">E85</f>
        <v>1470</v>
      </c>
      <c r="G85" s="681"/>
      <c r="H85" s="13"/>
      <c r="I85" s="634"/>
      <c r="J85" s="6"/>
    </row>
    <row r="86" spans="1:10">
      <c r="A86" s="680"/>
      <c r="B86" s="658"/>
      <c r="C86" s="658"/>
      <c r="D86" s="658"/>
      <c r="E86" s="657"/>
      <c r="F86" s="657"/>
      <c r="G86" s="681"/>
      <c r="H86" s="13"/>
    </row>
    <row r="87" spans="1:10">
      <c r="A87" s="679">
        <v>43</v>
      </c>
      <c r="B87" s="658" t="s">
        <v>3399</v>
      </c>
      <c r="C87" s="658" t="s">
        <v>4200</v>
      </c>
      <c r="D87" s="658" t="s">
        <v>1661</v>
      </c>
      <c r="E87" s="657">
        <v>450</v>
      </c>
      <c r="F87" s="657">
        <f t="shared" ref="F87" si="36">E87</f>
        <v>450</v>
      </c>
      <c r="G87" s="681"/>
      <c r="H87" s="13"/>
    </row>
    <row r="88" spans="1:10">
      <c r="A88" s="680"/>
      <c r="B88" s="658"/>
      <c r="C88" s="658"/>
      <c r="D88" s="658"/>
      <c r="E88" s="657"/>
      <c r="F88" s="657"/>
      <c r="G88" s="681"/>
      <c r="H88" s="13"/>
    </row>
    <row r="89" spans="1:10">
      <c r="A89" s="679">
        <v>44</v>
      </c>
      <c r="B89" s="658" t="s">
        <v>3401</v>
      </c>
      <c r="C89" s="658" t="s">
        <v>4200</v>
      </c>
      <c r="D89" s="658" t="s">
        <v>3025</v>
      </c>
      <c r="E89" s="657">
        <v>99</v>
      </c>
      <c r="F89" s="657">
        <f t="shared" ref="F89" si="37">E89</f>
        <v>99</v>
      </c>
      <c r="G89" s="681"/>
      <c r="H89" s="13"/>
    </row>
    <row r="90" spans="1:10">
      <c r="A90" s="680"/>
      <c r="B90" s="658"/>
      <c r="C90" s="658"/>
      <c r="D90" s="658"/>
      <c r="E90" s="657"/>
      <c r="F90" s="657"/>
      <c r="G90" s="681"/>
      <c r="H90" s="13"/>
    </row>
    <row r="91" spans="1:10">
      <c r="A91" s="679">
        <v>45</v>
      </c>
      <c r="B91" s="658" t="s">
        <v>4196</v>
      </c>
      <c r="C91" s="658" t="s">
        <v>4195</v>
      </c>
      <c r="D91" s="658" t="s">
        <v>239</v>
      </c>
      <c r="E91" s="657">
        <v>46820</v>
      </c>
      <c r="F91" s="657">
        <v>1590</v>
      </c>
      <c r="G91" s="681">
        <v>3.3959999999999999</v>
      </c>
      <c r="H91" s="13"/>
    </row>
    <row r="92" spans="1:10">
      <c r="A92" s="680"/>
      <c r="B92" s="658"/>
      <c r="C92" s="658"/>
      <c r="D92" s="658"/>
      <c r="E92" s="657"/>
      <c r="F92" s="657"/>
      <c r="G92" s="681"/>
      <c r="H92" s="13"/>
    </row>
    <row r="93" spans="1:10">
      <c r="A93" s="679">
        <v>46</v>
      </c>
      <c r="B93" s="658" t="s">
        <v>3402</v>
      </c>
      <c r="C93" s="658" t="s">
        <v>4200</v>
      </c>
      <c r="D93" s="658" t="s">
        <v>2723</v>
      </c>
      <c r="E93" s="657">
        <v>370</v>
      </c>
      <c r="F93" s="657">
        <f t="shared" ref="F93" si="38">E93</f>
        <v>370</v>
      </c>
      <c r="G93" s="681"/>
      <c r="H93" s="13"/>
    </row>
    <row r="94" spans="1:10">
      <c r="A94" s="680"/>
      <c r="B94" s="658"/>
      <c r="C94" s="658"/>
      <c r="D94" s="658"/>
      <c r="E94" s="657"/>
      <c r="F94" s="657"/>
      <c r="G94" s="681"/>
      <c r="H94" s="13"/>
    </row>
    <row r="95" spans="1:10">
      <c r="A95" s="679">
        <v>47</v>
      </c>
      <c r="B95" s="658" t="s">
        <v>3403</v>
      </c>
      <c r="C95" s="658" t="s">
        <v>4192</v>
      </c>
      <c r="D95" s="658" t="s">
        <v>2348</v>
      </c>
      <c r="E95" s="657">
        <v>50</v>
      </c>
      <c r="F95" s="657">
        <f t="shared" ref="F95" si="39">E95</f>
        <v>50</v>
      </c>
      <c r="G95" s="681"/>
      <c r="H95" s="13"/>
    </row>
    <row r="96" spans="1:10">
      <c r="A96" s="680"/>
      <c r="B96" s="658"/>
      <c r="C96" s="658"/>
      <c r="D96" s="658"/>
      <c r="E96" s="657"/>
      <c r="F96" s="657"/>
      <c r="G96" s="681"/>
      <c r="H96" s="13"/>
    </row>
    <row r="97" spans="1:9">
      <c r="A97" s="679">
        <v>48</v>
      </c>
      <c r="B97" s="658" t="s">
        <v>3405</v>
      </c>
      <c r="C97" s="658" t="s">
        <v>4200</v>
      </c>
      <c r="D97" s="658" t="s">
        <v>3309</v>
      </c>
      <c r="E97" s="657">
        <v>480</v>
      </c>
      <c r="F97" s="657">
        <f t="shared" ref="F97" si="40">E97</f>
        <v>480</v>
      </c>
      <c r="G97" s="681"/>
      <c r="H97" s="13"/>
    </row>
    <row r="98" spans="1:9" ht="15">
      <c r="A98" s="680"/>
      <c r="B98" s="658"/>
      <c r="C98" s="658"/>
      <c r="D98" s="658"/>
      <c r="E98" s="657"/>
      <c r="F98" s="657"/>
      <c r="G98" s="681"/>
      <c r="H98" s="13"/>
      <c r="I98" s="636"/>
    </row>
    <row r="99" spans="1:9" ht="15.75">
      <c r="A99" s="679">
        <v>49</v>
      </c>
      <c r="B99" s="658" t="s">
        <v>4201</v>
      </c>
      <c r="C99" s="658" t="s">
        <v>4200</v>
      </c>
      <c r="D99" s="658" t="s">
        <v>239</v>
      </c>
      <c r="E99" s="657">
        <v>45044</v>
      </c>
      <c r="F99" s="657">
        <v>1530</v>
      </c>
      <c r="G99" s="681">
        <v>3.3967000000000001</v>
      </c>
      <c r="H99" s="13"/>
      <c r="I99" s="606"/>
    </row>
    <row r="100" spans="1:9">
      <c r="A100" s="680"/>
      <c r="B100" s="658"/>
      <c r="C100" s="658"/>
      <c r="D100" s="658"/>
      <c r="E100" s="657"/>
      <c r="F100" s="657"/>
      <c r="G100" s="681"/>
      <c r="H100" s="13"/>
    </row>
    <row r="101" spans="1:9">
      <c r="A101" s="679">
        <v>50</v>
      </c>
      <c r="B101" s="658" t="s">
        <v>3409</v>
      </c>
      <c r="C101" s="658" t="s">
        <v>4212</v>
      </c>
      <c r="D101" s="658" t="s">
        <v>4213</v>
      </c>
      <c r="E101" s="682">
        <v>200</v>
      </c>
      <c r="F101" s="682">
        <v>200</v>
      </c>
      <c r="G101" s="681"/>
    </row>
    <row r="102" spans="1:9">
      <c r="A102" s="680"/>
      <c r="B102" s="658"/>
      <c r="C102" s="658"/>
      <c r="D102" s="658"/>
      <c r="E102" s="682"/>
      <c r="F102" s="682"/>
      <c r="G102" s="681"/>
    </row>
    <row r="103" spans="1:9">
      <c r="A103" s="679">
        <v>51</v>
      </c>
      <c r="B103" s="658"/>
      <c r="C103" s="658"/>
      <c r="D103" s="658"/>
      <c r="E103" s="682"/>
      <c r="F103" s="682"/>
      <c r="G103" s="681"/>
    </row>
    <row r="104" spans="1:9">
      <c r="A104" s="680"/>
      <c r="B104" s="658"/>
      <c r="C104" s="658"/>
      <c r="D104" s="658"/>
      <c r="E104" s="682"/>
      <c r="F104" s="682"/>
      <c r="G104" s="681"/>
    </row>
    <row r="105" spans="1:9">
      <c r="A105" s="679"/>
      <c r="B105" s="658"/>
      <c r="C105" s="658"/>
      <c r="D105" s="658"/>
      <c r="E105" s="657"/>
      <c r="F105" s="657"/>
      <c r="G105" s="681"/>
    </row>
    <row r="106" spans="1:9">
      <c r="A106" s="680"/>
      <c r="B106" s="658"/>
      <c r="C106" s="658"/>
      <c r="D106" s="658"/>
      <c r="E106" s="657"/>
      <c r="F106" s="657"/>
      <c r="G106" s="681"/>
    </row>
    <row r="107" spans="1:9">
      <c r="A107" s="679"/>
      <c r="B107" s="658"/>
      <c r="C107" s="658"/>
      <c r="D107" s="658"/>
      <c r="E107" s="657"/>
      <c r="F107" s="657"/>
      <c r="G107" s="681"/>
    </row>
    <row r="108" spans="1:9">
      <c r="A108" s="680"/>
      <c r="B108" s="658"/>
      <c r="C108" s="658"/>
      <c r="D108" s="658"/>
      <c r="E108" s="657"/>
      <c r="F108" s="657"/>
      <c r="G108" s="681"/>
    </row>
    <row r="109" spans="1:9">
      <c r="A109" s="679"/>
      <c r="B109" s="658"/>
      <c r="C109" s="658"/>
      <c r="D109" s="658"/>
      <c r="E109" s="657"/>
      <c r="F109" s="657"/>
      <c r="G109" s="681"/>
    </row>
    <row r="110" spans="1:9">
      <c r="A110" s="680"/>
      <c r="B110" s="658"/>
      <c r="C110" s="658"/>
      <c r="D110" s="658"/>
      <c r="E110" s="657"/>
      <c r="F110" s="657"/>
      <c r="G110" s="681"/>
    </row>
    <row r="111" spans="1:9">
      <c r="A111" s="679"/>
      <c r="B111" s="658"/>
      <c r="C111" s="658"/>
      <c r="D111" s="658"/>
      <c r="E111" s="657"/>
      <c r="F111" s="657"/>
      <c r="G111" s="683"/>
    </row>
    <row r="112" spans="1:9">
      <c r="A112" s="680"/>
      <c r="B112" s="658"/>
      <c r="C112" s="658"/>
      <c r="D112" s="658"/>
      <c r="E112" s="657"/>
      <c r="F112" s="657"/>
      <c r="G112" s="684"/>
    </row>
    <row r="113" spans="1:7">
      <c r="A113" s="679"/>
      <c r="B113" s="658"/>
      <c r="C113" s="658"/>
      <c r="D113" s="658"/>
      <c r="E113" s="657"/>
      <c r="F113" s="657"/>
      <c r="G113" s="685"/>
    </row>
    <row r="114" spans="1:7">
      <c r="A114" s="680"/>
      <c r="B114" s="658"/>
      <c r="C114" s="658"/>
      <c r="D114" s="658"/>
      <c r="E114" s="657"/>
      <c r="F114" s="657"/>
      <c r="G114" s="686"/>
    </row>
    <row r="115" spans="1:7">
      <c r="A115" s="679"/>
      <c r="B115" s="658"/>
      <c r="C115" s="658"/>
      <c r="D115" s="658"/>
      <c r="E115" s="657"/>
      <c r="F115" s="657"/>
      <c r="G115" s="685"/>
    </row>
    <row r="116" spans="1:7">
      <c r="A116" s="680"/>
      <c r="B116" s="658"/>
      <c r="C116" s="658"/>
      <c r="D116" s="658"/>
      <c r="E116" s="657"/>
      <c r="F116" s="657"/>
      <c r="G116" s="686"/>
    </row>
    <row r="117" spans="1:7">
      <c r="A117" s="679"/>
      <c r="B117" s="658"/>
      <c r="C117" s="658"/>
      <c r="D117" s="658"/>
      <c r="E117" s="657"/>
      <c r="F117" s="657"/>
      <c r="G117" s="685"/>
    </row>
    <row r="118" spans="1:7">
      <c r="A118" s="680"/>
      <c r="B118" s="658"/>
      <c r="C118" s="658"/>
      <c r="D118" s="658"/>
      <c r="E118" s="657"/>
      <c r="F118" s="657"/>
      <c r="G118" s="686"/>
    </row>
    <row r="119" spans="1:7">
      <c r="A119" s="679"/>
      <c r="B119" s="658"/>
      <c r="C119" s="658"/>
      <c r="D119" s="658"/>
      <c r="E119" s="657"/>
      <c r="F119" s="657"/>
      <c r="G119" s="685"/>
    </row>
    <row r="120" spans="1:7">
      <c r="A120" s="680"/>
      <c r="B120" s="658"/>
      <c r="C120" s="658"/>
      <c r="D120" s="658"/>
      <c r="E120" s="657"/>
      <c r="F120" s="657"/>
      <c r="G120" s="686"/>
    </row>
    <row r="121" spans="1:7">
      <c r="A121" s="679"/>
      <c r="B121" s="658"/>
      <c r="C121" s="658"/>
      <c r="D121" s="658"/>
      <c r="E121" s="657"/>
      <c r="F121" s="657"/>
      <c r="G121" s="685"/>
    </row>
    <row r="122" spans="1:7">
      <c r="A122" s="680"/>
      <c r="B122" s="658"/>
      <c r="C122" s="658"/>
      <c r="D122" s="658"/>
      <c r="E122" s="657"/>
      <c r="F122" s="657"/>
      <c r="G122" s="686"/>
    </row>
    <row r="123" spans="1:7">
      <c r="A123" s="679"/>
      <c r="B123" s="658"/>
      <c r="C123" s="658"/>
      <c r="D123" s="658"/>
      <c r="E123" s="657"/>
      <c r="F123" s="657"/>
      <c r="G123" s="685"/>
    </row>
    <row r="124" spans="1:7">
      <c r="A124" s="680"/>
      <c r="B124" s="658"/>
      <c r="C124" s="658"/>
      <c r="D124" s="658"/>
      <c r="E124" s="657"/>
      <c r="F124" s="657"/>
      <c r="G124" s="686"/>
    </row>
    <row r="125" spans="1:7">
      <c r="A125" s="687"/>
      <c r="B125" s="658"/>
      <c r="C125" s="658"/>
      <c r="D125" s="658"/>
      <c r="E125" s="657"/>
      <c r="F125" s="657"/>
      <c r="G125" s="685"/>
    </row>
    <row r="126" spans="1:7">
      <c r="A126" s="688"/>
      <c r="B126" s="658"/>
      <c r="C126" s="658"/>
      <c r="D126" s="658"/>
      <c r="E126" s="657"/>
      <c r="F126" s="657"/>
      <c r="G126" s="686"/>
    </row>
    <row r="127" spans="1:7">
      <c r="A127" s="687"/>
      <c r="B127" s="689"/>
      <c r="C127" s="689"/>
      <c r="D127" s="689"/>
      <c r="E127" s="689"/>
      <c r="F127" s="689"/>
      <c r="G127" s="685"/>
    </row>
    <row r="128" spans="1:7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28" zoomScale="85" zoomScaleNormal="85" workbookViewId="0">
      <selection activeCell="B3" sqref="B3:C3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>
        <v>3223</v>
      </c>
      <c r="C2" s="586" t="s">
        <v>4220</v>
      </c>
      <c r="D2" s="585" t="s">
        <v>6</v>
      </c>
      <c r="E2" s="586">
        <v>43006</v>
      </c>
      <c r="F2" s="585" t="s">
        <v>4221</v>
      </c>
      <c r="G2" s="586">
        <v>43006</v>
      </c>
      <c r="H2" s="586" t="s">
        <v>3318</v>
      </c>
      <c r="I2" s="586">
        <v>43009</v>
      </c>
      <c r="J2" s="587">
        <v>508</v>
      </c>
      <c r="K2" s="590"/>
      <c r="L2" s="5">
        <f>SUM(J2:J51)</f>
        <v>33666</v>
      </c>
    </row>
    <row r="3" spans="1:12">
      <c r="A3" s="589">
        <v>2</v>
      </c>
      <c r="B3" s="585" t="s">
        <v>6</v>
      </c>
      <c r="C3" s="586">
        <v>42480</v>
      </c>
      <c r="D3" s="585" t="s">
        <v>6</v>
      </c>
      <c r="E3" s="586">
        <v>43007</v>
      </c>
      <c r="F3" s="586">
        <v>43007</v>
      </c>
      <c r="G3" s="586">
        <v>43007</v>
      </c>
      <c r="H3" s="586" t="s">
        <v>3318</v>
      </c>
      <c r="I3" s="586">
        <v>43010</v>
      </c>
      <c r="J3" s="587">
        <v>98</v>
      </c>
      <c r="K3" s="590" t="s">
        <v>3930</v>
      </c>
    </row>
    <row r="4" spans="1:12">
      <c r="A4" s="585">
        <v>3</v>
      </c>
      <c r="B4" s="585" t="s">
        <v>6</v>
      </c>
      <c r="C4" s="586">
        <v>42795</v>
      </c>
      <c r="D4" s="585" t="s">
        <v>6</v>
      </c>
      <c r="E4" s="586">
        <v>43007</v>
      </c>
      <c r="F4" s="585" t="s">
        <v>6</v>
      </c>
      <c r="G4" s="586">
        <v>43007</v>
      </c>
      <c r="H4" s="586" t="s">
        <v>3318</v>
      </c>
      <c r="I4" s="586">
        <v>43010</v>
      </c>
      <c r="J4" s="587">
        <v>550</v>
      </c>
      <c r="K4" s="590"/>
      <c r="L4" s="5">
        <f>SUM(J2:J51)</f>
        <v>33666</v>
      </c>
    </row>
    <row r="5" spans="1:12">
      <c r="A5" s="585">
        <v>4</v>
      </c>
      <c r="B5" s="585" t="s">
        <v>3344</v>
      </c>
      <c r="C5" s="586">
        <v>42338</v>
      </c>
      <c r="D5" s="585" t="s">
        <v>6</v>
      </c>
      <c r="E5" s="586">
        <v>43006</v>
      </c>
      <c r="F5" s="585" t="s">
        <v>4222</v>
      </c>
      <c r="G5" s="586" t="s">
        <v>4223</v>
      </c>
      <c r="H5" s="586" t="s">
        <v>3318</v>
      </c>
      <c r="I5" s="586">
        <v>43010</v>
      </c>
      <c r="J5" s="587">
        <v>830</v>
      </c>
      <c r="K5" s="590"/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43007</v>
      </c>
      <c r="F6" s="585" t="s">
        <v>3547</v>
      </c>
      <c r="G6" s="586">
        <v>43007</v>
      </c>
      <c r="H6" s="586" t="s">
        <v>3320</v>
      </c>
      <c r="I6" s="586">
        <v>43011</v>
      </c>
      <c r="J6" s="587">
        <v>1530</v>
      </c>
      <c r="K6" s="590"/>
    </row>
    <row r="7" spans="1:12">
      <c r="A7" s="585">
        <v>6</v>
      </c>
      <c r="B7" s="585" t="s">
        <v>6</v>
      </c>
      <c r="C7" s="586">
        <v>42389</v>
      </c>
      <c r="D7" s="585" t="s">
        <v>6</v>
      </c>
      <c r="E7" s="586">
        <v>43012</v>
      </c>
      <c r="F7" s="585" t="s">
        <v>6</v>
      </c>
      <c r="G7" s="586">
        <v>43012</v>
      </c>
      <c r="H7" s="586" t="s">
        <v>3318</v>
      </c>
      <c r="I7" s="586">
        <v>43014</v>
      </c>
      <c r="J7" s="587">
        <v>300</v>
      </c>
      <c r="K7" s="590" t="s">
        <v>3645</v>
      </c>
    </row>
    <row r="8" spans="1:12">
      <c r="A8" s="585">
        <v>7</v>
      </c>
      <c r="B8" s="585" t="s">
        <v>4224</v>
      </c>
      <c r="C8" s="586">
        <v>43011</v>
      </c>
      <c r="D8" s="585" t="s">
        <v>6</v>
      </c>
      <c r="E8" s="586">
        <v>43012</v>
      </c>
      <c r="F8" s="585" t="s">
        <v>6</v>
      </c>
      <c r="G8" s="586">
        <v>43012</v>
      </c>
      <c r="H8" s="586" t="s">
        <v>3318</v>
      </c>
      <c r="I8" s="586">
        <v>43014</v>
      </c>
      <c r="J8" s="587">
        <v>500</v>
      </c>
      <c r="K8" s="590"/>
    </row>
    <row r="9" spans="1:12">
      <c r="A9" s="585">
        <v>8</v>
      </c>
      <c r="B9" s="585" t="s">
        <v>6</v>
      </c>
      <c r="C9" s="586">
        <v>42389</v>
      </c>
      <c r="D9" s="585" t="s">
        <v>6</v>
      </c>
      <c r="E9" s="586">
        <v>43012</v>
      </c>
      <c r="F9" s="585" t="s">
        <v>6</v>
      </c>
      <c r="G9" s="586">
        <v>43012</v>
      </c>
      <c r="H9" s="586" t="s">
        <v>3318</v>
      </c>
      <c r="I9" s="586">
        <v>43013</v>
      </c>
      <c r="J9" s="587">
        <v>460</v>
      </c>
      <c r="K9" s="590" t="s">
        <v>3879</v>
      </c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43010</v>
      </c>
      <c r="F10" s="585" t="s">
        <v>3547</v>
      </c>
      <c r="G10" s="586">
        <v>43007</v>
      </c>
      <c r="H10" s="586" t="s">
        <v>3320</v>
      </c>
      <c r="I10" s="586">
        <v>43012</v>
      </c>
      <c r="J10" s="587">
        <v>1470</v>
      </c>
      <c r="K10" s="590"/>
    </row>
    <row r="11" spans="1:12">
      <c r="A11" s="585">
        <v>10</v>
      </c>
      <c r="B11" s="585">
        <v>13</v>
      </c>
      <c r="C11" s="586">
        <v>42579</v>
      </c>
      <c r="D11" s="585" t="s">
        <v>6</v>
      </c>
      <c r="E11" s="586">
        <v>43013</v>
      </c>
      <c r="F11" s="585" t="s">
        <v>3550</v>
      </c>
      <c r="G11" s="586">
        <v>43013</v>
      </c>
      <c r="H11" s="586" t="s">
        <v>3318</v>
      </c>
      <c r="I11" s="586">
        <v>43017</v>
      </c>
      <c r="J11" s="587">
        <v>550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43013</v>
      </c>
      <c r="F12" s="585" t="s">
        <v>3547</v>
      </c>
      <c r="G12" s="586" t="s">
        <v>4225</v>
      </c>
      <c r="H12" s="586" t="s">
        <v>3318</v>
      </c>
      <c r="I12" s="586">
        <v>43017</v>
      </c>
      <c r="J12" s="587">
        <v>650</v>
      </c>
      <c r="K12" s="590"/>
    </row>
    <row r="13" spans="1:12">
      <c r="A13" s="585">
        <v>12</v>
      </c>
      <c r="B13" s="585" t="s">
        <v>3330</v>
      </c>
      <c r="C13" s="586">
        <v>42373</v>
      </c>
      <c r="D13" s="585" t="s">
        <v>6</v>
      </c>
      <c r="E13" s="586">
        <v>43010</v>
      </c>
      <c r="F13" s="585" t="s">
        <v>3557</v>
      </c>
      <c r="G13" s="586">
        <v>43007</v>
      </c>
      <c r="H13" s="586" t="s">
        <v>3320</v>
      </c>
      <c r="I13" s="586">
        <v>43012</v>
      </c>
      <c r="J13" s="587">
        <v>1470</v>
      </c>
      <c r="K13" s="590"/>
    </row>
    <row r="14" spans="1:12">
      <c r="A14" s="585">
        <v>13</v>
      </c>
      <c r="B14" s="585" t="s">
        <v>4226</v>
      </c>
      <c r="C14" s="586">
        <v>43013</v>
      </c>
      <c r="D14" s="585" t="s">
        <v>6</v>
      </c>
      <c r="E14" s="586">
        <v>43014</v>
      </c>
      <c r="F14" s="585" t="s">
        <v>6</v>
      </c>
      <c r="G14" s="586">
        <v>43014</v>
      </c>
      <c r="H14" s="586" t="s">
        <v>3318</v>
      </c>
      <c r="I14" s="586">
        <v>43017</v>
      </c>
      <c r="J14" s="587">
        <v>200</v>
      </c>
      <c r="K14" s="587"/>
    </row>
    <row r="15" spans="1:12">
      <c r="A15" s="585">
        <v>14</v>
      </c>
      <c r="B15" s="585" t="s">
        <v>4226</v>
      </c>
      <c r="C15" s="586">
        <v>43013</v>
      </c>
      <c r="D15" s="585" t="s">
        <v>6</v>
      </c>
      <c r="E15" s="586">
        <v>43014</v>
      </c>
      <c r="F15" s="585" t="s">
        <v>6</v>
      </c>
      <c r="G15" s="586">
        <v>43014</v>
      </c>
      <c r="H15" s="586" t="s">
        <v>3318</v>
      </c>
      <c r="I15" s="586">
        <v>43017</v>
      </c>
      <c r="J15" s="587">
        <v>300</v>
      </c>
      <c r="K15" s="590"/>
    </row>
    <row r="16" spans="1:12">
      <c r="A16" s="585">
        <v>15</v>
      </c>
      <c r="B16" s="585">
        <v>704</v>
      </c>
      <c r="C16" s="586">
        <v>43013</v>
      </c>
      <c r="D16" s="585" t="s">
        <v>6</v>
      </c>
      <c r="E16" s="586">
        <v>43013</v>
      </c>
      <c r="F16" s="585" t="s">
        <v>6</v>
      </c>
      <c r="G16" s="586">
        <v>43013</v>
      </c>
      <c r="H16" s="586" t="s">
        <v>3318</v>
      </c>
      <c r="I16" s="586">
        <v>43017</v>
      </c>
      <c r="J16" s="587">
        <v>380</v>
      </c>
      <c r="K16" s="590"/>
    </row>
    <row r="17" spans="1:11">
      <c r="A17" s="585">
        <v>16</v>
      </c>
      <c r="B17" s="585" t="s">
        <v>6</v>
      </c>
      <c r="C17" s="586">
        <v>42389</v>
      </c>
      <c r="D17" s="585" t="s">
        <v>6</v>
      </c>
      <c r="E17" s="586">
        <v>43014</v>
      </c>
      <c r="F17" s="585" t="s">
        <v>6</v>
      </c>
      <c r="G17" s="586">
        <v>43014</v>
      </c>
      <c r="H17" s="586" t="s">
        <v>3318</v>
      </c>
      <c r="I17" s="586">
        <v>43017</v>
      </c>
      <c r="J17" s="587">
        <v>400</v>
      </c>
      <c r="K17" s="590"/>
    </row>
    <row r="18" spans="1:11">
      <c r="A18" s="593">
        <v>17</v>
      </c>
      <c r="B18" s="585" t="s">
        <v>3330</v>
      </c>
      <c r="C18" s="586">
        <v>42373</v>
      </c>
      <c r="D18" s="585" t="s">
        <v>6</v>
      </c>
      <c r="E18" s="586">
        <v>43012</v>
      </c>
      <c r="F18" s="585" t="s">
        <v>3557</v>
      </c>
      <c r="G18" s="586">
        <v>43012</v>
      </c>
      <c r="H18" s="586" t="s">
        <v>3320</v>
      </c>
      <c r="I18" s="586">
        <v>43013</v>
      </c>
      <c r="J18" s="587">
        <v>1470</v>
      </c>
      <c r="K18" s="590"/>
    </row>
    <row r="19" spans="1:11">
      <c r="A19" s="593">
        <v>18</v>
      </c>
      <c r="B19" s="585">
        <v>13</v>
      </c>
      <c r="C19" s="586">
        <v>42579</v>
      </c>
      <c r="D19" s="585" t="s">
        <v>6</v>
      </c>
      <c r="E19" s="586">
        <v>43014</v>
      </c>
      <c r="F19" s="585" t="s">
        <v>3550</v>
      </c>
      <c r="G19" s="586">
        <v>43014</v>
      </c>
      <c r="H19" s="586" t="s">
        <v>3318</v>
      </c>
      <c r="I19" s="586">
        <v>43017</v>
      </c>
      <c r="J19" s="587">
        <v>400</v>
      </c>
      <c r="K19" s="590"/>
    </row>
    <row r="20" spans="1:11">
      <c r="A20" s="593">
        <v>19</v>
      </c>
      <c r="B20" s="585">
        <v>13</v>
      </c>
      <c r="C20" s="586">
        <v>42579</v>
      </c>
      <c r="D20" s="585" t="s">
        <v>6</v>
      </c>
      <c r="E20" s="586">
        <v>43014</v>
      </c>
      <c r="F20" s="585" t="s">
        <v>3547</v>
      </c>
      <c r="G20" s="586">
        <v>43014</v>
      </c>
      <c r="H20" s="586" t="s">
        <v>3318</v>
      </c>
      <c r="I20" s="586">
        <v>43017</v>
      </c>
      <c r="J20" s="587">
        <v>300</v>
      </c>
      <c r="K20" s="590"/>
    </row>
    <row r="21" spans="1:11">
      <c r="A21" s="593">
        <v>20</v>
      </c>
      <c r="B21" s="585" t="s">
        <v>6</v>
      </c>
      <c r="C21" s="586">
        <v>42480</v>
      </c>
      <c r="D21" s="585" t="s">
        <v>6</v>
      </c>
      <c r="E21" s="586">
        <v>43014</v>
      </c>
      <c r="F21" s="586">
        <v>43014</v>
      </c>
      <c r="G21" s="586">
        <v>43014</v>
      </c>
      <c r="H21" s="586" t="s">
        <v>3318</v>
      </c>
      <c r="I21" s="586">
        <v>43017</v>
      </c>
      <c r="J21" s="587">
        <v>98</v>
      </c>
      <c r="K21" s="590"/>
    </row>
    <row r="22" spans="1:11">
      <c r="A22" s="593">
        <v>21</v>
      </c>
      <c r="B22" s="585" t="s">
        <v>3330</v>
      </c>
      <c r="C22" s="586">
        <v>42373</v>
      </c>
      <c r="D22" s="585" t="s">
        <v>6</v>
      </c>
      <c r="E22" s="586">
        <v>43017</v>
      </c>
      <c r="F22" s="585" t="s">
        <v>3761</v>
      </c>
      <c r="G22" s="586">
        <v>43017</v>
      </c>
      <c r="H22" s="586" t="s">
        <v>3320</v>
      </c>
      <c r="I22" s="586">
        <v>43019</v>
      </c>
      <c r="J22" s="587">
        <v>1530</v>
      </c>
      <c r="K22" s="590"/>
    </row>
    <row r="23" spans="1:11">
      <c r="A23" s="593">
        <v>22</v>
      </c>
      <c r="B23" s="607" t="s">
        <v>3826</v>
      </c>
      <c r="C23" s="586">
        <v>42587</v>
      </c>
      <c r="D23" s="585" t="s">
        <v>6</v>
      </c>
      <c r="E23" s="586">
        <v>43020</v>
      </c>
      <c r="F23" s="585" t="s">
        <v>6</v>
      </c>
      <c r="G23" s="586">
        <v>43020</v>
      </c>
      <c r="H23" s="586" t="s">
        <v>3318</v>
      </c>
      <c r="I23" s="586">
        <v>43024</v>
      </c>
      <c r="J23" s="587">
        <v>495</v>
      </c>
      <c r="K23" s="590"/>
    </row>
    <row r="24" spans="1:11">
      <c r="A24" s="593">
        <v>23</v>
      </c>
      <c r="B24" s="585" t="s">
        <v>3344</v>
      </c>
      <c r="C24" s="586">
        <v>42338</v>
      </c>
      <c r="D24" s="585" t="s">
        <v>6</v>
      </c>
      <c r="E24" s="586">
        <v>43020</v>
      </c>
      <c r="F24" s="585" t="s">
        <v>4228</v>
      </c>
      <c r="G24" s="586" t="s">
        <v>4227</v>
      </c>
      <c r="H24" s="586" t="s">
        <v>3318</v>
      </c>
      <c r="I24" s="586">
        <v>43024</v>
      </c>
      <c r="J24" s="587">
        <v>833</v>
      </c>
      <c r="K24" s="590"/>
    </row>
    <row r="25" spans="1:11">
      <c r="A25" s="593">
        <v>24</v>
      </c>
      <c r="B25" s="585" t="s">
        <v>3330</v>
      </c>
      <c r="C25" s="586">
        <v>42373</v>
      </c>
      <c r="D25" s="585" t="s">
        <v>6</v>
      </c>
      <c r="E25" s="586">
        <v>43018</v>
      </c>
      <c r="F25" s="585" t="s">
        <v>3761</v>
      </c>
      <c r="G25" s="586">
        <v>43018</v>
      </c>
      <c r="H25" s="586" t="s">
        <v>3320</v>
      </c>
      <c r="I25" s="586">
        <v>43019</v>
      </c>
      <c r="J25" s="587">
        <v>1530</v>
      </c>
      <c r="K25" s="590"/>
    </row>
    <row r="26" spans="1:11">
      <c r="A26" s="593">
        <v>25</v>
      </c>
      <c r="B26" s="585" t="s">
        <v>6</v>
      </c>
      <c r="C26" s="586">
        <v>42389</v>
      </c>
      <c r="D26" s="585" t="s">
        <v>6</v>
      </c>
      <c r="E26" s="586">
        <v>43020</v>
      </c>
      <c r="F26" s="585" t="s">
        <v>6</v>
      </c>
      <c r="G26" s="586">
        <v>43020</v>
      </c>
      <c r="H26" s="586" t="s">
        <v>3318</v>
      </c>
      <c r="I26" s="586">
        <v>43024</v>
      </c>
      <c r="J26" s="587">
        <v>700</v>
      </c>
      <c r="K26" s="590"/>
    </row>
    <row r="27" spans="1:11">
      <c r="A27" s="593">
        <v>26</v>
      </c>
      <c r="B27" s="585" t="s">
        <v>6</v>
      </c>
      <c r="C27" s="586">
        <v>42396</v>
      </c>
      <c r="D27" s="585" t="s">
        <v>6</v>
      </c>
      <c r="E27" s="586">
        <v>43019</v>
      </c>
      <c r="F27" s="585" t="s">
        <v>6</v>
      </c>
      <c r="G27" s="586">
        <v>43019</v>
      </c>
      <c r="H27" s="586" t="s">
        <v>3318</v>
      </c>
      <c r="I27" s="586">
        <v>43024</v>
      </c>
      <c r="J27" s="587">
        <v>59</v>
      </c>
      <c r="K27" s="590"/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43021</v>
      </c>
      <c r="F28" s="586">
        <v>43021</v>
      </c>
      <c r="G28" s="586">
        <v>43021</v>
      </c>
      <c r="H28" s="586" t="s">
        <v>3318</v>
      </c>
      <c r="I28" s="586">
        <v>43024</v>
      </c>
      <c r="J28" s="587">
        <v>98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43020</v>
      </c>
      <c r="F29" s="585" t="s">
        <v>3761</v>
      </c>
      <c r="G29" s="586">
        <v>43020</v>
      </c>
      <c r="H29" s="586" t="s">
        <v>3320</v>
      </c>
      <c r="I29" s="586">
        <v>43026</v>
      </c>
      <c r="J29" s="587">
        <v>1530</v>
      </c>
      <c r="K29" s="590"/>
    </row>
    <row r="30" spans="1:11">
      <c r="A30" s="593">
        <v>29</v>
      </c>
      <c r="B30" s="585" t="s">
        <v>6</v>
      </c>
      <c r="C30" s="586">
        <v>43023</v>
      </c>
      <c r="D30" s="585" t="s">
        <v>6</v>
      </c>
      <c r="E30" s="586">
        <v>43027</v>
      </c>
      <c r="F30" s="585" t="s">
        <v>4229</v>
      </c>
      <c r="G30" s="586">
        <v>43027</v>
      </c>
      <c r="H30" s="586" t="s">
        <v>3318</v>
      </c>
      <c r="I30" s="586">
        <v>43028</v>
      </c>
      <c r="J30" s="587">
        <v>200</v>
      </c>
      <c r="K30" s="590"/>
    </row>
    <row r="31" spans="1:11">
      <c r="A31" s="596">
        <v>30</v>
      </c>
      <c r="B31" s="585" t="s">
        <v>6</v>
      </c>
      <c r="C31" s="586">
        <v>43023</v>
      </c>
      <c r="D31" s="585" t="s">
        <v>6</v>
      </c>
      <c r="E31" s="586">
        <v>43027</v>
      </c>
      <c r="F31" s="585" t="s">
        <v>4230</v>
      </c>
      <c r="G31" s="586">
        <v>43027</v>
      </c>
      <c r="H31" s="586" t="s">
        <v>3318</v>
      </c>
      <c r="I31" s="586">
        <v>43028</v>
      </c>
      <c r="J31" s="587">
        <v>200</v>
      </c>
      <c r="K31" s="590"/>
    </row>
    <row r="32" spans="1:11">
      <c r="A32" s="596">
        <v>31</v>
      </c>
      <c r="B32" s="585" t="s">
        <v>6</v>
      </c>
      <c r="C32" s="586">
        <v>43023</v>
      </c>
      <c r="D32" s="585" t="s">
        <v>6</v>
      </c>
      <c r="E32" s="586">
        <v>43026</v>
      </c>
      <c r="F32" s="585" t="s">
        <v>6</v>
      </c>
      <c r="G32" s="586">
        <v>43026</v>
      </c>
      <c r="H32" s="586" t="s">
        <v>3318</v>
      </c>
      <c r="I32" s="586">
        <v>43028</v>
      </c>
      <c r="J32" s="587">
        <v>300</v>
      </c>
      <c r="K32" s="590"/>
    </row>
    <row r="33" spans="1:11">
      <c r="A33" s="596">
        <v>32</v>
      </c>
      <c r="B33" s="585" t="s">
        <v>3330</v>
      </c>
      <c r="C33" s="586">
        <v>42373</v>
      </c>
      <c r="D33" s="585" t="s">
        <v>6</v>
      </c>
      <c r="E33" s="586">
        <v>43024</v>
      </c>
      <c r="F33" s="585" t="s">
        <v>6</v>
      </c>
      <c r="G33" s="586">
        <v>43024</v>
      </c>
      <c r="H33" s="586" t="s">
        <v>3320</v>
      </c>
      <c r="I33" s="586">
        <v>43026</v>
      </c>
      <c r="J33" s="587">
        <v>1470</v>
      </c>
      <c r="K33" s="590"/>
    </row>
    <row r="34" spans="1:11">
      <c r="A34" s="596">
        <v>33</v>
      </c>
      <c r="B34" s="585" t="s">
        <v>6</v>
      </c>
      <c r="C34" s="586">
        <v>42480</v>
      </c>
      <c r="D34" s="585" t="s">
        <v>6</v>
      </c>
      <c r="E34" s="586">
        <v>43028</v>
      </c>
      <c r="F34" s="586">
        <v>43028</v>
      </c>
      <c r="G34" s="586">
        <v>43028</v>
      </c>
      <c r="H34" s="586" t="s">
        <v>3318</v>
      </c>
      <c r="I34" s="586">
        <v>43031</v>
      </c>
      <c r="J34" s="587">
        <v>98</v>
      </c>
      <c r="K34" s="590"/>
    </row>
    <row r="35" spans="1:11">
      <c r="A35" s="596">
        <v>34</v>
      </c>
      <c r="B35" s="585">
        <v>13</v>
      </c>
      <c r="C35" s="586">
        <v>42579</v>
      </c>
      <c r="D35" s="585" t="s">
        <v>6</v>
      </c>
      <c r="E35" s="586">
        <v>43028</v>
      </c>
      <c r="F35" s="585" t="s">
        <v>3564</v>
      </c>
      <c r="G35" s="586">
        <v>43028</v>
      </c>
      <c r="H35" s="586" t="s">
        <v>3318</v>
      </c>
      <c r="I35" s="586">
        <v>43031</v>
      </c>
      <c r="J35" s="587">
        <v>550</v>
      </c>
      <c r="K35" s="590"/>
    </row>
    <row r="36" spans="1:11">
      <c r="A36" s="596">
        <v>35</v>
      </c>
      <c r="B36" s="585" t="s">
        <v>3330</v>
      </c>
      <c r="C36" s="586">
        <v>42373</v>
      </c>
      <c r="D36" s="585" t="s">
        <v>6</v>
      </c>
      <c r="E36" s="586">
        <v>43025</v>
      </c>
      <c r="F36" s="585" t="s">
        <v>6</v>
      </c>
      <c r="G36" s="586">
        <v>43025</v>
      </c>
      <c r="H36" s="586" t="s">
        <v>3320</v>
      </c>
      <c r="I36" s="586">
        <v>43026</v>
      </c>
      <c r="J36" s="587">
        <v>1470</v>
      </c>
      <c r="K36" s="590"/>
    </row>
    <row r="37" spans="1:11">
      <c r="A37" s="596">
        <v>36</v>
      </c>
      <c r="B37" s="585" t="s">
        <v>6</v>
      </c>
      <c r="C37" s="586">
        <v>42389</v>
      </c>
      <c r="D37" s="585" t="s">
        <v>6</v>
      </c>
      <c r="E37" s="586">
        <v>43028</v>
      </c>
      <c r="F37" s="585" t="s">
        <v>6</v>
      </c>
      <c r="G37" s="586">
        <v>43028</v>
      </c>
      <c r="H37" s="586" t="s">
        <v>3318</v>
      </c>
      <c r="I37" s="586">
        <v>43031</v>
      </c>
      <c r="J37" s="587">
        <v>380</v>
      </c>
      <c r="K37" s="590"/>
    </row>
    <row r="38" spans="1:11">
      <c r="A38" s="596">
        <v>37</v>
      </c>
      <c r="B38" s="585" t="s">
        <v>6</v>
      </c>
      <c r="C38" s="586">
        <v>42389</v>
      </c>
      <c r="D38" s="585" t="s">
        <v>6</v>
      </c>
      <c r="E38" s="586">
        <v>43028</v>
      </c>
      <c r="F38" s="585" t="s">
        <v>6</v>
      </c>
      <c r="G38" s="586">
        <v>43028</v>
      </c>
      <c r="H38" s="586" t="s">
        <v>3318</v>
      </c>
      <c r="I38" s="586">
        <v>43031</v>
      </c>
      <c r="J38" s="587">
        <v>490</v>
      </c>
      <c r="K38" s="590"/>
    </row>
    <row r="39" spans="1:11">
      <c r="A39" s="596">
        <v>38</v>
      </c>
      <c r="B39" s="585" t="s">
        <v>6</v>
      </c>
      <c r="C39" s="586">
        <v>43023</v>
      </c>
      <c r="D39" s="585" t="s">
        <v>6</v>
      </c>
      <c r="E39" s="586">
        <v>43028</v>
      </c>
      <c r="F39" s="585" t="s">
        <v>6</v>
      </c>
      <c r="G39" s="586">
        <v>43028</v>
      </c>
      <c r="H39" s="586" t="s">
        <v>3318</v>
      </c>
      <c r="I39" s="586">
        <v>43031</v>
      </c>
      <c r="J39" s="587">
        <v>290</v>
      </c>
      <c r="K39" s="590"/>
    </row>
    <row r="40" spans="1:11">
      <c r="A40" s="596">
        <v>39</v>
      </c>
      <c r="B40" s="585" t="s">
        <v>3330</v>
      </c>
      <c r="C40" s="586">
        <v>42373</v>
      </c>
      <c r="D40" s="585" t="s">
        <v>6</v>
      </c>
      <c r="E40" s="586">
        <v>43028</v>
      </c>
      <c r="F40" s="585" t="s">
        <v>6</v>
      </c>
      <c r="G40" s="586">
        <v>43028</v>
      </c>
      <c r="H40" s="586" t="s">
        <v>3320</v>
      </c>
      <c r="I40" s="586">
        <v>43031</v>
      </c>
      <c r="J40" s="587">
        <v>1470</v>
      </c>
      <c r="K40" s="590"/>
    </row>
    <row r="41" spans="1:11" ht="12.75" customHeight="1">
      <c r="A41" s="596">
        <v>40</v>
      </c>
      <c r="B41" s="585" t="s">
        <v>6</v>
      </c>
      <c r="C41" s="586">
        <v>42389</v>
      </c>
      <c r="D41" s="585" t="s">
        <v>6</v>
      </c>
      <c r="E41" s="586">
        <v>43032</v>
      </c>
      <c r="F41" s="585" t="s">
        <v>6</v>
      </c>
      <c r="G41" s="586">
        <v>43032</v>
      </c>
      <c r="H41" s="586" t="s">
        <v>3318</v>
      </c>
      <c r="I41" s="586">
        <v>43033</v>
      </c>
      <c r="J41" s="587">
        <v>950</v>
      </c>
      <c r="K41" s="590"/>
    </row>
    <row r="42" spans="1:11">
      <c r="A42" s="596">
        <v>41</v>
      </c>
      <c r="B42" s="585" t="s">
        <v>6</v>
      </c>
      <c r="C42" s="586">
        <v>43032</v>
      </c>
      <c r="D42" s="585" t="s">
        <v>6</v>
      </c>
      <c r="E42" s="586">
        <v>43032</v>
      </c>
      <c r="F42" s="585" t="s">
        <v>6</v>
      </c>
      <c r="G42" s="586">
        <v>43032</v>
      </c>
      <c r="H42" s="586" t="s">
        <v>3318</v>
      </c>
      <c r="I42" s="586">
        <v>43033</v>
      </c>
      <c r="J42" s="587">
        <v>320</v>
      </c>
      <c r="K42" s="590"/>
    </row>
    <row r="43" spans="1:11">
      <c r="A43" s="596">
        <v>42</v>
      </c>
      <c r="B43" s="585" t="s">
        <v>3330</v>
      </c>
      <c r="C43" s="586">
        <v>42373</v>
      </c>
      <c r="D43" s="585" t="s">
        <v>6</v>
      </c>
      <c r="E43" s="586">
        <v>43031</v>
      </c>
      <c r="F43" s="585" t="s">
        <v>6</v>
      </c>
      <c r="G43" s="586">
        <v>43031</v>
      </c>
      <c r="H43" s="586" t="s">
        <v>3320</v>
      </c>
      <c r="I43" s="586">
        <v>43033</v>
      </c>
      <c r="J43" s="587">
        <v>1470</v>
      </c>
      <c r="K43" s="590"/>
    </row>
    <row r="44" spans="1:11">
      <c r="A44" s="596">
        <v>43</v>
      </c>
      <c r="B44" s="585" t="s">
        <v>6</v>
      </c>
      <c r="C44" s="586">
        <v>42480</v>
      </c>
      <c r="D44" s="585" t="s">
        <v>6</v>
      </c>
      <c r="E44" s="586">
        <v>43035</v>
      </c>
      <c r="F44" s="586">
        <v>43035</v>
      </c>
      <c r="G44" s="586">
        <v>43035</v>
      </c>
      <c r="H44" s="586" t="s">
        <v>3318</v>
      </c>
      <c r="I44" s="586">
        <v>43038</v>
      </c>
      <c r="J44" s="587">
        <v>99</v>
      </c>
      <c r="K44" s="590"/>
    </row>
    <row r="45" spans="1:11">
      <c r="A45" s="596">
        <v>44</v>
      </c>
      <c r="B45" s="585" t="s">
        <v>6</v>
      </c>
      <c r="C45" s="586">
        <v>42795</v>
      </c>
      <c r="D45" s="585" t="s">
        <v>6</v>
      </c>
      <c r="E45" s="586">
        <v>43036</v>
      </c>
      <c r="F45" s="585">
        <v>1929339</v>
      </c>
      <c r="G45" s="586">
        <v>43036</v>
      </c>
      <c r="H45" s="586" t="s">
        <v>3318</v>
      </c>
      <c r="I45" s="586">
        <v>43038</v>
      </c>
      <c r="J45" s="587">
        <v>450</v>
      </c>
      <c r="K45" s="590"/>
    </row>
    <row r="46" spans="1:11">
      <c r="A46" s="596">
        <v>45</v>
      </c>
      <c r="B46" s="585" t="s">
        <v>3330</v>
      </c>
      <c r="C46" s="586">
        <v>42373</v>
      </c>
      <c r="D46" s="585" t="s">
        <v>6</v>
      </c>
      <c r="E46" s="586">
        <v>43032</v>
      </c>
      <c r="F46" s="585" t="s">
        <v>3550</v>
      </c>
      <c r="G46" s="586">
        <v>43032</v>
      </c>
      <c r="H46" s="586" t="s">
        <v>3320</v>
      </c>
      <c r="I46" s="586">
        <v>43034</v>
      </c>
      <c r="J46" s="587">
        <v>1590</v>
      </c>
      <c r="K46" s="590"/>
    </row>
    <row r="47" spans="1:11">
      <c r="A47" s="596">
        <v>46</v>
      </c>
      <c r="B47" s="585" t="s">
        <v>3344</v>
      </c>
      <c r="C47" s="586">
        <v>42338</v>
      </c>
      <c r="D47" s="585" t="s">
        <v>6</v>
      </c>
      <c r="E47" s="586">
        <v>43035</v>
      </c>
      <c r="F47" s="585" t="s">
        <v>6</v>
      </c>
      <c r="G47" s="586">
        <v>43035</v>
      </c>
      <c r="H47" s="586" t="s">
        <v>3318</v>
      </c>
      <c r="I47" s="586">
        <v>43038</v>
      </c>
      <c r="J47" s="587">
        <v>370</v>
      </c>
      <c r="K47" s="590"/>
    </row>
    <row r="48" spans="1:11">
      <c r="A48" s="596">
        <v>47</v>
      </c>
      <c r="B48" s="585" t="s">
        <v>6</v>
      </c>
      <c r="C48" s="586">
        <v>42443</v>
      </c>
      <c r="D48" s="585" t="s">
        <v>6</v>
      </c>
      <c r="E48" s="586">
        <v>43035</v>
      </c>
      <c r="F48" s="585" t="s">
        <v>6</v>
      </c>
      <c r="G48" s="586">
        <v>43035</v>
      </c>
      <c r="H48" s="586" t="s">
        <v>3318</v>
      </c>
      <c r="I48" s="586">
        <v>43036</v>
      </c>
      <c r="J48" s="587">
        <v>50</v>
      </c>
      <c r="K48" s="590"/>
    </row>
    <row r="49" spans="1:11">
      <c r="A49" s="596">
        <v>48</v>
      </c>
      <c r="B49" s="585">
        <v>13</v>
      </c>
      <c r="C49" s="586">
        <v>42579</v>
      </c>
      <c r="D49" s="585" t="s">
        <v>6</v>
      </c>
      <c r="E49" s="586">
        <v>43035</v>
      </c>
      <c r="F49" s="585" t="s">
        <v>3550</v>
      </c>
      <c r="G49" s="586">
        <v>43035</v>
      </c>
      <c r="H49" s="586" t="s">
        <v>3318</v>
      </c>
      <c r="I49" s="586">
        <v>43038</v>
      </c>
      <c r="J49" s="587">
        <v>480</v>
      </c>
      <c r="K49" s="590"/>
    </row>
    <row r="50" spans="1:11">
      <c r="A50" s="596">
        <v>49</v>
      </c>
      <c r="B50" s="585" t="s">
        <v>3330</v>
      </c>
      <c r="C50" s="586">
        <v>42373</v>
      </c>
      <c r="D50" s="585" t="s">
        <v>6</v>
      </c>
      <c r="E50" s="586">
        <v>43035</v>
      </c>
      <c r="F50" s="585" t="s">
        <v>4231</v>
      </c>
      <c r="G50" s="586">
        <v>43035</v>
      </c>
      <c r="H50" s="586" t="s">
        <v>3320</v>
      </c>
      <c r="I50" s="586">
        <v>43038</v>
      </c>
      <c r="J50" s="587">
        <v>1530</v>
      </c>
      <c r="K50" s="590"/>
    </row>
    <row r="51" spans="1:11">
      <c r="A51" s="596">
        <v>50</v>
      </c>
      <c r="B51" s="585" t="s">
        <v>6</v>
      </c>
      <c r="C51" s="586">
        <v>42984</v>
      </c>
      <c r="D51" s="585" t="s">
        <v>6</v>
      </c>
      <c r="E51" s="586">
        <v>42985</v>
      </c>
      <c r="F51" s="585" t="s">
        <v>4232</v>
      </c>
      <c r="G51" s="586" t="s">
        <v>4233</v>
      </c>
      <c r="H51" s="586" t="s">
        <v>3320</v>
      </c>
      <c r="I51" s="586">
        <v>43023</v>
      </c>
      <c r="J51" s="587">
        <v>200</v>
      </c>
      <c r="K51" s="590"/>
    </row>
    <row r="52" spans="1:11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E54">
    <cfRule type="timePeriod" dxfId="41" priority="2" timePeriod="lastMonth">
      <formula>AND(MONTH(E54)=MONTH(EDATE(TODAY(),0-1)),YEAR(E54)=YEAR(EDATE(TODAY(),0-1)))</formula>
    </cfRule>
  </conditionalFormatting>
  <conditionalFormatting sqref="G54">
    <cfRule type="timePeriod" dxfId="40" priority="1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22" zoomScale="70" zoomScaleNormal="70" workbookViewId="0">
      <selection activeCell="B21" sqref="B21:C21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6</v>
      </c>
      <c r="C2" s="586">
        <v>42755</v>
      </c>
      <c r="D2" s="585" t="s">
        <v>6</v>
      </c>
      <c r="E2" s="586">
        <v>42978</v>
      </c>
      <c r="F2" s="585" t="s">
        <v>6</v>
      </c>
      <c r="G2" s="586">
        <v>42978</v>
      </c>
      <c r="H2" s="586" t="s">
        <v>3318</v>
      </c>
      <c r="I2" s="586">
        <v>42982</v>
      </c>
      <c r="J2" s="587">
        <v>850</v>
      </c>
      <c r="K2" s="590"/>
      <c r="L2" s="5">
        <f>SUM(J2:J59)</f>
        <v>34802</v>
      </c>
    </row>
    <row r="3" spans="1:12">
      <c r="A3" s="589">
        <v>2</v>
      </c>
      <c r="B3" s="607" t="s">
        <v>3826</v>
      </c>
      <c r="C3" s="586">
        <v>42587</v>
      </c>
      <c r="D3" s="585" t="s">
        <v>6</v>
      </c>
      <c r="E3" s="586">
        <v>42979</v>
      </c>
      <c r="F3" s="585" t="s">
        <v>6</v>
      </c>
      <c r="G3" s="586">
        <v>42979</v>
      </c>
      <c r="H3" s="586" t="s">
        <v>3318</v>
      </c>
      <c r="I3" s="586">
        <v>42982</v>
      </c>
      <c r="J3" s="587">
        <v>350</v>
      </c>
      <c r="K3" s="590"/>
    </row>
    <row r="4" spans="1:12">
      <c r="A4" s="585">
        <v>3</v>
      </c>
      <c r="B4" s="585" t="s">
        <v>6</v>
      </c>
      <c r="C4" s="586">
        <v>42755</v>
      </c>
      <c r="D4" s="585" t="s">
        <v>6</v>
      </c>
      <c r="E4" s="586">
        <v>42979</v>
      </c>
      <c r="F4" s="585" t="s">
        <v>6</v>
      </c>
      <c r="G4" s="586">
        <v>42979</v>
      </c>
      <c r="H4" s="586" t="s">
        <v>3318</v>
      </c>
      <c r="I4" s="586">
        <v>42982</v>
      </c>
      <c r="J4" s="587">
        <v>208</v>
      </c>
      <c r="K4" s="590"/>
    </row>
    <row r="5" spans="1:12">
      <c r="A5" s="585">
        <v>4</v>
      </c>
      <c r="B5" s="585" t="s">
        <v>6</v>
      </c>
      <c r="C5" s="586">
        <v>42755</v>
      </c>
      <c r="D5" s="585" t="s">
        <v>6</v>
      </c>
      <c r="E5" s="586">
        <v>42979</v>
      </c>
      <c r="F5" s="585" t="s">
        <v>6</v>
      </c>
      <c r="G5" s="586">
        <v>42979</v>
      </c>
      <c r="H5" s="586" t="s">
        <v>3318</v>
      </c>
      <c r="I5" s="586">
        <v>42982</v>
      </c>
      <c r="J5" s="587">
        <v>410</v>
      </c>
      <c r="K5" s="590"/>
    </row>
    <row r="6" spans="1:12">
      <c r="A6" s="585">
        <v>5</v>
      </c>
      <c r="B6" s="585" t="s">
        <v>6</v>
      </c>
      <c r="C6" s="586">
        <v>42480</v>
      </c>
      <c r="D6" s="585" t="s">
        <v>6</v>
      </c>
      <c r="E6" s="586">
        <v>42979</v>
      </c>
      <c r="F6" s="586">
        <v>42979</v>
      </c>
      <c r="G6" s="586">
        <v>42979</v>
      </c>
      <c r="H6" s="586" t="s">
        <v>3318</v>
      </c>
      <c r="I6" s="586">
        <v>42982</v>
      </c>
      <c r="J6" s="587">
        <v>96</v>
      </c>
      <c r="K6" s="590"/>
    </row>
    <row r="7" spans="1:12">
      <c r="A7" s="585">
        <v>6</v>
      </c>
      <c r="B7" s="585" t="s">
        <v>6</v>
      </c>
      <c r="C7" s="586">
        <v>42755</v>
      </c>
      <c r="D7" s="585" t="s">
        <v>6</v>
      </c>
      <c r="E7" s="586">
        <v>42978</v>
      </c>
      <c r="F7" s="585" t="s">
        <v>6</v>
      </c>
      <c r="G7" s="586">
        <v>42978</v>
      </c>
      <c r="H7" s="586" t="s">
        <v>3318</v>
      </c>
      <c r="I7" s="586">
        <v>42982</v>
      </c>
      <c r="J7" s="587">
        <v>350</v>
      </c>
      <c r="K7" s="590"/>
    </row>
    <row r="8" spans="1:12">
      <c r="A8" s="585">
        <v>7</v>
      </c>
      <c r="B8" s="585" t="s">
        <v>3344</v>
      </c>
      <c r="C8" s="586">
        <v>42338</v>
      </c>
      <c r="D8" s="585" t="s">
        <v>6</v>
      </c>
      <c r="E8" s="586">
        <v>42977</v>
      </c>
      <c r="F8" s="585" t="s">
        <v>6</v>
      </c>
      <c r="G8" s="586">
        <v>42977</v>
      </c>
      <c r="H8" s="586" t="s">
        <v>3318</v>
      </c>
      <c r="I8" s="586">
        <v>42982</v>
      </c>
      <c r="J8" s="587">
        <v>690</v>
      </c>
      <c r="K8" s="590"/>
    </row>
    <row r="9" spans="1:12">
      <c r="A9" s="585">
        <v>8</v>
      </c>
      <c r="B9" s="585" t="s">
        <v>3565</v>
      </c>
      <c r="C9" s="586">
        <v>42683</v>
      </c>
      <c r="D9" s="585" t="s">
        <v>6</v>
      </c>
      <c r="E9" s="586">
        <v>42979</v>
      </c>
      <c r="F9" s="585" t="s">
        <v>6</v>
      </c>
      <c r="G9" s="586">
        <v>42979</v>
      </c>
      <c r="H9" s="586" t="s">
        <v>3318</v>
      </c>
      <c r="I9" s="586">
        <v>42982</v>
      </c>
      <c r="J9" s="587">
        <v>400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42979</v>
      </c>
      <c r="F10" s="639" t="s">
        <v>6</v>
      </c>
      <c r="G10" s="586">
        <v>42979</v>
      </c>
      <c r="H10" s="586" t="s">
        <v>3320</v>
      </c>
      <c r="I10" s="586">
        <v>42982</v>
      </c>
      <c r="J10" s="587">
        <v>1470</v>
      </c>
      <c r="K10" s="590"/>
    </row>
    <row r="11" spans="1:12">
      <c r="A11" s="585">
        <v>10</v>
      </c>
      <c r="B11" s="585" t="s">
        <v>6</v>
      </c>
      <c r="C11" s="586">
        <v>42983</v>
      </c>
      <c r="D11" s="585" t="s">
        <v>6</v>
      </c>
      <c r="E11" s="586">
        <v>42983</v>
      </c>
      <c r="F11" s="585" t="s">
        <v>4170</v>
      </c>
      <c r="G11" s="586">
        <v>42983</v>
      </c>
      <c r="H11" s="586" t="s">
        <v>3318</v>
      </c>
      <c r="I11" s="586">
        <v>42985</v>
      </c>
      <c r="J11" s="587">
        <v>302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42984</v>
      </c>
      <c r="F12" s="585" t="s">
        <v>6</v>
      </c>
      <c r="G12" s="586">
        <v>42984</v>
      </c>
      <c r="H12" s="586" t="s">
        <v>3318</v>
      </c>
      <c r="I12" s="586">
        <v>42985</v>
      </c>
      <c r="J12" s="587">
        <v>520</v>
      </c>
      <c r="K12" s="590"/>
    </row>
    <row r="13" spans="1:12">
      <c r="A13" s="585">
        <v>12</v>
      </c>
      <c r="B13" s="585" t="s">
        <v>3344</v>
      </c>
      <c r="C13" s="586">
        <v>42338</v>
      </c>
      <c r="D13" s="585" t="s">
        <v>6</v>
      </c>
      <c r="E13" s="586">
        <v>42984</v>
      </c>
      <c r="F13" s="585" t="s">
        <v>6</v>
      </c>
      <c r="G13" s="586">
        <v>42984</v>
      </c>
      <c r="H13" s="586" t="s">
        <v>3318</v>
      </c>
      <c r="I13" s="586">
        <v>42985</v>
      </c>
      <c r="J13" s="587">
        <v>430</v>
      </c>
      <c r="K13" s="590"/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42982</v>
      </c>
      <c r="F14" s="585" t="s">
        <v>3321</v>
      </c>
      <c r="G14" s="586">
        <v>42982</v>
      </c>
      <c r="H14" s="586" t="s">
        <v>3320</v>
      </c>
      <c r="I14" s="586">
        <v>42984</v>
      </c>
      <c r="J14" s="587">
        <v>1470</v>
      </c>
      <c r="K14" s="587"/>
    </row>
    <row r="15" spans="1:12">
      <c r="A15" s="585">
        <v>14</v>
      </c>
      <c r="B15" s="585" t="s">
        <v>6</v>
      </c>
      <c r="C15" s="586">
        <v>42962</v>
      </c>
      <c r="D15" s="585" t="s">
        <v>6</v>
      </c>
      <c r="E15" s="586">
        <v>42985</v>
      </c>
      <c r="F15" s="585" t="s">
        <v>6</v>
      </c>
      <c r="G15" s="586">
        <v>42985</v>
      </c>
      <c r="H15" s="586" t="s">
        <v>3318</v>
      </c>
      <c r="I15" s="586">
        <v>42987</v>
      </c>
      <c r="J15" s="587">
        <v>50</v>
      </c>
      <c r="K15" s="590"/>
    </row>
    <row r="16" spans="1:12">
      <c r="A16" s="585">
        <v>15</v>
      </c>
      <c r="B16" s="585" t="s">
        <v>6</v>
      </c>
      <c r="C16" s="586">
        <v>42389</v>
      </c>
      <c r="D16" s="585" t="s">
        <v>6</v>
      </c>
      <c r="E16" s="586">
        <v>42985</v>
      </c>
      <c r="F16" s="585" t="s">
        <v>6</v>
      </c>
      <c r="G16" s="586">
        <v>42985</v>
      </c>
      <c r="H16" s="586" t="s">
        <v>3318</v>
      </c>
      <c r="I16" s="586">
        <v>42989</v>
      </c>
      <c r="J16" s="587">
        <v>350</v>
      </c>
      <c r="K16" s="590"/>
    </row>
    <row r="17" spans="1:11">
      <c r="A17" s="585">
        <v>16</v>
      </c>
      <c r="B17" s="585">
        <v>13</v>
      </c>
      <c r="C17" s="586">
        <v>42579</v>
      </c>
      <c r="D17" s="585" t="s">
        <v>6</v>
      </c>
      <c r="E17" s="586">
        <v>42985</v>
      </c>
      <c r="F17" s="585" t="s">
        <v>3823</v>
      </c>
      <c r="G17" s="586" t="s">
        <v>4171</v>
      </c>
      <c r="H17" s="586" t="s">
        <v>3318</v>
      </c>
      <c r="I17" s="586">
        <v>42989</v>
      </c>
      <c r="J17" s="587">
        <v>500</v>
      </c>
      <c r="K17" s="590"/>
    </row>
    <row r="18" spans="1:11">
      <c r="A18" s="593">
        <v>17</v>
      </c>
      <c r="B18" s="585" t="s">
        <v>6</v>
      </c>
      <c r="C18" s="586">
        <v>42389</v>
      </c>
      <c r="D18" s="585" t="s">
        <v>6</v>
      </c>
      <c r="E18" s="586">
        <v>42985</v>
      </c>
      <c r="F18" s="585" t="s">
        <v>3551</v>
      </c>
      <c r="G18" s="586" t="s">
        <v>4171</v>
      </c>
      <c r="H18" s="586" t="s">
        <v>3318</v>
      </c>
      <c r="I18" s="586">
        <v>42989</v>
      </c>
      <c r="J18" s="587">
        <v>350</v>
      </c>
      <c r="K18" s="590"/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42982</v>
      </c>
      <c r="F19" s="585" t="s">
        <v>3321</v>
      </c>
      <c r="G19" s="586">
        <v>42982</v>
      </c>
      <c r="H19" s="586" t="s">
        <v>3320</v>
      </c>
      <c r="I19" s="586">
        <v>42985</v>
      </c>
      <c r="J19" s="587">
        <v>1530</v>
      </c>
      <c r="K19" s="590"/>
    </row>
    <row r="20" spans="1:11">
      <c r="A20" s="593">
        <v>19</v>
      </c>
      <c r="B20" s="585" t="s">
        <v>6</v>
      </c>
      <c r="C20" s="586">
        <v>42480</v>
      </c>
      <c r="D20" s="585" t="s">
        <v>6</v>
      </c>
      <c r="E20" s="586">
        <v>42986</v>
      </c>
      <c r="F20" s="586">
        <v>42986</v>
      </c>
      <c r="G20" s="586">
        <v>42986</v>
      </c>
      <c r="H20" s="586" t="s">
        <v>3318</v>
      </c>
      <c r="I20" s="586">
        <v>42989</v>
      </c>
      <c r="J20" s="587">
        <v>96</v>
      </c>
      <c r="K20" s="590"/>
    </row>
    <row r="21" spans="1:11">
      <c r="A21" s="593">
        <v>20</v>
      </c>
      <c r="B21" s="607" t="s">
        <v>3826</v>
      </c>
      <c r="C21" s="586">
        <v>42587</v>
      </c>
      <c r="D21" s="585" t="s">
        <v>6</v>
      </c>
      <c r="E21" s="586">
        <v>42985</v>
      </c>
      <c r="F21" s="585" t="s">
        <v>6</v>
      </c>
      <c r="G21" s="586">
        <v>42985</v>
      </c>
      <c r="H21" s="586" t="s">
        <v>3318</v>
      </c>
      <c r="I21" s="586">
        <v>42989</v>
      </c>
      <c r="J21" s="587">
        <v>380</v>
      </c>
      <c r="K21" s="590"/>
    </row>
    <row r="22" spans="1:11">
      <c r="A22" s="593">
        <v>21</v>
      </c>
      <c r="B22" s="585" t="s">
        <v>3330</v>
      </c>
      <c r="C22" s="586">
        <v>42373</v>
      </c>
      <c r="D22" s="585" t="s">
        <v>6</v>
      </c>
      <c r="E22" s="586">
        <v>42989</v>
      </c>
      <c r="F22" s="585" t="s">
        <v>6</v>
      </c>
      <c r="G22" s="586">
        <v>42989</v>
      </c>
      <c r="H22" s="586" t="s">
        <v>3320</v>
      </c>
      <c r="I22" s="586">
        <v>42991</v>
      </c>
      <c r="J22" s="587">
        <v>1470</v>
      </c>
      <c r="K22" s="590"/>
    </row>
    <row r="23" spans="1:11">
      <c r="A23" s="593">
        <v>22</v>
      </c>
      <c r="B23" s="585" t="s">
        <v>6</v>
      </c>
      <c r="C23" s="586">
        <v>42396</v>
      </c>
      <c r="D23" s="585" t="s">
        <v>6</v>
      </c>
      <c r="E23" s="586">
        <v>42992</v>
      </c>
      <c r="F23" s="585" t="s">
        <v>6</v>
      </c>
      <c r="G23" s="586">
        <v>42992</v>
      </c>
      <c r="H23" s="586" t="s">
        <v>3318</v>
      </c>
      <c r="I23" s="586">
        <v>42993</v>
      </c>
      <c r="J23" s="587">
        <v>58</v>
      </c>
      <c r="K23" s="590"/>
    </row>
    <row r="24" spans="1:11">
      <c r="A24" s="593">
        <v>23</v>
      </c>
      <c r="B24" s="585" t="s">
        <v>3330</v>
      </c>
      <c r="C24" s="586">
        <v>42373</v>
      </c>
      <c r="D24" s="585" t="s">
        <v>6</v>
      </c>
      <c r="E24" s="586">
        <v>42989</v>
      </c>
      <c r="F24" s="585" t="s">
        <v>6</v>
      </c>
      <c r="G24" s="586">
        <v>42989</v>
      </c>
      <c r="H24" s="586" t="s">
        <v>3320</v>
      </c>
      <c r="I24" s="586">
        <v>42991</v>
      </c>
      <c r="J24" s="587">
        <v>1400</v>
      </c>
      <c r="K24" s="590"/>
    </row>
    <row r="25" spans="1:11">
      <c r="A25" s="593">
        <v>24</v>
      </c>
      <c r="B25" s="585" t="s">
        <v>3344</v>
      </c>
      <c r="C25" s="586">
        <v>42338</v>
      </c>
      <c r="D25" s="585" t="s">
        <v>6</v>
      </c>
      <c r="E25" s="586">
        <v>42992</v>
      </c>
      <c r="F25" s="585" t="s">
        <v>4172</v>
      </c>
      <c r="G25" s="586" t="s">
        <v>4173</v>
      </c>
      <c r="H25" s="586" t="s">
        <v>3318</v>
      </c>
      <c r="I25" s="586">
        <v>42996</v>
      </c>
      <c r="J25" s="587">
        <v>1260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42989</v>
      </c>
      <c r="F26" s="585" t="s">
        <v>6</v>
      </c>
      <c r="G26" s="586">
        <v>42989</v>
      </c>
      <c r="H26" s="586" t="s">
        <v>3320</v>
      </c>
      <c r="I26" s="586">
        <v>42991</v>
      </c>
      <c r="J26" s="587">
        <v>1470</v>
      </c>
      <c r="K26" s="590"/>
    </row>
    <row r="27" spans="1:11">
      <c r="A27" s="593">
        <v>26</v>
      </c>
      <c r="B27" s="585" t="s">
        <v>6</v>
      </c>
      <c r="C27" s="586">
        <v>42389</v>
      </c>
      <c r="D27" s="585" t="s">
        <v>6</v>
      </c>
      <c r="E27" s="586">
        <v>42992</v>
      </c>
      <c r="F27" s="585" t="s">
        <v>6</v>
      </c>
      <c r="G27" s="586">
        <v>42992</v>
      </c>
      <c r="H27" s="586" t="s">
        <v>3318</v>
      </c>
      <c r="I27" s="586">
        <v>42996</v>
      </c>
      <c r="J27" s="587">
        <v>950</v>
      </c>
      <c r="K27" s="590"/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42993</v>
      </c>
      <c r="F28" s="586">
        <v>42993</v>
      </c>
      <c r="G28" s="586">
        <v>42993</v>
      </c>
      <c r="H28" s="586" t="s">
        <v>3318</v>
      </c>
      <c r="I28" s="586">
        <v>42996</v>
      </c>
      <c r="J28" s="587">
        <v>97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42993</v>
      </c>
      <c r="F29" s="585" t="s">
        <v>6</v>
      </c>
      <c r="G29" s="586">
        <v>42993</v>
      </c>
      <c r="H29" s="586" t="s">
        <v>3320</v>
      </c>
      <c r="I29" s="586">
        <v>42997</v>
      </c>
      <c r="J29" s="587">
        <v>1470</v>
      </c>
      <c r="K29" s="590"/>
    </row>
    <row r="30" spans="1:11">
      <c r="A30" s="593">
        <v>29</v>
      </c>
      <c r="B30" s="585" t="s">
        <v>4174</v>
      </c>
      <c r="C30" s="586">
        <v>42272</v>
      </c>
      <c r="D30" s="585" t="s">
        <v>6</v>
      </c>
      <c r="E30" s="586">
        <v>42998</v>
      </c>
      <c r="F30" s="585" t="s">
        <v>6</v>
      </c>
      <c r="G30" s="586">
        <v>42998</v>
      </c>
      <c r="H30" s="586" t="s">
        <v>3318</v>
      </c>
      <c r="I30" s="586">
        <v>43000</v>
      </c>
      <c r="J30" s="587">
        <v>400</v>
      </c>
      <c r="K30" s="590"/>
    </row>
    <row r="31" spans="1:11">
      <c r="A31" s="596">
        <v>30</v>
      </c>
      <c r="B31" s="585" t="s">
        <v>6</v>
      </c>
      <c r="C31" s="586">
        <v>42756</v>
      </c>
      <c r="D31" s="585" t="s">
        <v>6</v>
      </c>
      <c r="E31" s="586">
        <v>42998</v>
      </c>
      <c r="F31" s="585" t="s">
        <v>6</v>
      </c>
      <c r="G31" s="586">
        <v>42998</v>
      </c>
      <c r="H31" s="586" t="s">
        <v>3318</v>
      </c>
      <c r="I31" s="586">
        <v>43000</v>
      </c>
      <c r="J31" s="587">
        <v>500</v>
      </c>
      <c r="K31" s="590"/>
    </row>
    <row r="32" spans="1:11">
      <c r="A32" s="596">
        <v>31</v>
      </c>
      <c r="B32" s="585" t="s">
        <v>3344</v>
      </c>
      <c r="C32" s="586">
        <v>42338</v>
      </c>
      <c r="D32" s="585" t="s">
        <v>6</v>
      </c>
      <c r="E32" s="586">
        <v>42999</v>
      </c>
      <c r="F32" s="585">
        <v>1920021</v>
      </c>
      <c r="G32" s="586">
        <v>42999</v>
      </c>
      <c r="H32" s="586" t="s">
        <v>3318</v>
      </c>
      <c r="I32" s="586">
        <v>43000</v>
      </c>
      <c r="J32" s="587">
        <v>250</v>
      </c>
      <c r="K32" s="590"/>
    </row>
    <row r="33" spans="1:11">
      <c r="A33" s="596">
        <v>32</v>
      </c>
      <c r="B33" s="585" t="s">
        <v>6</v>
      </c>
      <c r="C33" s="586">
        <v>42396</v>
      </c>
      <c r="D33" s="585" t="s">
        <v>6</v>
      </c>
      <c r="E33" s="586">
        <v>42998</v>
      </c>
      <c r="F33" s="585" t="s">
        <v>6</v>
      </c>
      <c r="G33" s="586">
        <v>42998</v>
      </c>
      <c r="H33" s="586" t="s">
        <v>3318</v>
      </c>
      <c r="I33" s="586">
        <v>43000</v>
      </c>
      <c r="J33" s="587">
        <v>45</v>
      </c>
      <c r="K33" s="590"/>
    </row>
    <row r="34" spans="1:11">
      <c r="A34" s="596">
        <v>33</v>
      </c>
      <c r="B34" s="585" t="s">
        <v>3330</v>
      </c>
      <c r="C34" s="586">
        <v>42373</v>
      </c>
      <c r="D34" s="585" t="s">
        <v>6</v>
      </c>
      <c r="E34" s="586">
        <v>42996</v>
      </c>
      <c r="F34" s="585" t="s">
        <v>3876</v>
      </c>
      <c r="G34" s="586">
        <v>42996</v>
      </c>
      <c r="H34" s="586" t="s">
        <v>3320</v>
      </c>
      <c r="I34" s="586">
        <v>42998</v>
      </c>
      <c r="J34" s="587">
        <v>1590</v>
      </c>
      <c r="K34" s="590"/>
    </row>
    <row r="35" spans="1:11">
      <c r="A35" s="596">
        <v>34</v>
      </c>
      <c r="B35" s="585" t="s">
        <v>6</v>
      </c>
      <c r="C35" s="586">
        <v>42821</v>
      </c>
      <c r="D35" s="585" t="s">
        <v>6</v>
      </c>
      <c r="E35" s="586">
        <v>42998</v>
      </c>
      <c r="F35" s="585" t="s">
        <v>4175</v>
      </c>
      <c r="G35" s="586">
        <v>42998</v>
      </c>
      <c r="H35" s="586" t="s">
        <v>3318</v>
      </c>
      <c r="I35" s="586">
        <v>43000</v>
      </c>
      <c r="J35" s="587">
        <v>669</v>
      </c>
      <c r="K35" s="590"/>
    </row>
    <row r="36" spans="1:11">
      <c r="A36" s="596">
        <v>35</v>
      </c>
      <c r="B36" s="585" t="s">
        <v>6</v>
      </c>
      <c r="C36" s="586">
        <v>42990</v>
      </c>
      <c r="D36" s="585" t="s">
        <v>6</v>
      </c>
      <c r="E36" s="586">
        <v>42998</v>
      </c>
      <c r="F36" s="585" t="s">
        <v>6</v>
      </c>
      <c r="G36" s="586">
        <v>42998</v>
      </c>
      <c r="H36" s="586" t="s">
        <v>3318</v>
      </c>
      <c r="I36" s="586">
        <v>43000</v>
      </c>
      <c r="J36" s="587">
        <v>300</v>
      </c>
      <c r="K36" s="590"/>
    </row>
    <row r="37" spans="1:11">
      <c r="A37" s="596">
        <v>36</v>
      </c>
      <c r="B37" s="585" t="s">
        <v>6</v>
      </c>
      <c r="C37" s="586">
        <v>42998</v>
      </c>
      <c r="D37" s="585" t="s">
        <v>6</v>
      </c>
      <c r="E37" s="586">
        <v>42999</v>
      </c>
      <c r="F37" s="585" t="s">
        <v>3551</v>
      </c>
      <c r="G37" s="586">
        <v>42999</v>
      </c>
      <c r="H37" s="586" t="s">
        <v>3318</v>
      </c>
      <c r="I37" s="586">
        <v>43000</v>
      </c>
      <c r="J37" s="587">
        <v>600</v>
      </c>
      <c r="K37" s="590"/>
    </row>
    <row r="38" spans="1:11">
      <c r="A38" s="596">
        <v>37</v>
      </c>
      <c r="B38" s="585" t="s">
        <v>6</v>
      </c>
      <c r="C38" s="586">
        <v>42837</v>
      </c>
      <c r="D38" s="585" t="s">
        <v>6</v>
      </c>
      <c r="E38" s="586">
        <v>42998</v>
      </c>
      <c r="F38" s="585">
        <v>0.1</v>
      </c>
      <c r="G38" s="586">
        <v>42998</v>
      </c>
      <c r="H38" s="586" t="s">
        <v>3318</v>
      </c>
      <c r="I38" s="586">
        <v>43000</v>
      </c>
      <c r="J38" s="587">
        <v>350</v>
      </c>
      <c r="K38" s="590"/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42997</v>
      </c>
      <c r="F39" s="585" t="s">
        <v>3551</v>
      </c>
      <c r="G39" s="586">
        <v>42997</v>
      </c>
      <c r="H39" s="586" t="s">
        <v>3320</v>
      </c>
      <c r="I39" s="586">
        <v>42999</v>
      </c>
      <c r="J39" s="587">
        <v>1530</v>
      </c>
      <c r="K39" s="590"/>
    </row>
    <row r="40" spans="1:11">
      <c r="A40" s="596">
        <v>39</v>
      </c>
      <c r="B40" s="585" t="s">
        <v>6</v>
      </c>
      <c r="C40" s="586">
        <v>42821</v>
      </c>
      <c r="D40" s="585" t="s">
        <v>6</v>
      </c>
      <c r="E40" s="586">
        <v>42997</v>
      </c>
      <c r="F40" s="585">
        <v>0.84150599999999998</v>
      </c>
      <c r="G40" s="586">
        <v>42997</v>
      </c>
      <c r="H40" s="586" t="s">
        <v>3320</v>
      </c>
      <c r="I40" s="586">
        <v>42998</v>
      </c>
      <c r="J40" s="587">
        <v>667</v>
      </c>
      <c r="K40" s="590"/>
    </row>
    <row r="41" spans="1:11" ht="12.75" customHeight="1">
      <c r="A41" s="596">
        <v>40</v>
      </c>
      <c r="B41" s="585">
        <v>13</v>
      </c>
      <c r="C41" s="586">
        <v>42579</v>
      </c>
      <c r="D41" s="585" t="s">
        <v>6</v>
      </c>
      <c r="E41" s="586">
        <v>43000</v>
      </c>
      <c r="F41" s="585" t="s">
        <v>3823</v>
      </c>
      <c r="G41" s="586">
        <v>43000</v>
      </c>
      <c r="H41" s="586" t="s">
        <v>3318</v>
      </c>
      <c r="I41" s="586">
        <v>43003</v>
      </c>
      <c r="J41" s="587">
        <v>550</v>
      </c>
      <c r="K41" s="590"/>
    </row>
    <row r="42" spans="1:11">
      <c r="A42" s="596">
        <v>41</v>
      </c>
      <c r="B42" s="585" t="s">
        <v>6</v>
      </c>
      <c r="C42" s="586">
        <v>42389</v>
      </c>
      <c r="D42" s="585" t="s">
        <v>6</v>
      </c>
      <c r="E42" s="586">
        <v>42998</v>
      </c>
      <c r="F42" s="585" t="s">
        <v>6</v>
      </c>
      <c r="G42" s="586">
        <v>42998</v>
      </c>
      <c r="H42" s="586" t="s">
        <v>3318</v>
      </c>
      <c r="I42" s="586">
        <v>43003</v>
      </c>
      <c r="J42" s="587">
        <v>250</v>
      </c>
      <c r="K42" s="590"/>
    </row>
    <row r="43" spans="1:11">
      <c r="A43" s="596">
        <v>42</v>
      </c>
      <c r="B43" s="585" t="s">
        <v>6</v>
      </c>
      <c r="C43" s="586">
        <v>42389</v>
      </c>
      <c r="D43" s="585" t="s">
        <v>6</v>
      </c>
      <c r="E43" s="586">
        <v>43000</v>
      </c>
      <c r="F43" s="585" t="s">
        <v>3551</v>
      </c>
      <c r="G43" s="586">
        <v>43000</v>
      </c>
      <c r="H43" s="586" t="s">
        <v>3318</v>
      </c>
      <c r="I43" s="586">
        <v>43003</v>
      </c>
      <c r="J43" s="587">
        <v>350</v>
      </c>
      <c r="K43" s="590"/>
    </row>
    <row r="44" spans="1:11">
      <c r="A44" s="596">
        <v>43</v>
      </c>
      <c r="B44" s="585" t="s">
        <v>3330</v>
      </c>
      <c r="C44" s="586">
        <v>42373</v>
      </c>
      <c r="D44" s="585" t="s">
        <v>6</v>
      </c>
      <c r="E44" s="586">
        <v>42997</v>
      </c>
      <c r="F44" s="585" t="s">
        <v>6</v>
      </c>
      <c r="G44" s="586">
        <v>42997</v>
      </c>
      <c r="H44" s="586" t="s">
        <v>3320</v>
      </c>
      <c r="I44" s="586">
        <v>42999</v>
      </c>
      <c r="J44" s="587">
        <v>1470</v>
      </c>
      <c r="K44" s="590"/>
    </row>
    <row r="45" spans="1:11">
      <c r="A45" s="596">
        <v>44</v>
      </c>
      <c r="B45" s="585">
        <v>13</v>
      </c>
      <c r="C45" s="586">
        <v>42579</v>
      </c>
      <c r="D45" s="585" t="s">
        <v>6</v>
      </c>
      <c r="E45" s="586">
        <v>42999</v>
      </c>
      <c r="F45" s="585" t="s">
        <v>3876</v>
      </c>
      <c r="G45" s="586">
        <v>42999</v>
      </c>
      <c r="H45" s="586" t="s">
        <v>3318</v>
      </c>
      <c r="I45" s="586">
        <v>43003</v>
      </c>
      <c r="J45" s="587">
        <v>420</v>
      </c>
      <c r="K45" s="590"/>
    </row>
    <row r="46" spans="1:11">
      <c r="A46" s="596">
        <v>45</v>
      </c>
      <c r="B46" s="585" t="s">
        <v>6</v>
      </c>
      <c r="C46" s="586">
        <v>42389</v>
      </c>
      <c r="D46" s="585" t="s">
        <v>6</v>
      </c>
      <c r="E46" s="586">
        <v>43000</v>
      </c>
      <c r="F46" s="585" t="s">
        <v>6</v>
      </c>
      <c r="G46" s="586">
        <v>43000</v>
      </c>
      <c r="H46" s="586" t="s">
        <v>3318</v>
      </c>
      <c r="I46" s="586">
        <v>43003</v>
      </c>
      <c r="J46" s="587">
        <v>427</v>
      </c>
      <c r="K46" s="590"/>
    </row>
    <row r="47" spans="1:11">
      <c r="A47" s="596">
        <v>46</v>
      </c>
      <c r="B47" s="585" t="s">
        <v>6</v>
      </c>
      <c r="C47" s="586">
        <v>42480</v>
      </c>
      <c r="D47" s="585" t="s">
        <v>6</v>
      </c>
      <c r="E47" s="586">
        <v>43000</v>
      </c>
      <c r="F47" s="586">
        <v>43000</v>
      </c>
      <c r="G47" s="586">
        <v>43000</v>
      </c>
      <c r="H47" s="586" t="s">
        <v>3318</v>
      </c>
      <c r="I47" s="586">
        <v>43003</v>
      </c>
      <c r="J47" s="587">
        <v>97</v>
      </c>
      <c r="K47" s="590"/>
    </row>
    <row r="48" spans="1:11">
      <c r="A48" s="596">
        <v>47</v>
      </c>
      <c r="B48" s="585" t="s">
        <v>3330</v>
      </c>
      <c r="C48" s="586">
        <v>42373</v>
      </c>
      <c r="D48" s="585" t="s">
        <v>6</v>
      </c>
      <c r="E48" s="586">
        <v>43000</v>
      </c>
      <c r="F48" s="585" t="s">
        <v>6</v>
      </c>
      <c r="G48" s="586">
        <v>43000</v>
      </c>
      <c r="H48" s="586" t="s">
        <v>3320</v>
      </c>
      <c r="I48" s="586">
        <v>43004</v>
      </c>
      <c r="J48" s="587">
        <v>1470</v>
      </c>
      <c r="K48" s="590"/>
    </row>
    <row r="49" spans="1:11">
      <c r="A49" s="596">
        <v>48</v>
      </c>
      <c r="B49" s="585" t="s">
        <v>6</v>
      </c>
      <c r="C49" s="586">
        <v>42389</v>
      </c>
      <c r="D49" s="585" t="s">
        <v>6</v>
      </c>
      <c r="E49" s="586">
        <v>43005</v>
      </c>
      <c r="F49" s="585" t="s">
        <v>3551</v>
      </c>
      <c r="G49" s="586" t="s">
        <v>4176</v>
      </c>
      <c r="H49" s="586" t="s">
        <v>3318</v>
      </c>
      <c r="I49" s="586">
        <v>43007</v>
      </c>
      <c r="J49" s="587">
        <v>900</v>
      </c>
      <c r="K49" s="590"/>
    </row>
    <row r="50" spans="1:11">
      <c r="A50" s="596">
        <v>49</v>
      </c>
      <c r="B50" s="585" t="s">
        <v>6</v>
      </c>
      <c r="C50" s="586">
        <v>42443</v>
      </c>
      <c r="D50" s="585" t="s">
        <v>6</v>
      </c>
      <c r="E50" s="586">
        <v>43005</v>
      </c>
      <c r="F50" s="585" t="s">
        <v>6</v>
      </c>
      <c r="G50" s="586">
        <v>43005</v>
      </c>
      <c r="H50" s="586" t="s">
        <v>3318</v>
      </c>
      <c r="I50" s="586">
        <v>43007</v>
      </c>
      <c r="J50" s="587">
        <v>50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 t="s">
        <v>6</v>
      </c>
      <c r="E51" s="586">
        <v>43004</v>
      </c>
      <c r="F51" s="585" t="s">
        <v>6</v>
      </c>
      <c r="G51" s="586">
        <v>43004</v>
      </c>
      <c r="H51" s="586" t="s">
        <v>3320</v>
      </c>
      <c r="I51" s="586">
        <v>43006</v>
      </c>
      <c r="J51" s="587">
        <v>1470</v>
      </c>
      <c r="K51" s="590"/>
    </row>
    <row r="52" spans="1:11">
      <c r="A52" s="596">
        <v>51</v>
      </c>
      <c r="B52" s="585" t="s">
        <v>3330</v>
      </c>
      <c r="C52" s="586">
        <v>42373</v>
      </c>
      <c r="D52" s="585" t="s">
        <v>6</v>
      </c>
      <c r="E52" s="586">
        <v>43004</v>
      </c>
      <c r="F52" s="585" t="s">
        <v>6</v>
      </c>
      <c r="G52" s="586">
        <v>43004</v>
      </c>
      <c r="H52" s="586" t="s">
        <v>3320</v>
      </c>
      <c r="I52" s="586">
        <v>43005</v>
      </c>
      <c r="J52" s="587">
        <v>1470</v>
      </c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 t="s">
        <v>3318</v>
      </c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E54">
    <cfRule type="timePeriod" dxfId="39" priority="2" timePeriod="lastMonth">
      <formula>AND(MONTH(E54)=MONTH(EDATE(TODAY(),0-1)),YEAR(E54)=YEAR(EDATE(TODAY(),0-1)))</formula>
    </cfRule>
  </conditionalFormatting>
  <conditionalFormatting sqref="G54">
    <cfRule type="timePeriod" dxfId="38" priority="1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zoomScaleNormal="100" workbookViewId="0">
      <selection sqref="A1:I104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78" t="s">
        <v>4154</v>
      </c>
      <c r="B2" s="678"/>
      <c r="C2" s="678"/>
      <c r="D2" s="678"/>
      <c r="E2" s="678"/>
      <c r="F2" s="678"/>
      <c r="G2" s="678"/>
      <c r="H2" s="620">
        <v>34802</v>
      </c>
      <c r="I2" t="s">
        <v>4106</v>
      </c>
    </row>
    <row r="3" spans="1:9">
      <c r="A3" s="679">
        <v>1</v>
      </c>
      <c r="B3" s="658" t="s">
        <v>1046</v>
      </c>
      <c r="C3" s="658" t="s">
        <v>4072</v>
      </c>
      <c r="D3" s="658" t="s">
        <v>1601</v>
      </c>
      <c r="E3" s="682">
        <v>850</v>
      </c>
      <c r="F3" s="682">
        <v>850</v>
      </c>
      <c r="G3" s="681"/>
      <c r="H3" s="620"/>
    </row>
    <row r="4" spans="1:9">
      <c r="A4" s="680"/>
      <c r="B4" s="658"/>
      <c r="C4" s="658"/>
      <c r="D4" s="658"/>
      <c r="E4" s="682"/>
      <c r="F4" s="682"/>
      <c r="G4" s="681"/>
      <c r="H4" s="620"/>
    </row>
    <row r="5" spans="1:9">
      <c r="A5" s="679">
        <v>2</v>
      </c>
      <c r="B5" s="658" t="s">
        <v>1052</v>
      </c>
      <c r="C5" s="658" t="s">
        <v>4072</v>
      </c>
      <c r="D5" s="658" t="s">
        <v>2780</v>
      </c>
      <c r="E5" s="682">
        <v>350</v>
      </c>
      <c r="F5" s="682">
        <v>350</v>
      </c>
      <c r="G5" s="681"/>
      <c r="H5" s="13"/>
      <c r="I5" s="5"/>
    </row>
    <row r="6" spans="1:9">
      <c r="A6" s="680"/>
      <c r="B6" s="658"/>
      <c r="C6" s="658"/>
      <c r="D6" s="658"/>
      <c r="E6" s="682"/>
      <c r="F6" s="682"/>
      <c r="G6" s="681"/>
      <c r="H6" s="13"/>
    </row>
    <row r="7" spans="1:9">
      <c r="A7" s="679">
        <v>3</v>
      </c>
      <c r="B7" s="658" t="s">
        <v>1053</v>
      </c>
      <c r="C7" s="658" t="s">
        <v>4072</v>
      </c>
      <c r="D7" s="658" t="s">
        <v>2517</v>
      </c>
      <c r="E7" s="682">
        <v>410</v>
      </c>
      <c r="F7" s="682">
        <f t="shared" ref="F7" si="0">E7</f>
        <v>410</v>
      </c>
      <c r="G7" s="681"/>
      <c r="H7" s="13"/>
    </row>
    <row r="8" spans="1:9">
      <c r="A8" s="680"/>
      <c r="B8" s="658"/>
      <c r="C8" s="658"/>
      <c r="D8" s="658"/>
      <c r="E8" s="682"/>
      <c r="F8" s="682"/>
      <c r="G8" s="681"/>
      <c r="H8" s="13"/>
    </row>
    <row r="9" spans="1:9">
      <c r="A9" s="679">
        <v>4</v>
      </c>
      <c r="B9" s="658" t="s">
        <v>1054</v>
      </c>
      <c r="C9" s="658" t="s">
        <v>4072</v>
      </c>
      <c r="D9" s="658" t="s">
        <v>2517</v>
      </c>
      <c r="E9" s="682">
        <v>208</v>
      </c>
      <c r="F9" s="682">
        <f t="shared" ref="F9" si="1">E9</f>
        <v>208</v>
      </c>
      <c r="G9" s="681"/>
      <c r="H9" s="13"/>
    </row>
    <row r="10" spans="1:9">
      <c r="A10" s="680"/>
      <c r="B10" s="658"/>
      <c r="C10" s="658"/>
      <c r="D10" s="658"/>
      <c r="E10" s="682"/>
      <c r="F10" s="682"/>
      <c r="G10" s="681"/>
      <c r="H10" s="13"/>
    </row>
    <row r="11" spans="1:9">
      <c r="A11" s="679">
        <v>5</v>
      </c>
      <c r="B11" s="658" t="s">
        <v>1049</v>
      </c>
      <c r="C11" s="658" t="s">
        <v>4072</v>
      </c>
      <c r="D11" s="658" t="s">
        <v>4066</v>
      </c>
      <c r="E11" s="682">
        <v>96</v>
      </c>
      <c r="F11" s="682">
        <f t="shared" ref="F11" si="2">E11</f>
        <v>96</v>
      </c>
      <c r="G11" s="681"/>
      <c r="H11" s="13"/>
    </row>
    <row r="12" spans="1:9">
      <c r="A12" s="680"/>
      <c r="B12" s="658"/>
      <c r="C12" s="658"/>
      <c r="D12" s="658"/>
      <c r="E12" s="682"/>
      <c r="F12" s="682"/>
      <c r="G12" s="681"/>
      <c r="H12" s="13"/>
    </row>
    <row r="13" spans="1:9">
      <c r="A13" s="679">
        <v>6</v>
      </c>
      <c r="B13" s="658" t="s">
        <v>1055</v>
      </c>
      <c r="C13" s="658" t="s">
        <v>4072</v>
      </c>
      <c r="D13" s="658" t="s">
        <v>1140</v>
      </c>
      <c r="E13" s="682">
        <v>350</v>
      </c>
      <c r="F13" s="682">
        <f t="shared" ref="F13" si="3">E13</f>
        <v>350</v>
      </c>
      <c r="G13" s="681"/>
      <c r="H13" s="13"/>
    </row>
    <row r="14" spans="1:9">
      <c r="A14" s="680"/>
      <c r="B14" s="658"/>
      <c r="C14" s="658"/>
      <c r="D14" s="658"/>
      <c r="E14" s="682"/>
      <c r="F14" s="682"/>
      <c r="G14" s="681"/>
      <c r="H14" s="13"/>
    </row>
    <row r="15" spans="1:9">
      <c r="A15" s="679">
        <v>7</v>
      </c>
      <c r="B15" s="658" t="s">
        <v>1056</v>
      </c>
      <c r="C15" s="658" t="s">
        <v>4072</v>
      </c>
      <c r="D15" s="658" t="s">
        <v>2723</v>
      </c>
      <c r="E15" s="682">
        <v>690</v>
      </c>
      <c r="F15" s="682">
        <f t="shared" ref="F15" si="4">E15</f>
        <v>690</v>
      </c>
      <c r="G15" s="681"/>
      <c r="H15" s="13"/>
    </row>
    <row r="16" spans="1:9">
      <c r="A16" s="680"/>
      <c r="B16" s="658"/>
      <c r="C16" s="658"/>
      <c r="D16" s="658"/>
      <c r="E16" s="682"/>
      <c r="F16" s="682"/>
      <c r="G16" s="681"/>
      <c r="H16" s="13"/>
    </row>
    <row r="17" spans="1:15">
      <c r="A17" s="679">
        <v>8</v>
      </c>
      <c r="B17" s="658" t="s">
        <v>1057</v>
      </c>
      <c r="C17" s="658" t="s">
        <v>4072</v>
      </c>
      <c r="D17" s="658" t="s">
        <v>3388</v>
      </c>
      <c r="E17" s="682">
        <v>400</v>
      </c>
      <c r="F17" s="682">
        <f t="shared" ref="F17" si="5">E17</f>
        <v>400</v>
      </c>
      <c r="G17" s="681"/>
      <c r="H17" s="13"/>
    </row>
    <row r="18" spans="1:15">
      <c r="A18" s="680"/>
      <c r="B18" s="658"/>
      <c r="C18" s="658"/>
      <c r="D18" s="658"/>
      <c r="E18" s="682"/>
      <c r="F18" s="682"/>
      <c r="G18" s="681"/>
      <c r="H18" s="13"/>
    </row>
    <row r="19" spans="1:15">
      <c r="A19" s="679">
        <v>9</v>
      </c>
      <c r="B19" s="658" t="s">
        <v>4119</v>
      </c>
      <c r="C19" s="658" t="s">
        <v>4072</v>
      </c>
      <c r="D19" s="658" t="s">
        <v>239</v>
      </c>
      <c r="E19" s="682">
        <v>1470</v>
      </c>
      <c r="F19" s="682">
        <v>1470</v>
      </c>
      <c r="G19" s="681"/>
      <c r="H19" s="13"/>
    </row>
    <row r="20" spans="1:15">
      <c r="A20" s="680"/>
      <c r="B20" s="658"/>
      <c r="C20" s="658"/>
      <c r="D20" s="658"/>
      <c r="E20" s="682"/>
      <c r="F20" s="682"/>
      <c r="G20" s="681"/>
      <c r="H20" s="13"/>
    </row>
    <row r="21" spans="1:15">
      <c r="A21" s="679">
        <v>10</v>
      </c>
      <c r="B21" s="658" t="s">
        <v>1072</v>
      </c>
      <c r="C21" s="658" t="s">
        <v>2494</v>
      </c>
      <c r="D21" s="658" t="s">
        <v>4109</v>
      </c>
      <c r="E21" s="682">
        <v>302</v>
      </c>
      <c r="F21" s="682">
        <v>302</v>
      </c>
      <c r="G21" s="681"/>
      <c r="H21" s="13"/>
    </row>
    <row r="22" spans="1:15">
      <c r="A22" s="680"/>
      <c r="B22" s="658"/>
      <c r="C22" s="658"/>
      <c r="D22" s="658"/>
      <c r="E22" s="682"/>
      <c r="F22" s="682"/>
      <c r="G22" s="681"/>
      <c r="H22" s="13"/>
    </row>
    <row r="23" spans="1:15">
      <c r="A23" s="679">
        <v>11</v>
      </c>
      <c r="B23" s="658" t="s">
        <v>1073</v>
      </c>
      <c r="C23" s="658" t="s">
        <v>2494</v>
      </c>
      <c r="D23" s="658" t="s">
        <v>2723</v>
      </c>
      <c r="E23" s="682">
        <v>520</v>
      </c>
      <c r="F23" s="682">
        <f t="shared" ref="F23" si="6">E23</f>
        <v>520</v>
      </c>
      <c r="G23" s="681"/>
      <c r="H23" s="13"/>
    </row>
    <row r="24" spans="1:15">
      <c r="A24" s="680"/>
      <c r="B24" s="658"/>
      <c r="C24" s="658"/>
      <c r="D24" s="658"/>
      <c r="E24" s="682"/>
      <c r="F24" s="682"/>
      <c r="G24" s="681"/>
      <c r="H24" s="13"/>
    </row>
    <row r="25" spans="1:15">
      <c r="A25" s="679">
        <v>12</v>
      </c>
      <c r="B25" s="658" t="s">
        <v>1083</v>
      </c>
      <c r="C25" s="658" t="s">
        <v>2494</v>
      </c>
      <c r="D25" s="658" t="s">
        <v>2723</v>
      </c>
      <c r="E25" s="682">
        <v>430</v>
      </c>
      <c r="F25" s="682">
        <f t="shared" ref="F25" si="7">E25</f>
        <v>430</v>
      </c>
      <c r="G25" s="681"/>
      <c r="H25" s="13"/>
    </row>
    <row r="26" spans="1:15">
      <c r="A26" s="680"/>
      <c r="B26" s="658"/>
      <c r="C26" s="658"/>
      <c r="D26" s="658"/>
      <c r="E26" s="682"/>
      <c r="F26" s="682"/>
      <c r="G26" s="681"/>
      <c r="H26" s="13"/>
    </row>
    <row r="27" spans="1:15">
      <c r="A27" s="679">
        <v>13</v>
      </c>
      <c r="B27" s="658" t="s">
        <v>4123</v>
      </c>
      <c r="C27" s="658" t="s">
        <v>4122</v>
      </c>
      <c r="D27" s="658" t="s">
        <v>239</v>
      </c>
      <c r="E27" s="682">
        <v>1470</v>
      </c>
      <c r="F27" s="682">
        <v>1470</v>
      </c>
      <c r="G27" s="681"/>
      <c r="H27" s="13"/>
    </row>
    <row r="28" spans="1:15">
      <c r="A28" s="680"/>
      <c r="B28" s="658"/>
      <c r="C28" s="658"/>
      <c r="D28" s="658"/>
      <c r="E28" s="682"/>
      <c r="F28" s="682"/>
      <c r="G28" s="681"/>
      <c r="H28" s="13"/>
    </row>
    <row r="29" spans="1:15">
      <c r="A29" s="679">
        <v>14</v>
      </c>
      <c r="B29" s="658" t="s">
        <v>1084</v>
      </c>
      <c r="C29" s="658" t="s">
        <v>4121</v>
      </c>
      <c r="D29" s="658" t="s">
        <v>4120</v>
      </c>
      <c r="E29" s="682">
        <v>50</v>
      </c>
      <c r="F29" s="682">
        <f t="shared" ref="F29" si="8">E29</f>
        <v>50</v>
      </c>
      <c r="G29" s="681"/>
      <c r="H29" s="13"/>
    </row>
    <row r="30" spans="1:15">
      <c r="A30" s="680"/>
      <c r="B30" s="658"/>
      <c r="C30" s="658"/>
      <c r="D30" s="658"/>
      <c r="E30" s="682"/>
      <c r="F30" s="682"/>
      <c r="G30" s="681"/>
      <c r="H30" s="13"/>
    </row>
    <row r="31" spans="1:15">
      <c r="A31" s="679">
        <v>15</v>
      </c>
      <c r="B31" s="658" t="s">
        <v>1085</v>
      </c>
      <c r="C31" s="658" t="s">
        <v>2514</v>
      </c>
      <c r="D31" s="658" t="s">
        <v>1140</v>
      </c>
      <c r="E31" s="682">
        <v>350</v>
      </c>
      <c r="F31" s="682">
        <f t="shared" ref="F31" si="9">E31</f>
        <v>350</v>
      </c>
      <c r="G31" s="681"/>
      <c r="H31" s="13"/>
    </row>
    <row r="32" spans="1:15">
      <c r="A32" s="680"/>
      <c r="B32" s="658"/>
      <c r="C32" s="658"/>
      <c r="D32" s="658"/>
      <c r="E32" s="682"/>
      <c r="F32" s="682"/>
      <c r="G32" s="681"/>
      <c r="H32" s="13"/>
      <c r="M32" s="628"/>
      <c r="O32" s="628"/>
    </row>
    <row r="33" spans="1:18" ht="15.75">
      <c r="A33" s="679">
        <v>16</v>
      </c>
      <c r="B33" s="658" t="s">
        <v>2633</v>
      </c>
      <c r="C33" s="658" t="s">
        <v>2514</v>
      </c>
      <c r="D33" s="658" t="s">
        <v>3309</v>
      </c>
      <c r="E33" s="682">
        <v>500</v>
      </c>
      <c r="F33" s="682">
        <f t="shared" ref="F33" si="10">E33</f>
        <v>500</v>
      </c>
      <c r="G33" s="681"/>
      <c r="H33" s="13"/>
      <c r="M33" s="629"/>
      <c r="O33" s="628"/>
    </row>
    <row r="34" spans="1:18">
      <c r="A34" s="680"/>
      <c r="B34" s="658"/>
      <c r="C34" s="658"/>
      <c r="D34" s="658"/>
      <c r="E34" s="682"/>
      <c r="F34" s="682"/>
      <c r="G34" s="681"/>
      <c r="H34" s="13"/>
      <c r="N34" s="630"/>
    </row>
    <row r="35" spans="1:18" ht="15.75">
      <c r="A35" s="679">
        <v>17</v>
      </c>
      <c r="B35" s="658" t="s">
        <v>2634</v>
      </c>
      <c r="C35" s="658" t="s">
        <v>2514</v>
      </c>
      <c r="D35" s="658" t="s">
        <v>1601</v>
      </c>
      <c r="E35" s="682">
        <v>350</v>
      </c>
      <c r="F35" s="682">
        <f t="shared" ref="F35" si="11">E35</f>
        <v>350</v>
      </c>
      <c r="G35" s="681"/>
      <c r="H35" s="13"/>
      <c r="N35" s="606"/>
      <c r="R35" s="637" t="s">
        <v>4104</v>
      </c>
    </row>
    <row r="36" spans="1:18">
      <c r="A36" s="680"/>
      <c r="B36" s="658"/>
      <c r="C36" s="658"/>
      <c r="D36" s="658"/>
      <c r="E36" s="682"/>
      <c r="F36" s="682"/>
      <c r="G36" s="681"/>
      <c r="H36" s="13"/>
    </row>
    <row r="37" spans="1:18">
      <c r="A37" s="679">
        <v>18</v>
      </c>
      <c r="B37" s="658" t="s">
        <v>4124</v>
      </c>
      <c r="C37" s="658" t="s">
        <v>2494</v>
      </c>
      <c r="D37" s="658" t="s">
        <v>239</v>
      </c>
      <c r="E37" s="682">
        <v>45613</v>
      </c>
      <c r="F37" s="682">
        <v>1530</v>
      </c>
      <c r="G37" s="681">
        <v>3.3542999999999998</v>
      </c>
      <c r="H37" s="13"/>
    </row>
    <row r="38" spans="1:18">
      <c r="A38" s="680"/>
      <c r="B38" s="658"/>
      <c r="C38" s="658"/>
      <c r="D38" s="658"/>
      <c r="E38" s="682"/>
      <c r="F38" s="682"/>
      <c r="G38" s="681"/>
      <c r="H38" s="13"/>
    </row>
    <row r="39" spans="1:18">
      <c r="A39" s="679">
        <v>19</v>
      </c>
      <c r="B39" s="658" t="s">
        <v>2637</v>
      </c>
      <c r="C39" s="658" t="s">
        <v>2514</v>
      </c>
      <c r="D39" s="658" t="s">
        <v>2780</v>
      </c>
      <c r="E39" s="682">
        <v>380</v>
      </c>
      <c r="F39" s="682">
        <f t="shared" ref="F39" si="12">E39</f>
        <v>380</v>
      </c>
      <c r="G39" s="681"/>
      <c r="H39" s="13"/>
    </row>
    <row r="40" spans="1:18">
      <c r="A40" s="680"/>
      <c r="B40" s="658"/>
      <c r="C40" s="658"/>
      <c r="D40" s="658"/>
      <c r="E40" s="682"/>
      <c r="F40" s="682"/>
      <c r="G40" s="681"/>
      <c r="H40" s="13"/>
    </row>
    <row r="41" spans="1:18">
      <c r="A41" s="679">
        <v>20</v>
      </c>
      <c r="B41" s="658" t="s">
        <v>1867</v>
      </c>
      <c r="C41" s="658" t="s">
        <v>2514</v>
      </c>
      <c r="D41" s="658" t="s">
        <v>4066</v>
      </c>
      <c r="E41" s="682">
        <v>96</v>
      </c>
      <c r="F41" s="682">
        <f t="shared" ref="F41" si="13">E41</f>
        <v>96</v>
      </c>
      <c r="G41" s="681"/>
      <c r="H41" s="13"/>
    </row>
    <row r="42" spans="1:18">
      <c r="A42" s="680"/>
      <c r="B42" s="658"/>
      <c r="C42" s="658"/>
      <c r="D42" s="658"/>
      <c r="E42" s="682"/>
      <c r="F42" s="682"/>
      <c r="G42" s="681"/>
      <c r="H42" s="13"/>
    </row>
    <row r="43" spans="1:18">
      <c r="A43" s="679">
        <v>21</v>
      </c>
      <c r="B43" s="658" t="s">
        <v>4128</v>
      </c>
      <c r="C43" s="658" t="s">
        <v>4127</v>
      </c>
      <c r="D43" s="658" t="s">
        <v>239</v>
      </c>
      <c r="E43" s="682">
        <v>1470</v>
      </c>
      <c r="F43" s="682">
        <v>1470</v>
      </c>
      <c r="G43" s="681"/>
      <c r="H43" s="13"/>
      <c r="I43" s="628"/>
    </row>
    <row r="44" spans="1:18" ht="15.75">
      <c r="A44" s="680"/>
      <c r="B44" s="658"/>
      <c r="C44" s="658"/>
      <c r="D44" s="658"/>
      <c r="E44" s="682"/>
      <c r="F44" s="682"/>
      <c r="G44" s="681"/>
      <c r="H44" s="13"/>
      <c r="I44" s="606"/>
    </row>
    <row r="45" spans="1:18">
      <c r="A45" s="679">
        <v>22</v>
      </c>
      <c r="B45" s="658" t="s">
        <v>2646</v>
      </c>
      <c r="C45" s="658" t="s">
        <v>4125</v>
      </c>
      <c r="D45" s="658" t="s">
        <v>2376</v>
      </c>
      <c r="E45" s="682">
        <v>58</v>
      </c>
      <c r="F45" s="682">
        <f t="shared" ref="F45" si="14">E45</f>
        <v>58</v>
      </c>
      <c r="G45" s="681"/>
      <c r="H45" s="13"/>
    </row>
    <row r="46" spans="1:18">
      <c r="A46" s="680"/>
      <c r="B46" s="658"/>
      <c r="C46" s="658"/>
      <c r="D46" s="658"/>
      <c r="E46" s="682"/>
      <c r="F46" s="682"/>
      <c r="G46" s="681"/>
      <c r="H46" s="13"/>
    </row>
    <row r="47" spans="1:18">
      <c r="A47" s="679">
        <v>23</v>
      </c>
      <c r="B47" s="658" t="s">
        <v>4129</v>
      </c>
      <c r="C47" s="658" t="s">
        <v>4127</v>
      </c>
      <c r="D47" s="658" t="s">
        <v>239</v>
      </c>
      <c r="E47" s="682">
        <v>41638</v>
      </c>
      <c r="F47" s="682">
        <v>1400</v>
      </c>
      <c r="G47" s="681">
        <v>3.3622999999999998</v>
      </c>
      <c r="H47" s="13"/>
    </row>
    <row r="48" spans="1:18">
      <c r="A48" s="680"/>
      <c r="B48" s="658"/>
      <c r="C48" s="658"/>
      <c r="D48" s="658"/>
      <c r="E48" s="682"/>
      <c r="F48" s="682"/>
      <c r="G48" s="681"/>
      <c r="H48" s="13"/>
    </row>
    <row r="49" spans="1:14">
      <c r="A49" s="679">
        <v>24</v>
      </c>
      <c r="B49" s="658" t="s">
        <v>2653</v>
      </c>
      <c r="C49" s="658" t="s">
        <v>4126</v>
      </c>
      <c r="D49" s="658" t="s">
        <v>2723</v>
      </c>
      <c r="E49" s="682">
        <v>1260</v>
      </c>
      <c r="F49" s="682">
        <f t="shared" ref="F49" si="15">E49</f>
        <v>1260</v>
      </c>
      <c r="G49" s="681"/>
      <c r="H49" s="13"/>
    </row>
    <row r="50" spans="1:14">
      <c r="A50" s="680"/>
      <c r="B50" s="658"/>
      <c r="C50" s="658"/>
      <c r="D50" s="658"/>
      <c r="E50" s="682"/>
      <c r="F50" s="682"/>
      <c r="G50" s="681"/>
      <c r="H50" s="13"/>
    </row>
    <row r="51" spans="1:14" ht="15.75">
      <c r="A51" s="679">
        <v>25</v>
      </c>
      <c r="B51" s="658" t="s">
        <v>4130</v>
      </c>
      <c r="C51" s="658" t="s">
        <v>4127</v>
      </c>
      <c r="D51" s="658" t="s">
        <v>239</v>
      </c>
      <c r="E51" s="682">
        <v>1470</v>
      </c>
      <c r="F51" s="682">
        <v>1470</v>
      </c>
      <c r="G51" s="681"/>
      <c r="H51" s="13"/>
      <c r="I51" s="631"/>
    </row>
    <row r="52" spans="1:14" ht="15.75">
      <c r="A52" s="680"/>
      <c r="B52" s="658"/>
      <c r="C52" s="658"/>
      <c r="D52" s="658"/>
      <c r="E52" s="682"/>
      <c r="F52" s="682"/>
      <c r="G52" s="681"/>
      <c r="H52" s="13"/>
      <c r="I52" s="606"/>
    </row>
    <row r="53" spans="1:14">
      <c r="A53" s="679">
        <v>26</v>
      </c>
      <c r="B53" s="658" t="s">
        <v>1866</v>
      </c>
      <c r="C53" s="658" t="s">
        <v>4126</v>
      </c>
      <c r="D53" s="658" t="s">
        <v>1601</v>
      </c>
      <c r="E53" s="682">
        <v>950</v>
      </c>
      <c r="F53" s="682">
        <f t="shared" ref="F53" si="16">E53</f>
        <v>950</v>
      </c>
      <c r="G53" s="681"/>
      <c r="H53" s="13"/>
    </row>
    <row r="54" spans="1:14">
      <c r="A54" s="680"/>
      <c r="B54" s="658"/>
      <c r="C54" s="658"/>
      <c r="D54" s="658"/>
      <c r="E54" s="682"/>
      <c r="F54" s="682"/>
      <c r="G54" s="681"/>
      <c r="H54" s="13"/>
    </row>
    <row r="55" spans="1:14" ht="15.75">
      <c r="A55" s="679">
        <v>27</v>
      </c>
      <c r="B55" s="658" t="s">
        <v>2668</v>
      </c>
      <c r="C55" s="658" t="s">
        <v>4126</v>
      </c>
      <c r="D55" s="658" t="s">
        <v>3025</v>
      </c>
      <c r="E55" s="682">
        <v>97</v>
      </c>
      <c r="F55" s="682">
        <f t="shared" ref="F55" si="17">E55</f>
        <v>97</v>
      </c>
      <c r="G55" s="681"/>
      <c r="H55" s="13"/>
      <c r="I55" s="632"/>
    </row>
    <row r="56" spans="1:14" ht="15.75">
      <c r="A56" s="680"/>
      <c r="B56" s="658"/>
      <c r="C56" s="658"/>
      <c r="D56" s="658"/>
      <c r="E56" s="682"/>
      <c r="F56" s="682"/>
      <c r="G56" s="681"/>
      <c r="H56" s="13"/>
      <c r="I56" s="632"/>
      <c r="N56" s="606"/>
    </row>
    <row r="57" spans="1:14" ht="15.75">
      <c r="A57" s="679">
        <v>28</v>
      </c>
      <c r="B57" s="658" t="s">
        <v>4137</v>
      </c>
      <c r="C57" s="658" t="s">
        <v>4136</v>
      </c>
      <c r="D57" s="658" t="s">
        <v>1873</v>
      </c>
      <c r="E57" s="682">
        <v>1470</v>
      </c>
      <c r="F57" s="682">
        <f t="shared" ref="F57" si="18">E57</f>
        <v>1470</v>
      </c>
      <c r="G57" s="681"/>
      <c r="H57" s="13"/>
      <c r="I57" s="632"/>
    </row>
    <row r="58" spans="1:14" ht="15.75">
      <c r="A58" s="680"/>
      <c r="B58" s="658"/>
      <c r="C58" s="658"/>
      <c r="D58" s="658"/>
      <c r="E58" s="682"/>
      <c r="F58" s="682"/>
      <c r="G58" s="681"/>
      <c r="H58" s="13"/>
      <c r="I58" s="632"/>
      <c r="L58" s="629"/>
    </row>
    <row r="59" spans="1:14">
      <c r="A59" s="679">
        <v>29</v>
      </c>
      <c r="B59" s="658" t="s">
        <v>2670</v>
      </c>
      <c r="C59" s="658" t="s">
        <v>4132</v>
      </c>
      <c r="D59" s="658" t="s">
        <v>4131</v>
      </c>
      <c r="E59" s="682">
        <v>400</v>
      </c>
      <c r="F59" s="682">
        <f t="shared" ref="F59" si="19">E59</f>
        <v>400</v>
      </c>
      <c r="G59" s="681"/>
      <c r="H59" s="13"/>
    </row>
    <row r="60" spans="1:14">
      <c r="A60" s="680"/>
      <c r="B60" s="658"/>
      <c r="C60" s="658"/>
      <c r="D60" s="658"/>
      <c r="E60" s="682"/>
      <c r="F60" s="682"/>
      <c r="G60" s="681"/>
      <c r="H60" s="13"/>
    </row>
    <row r="61" spans="1:14">
      <c r="A61" s="679">
        <v>30</v>
      </c>
      <c r="B61" s="658" t="s">
        <v>2671</v>
      </c>
      <c r="C61" s="658" t="s">
        <v>4132</v>
      </c>
      <c r="D61" s="658" t="s">
        <v>3598</v>
      </c>
      <c r="E61" s="682">
        <v>500</v>
      </c>
      <c r="F61" s="682">
        <f t="shared" ref="F61" si="20">E61</f>
        <v>500</v>
      </c>
      <c r="G61" s="681"/>
      <c r="H61" s="13"/>
    </row>
    <row r="62" spans="1:14">
      <c r="A62" s="680"/>
      <c r="B62" s="658"/>
      <c r="C62" s="658"/>
      <c r="D62" s="658"/>
      <c r="E62" s="682"/>
      <c r="F62" s="682"/>
      <c r="G62" s="681"/>
      <c r="H62" s="13"/>
    </row>
    <row r="63" spans="1:14">
      <c r="A63" s="679">
        <v>31</v>
      </c>
      <c r="B63" s="658" t="s">
        <v>2673</v>
      </c>
      <c r="C63" s="658" t="s">
        <v>4132</v>
      </c>
      <c r="D63" s="658" t="s">
        <v>2723</v>
      </c>
      <c r="E63" s="682">
        <v>250</v>
      </c>
      <c r="F63" s="682">
        <f t="shared" ref="F63" si="21">E63</f>
        <v>250</v>
      </c>
      <c r="G63" s="681"/>
      <c r="H63" s="13"/>
    </row>
    <row r="64" spans="1:14">
      <c r="A64" s="680"/>
      <c r="B64" s="658"/>
      <c r="C64" s="658"/>
      <c r="D64" s="658"/>
      <c r="E64" s="682"/>
      <c r="F64" s="682"/>
      <c r="G64" s="681"/>
      <c r="H64" s="13"/>
    </row>
    <row r="65" spans="1:11" ht="15.75">
      <c r="A65" s="679">
        <v>32</v>
      </c>
      <c r="B65" s="658" t="s">
        <v>2674</v>
      </c>
      <c r="C65" s="658" t="s">
        <v>4132</v>
      </c>
      <c r="D65" s="658" t="s">
        <v>2376</v>
      </c>
      <c r="E65" s="682">
        <v>45</v>
      </c>
      <c r="F65" s="682">
        <f t="shared" ref="F65" si="22">E65</f>
        <v>45</v>
      </c>
      <c r="G65" s="681"/>
      <c r="H65" s="13"/>
      <c r="I65" s="629"/>
      <c r="K65" s="606"/>
    </row>
    <row r="66" spans="1:11">
      <c r="A66" s="680"/>
      <c r="B66" s="658"/>
      <c r="C66" s="658"/>
      <c r="D66" s="658"/>
      <c r="E66" s="682"/>
      <c r="F66" s="682"/>
      <c r="G66" s="681"/>
      <c r="H66" s="13"/>
    </row>
    <row r="67" spans="1:11">
      <c r="A67" s="679">
        <v>33</v>
      </c>
      <c r="B67" s="658" t="s">
        <v>4138</v>
      </c>
      <c r="C67" s="658" t="s">
        <v>4135</v>
      </c>
      <c r="D67" s="658" t="s">
        <v>1873</v>
      </c>
      <c r="E67" s="682">
        <v>47643</v>
      </c>
      <c r="F67" s="682">
        <v>1590</v>
      </c>
      <c r="G67" s="681">
        <v>3.3372999999999999</v>
      </c>
      <c r="H67" s="13"/>
    </row>
    <row r="68" spans="1:11">
      <c r="A68" s="680"/>
      <c r="B68" s="658"/>
      <c r="C68" s="658"/>
      <c r="D68" s="658"/>
      <c r="E68" s="682"/>
      <c r="F68" s="682"/>
      <c r="G68" s="681"/>
      <c r="H68" s="13"/>
    </row>
    <row r="69" spans="1:11">
      <c r="A69" s="679">
        <v>34</v>
      </c>
      <c r="B69" s="659" t="s">
        <v>2675</v>
      </c>
      <c r="C69" s="658" t="s">
        <v>4132</v>
      </c>
      <c r="D69" s="658" t="s">
        <v>3966</v>
      </c>
      <c r="E69" s="682">
        <v>20000</v>
      </c>
      <c r="F69" s="682">
        <v>669</v>
      </c>
      <c r="G69" s="681">
        <v>3.3439999999999999</v>
      </c>
      <c r="H69" s="13"/>
    </row>
    <row r="70" spans="1:11">
      <c r="A70" s="680"/>
      <c r="B70" s="660"/>
      <c r="C70" s="658"/>
      <c r="D70" s="658"/>
      <c r="E70" s="682"/>
      <c r="F70" s="682"/>
      <c r="G70" s="681"/>
      <c r="H70" s="13"/>
    </row>
    <row r="71" spans="1:11">
      <c r="A71" s="679">
        <v>35</v>
      </c>
      <c r="B71" s="659" t="s">
        <v>2676</v>
      </c>
      <c r="C71" s="658" t="s">
        <v>4132</v>
      </c>
      <c r="D71" s="658" t="s">
        <v>3261</v>
      </c>
      <c r="E71" s="682">
        <v>300</v>
      </c>
      <c r="F71" s="682">
        <f t="shared" ref="F71" si="23">E71</f>
        <v>300</v>
      </c>
      <c r="G71" s="681"/>
      <c r="H71" s="13"/>
    </row>
    <row r="72" spans="1:11">
      <c r="A72" s="680"/>
      <c r="B72" s="660"/>
      <c r="C72" s="658"/>
      <c r="D72" s="658"/>
      <c r="E72" s="682"/>
      <c r="F72" s="682"/>
      <c r="G72" s="681"/>
      <c r="H72" s="13"/>
    </row>
    <row r="73" spans="1:11">
      <c r="A73" s="679">
        <v>36</v>
      </c>
      <c r="B73" s="659" t="s">
        <v>2677</v>
      </c>
      <c r="C73" s="658" t="s">
        <v>4132</v>
      </c>
      <c r="D73" s="658" t="s">
        <v>4133</v>
      </c>
      <c r="E73" s="682">
        <v>600</v>
      </c>
      <c r="F73" s="682">
        <f t="shared" ref="F73" si="24">E73</f>
        <v>600</v>
      </c>
      <c r="G73" s="681"/>
      <c r="H73" s="13"/>
    </row>
    <row r="74" spans="1:11">
      <c r="A74" s="680"/>
      <c r="B74" s="660"/>
      <c r="C74" s="658"/>
      <c r="D74" s="658"/>
      <c r="E74" s="682"/>
      <c r="F74" s="682"/>
      <c r="G74" s="681"/>
      <c r="H74" s="13"/>
    </row>
    <row r="75" spans="1:11" ht="15.75">
      <c r="A75" s="679">
        <v>37</v>
      </c>
      <c r="B75" s="658" t="s">
        <v>2683</v>
      </c>
      <c r="C75" s="658" t="s">
        <v>4132</v>
      </c>
      <c r="D75" s="658" t="s">
        <v>3769</v>
      </c>
      <c r="E75" s="682">
        <v>350</v>
      </c>
      <c r="F75" s="682">
        <f t="shared" ref="F75" si="25">E75</f>
        <v>350</v>
      </c>
      <c r="G75" s="681"/>
      <c r="H75" s="13"/>
      <c r="I75" s="633"/>
    </row>
    <row r="76" spans="1:11" ht="15.75">
      <c r="A76" s="680"/>
      <c r="B76" s="658"/>
      <c r="C76" s="658"/>
      <c r="D76" s="658"/>
      <c r="E76" s="682"/>
      <c r="F76" s="682"/>
      <c r="G76" s="681"/>
      <c r="H76" s="13"/>
      <c r="I76" s="633"/>
      <c r="K76" s="606"/>
    </row>
    <row r="77" spans="1:11">
      <c r="A77" s="679">
        <v>38</v>
      </c>
      <c r="B77" s="658" t="s">
        <v>4140</v>
      </c>
      <c r="C77" s="658" t="s">
        <v>4139</v>
      </c>
      <c r="D77" s="658" t="s">
        <v>1873</v>
      </c>
      <c r="E77" s="682">
        <v>45823</v>
      </c>
      <c r="F77" s="682">
        <v>1530</v>
      </c>
      <c r="G77" s="681">
        <v>3.3389000000000002</v>
      </c>
      <c r="H77" s="13"/>
    </row>
    <row r="78" spans="1:11">
      <c r="A78" s="680"/>
      <c r="B78" s="658"/>
      <c r="C78" s="658"/>
      <c r="D78" s="658"/>
      <c r="E78" s="682"/>
      <c r="F78" s="682"/>
      <c r="G78" s="681"/>
      <c r="H78" s="13"/>
    </row>
    <row r="79" spans="1:11" ht="15.75">
      <c r="A79" s="679">
        <v>39</v>
      </c>
      <c r="B79" s="659" t="s">
        <v>2693</v>
      </c>
      <c r="C79" s="658" t="s">
        <v>4135</v>
      </c>
      <c r="D79" s="658" t="s">
        <v>3966</v>
      </c>
      <c r="E79" s="682">
        <v>20000</v>
      </c>
      <c r="F79" s="682">
        <v>667</v>
      </c>
      <c r="G79" s="681">
        <v>3.3372999999999999</v>
      </c>
      <c r="H79" s="13"/>
      <c r="I79" s="632"/>
    </row>
    <row r="80" spans="1:11" ht="15.75">
      <c r="A80" s="680"/>
      <c r="B80" s="660"/>
      <c r="C80" s="658"/>
      <c r="D80" s="658"/>
      <c r="E80" s="682"/>
      <c r="F80" s="682"/>
      <c r="G80" s="681"/>
      <c r="H80" s="13"/>
      <c r="I80" s="606"/>
    </row>
    <row r="81" spans="1:10">
      <c r="A81" s="679">
        <v>40</v>
      </c>
      <c r="B81" s="658" t="s">
        <v>2699</v>
      </c>
      <c r="C81" s="658" t="s">
        <v>4134</v>
      </c>
      <c r="D81" s="658" t="s">
        <v>3309</v>
      </c>
      <c r="E81" s="682">
        <v>550</v>
      </c>
      <c r="F81" s="682">
        <f t="shared" ref="F81" si="26">E81</f>
        <v>550</v>
      </c>
      <c r="G81" s="681"/>
      <c r="H81" s="638"/>
      <c r="I81" s="635"/>
    </row>
    <row r="82" spans="1:10" ht="15.75">
      <c r="A82" s="680"/>
      <c r="B82" s="658"/>
      <c r="C82" s="658"/>
      <c r="D82" s="658"/>
      <c r="E82" s="682"/>
      <c r="F82" s="682"/>
      <c r="G82" s="681"/>
      <c r="H82" s="13"/>
      <c r="I82" s="606"/>
    </row>
    <row r="83" spans="1:10">
      <c r="A83" s="679">
        <v>41</v>
      </c>
      <c r="B83" s="658" t="s">
        <v>2702</v>
      </c>
      <c r="C83" s="658" t="s">
        <v>4134</v>
      </c>
      <c r="D83" s="658" t="s">
        <v>1140</v>
      </c>
      <c r="E83" s="682">
        <v>250</v>
      </c>
      <c r="F83" s="682">
        <f t="shared" ref="F83" si="27">E83</f>
        <v>250</v>
      </c>
      <c r="G83" s="681"/>
      <c r="H83" s="13"/>
      <c r="I83" s="634"/>
    </row>
    <row r="84" spans="1:10">
      <c r="A84" s="680"/>
      <c r="B84" s="658"/>
      <c r="C84" s="658"/>
      <c r="D84" s="658"/>
      <c r="E84" s="682"/>
      <c r="F84" s="682"/>
      <c r="G84" s="681"/>
      <c r="H84" s="13"/>
      <c r="I84" s="634"/>
    </row>
    <row r="85" spans="1:10">
      <c r="A85" s="679">
        <v>42</v>
      </c>
      <c r="B85" s="658" t="s">
        <v>2705</v>
      </c>
      <c r="C85" s="658" t="s">
        <v>4134</v>
      </c>
      <c r="D85" s="658" t="s">
        <v>1601</v>
      </c>
      <c r="E85" s="682">
        <v>350</v>
      </c>
      <c r="F85" s="682">
        <f t="shared" ref="F85" si="28">E85</f>
        <v>350</v>
      </c>
      <c r="G85" s="681"/>
      <c r="H85" s="13"/>
      <c r="I85" s="634"/>
      <c r="J85" s="6"/>
    </row>
    <row r="86" spans="1:10">
      <c r="A86" s="680"/>
      <c r="B86" s="658"/>
      <c r="C86" s="658"/>
      <c r="D86" s="658"/>
      <c r="E86" s="682"/>
      <c r="F86" s="682"/>
      <c r="G86" s="681"/>
      <c r="H86" s="13"/>
    </row>
    <row r="87" spans="1:10">
      <c r="A87" s="679">
        <v>43</v>
      </c>
      <c r="B87" s="658" t="s">
        <v>4141</v>
      </c>
      <c r="C87" s="658" t="s">
        <v>4139</v>
      </c>
      <c r="D87" s="658" t="s">
        <v>1873</v>
      </c>
      <c r="E87" s="682">
        <v>1470</v>
      </c>
      <c r="F87" s="682">
        <v>1470</v>
      </c>
      <c r="G87" s="681"/>
      <c r="H87" s="13"/>
    </row>
    <row r="88" spans="1:10">
      <c r="A88" s="680"/>
      <c r="B88" s="658"/>
      <c r="C88" s="658"/>
      <c r="D88" s="658"/>
      <c r="E88" s="682"/>
      <c r="F88" s="682"/>
      <c r="G88" s="681"/>
      <c r="H88" s="13"/>
    </row>
    <row r="89" spans="1:10">
      <c r="A89" s="679">
        <v>44</v>
      </c>
      <c r="B89" s="658" t="s">
        <v>2706</v>
      </c>
      <c r="C89" s="658" t="s">
        <v>4134</v>
      </c>
      <c r="D89" s="658" t="s">
        <v>3309</v>
      </c>
      <c r="E89" s="682">
        <v>420</v>
      </c>
      <c r="F89" s="682">
        <f t="shared" ref="F89" si="29">E89</f>
        <v>420</v>
      </c>
      <c r="G89" s="681"/>
      <c r="H89" s="13"/>
    </row>
    <row r="90" spans="1:10">
      <c r="A90" s="680"/>
      <c r="B90" s="658"/>
      <c r="C90" s="658"/>
      <c r="D90" s="658"/>
      <c r="E90" s="682"/>
      <c r="F90" s="682"/>
      <c r="G90" s="681"/>
      <c r="H90" s="13"/>
    </row>
    <row r="91" spans="1:10">
      <c r="A91" s="679">
        <v>45</v>
      </c>
      <c r="B91" s="658" t="s">
        <v>2707</v>
      </c>
      <c r="C91" s="658" t="s">
        <v>4134</v>
      </c>
      <c r="D91" s="658" t="s">
        <v>2517</v>
      </c>
      <c r="E91" s="682">
        <v>427</v>
      </c>
      <c r="F91" s="682">
        <f t="shared" ref="F91" si="30">E91</f>
        <v>427</v>
      </c>
      <c r="G91" s="681"/>
      <c r="H91" s="13"/>
    </row>
    <row r="92" spans="1:10">
      <c r="A92" s="680"/>
      <c r="B92" s="658"/>
      <c r="C92" s="658"/>
      <c r="D92" s="658"/>
      <c r="E92" s="682"/>
      <c r="F92" s="682"/>
      <c r="G92" s="681"/>
      <c r="H92" s="13"/>
    </row>
    <row r="93" spans="1:10">
      <c r="A93" s="679">
        <v>46</v>
      </c>
      <c r="B93" s="658" t="s">
        <v>2708</v>
      </c>
      <c r="C93" s="658" t="s">
        <v>4134</v>
      </c>
      <c r="D93" s="658" t="s">
        <v>3025</v>
      </c>
      <c r="E93" s="682">
        <v>97</v>
      </c>
      <c r="F93" s="682">
        <f t="shared" ref="F93" si="31">E93</f>
        <v>97</v>
      </c>
      <c r="G93" s="681"/>
      <c r="H93" s="13"/>
    </row>
    <row r="94" spans="1:10">
      <c r="A94" s="680"/>
      <c r="B94" s="658"/>
      <c r="C94" s="658"/>
      <c r="D94" s="658"/>
      <c r="E94" s="682"/>
      <c r="F94" s="682"/>
      <c r="G94" s="681"/>
      <c r="H94" s="13"/>
    </row>
    <row r="95" spans="1:10">
      <c r="A95" s="679">
        <v>47</v>
      </c>
      <c r="B95" s="658" t="s">
        <v>4149</v>
      </c>
      <c r="C95" s="658" t="s">
        <v>4148</v>
      </c>
      <c r="D95" s="658" t="s">
        <v>239</v>
      </c>
      <c r="E95" s="682">
        <v>43597</v>
      </c>
      <c r="F95" s="682">
        <v>1470</v>
      </c>
      <c r="G95" s="681">
        <v>3.3717999999999999</v>
      </c>
      <c r="H95" s="13"/>
    </row>
    <row r="96" spans="1:10">
      <c r="A96" s="680"/>
      <c r="B96" s="658"/>
      <c r="C96" s="658"/>
      <c r="D96" s="658"/>
      <c r="E96" s="682"/>
      <c r="F96" s="682"/>
      <c r="G96" s="681"/>
      <c r="H96" s="13"/>
    </row>
    <row r="97" spans="1:9">
      <c r="A97" s="679">
        <v>48</v>
      </c>
      <c r="B97" s="658" t="s">
        <v>2717</v>
      </c>
      <c r="C97" s="658" t="s">
        <v>4142</v>
      </c>
      <c r="D97" s="658" t="s">
        <v>2348</v>
      </c>
      <c r="E97" s="682">
        <v>50</v>
      </c>
      <c r="F97" s="682">
        <f t="shared" ref="F97" si="32">E97</f>
        <v>50</v>
      </c>
      <c r="G97" s="681"/>
      <c r="H97" s="13"/>
    </row>
    <row r="98" spans="1:9" ht="15">
      <c r="A98" s="680"/>
      <c r="B98" s="658"/>
      <c r="C98" s="658"/>
      <c r="D98" s="658"/>
      <c r="E98" s="682"/>
      <c r="F98" s="682"/>
      <c r="G98" s="681"/>
      <c r="H98" s="13"/>
      <c r="I98" s="636"/>
    </row>
    <row r="99" spans="1:9" ht="15.75">
      <c r="A99" s="679">
        <v>49</v>
      </c>
      <c r="B99" s="658" t="s">
        <v>2718</v>
      </c>
      <c r="C99" s="658" t="s">
        <v>4142</v>
      </c>
      <c r="D99" s="658" t="s">
        <v>1601</v>
      </c>
      <c r="E99" s="682">
        <v>900</v>
      </c>
      <c r="F99" s="682">
        <f t="shared" ref="F99" si="33">E99</f>
        <v>900</v>
      </c>
      <c r="G99" s="681"/>
      <c r="H99" s="13"/>
      <c r="I99" s="606"/>
    </row>
    <row r="100" spans="1:9">
      <c r="A100" s="680"/>
      <c r="B100" s="658"/>
      <c r="C100" s="658"/>
      <c r="D100" s="658"/>
      <c r="E100" s="682"/>
      <c r="F100" s="682"/>
      <c r="G100" s="681"/>
      <c r="H100" s="13"/>
    </row>
    <row r="101" spans="1:9">
      <c r="A101" s="679">
        <v>50</v>
      </c>
      <c r="B101" s="658" t="s">
        <v>4151</v>
      </c>
      <c r="C101" s="658" t="s">
        <v>4150</v>
      </c>
      <c r="D101" s="658" t="s">
        <v>239</v>
      </c>
      <c r="E101" s="682">
        <v>1470</v>
      </c>
      <c r="F101" s="682">
        <v>1470</v>
      </c>
      <c r="G101" s="681"/>
    </row>
    <row r="102" spans="1:9">
      <c r="A102" s="680"/>
      <c r="B102" s="658"/>
      <c r="C102" s="658"/>
      <c r="D102" s="658"/>
      <c r="E102" s="682"/>
      <c r="F102" s="682"/>
      <c r="G102" s="681"/>
    </row>
    <row r="103" spans="1:9">
      <c r="A103" s="679">
        <v>51</v>
      </c>
      <c r="B103" s="658" t="s">
        <v>4153</v>
      </c>
      <c r="C103" s="658" t="s">
        <v>4152</v>
      </c>
      <c r="D103" s="658" t="s">
        <v>239</v>
      </c>
      <c r="E103" s="682">
        <v>43459</v>
      </c>
      <c r="F103" s="682">
        <v>1470</v>
      </c>
      <c r="G103" s="681">
        <v>3.3824999999999998</v>
      </c>
    </row>
    <row r="104" spans="1:9">
      <c r="A104" s="680"/>
      <c r="B104" s="658"/>
      <c r="C104" s="658"/>
      <c r="D104" s="658"/>
      <c r="E104" s="682"/>
      <c r="F104" s="682"/>
      <c r="G104" s="681"/>
    </row>
    <row r="105" spans="1:9">
      <c r="A105" s="679"/>
      <c r="B105" s="658"/>
      <c r="C105" s="658"/>
      <c r="D105" s="658"/>
      <c r="E105" s="657"/>
      <c r="F105" s="657"/>
      <c r="G105" s="681"/>
    </row>
    <row r="106" spans="1:9">
      <c r="A106" s="680"/>
      <c r="B106" s="658"/>
      <c r="C106" s="658"/>
      <c r="D106" s="658"/>
      <c r="E106" s="657"/>
      <c r="F106" s="657"/>
      <c r="G106" s="681"/>
    </row>
    <row r="107" spans="1:9">
      <c r="A107" s="679"/>
      <c r="B107" s="658"/>
      <c r="C107" s="658"/>
      <c r="D107" s="658"/>
      <c r="E107" s="657"/>
      <c r="F107" s="657"/>
      <c r="G107" s="681"/>
    </row>
    <row r="108" spans="1:9">
      <c r="A108" s="680"/>
      <c r="B108" s="658"/>
      <c r="C108" s="658"/>
      <c r="D108" s="658"/>
      <c r="E108" s="657"/>
      <c r="F108" s="657"/>
      <c r="G108" s="681"/>
    </row>
    <row r="109" spans="1:9">
      <c r="A109" s="679"/>
      <c r="B109" s="658"/>
      <c r="C109" s="658"/>
      <c r="D109" s="658"/>
      <c r="E109" s="657"/>
      <c r="F109" s="657"/>
      <c r="G109" s="681"/>
    </row>
    <row r="110" spans="1:9">
      <c r="A110" s="680"/>
      <c r="B110" s="658"/>
      <c r="C110" s="658"/>
      <c r="D110" s="658"/>
      <c r="E110" s="657"/>
      <c r="F110" s="657"/>
      <c r="G110" s="681"/>
    </row>
    <row r="111" spans="1:9">
      <c r="A111" s="679"/>
      <c r="B111" s="658"/>
      <c r="C111" s="658"/>
      <c r="D111" s="658"/>
      <c r="E111" s="657"/>
      <c r="F111" s="657"/>
      <c r="G111" s="683"/>
    </row>
    <row r="112" spans="1:9">
      <c r="A112" s="680"/>
      <c r="B112" s="658"/>
      <c r="C112" s="658"/>
      <c r="D112" s="658"/>
      <c r="E112" s="657"/>
      <c r="F112" s="657"/>
      <c r="G112" s="684"/>
    </row>
    <row r="113" spans="1:7">
      <c r="A113" s="679"/>
      <c r="B113" s="658"/>
      <c r="C113" s="658"/>
      <c r="D113" s="658"/>
      <c r="E113" s="657"/>
      <c r="F113" s="657"/>
      <c r="G113" s="685"/>
    </row>
    <row r="114" spans="1:7">
      <c r="A114" s="680"/>
      <c r="B114" s="658"/>
      <c r="C114" s="658"/>
      <c r="D114" s="658"/>
      <c r="E114" s="657"/>
      <c r="F114" s="657"/>
      <c r="G114" s="686"/>
    </row>
    <row r="115" spans="1:7">
      <c r="A115" s="679"/>
      <c r="B115" s="658"/>
      <c r="C115" s="658"/>
      <c r="D115" s="658"/>
      <c r="E115" s="657"/>
      <c r="F115" s="657"/>
      <c r="G115" s="685"/>
    </row>
    <row r="116" spans="1:7">
      <c r="A116" s="680"/>
      <c r="B116" s="658"/>
      <c r="C116" s="658"/>
      <c r="D116" s="658"/>
      <c r="E116" s="657"/>
      <c r="F116" s="657"/>
      <c r="G116" s="686"/>
    </row>
    <row r="117" spans="1:7">
      <c r="A117" s="679"/>
      <c r="B117" s="658"/>
      <c r="C117" s="658"/>
      <c r="D117" s="658"/>
      <c r="E117" s="657"/>
      <c r="F117" s="657"/>
      <c r="G117" s="685"/>
    </row>
    <row r="118" spans="1:7">
      <c r="A118" s="680"/>
      <c r="B118" s="658"/>
      <c r="C118" s="658"/>
      <c r="D118" s="658"/>
      <c r="E118" s="657"/>
      <c r="F118" s="657"/>
      <c r="G118" s="686"/>
    </row>
    <row r="119" spans="1:7">
      <c r="A119" s="679"/>
      <c r="B119" s="658"/>
      <c r="C119" s="658"/>
      <c r="D119" s="658"/>
      <c r="E119" s="657"/>
      <c r="F119" s="657"/>
      <c r="G119" s="685"/>
    </row>
    <row r="120" spans="1:7">
      <c r="A120" s="680"/>
      <c r="B120" s="658"/>
      <c r="C120" s="658"/>
      <c r="D120" s="658"/>
      <c r="E120" s="657"/>
      <c r="F120" s="657"/>
      <c r="G120" s="686"/>
    </row>
    <row r="121" spans="1:7">
      <c r="A121" s="679"/>
      <c r="B121" s="658"/>
      <c r="C121" s="658"/>
      <c r="D121" s="658"/>
      <c r="E121" s="657"/>
      <c r="F121" s="657"/>
      <c r="G121" s="685"/>
    </row>
    <row r="122" spans="1:7">
      <c r="A122" s="680"/>
      <c r="B122" s="658"/>
      <c r="C122" s="658"/>
      <c r="D122" s="658"/>
      <c r="E122" s="657"/>
      <c r="F122" s="657"/>
      <c r="G122" s="686"/>
    </row>
    <row r="123" spans="1:7">
      <c r="A123" s="679"/>
      <c r="B123" s="658"/>
      <c r="C123" s="658"/>
      <c r="D123" s="658"/>
      <c r="E123" s="657"/>
      <c r="F123" s="657"/>
      <c r="G123" s="685"/>
    </row>
    <row r="124" spans="1:7">
      <c r="A124" s="680"/>
      <c r="B124" s="658"/>
      <c r="C124" s="658"/>
      <c r="D124" s="658"/>
      <c r="E124" s="657"/>
      <c r="F124" s="657"/>
      <c r="G124" s="686"/>
    </row>
    <row r="125" spans="1:7">
      <c r="A125" s="687"/>
      <c r="B125" s="658"/>
      <c r="C125" s="658"/>
      <c r="D125" s="658"/>
      <c r="E125" s="657"/>
      <c r="F125" s="657"/>
      <c r="G125" s="685"/>
    </row>
    <row r="126" spans="1:7">
      <c r="A126" s="688"/>
      <c r="B126" s="658"/>
      <c r="C126" s="658"/>
      <c r="D126" s="658"/>
      <c r="E126" s="657"/>
      <c r="F126" s="657"/>
      <c r="G126" s="686"/>
    </row>
    <row r="127" spans="1:7">
      <c r="A127" s="687"/>
      <c r="B127" s="689"/>
      <c r="C127" s="689"/>
      <c r="D127" s="689"/>
      <c r="E127" s="689"/>
      <c r="F127" s="689"/>
      <c r="G127" s="685"/>
    </row>
    <row r="128" spans="1:7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23622047244094491" right="0.23622047244094491" top="0.19685039370078741" bottom="0.19685039370078741" header="0.31496062992125984" footer="0.31496062992125984"/>
  <pageSetup paperSize="9" orientation="landscape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zoomScaleNormal="100" workbookViewId="0">
      <selection activeCell="B11" sqref="B11:C11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3330</v>
      </c>
      <c r="C2" s="586">
        <v>42373</v>
      </c>
      <c r="D2" s="585" t="s">
        <v>6</v>
      </c>
      <c r="E2" s="586">
        <v>42944</v>
      </c>
      <c r="F2" s="585" t="s">
        <v>6</v>
      </c>
      <c r="G2" s="586">
        <v>42944</v>
      </c>
      <c r="H2" s="586" t="s">
        <v>3320</v>
      </c>
      <c r="I2" s="586">
        <v>42948</v>
      </c>
      <c r="J2" s="587">
        <v>1470</v>
      </c>
      <c r="K2" s="590"/>
      <c r="L2" s="5">
        <f>SUM(J2:J59)</f>
        <v>38154</v>
      </c>
    </row>
    <row r="3" spans="1:12">
      <c r="A3" s="589">
        <v>2</v>
      </c>
      <c r="B3" s="585" t="s">
        <v>6</v>
      </c>
      <c r="C3" s="586">
        <v>42389</v>
      </c>
      <c r="D3" s="585" t="s">
        <v>6</v>
      </c>
      <c r="E3" s="586">
        <v>42950</v>
      </c>
      <c r="F3" s="585" t="s">
        <v>6</v>
      </c>
      <c r="G3" s="586">
        <v>42950</v>
      </c>
      <c r="H3" s="586" t="s">
        <v>3318</v>
      </c>
      <c r="I3" s="586">
        <v>42951</v>
      </c>
      <c r="J3" s="587">
        <v>900</v>
      </c>
      <c r="K3" s="590"/>
    </row>
    <row r="4" spans="1:12">
      <c r="A4" s="585">
        <v>3</v>
      </c>
      <c r="B4" s="585" t="s">
        <v>3344</v>
      </c>
      <c r="C4" s="586">
        <v>42338</v>
      </c>
      <c r="D4" s="585" t="s">
        <v>6</v>
      </c>
      <c r="E4" s="586">
        <v>42948</v>
      </c>
      <c r="F4" s="585" t="s">
        <v>6</v>
      </c>
      <c r="G4" s="586">
        <v>42948</v>
      </c>
      <c r="H4" s="586" t="s">
        <v>3318</v>
      </c>
      <c r="I4" s="586">
        <v>42951</v>
      </c>
      <c r="J4" s="587">
        <v>370</v>
      </c>
      <c r="K4" s="590"/>
    </row>
    <row r="5" spans="1:12">
      <c r="A5" s="585">
        <v>4</v>
      </c>
      <c r="B5" s="585" t="s">
        <v>6</v>
      </c>
      <c r="C5" s="586">
        <v>42443</v>
      </c>
      <c r="D5" s="585" t="s">
        <v>6</v>
      </c>
      <c r="E5" s="586">
        <v>42950</v>
      </c>
      <c r="F5" s="585" t="s">
        <v>6</v>
      </c>
      <c r="G5" s="586">
        <v>42950</v>
      </c>
      <c r="H5" s="586" t="s">
        <v>3318</v>
      </c>
      <c r="I5" s="586">
        <v>42951</v>
      </c>
      <c r="J5" s="587">
        <v>50</v>
      </c>
      <c r="K5" s="590" t="s">
        <v>3753</v>
      </c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42947</v>
      </c>
      <c r="F6" s="585" t="s">
        <v>6</v>
      </c>
      <c r="G6" s="586">
        <v>42947</v>
      </c>
      <c r="H6" s="586" t="s">
        <v>3320</v>
      </c>
      <c r="I6" s="586">
        <v>42949</v>
      </c>
      <c r="J6" s="587">
        <v>1470</v>
      </c>
      <c r="K6" s="590"/>
    </row>
    <row r="7" spans="1:12">
      <c r="A7" s="585">
        <v>6</v>
      </c>
      <c r="B7" s="585" t="s">
        <v>6</v>
      </c>
      <c r="C7" s="586">
        <v>42396</v>
      </c>
      <c r="D7" s="585" t="s">
        <v>6</v>
      </c>
      <c r="E7" s="586">
        <v>42950</v>
      </c>
      <c r="F7" s="585" t="s">
        <v>6</v>
      </c>
      <c r="G7" s="586">
        <v>42950</v>
      </c>
      <c r="H7" s="586" t="s">
        <v>3318</v>
      </c>
      <c r="I7" s="586">
        <v>42954</v>
      </c>
      <c r="J7" s="587">
        <v>60</v>
      </c>
      <c r="K7" s="590"/>
    </row>
    <row r="8" spans="1:12">
      <c r="A8" s="585">
        <v>7</v>
      </c>
      <c r="B8" s="585" t="s">
        <v>6</v>
      </c>
      <c r="C8" s="586">
        <v>42404</v>
      </c>
      <c r="D8" s="585" t="s">
        <v>6</v>
      </c>
      <c r="E8" s="586">
        <v>42950</v>
      </c>
      <c r="F8" s="585" t="s">
        <v>6</v>
      </c>
      <c r="G8" s="586">
        <v>42950</v>
      </c>
      <c r="H8" s="586" t="s">
        <v>3318</v>
      </c>
      <c r="I8" s="586">
        <v>42954</v>
      </c>
      <c r="J8" s="587">
        <v>40</v>
      </c>
      <c r="K8" s="590"/>
    </row>
    <row r="9" spans="1:12">
      <c r="A9" s="585">
        <v>8</v>
      </c>
      <c r="B9" s="585" t="s">
        <v>6</v>
      </c>
      <c r="C9" s="586">
        <v>42480</v>
      </c>
      <c r="D9" s="585" t="s">
        <v>6</v>
      </c>
      <c r="E9" s="586">
        <v>42951</v>
      </c>
      <c r="F9" s="586">
        <v>42951</v>
      </c>
      <c r="G9" s="586">
        <v>42951</v>
      </c>
      <c r="H9" s="586" t="s">
        <v>3318</v>
      </c>
      <c r="I9" s="586">
        <v>42954</v>
      </c>
      <c r="J9" s="587">
        <v>98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42948</v>
      </c>
      <c r="F10" s="585" t="s">
        <v>6</v>
      </c>
      <c r="G10" s="586">
        <v>42948</v>
      </c>
      <c r="H10" s="586" t="s">
        <v>3320</v>
      </c>
      <c r="I10" s="586">
        <v>42950</v>
      </c>
      <c r="J10" s="587">
        <v>1470</v>
      </c>
      <c r="K10" s="590"/>
    </row>
    <row r="11" spans="1:12">
      <c r="A11" s="585">
        <v>10</v>
      </c>
      <c r="B11" s="585" t="s">
        <v>6</v>
      </c>
      <c r="C11" s="586">
        <v>42389</v>
      </c>
      <c r="D11" s="585" t="s">
        <v>6</v>
      </c>
      <c r="E11" s="586">
        <v>42951</v>
      </c>
      <c r="F11" s="585" t="s">
        <v>6</v>
      </c>
      <c r="G11" s="586">
        <v>42951</v>
      </c>
      <c r="H11" s="586" t="s">
        <v>3318</v>
      </c>
      <c r="I11" s="586">
        <v>42954</v>
      </c>
      <c r="J11" s="587">
        <v>1150</v>
      </c>
      <c r="K11" s="590" t="s">
        <v>4110</v>
      </c>
    </row>
    <row r="12" spans="1:12">
      <c r="A12" s="585">
        <v>11</v>
      </c>
      <c r="B12" s="585" t="s">
        <v>3330</v>
      </c>
      <c r="C12" s="586">
        <v>42373</v>
      </c>
      <c r="D12" s="585" t="s">
        <v>6</v>
      </c>
      <c r="E12" s="586">
        <v>42951</v>
      </c>
      <c r="F12" s="585" t="s">
        <v>6</v>
      </c>
      <c r="G12" s="586">
        <v>42951</v>
      </c>
      <c r="H12" s="586" t="s">
        <v>3320</v>
      </c>
      <c r="I12" s="586">
        <v>42954</v>
      </c>
      <c r="J12" s="587">
        <v>1470</v>
      </c>
      <c r="K12" s="590"/>
    </row>
    <row r="13" spans="1:12">
      <c r="A13" s="585">
        <v>12</v>
      </c>
      <c r="B13" s="585" t="s">
        <v>3344</v>
      </c>
      <c r="C13" s="586">
        <v>42338</v>
      </c>
      <c r="D13" s="585" t="s">
        <v>6</v>
      </c>
      <c r="E13" s="586">
        <v>42956</v>
      </c>
      <c r="F13" s="585" t="s">
        <v>6</v>
      </c>
      <c r="G13" s="586">
        <v>42956</v>
      </c>
      <c r="H13" s="586" t="s">
        <v>3318</v>
      </c>
      <c r="I13" s="586">
        <v>42957</v>
      </c>
      <c r="J13" s="587">
        <v>20</v>
      </c>
      <c r="K13" s="590"/>
    </row>
    <row r="14" spans="1:12">
      <c r="A14" s="585">
        <v>13</v>
      </c>
      <c r="B14" s="585" t="s">
        <v>3344</v>
      </c>
      <c r="C14" s="586">
        <v>42338</v>
      </c>
      <c r="D14" s="585" t="s">
        <v>6</v>
      </c>
      <c r="E14" s="586">
        <v>42956</v>
      </c>
      <c r="F14" s="585" t="s">
        <v>6</v>
      </c>
      <c r="G14" s="586">
        <v>42956</v>
      </c>
      <c r="H14" s="586" t="s">
        <v>3318</v>
      </c>
      <c r="I14" s="586">
        <v>42957</v>
      </c>
      <c r="J14" s="587">
        <v>580</v>
      </c>
      <c r="K14" s="587"/>
    </row>
    <row r="15" spans="1:12">
      <c r="A15" s="585">
        <v>14</v>
      </c>
      <c r="B15" s="585" t="s">
        <v>3330</v>
      </c>
      <c r="C15" s="586">
        <v>42373</v>
      </c>
      <c r="D15" s="585" t="s">
        <v>6</v>
      </c>
      <c r="E15" s="586">
        <v>42954</v>
      </c>
      <c r="F15" s="585" t="s">
        <v>6</v>
      </c>
      <c r="G15" s="586">
        <v>42954</v>
      </c>
      <c r="H15" s="586" t="s">
        <v>3320</v>
      </c>
      <c r="I15" s="586">
        <v>42956</v>
      </c>
      <c r="J15" s="587">
        <v>1470</v>
      </c>
      <c r="K15" s="590"/>
    </row>
    <row r="16" spans="1:12">
      <c r="A16" s="585">
        <v>15</v>
      </c>
      <c r="B16" s="585" t="s">
        <v>3344</v>
      </c>
      <c r="C16" s="586">
        <v>42338</v>
      </c>
      <c r="D16" s="585" t="s">
        <v>6</v>
      </c>
      <c r="E16" s="586">
        <v>42957</v>
      </c>
      <c r="F16" s="585" t="s">
        <v>3321</v>
      </c>
      <c r="G16" s="586" t="s">
        <v>4111</v>
      </c>
      <c r="H16" s="586" t="s">
        <v>3318</v>
      </c>
      <c r="I16" s="586">
        <v>42961</v>
      </c>
      <c r="J16" s="587">
        <v>520</v>
      </c>
      <c r="K16" s="590"/>
    </row>
    <row r="17" spans="1:11">
      <c r="A17" s="585">
        <v>16</v>
      </c>
      <c r="B17" s="585" t="s">
        <v>6</v>
      </c>
      <c r="C17" s="586">
        <v>42957</v>
      </c>
      <c r="D17" s="585" t="s">
        <v>6</v>
      </c>
      <c r="E17" s="586">
        <v>42957</v>
      </c>
      <c r="F17" s="585" t="s">
        <v>6</v>
      </c>
      <c r="G17" s="586">
        <v>42957</v>
      </c>
      <c r="H17" s="586" t="s">
        <v>3318</v>
      </c>
      <c r="I17" s="586">
        <v>42961</v>
      </c>
      <c r="J17" s="587">
        <v>300</v>
      </c>
      <c r="K17" s="590"/>
    </row>
    <row r="18" spans="1:11">
      <c r="A18" s="593">
        <v>17</v>
      </c>
      <c r="B18" s="585" t="s">
        <v>4112</v>
      </c>
      <c r="C18" s="586">
        <v>42313</v>
      </c>
      <c r="D18" s="585" t="s">
        <v>6</v>
      </c>
      <c r="E18" s="586">
        <v>42957</v>
      </c>
      <c r="F18" s="585" t="s">
        <v>6</v>
      </c>
      <c r="G18" s="586">
        <v>42957</v>
      </c>
      <c r="H18" s="586" t="s">
        <v>3318</v>
      </c>
      <c r="I18" s="586">
        <v>42961</v>
      </c>
      <c r="J18" s="587">
        <v>350</v>
      </c>
      <c r="K18" s="590"/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42954</v>
      </c>
      <c r="F19" s="585" t="s">
        <v>6</v>
      </c>
      <c r="G19" s="586">
        <v>42954</v>
      </c>
      <c r="H19" s="586" t="s">
        <v>3320</v>
      </c>
      <c r="I19" s="586">
        <v>42956</v>
      </c>
      <c r="J19" s="587">
        <v>1470</v>
      </c>
      <c r="K19" s="590"/>
    </row>
    <row r="20" spans="1:11">
      <c r="A20" s="593">
        <v>19</v>
      </c>
      <c r="B20" s="585" t="s">
        <v>6</v>
      </c>
      <c r="C20" s="586">
        <v>42480</v>
      </c>
      <c r="D20" s="585" t="s">
        <v>6</v>
      </c>
      <c r="E20" s="586">
        <v>42958</v>
      </c>
      <c r="F20" s="586">
        <v>42958</v>
      </c>
      <c r="G20" s="586">
        <v>42958</v>
      </c>
      <c r="H20" s="586" t="s">
        <v>3318</v>
      </c>
      <c r="I20" s="586">
        <v>42961</v>
      </c>
      <c r="J20" s="587">
        <v>97</v>
      </c>
      <c r="K20" s="590"/>
    </row>
    <row r="21" spans="1:11">
      <c r="A21" s="593">
        <v>20</v>
      </c>
      <c r="B21" s="585" t="s">
        <v>6</v>
      </c>
      <c r="C21" s="586">
        <v>42755</v>
      </c>
      <c r="D21" s="585" t="s">
        <v>6</v>
      </c>
      <c r="E21" s="586">
        <v>42958</v>
      </c>
      <c r="F21" s="585" t="s">
        <v>6</v>
      </c>
      <c r="G21" s="586">
        <v>42958</v>
      </c>
      <c r="H21" s="586" t="s">
        <v>3318</v>
      </c>
      <c r="I21" s="586">
        <v>42961</v>
      </c>
      <c r="J21" s="587">
        <v>516</v>
      </c>
      <c r="K21" s="590"/>
    </row>
    <row r="22" spans="1:11">
      <c r="A22" s="593">
        <v>21</v>
      </c>
      <c r="B22" s="585" t="s">
        <v>6</v>
      </c>
      <c r="C22" s="586">
        <v>42957</v>
      </c>
      <c r="D22" s="585" t="s">
        <v>6</v>
      </c>
      <c r="E22" s="586">
        <v>42957</v>
      </c>
      <c r="F22" s="585" t="s">
        <v>6</v>
      </c>
      <c r="G22" s="586">
        <v>42957</v>
      </c>
      <c r="H22" s="586" t="s">
        <v>3318</v>
      </c>
      <c r="I22" s="586">
        <v>42961</v>
      </c>
      <c r="J22" s="587">
        <v>350</v>
      </c>
      <c r="K22" s="590"/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42958</v>
      </c>
      <c r="F23" s="585" t="s">
        <v>3321</v>
      </c>
      <c r="G23" s="586">
        <v>42958</v>
      </c>
      <c r="H23" s="586" t="s">
        <v>3320</v>
      </c>
      <c r="I23" s="586">
        <v>42962</v>
      </c>
      <c r="J23" s="587">
        <v>1530</v>
      </c>
      <c r="K23" s="590"/>
    </row>
    <row r="24" spans="1:11">
      <c r="A24" s="593">
        <v>23</v>
      </c>
      <c r="B24" s="607" t="s">
        <v>3826</v>
      </c>
      <c r="C24" s="586">
        <v>42587</v>
      </c>
      <c r="D24" s="585" t="s">
        <v>6</v>
      </c>
      <c r="E24" s="586">
        <v>42963</v>
      </c>
      <c r="F24" s="585" t="s">
        <v>6</v>
      </c>
      <c r="G24" s="586">
        <v>42963</v>
      </c>
      <c r="H24" s="586" t="s">
        <v>3318</v>
      </c>
      <c r="I24" s="586">
        <v>42965</v>
      </c>
      <c r="J24" s="587">
        <v>380</v>
      </c>
      <c r="K24" s="590"/>
    </row>
    <row r="25" spans="1:11">
      <c r="A25" s="593">
        <v>24</v>
      </c>
      <c r="B25" s="585" t="s">
        <v>4113</v>
      </c>
      <c r="C25" s="586">
        <v>42963</v>
      </c>
      <c r="D25" s="585" t="s">
        <v>6</v>
      </c>
      <c r="E25" s="586">
        <v>42964</v>
      </c>
      <c r="F25" s="585">
        <v>7256.2485100000004</v>
      </c>
      <c r="G25" s="586">
        <v>42964</v>
      </c>
      <c r="H25" s="586" t="s">
        <v>3318</v>
      </c>
      <c r="I25" s="586">
        <v>42965</v>
      </c>
      <c r="J25" s="587">
        <v>520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42958</v>
      </c>
      <c r="F26" s="585" t="s">
        <v>6</v>
      </c>
      <c r="G26" s="586">
        <v>42958</v>
      </c>
      <c r="H26" s="586" t="s">
        <v>3320</v>
      </c>
      <c r="I26" s="586">
        <v>42962</v>
      </c>
      <c r="J26" s="587">
        <v>1470</v>
      </c>
      <c r="K26" s="590"/>
    </row>
    <row r="27" spans="1:11">
      <c r="A27" s="593">
        <v>26</v>
      </c>
      <c r="B27" s="585" t="s">
        <v>6</v>
      </c>
      <c r="C27" s="586">
        <v>42962</v>
      </c>
      <c r="D27" s="585" t="s">
        <v>6</v>
      </c>
      <c r="E27" s="586">
        <v>42963</v>
      </c>
      <c r="F27" s="585" t="s">
        <v>6</v>
      </c>
      <c r="G27" s="586">
        <v>42963</v>
      </c>
      <c r="H27" s="586" t="s">
        <v>3318</v>
      </c>
      <c r="I27" s="586">
        <v>42965</v>
      </c>
      <c r="J27" s="587">
        <v>50</v>
      </c>
      <c r="K27" s="590"/>
    </row>
    <row r="28" spans="1:11">
      <c r="A28" s="593">
        <v>27</v>
      </c>
      <c r="B28" s="585" t="s">
        <v>6</v>
      </c>
      <c r="C28" s="586">
        <v>42962</v>
      </c>
      <c r="D28" s="585" t="s">
        <v>6</v>
      </c>
      <c r="E28" s="586">
        <v>42963</v>
      </c>
      <c r="F28" s="585">
        <v>3840749</v>
      </c>
      <c r="G28" s="586">
        <v>42963</v>
      </c>
      <c r="H28" s="586" t="s">
        <v>3318</v>
      </c>
      <c r="I28" s="586">
        <v>42965</v>
      </c>
      <c r="J28" s="587">
        <v>430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42961</v>
      </c>
      <c r="F29" s="585" t="s">
        <v>6</v>
      </c>
      <c r="G29" s="586">
        <v>42961</v>
      </c>
      <c r="H29" s="586" t="s">
        <v>3320</v>
      </c>
      <c r="I29" s="586">
        <v>42963</v>
      </c>
      <c r="J29" s="587">
        <v>1470</v>
      </c>
      <c r="K29" s="590"/>
    </row>
    <row r="30" spans="1:11">
      <c r="A30" s="593">
        <v>29</v>
      </c>
      <c r="B30" s="585" t="s">
        <v>6</v>
      </c>
      <c r="C30" s="586">
        <v>42755</v>
      </c>
      <c r="D30" s="585" t="s">
        <v>6</v>
      </c>
      <c r="E30" s="586">
        <v>42964</v>
      </c>
      <c r="F30" s="585" t="s">
        <v>3823</v>
      </c>
      <c r="G30" s="586" t="s">
        <v>4114</v>
      </c>
      <c r="H30" s="586" t="s">
        <v>3318</v>
      </c>
      <c r="I30" s="586">
        <v>42968</v>
      </c>
      <c r="J30" s="587">
        <v>1350</v>
      </c>
      <c r="K30" s="590"/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42962</v>
      </c>
      <c r="F31" s="585" t="s">
        <v>3551</v>
      </c>
      <c r="G31" s="586">
        <v>42962</v>
      </c>
      <c r="H31" s="586" t="s">
        <v>3320</v>
      </c>
      <c r="I31" s="586">
        <v>42963</v>
      </c>
      <c r="J31" s="587">
        <v>1470</v>
      </c>
      <c r="K31" s="590"/>
    </row>
    <row r="32" spans="1:11">
      <c r="A32" s="596">
        <v>31</v>
      </c>
      <c r="B32" s="585" t="s">
        <v>6</v>
      </c>
      <c r="C32" s="586">
        <v>42642</v>
      </c>
      <c r="D32" s="585" t="s">
        <v>6</v>
      </c>
      <c r="E32" s="586">
        <v>42964</v>
      </c>
      <c r="F32" s="585" t="s">
        <v>6</v>
      </c>
      <c r="G32" s="586">
        <v>42964</v>
      </c>
      <c r="H32" s="586" t="s">
        <v>3318</v>
      </c>
      <c r="I32" s="586">
        <v>42968</v>
      </c>
      <c r="J32" s="587">
        <v>380</v>
      </c>
      <c r="K32" s="590"/>
    </row>
    <row r="33" spans="1:11">
      <c r="A33" s="596">
        <v>32</v>
      </c>
      <c r="B33" s="585" t="s">
        <v>3344</v>
      </c>
      <c r="C33" s="586">
        <v>42338</v>
      </c>
      <c r="D33" s="585" t="s">
        <v>6</v>
      </c>
      <c r="E33" s="586">
        <v>42964</v>
      </c>
      <c r="F33" s="585" t="s">
        <v>6</v>
      </c>
      <c r="G33" s="586">
        <v>42964</v>
      </c>
      <c r="H33" s="586" t="s">
        <v>3318</v>
      </c>
      <c r="I33" s="586">
        <v>42968</v>
      </c>
      <c r="J33" s="587">
        <v>470</v>
      </c>
      <c r="K33" s="590"/>
    </row>
    <row r="34" spans="1:11">
      <c r="A34" s="596">
        <v>33</v>
      </c>
      <c r="B34" s="585" t="s">
        <v>6</v>
      </c>
      <c r="C34" s="586">
        <v>42480</v>
      </c>
      <c r="D34" s="585" t="s">
        <v>6</v>
      </c>
      <c r="E34" s="586">
        <v>42965</v>
      </c>
      <c r="F34" s="586">
        <v>42965</v>
      </c>
      <c r="G34" s="586">
        <v>42965</v>
      </c>
      <c r="H34" s="586" t="s">
        <v>3318</v>
      </c>
      <c r="I34" s="586">
        <v>42968</v>
      </c>
      <c r="J34" s="587">
        <v>98</v>
      </c>
      <c r="K34" s="590"/>
    </row>
    <row r="35" spans="1:11">
      <c r="A35" s="596">
        <v>34</v>
      </c>
      <c r="B35" s="585" t="s">
        <v>3330</v>
      </c>
      <c r="C35" s="586">
        <v>42373</v>
      </c>
      <c r="D35" s="585" t="s">
        <v>6</v>
      </c>
      <c r="E35" s="586">
        <v>42965</v>
      </c>
      <c r="F35" s="585" t="s">
        <v>6</v>
      </c>
      <c r="G35" s="586">
        <v>42965</v>
      </c>
      <c r="H35" s="586" t="s">
        <v>3320</v>
      </c>
      <c r="I35" s="586">
        <v>42969</v>
      </c>
      <c r="J35" s="587">
        <v>1470</v>
      </c>
      <c r="K35" s="590"/>
    </row>
    <row r="36" spans="1:11">
      <c r="A36" s="596">
        <v>35</v>
      </c>
      <c r="B36" s="607" t="s">
        <v>3826</v>
      </c>
      <c r="C36" s="586">
        <v>42587</v>
      </c>
      <c r="D36" s="585" t="s">
        <v>6</v>
      </c>
      <c r="E36" s="586">
        <v>42970</v>
      </c>
      <c r="F36" s="585" t="s">
        <v>6</v>
      </c>
      <c r="G36" s="586">
        <v>42970</v>
      </c>
      <c r="H36" s="586" t="s">
        <v>3318</v>
      </c>
      <c r="I36" s="586">
        <v>42975</v>
      </c>
      <c r="J36" s="587">
        <v>520</v>
      </c>
      <c r="K36" s="590"/>
    </row>
    <row r="37" spans="1:11">
      <c r="A37" s="596">
        <v>36</v>
      </c>
      <c r="B37" s="585" t="s">
        <v>6</v>
      </c>
      <c r="C37" s="586">
        <v>42970</v>
      </c>
      <c r="D37" s="585" t="s">
        <v>6</v>
      </c>
      <c r="E37" s="586">
        <v>42971</v>
      </c>
      <c r="F37" s="585" t="s">
        <v>6</v>
      </c>
      <c r="G37" s="586">
        <v>42971</v>
      </c>
      <c r="H37" s="586" t="s">
        <v>3318</v>
      </c>
      <c r="I37" s="586">
        <v>42972</v>
      </c>
      <c r="J37" s="587">
        <v>500</v>
      </c>
      <c r="K37" s="590"/>
    </row>
    <row r="38" spans="1:11">
      <c r="A38" s="596">
        <v>37</v>
      </c>
      <c r="B38" s="585" t="s">
        <v>3330</v>
      </c>
      <c r="C38" s="586">
        <v>42373</v>
      </c>
      <c r="D38" s="585" t="s">
        <v>6</v>
      </c>
      <c r="E38" s="586">
        <v>42965</v>
      </c>
      <c r="F38" s="585" t="s">
        <v>6</v>
      </c>
      <c r="G38" s="586">
        <v>42965</v>
      </c>
      <c r="H38" s="586" t="s">
        <v>3320</v>
      </c>
      <c r="I38" s="586">
        <v>42968</v>
      </c>
      <c r="J38" s="587">
        <v>1470</v>
      </c>
      <c r="K38" s="590"/>
    </row>
    <row r="39" spans="1:11">
      <c r="A39" s="596">
        <v>38</v>
      </c>
      <c r="B39" s="585">
        <v>738</v>
      </c>
      <c r="C39" s="586">
        <v>42970</v>
      </c>
      <c r="D39" s="585" t="s">
        <v>6</v>
      </c>
      <c r="E39" s="586">
        <v>42971</v>
      </c>
      <c r="F39" s="585" t="s">
        <v>6</v>
      </c>
      <c r="G39" s="586">
        <v>42971</v>
      </c>
      <c r="H39" s="586" t="s">
        <v>3318</v>
      </c>
      <c r="I39" s="586">
        <v>42975</v>
      </c>
      <c r="J39" s="587">
        <v>392</v>
      </c>
      <c r="K39" s="590"/>
    </row>
    <row r="40" spans="1:11">
      <c r="A40" s="596">
        <v>39</v>
      </c>
      <c r="B40" s="585">
        <v>16</v>
      </c>
      <c r="C40" s="586">
        <v>42971</v>
      </c>
      <c r="D40" s="585" t="s">
        <v>6</v>
      </c>
      <c r="E40" s="586">
        <v>42971</v>
      </c>
      <c r="F40" s="585" t="s">
        <v>6</v>
      </c>
      <c r="G40" s="586">
        <v>42971</v>
      </c>
      <c r="H40" s="586" t="s">
        <v>3318</v>
      </c>
      <c r="I40" s="586">
        <v>42975</v>
      </c>
      <c r="J40" s="587">
        <v>360</v>
      </c>
      <c r="K40" s="590"/>
    </row>
    <row r="41" spans="1:11" ht="12.75" customHeight="1">
      <c r="A41" s="596">
        <v>40</v>
      </c>
      <c r="B41" s="585">
        <v>49</v>
      </c>
      <c r="C41" s="586">
        <v>42970</v>
      </c>
      <c r="D41" s="585" t="s">
        <v>6</v>
      </c>
      <c r="E41" s="586">
        <v>42971</v>
      </c>
      <c r="F41" s="585" t="s">
        <v>6</v>
      </c>
      <c r="G41" s="586">
        <v>42971</v>
      </c>
      <c r="H41" s="586" t="s">
        <v>3318</v>
      </c>
      <c r="I41" s="586">
        <v>42975</v>
      </c>
      <c r="J41" s="587">
        <v>400</v>
      </c>
      <c r="K41" s="590"/>
    </row>
    <row r="42" spans="1:11">
      <c r="A42" s="596">
        <v>41</v>
      </c>
      <c r="B42" s="585" t="s">
        <v>3330</v>
      </c>
      <c r="C42" s="586">
        <v>42373</v>
      </c>
      <c r="D42" s="585" t="s">
        <v>6</v>
      </c>
      <c r="E42" s="586">
        <v>42968</v>
      </c>
      <c r="F42" s="585" t="s">
        <v>6</v>
      </c>
      <c r="G42" s="586">
        <v>42968</v>
      </c>
      <c r="H42" s="586" t="s">
        <v>3320</v>
      </c>
      <c r="I42" s="586">
        <v>42971</v>
      </c>
      <c r="J42" s="587">
        <v>1470</v>
      </c>
      <c r="K42" s="590"/>
    </row>
    <row r="43" spans="1:11">
      <c r="A43" s="596">
        <v>42</v>
      </c>
      <c r="B43" s="585" t="s">
        <v>6</v>
      </c>
      <c r="C43" s="586">
        <v>42396</v>
      </c>
      <c r="D43" s="585" t="s">
        <v>6</v>
      </c>
      <c r="E43" s="586">
        <v>42971</v>
      </c>
      <c r="F43" s="585" t="s">
        <v>6</v>
      </c>
      <c r="G43" s="586">
        <v>42971</v>
      </c>
      <c r="H43" s="586" t="s">
        <v>3318</v>
      </c>
      <c r="I43" s="586">
        <v>42975</v>
      </c>
      <c r="J43" s="587">
        <v>78</v>
      </c>
      <c r="K43" s="590"/>
    </row>
    <row r="44" spans="1:11">
      <c r="A44" s="596">
        <v>43</v>
      </c>
      <c r="B44" s="585" t="s">
        <v>6</v>
      </c>
      <c r="C44" s="586">
        <v>42404</v>
      </c>
      <c r="D44" s="585" t="s">
        <v>6</v>
      </c>
      <c r="E44" s="586">
        <v>42971</v>
      </c>
      <c r="F44" s="585" t="s">
        <v>6</v>
      </c>
      <c r="G44" s="586">
        <v>42971</v>
      </c>
      <c r="H44" s="586" t="s">
        <v>3318</v>
      </c>
      <c r="I44" s="586">
        <v>42975</v>
      </c>
      <c r="J44" s="587">
        <v>88</v>
      </c>
      <c r="K44" s="590"/>
    </row>
    <row r="45" spans="1:11">
      <c r="A45" s="596">
        <v>44</v>
      </c>
      <c r="B45" s="585" t="s">
        <v>6</v>
      </c>
      <c r="C45" s="586">
        <v>42480</v>
      </c>
      <c r="D45" s="585" t="s">
        <v>6</v>
      </c>
      <c r="E45" s="586">
        <v>42972</v>
      </c>
      <c r="F45" s="586">
        <v>42972</v>
      </c>
      <c r="G45" s="586">
        <v>42972</v>
      </c>
      <c r="H45" s="586" t="s">
        <v>3318</v>
      </c>
      <c r="I45" s="586">
        <v>42975</v>
      </c>
      <c r="J45" s="587">
        <v>97</v>
      </c>
      <c r="K45" s="590"/>
    </row>
    <row r="46" spans="1:11">
      <c r="A46" s="596">
        <v>45</v>
      </c>
      <c r="B46" s="585">
        <v>13</v>
      </c>
      <c r="C46" s="586">
        <v>42579</v>
      </c>
      <c r="D46" s="585" t="s">
        <v>6</v>
      </c>
      <c r="E46" s="586">
        <v>42971</v>
      </c>
      <c r="F46" s="585" t="s">
        <v>3876</v>
      </c>
      <c r="G46" s="586">
        <v>42971</v>
      </c>
      <c r="H46" s="586" t="s">
        <v>3318</v>
      </c>
      <c r="I46" s="586">
        <v>42975</v>
      </c>
      <c r="J46" s="587">
        <v>480</v>
      </c>
      <c r="K46" s="590"/>
    </row>
    <row r="47" spans="1:11">
      <c r="A47" s="596">
        <v>46</v>
      </c>
      <c r="B47" s="585" t="s">
        <v>3330</v>
      </c>
      <c r="C47" s="586">
        <v>42373</v>
      </c>
      <c r="D47" s="585" t="s">
        <v>6</v>
      </c>
      <c r="E47" s="586">
        <v>42968</v>
      </c>
      <c r="F47" s="585" t="s">
        <v>3551</v>
      </c>
      <c r="G47" s="586">
        <v>42968</v>
      </c>
      <c r="H47" s="586" t="s">
        <v>3320</v>
      </c>
      <c r="I47" s="586">
        <v>42970</v>
      </c>
      <c r="J47" s="587">
        <v>1470</v>
      </c>
      <c r="K47" s="590"/>
    </row>
    <row r="48" spans="1:11">
      <c r="A48" s="596">
        <v>47</v>
      </c>
      <c r="B48" s="585" t="s">
        <v>4115</v>
      </c>
      <c r="C48" s="586">
        <v>42262</v>
      </c>
      <c r="D48" s="585" t="s">
        <v>6</v>
      </c>
      <c r="E48" s="586">
        <v>42971</v>
      </c>
      <c r="F48" s="585" t="s">
        <v>4116</v>
      </c>
      <c r="G48" s="586">
        <v>42971</v>
      </c>
      <c r="H48" s="586" t="s">
        <v>3318</v>
      </c>
      <c r="I48" s="586">
        <v>42975</v>
      </c>
      <c r="J48" s="587">
        <v>550</v>
      </c>
      <c r="K48" s="590"/>
    </row>
    <row r="49" spans="1:11">
      <c r="A49" s="596">
        <v>48</v>
      </c>
      <c r="B49" s="585" t="s">
        <v>4115</v>
      </c>
      <c r="C49" s="586">
        <v>42262</v>
      </c>
      <c r="D49" s="585" t="s">
        <v>6</v>
      </c>
      <c r="E49" s="586">
        <v>42972</v>
      </c>
      <c r="F49" s="585" t="s">
        <v>6</v>
      </c>
      <c r="G49" s="586">
        <v>42972</v>
      </c>
      <c r="H49" s="586" t="s">
        <v>3318</v>
      </c>
      <c r="I49" s="586">
        <v>42975</v>
      </c>
      <c r="J49" s="587">
        <v>500</v>
      </c>
      <c r="K49" s="590"/>
    </row>
    <row r="50" spans="1:11">
      <c r="A50" s="596">
        <v>49</v>
      </c>
      <c r="B50" s="585" t="s">
        <v>3330</v>
      </c>
      <c r="C50" s="586">
        <v>42373</v>
      </c>
      <c r="D50" s="585" t="s">
        <v>6</v>
      </c>
      <c r="E50" s="586">
        <v>42975</v>
      </c>
      <c r="F50" s="585" t="s">
        <v>6</v>
      </c>
      <c r="G50" s="586">
        <v>42975</v>
      </c>
      <c r="H50" s="586" t="s">
        <v>3320</v>
      </c>
      <c r="I50" s="586">
        <v>42977</v>
      </c>
      <c r="J50" s="587">
        <v>1470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 t="s">
        <v>6</v>
      </c>
      <c r="E51" s="586">
        <v>42975</v>
      </c>
      <c r="F51" s="585" t="s">
        <v>6</v>
      </c>
      <c r="G51" s="586">
        <v>42975</v>
      </c>
      <c r="H51" s="586" t="s">
        <v>3320</v>
      </c>
      <c r="I51" s="586">
        <v>42977</v>
      </c>
      <c r="J51" s="587">
        <v>1470</v>
      </c>
      <c r="K51" s="590"/>
    </row>
    <row r="52" spans="1:11">
      <c r="A52" s="596">
        <v>51</v>
      </c>
      <c r="B52" s="585" t="s">
        <v>3330</v>
      </c>
      <c r="C52" s="586">
        <v>42373</v>
      </c>
      <c r="D52" s="585" t="s">
        <v>6</v>
      </c>
      <c r="E52" s="586">
        <v>42976</v>
      </c>
      <c r="F52" s="585" t="s">
        <v>3551</v>
      </c>
      <c r="G52" s="586">
        <v>42976</v>
      </c>
      <c r="H52" s="586" t="s">
        <v>3320</v>
      </c>
      <c r="I52" s="586">
        <v>42978</v>
      </c>
      <c r="J52" s="587">
        <v>1530</v>
      </c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 t="s">
        <v>3318</v>
      </c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E54">
    <cfRule type="timePeriod" dxfId="37" priority="2" timePeriod="lastMonth">
      <formula>AND(MONTH(E54)=MONTH(EDATE(TODAY(),0-1)),YEAR(E54)=YEAR(EDATE(TODAY(),0-1)))</formula>
    </cfRule>
  </conditionalFormatting>
  <conditionalFormatting sqref="G54">
    <cfRule type="timePeriod" dxfId="36" priority="1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zoomScaleNormal="100" workbookViewId="0">
      <selection activeCell="B5" sqref="B5:C5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>
        <v>13</v>
      </c>
      <c r="C2" s="586">
        <v>42579</v>
      </c>
      <c r="D2" s="585" t="s">
        <v>6</v>
      </c>
      <c r="E2" s="586">
        <v>42915</v>
      </c>
      <c r="F2" s="585" t="s">
        <v>3876</v>
      </c>
      <c r="G2" s="586">
        <v>42915</v>
      </c>
      <c r="H2" s="586" t="s">
        <v>3318</v>
      </c>
      <c r="I2" s="586">
        <v>42920</v>
      </c>
      <c r="J2" s="587">
        <v>570</v>
      </c>
      <c r="K2" s="590" t="s">
        <v>3757</v>
      </c>
      <c r="L2" s="5">
        <f>SUM(J2:J59)</f>
        <v>38111</v>
      </c>
    </row>
    <row r="3" spans="1:12">
      <c r="A3" s="589">
        <v>2</v>
      </c>
      <c r="B3" s="585" t="s">
        <v>6</v>
      </c>
      <c r="C3" s="586">
        <v>42480</v>
      </c>
      <c r="D3" s="585" t="s">
        <v>6</v>
      </c>
      <c r="E3" s="586">
        <v>42916</v>
      </c>
      <c r="F3" s="586">
        <v>42916</v>
      </c>
      <c r="G3" s="586">
        <v>42916</v>
      </c>
      <c r="H3" s="586" t="s">
        <v>3318</v>
      </c>
      <c r="I3" s="586">
        <v>42920</v>
      </c>
      <c r="J3" s="587">
        <v>97</v>
      </c>
      <c r="K3" s="590" t="s">
        <v>3930</v>
      </c>
    </row>
    <row r="4" spans="1:12">
      <c r="A4" s="585">
        <v>3</v>
      </c>
      <c r="B4" s="585" t="s">
        <v>6</v>
      </c>
      <c r="C4" s="586">
        <v>42389</v>
      </c>
      <c r="D4" s="585" t="s">
        <v>6</v>
      </c>
      <c r="E4" s="586">
        <v>42916</v>
      </c>
      <c r="F4" s="585" t="s">
        <v>3551</v>
      </c>
      <c r="G4" s="586">
        <v>42916</v>
      </c>
      <c r="H4" s="586" t="s">
        <v>3318</v>
      </c>
      <c r="I4" s="586">
        <v>42920</v>
      </c>
      <c r="J4" s="587">
        <v>350</v>
      </c>
      <c r="K4" s="590" t="s">
        <v>3645</v>
      </c>
    </row>
    <row r="5" spans="1:12">
      <c r="A5" s="585">
        <v>4</v>
      </c>
      <c r="B5" s="585" t="s">
        <v>6</v>
      </c>
      <c r="C5" s="586">
        <v>42389</v>
      </c>
      <c r="D5" s="585" t="s">
        <v>6</v>
      </c>
      <c r="E5" s="586">
        <v>42916</v>
      </c>
      <c r="F5" s="585" t="s">
        <v>6</v>
      </c>
      <c r="G5" s="586">
        <v>42916</v>
      </c>
      <c r="H5" s="586" t="s">
        <v>3318</v>
      </c>
      <c r="I5" s="586">
        <v>42920</v>
      </c>
      <c r="J5" s="587">
        <v>900</v>
      </c>
      <c r="K5" s="590" t="s">
        <v>3879</v>
      </c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42916</v>
      </c>
      <c r="F6" s="585" t="s">
        <v>6</v>
      </c>
      <c r="G6" s="586">
        <v>42916</v>
      </c>
      <c r="H6" s="586" t="s">
        <v>3318</v>
      </c>
      <c r="I6" s="586">
        <v>42920</v>
      </c>
      <c r="J6" s="587">
        <v>120</v>
      </c>
      <c r="K6" s="590"/>
    </row>
    <row r="7" spans="1:12">
      <c r="A7" s="585">
        <v>6</v>
      </c>
      <c r="B7" s="585" t="s">
        <v>3330</v>
      </c>
      <c r="C7" s="586">
        <v>42373</v>
      </c>
      <c r="D7" s="585" t="s">
        <v>6</v>
      </c>
      <c r="E7" s="586">
        <v>42916</v>
      </c>
      <c r="F7" s="585" t="s">
        <v>3551</v>
      </c>
      <c r="G7" s="586">
        <v>42916</v>
      </c>
      <c r="H7" s="586" t="s">
        <v>3320</v>
      </c>
      <c r="I7" s="586">
        <v>42919</v>
      </c>
      <c r="J7" s="587">
        <v>1470</v>
      </c>
      <c r="K7" s="590"/>
    </row>
    <row r="8" spans="1:12">
      <c r="A8" s="585">
        <v>7</v>
      </c>
      <c r="B8" s="607" t="s">
        <v>3826</v>
      </c>
      <c r="C8" s="586">
        <v>42587</v>
      </c>
      <c r="D8" s="585" t="s">
        <v>6</v>
      </c>
      <c r="E8" s="586">
        <v>42921</v>
      </c>
      <c r="F8" s="585" t="s">
        <v>6</v>
      </c>
      <c r="G8" s="586">
        <v>42921</v>
      </c>
      <c r="H8" s="586" t="s">
        <v>3318</v>
      </c>
      <c r="I8" s="586">
        <v>42922</v>
      </c>
      <c r="J8" s="587">
        <v>490</v>
      </c>
      <c r="K8" s="590"/>
    </row>
    <row r="9" spans="1:12">
      <c r="A9" s="585">
        <v>8</v>
      </c>
      <c r="B9" s="585" t="s">
        <v>6</v>
      </c>
      <c r="C9" s="586">
        <v>42795</v>
      </c>
      <c r="D9" s="585" t="s">
        <v>6</v>
      </c>
      <c r="E9" s="586">
        <v>42920</v>
      </c>
      <c r="F9" s="585" t="s">
        <v>6</v>
      </c>
      <c r="G9" s="586">
        <v>42920</v>
      </c>
      <c r="H9" s="586" t="s">
        <v>3318</v>
      </c>
      <c r="I9" s="586">
        <v>42922</v>
      </c>
      <c r="J9" s="587">
        <v>600</v>
      </c>
      <c r="K9" s="590" t="s">
        <v>4006</v>
      </c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42920</v>
      </c>
      <c r="F10" s="585" t="s">
        <v>6</v>
      </c>
      <c r="G10" s="586">
        <v>42920</v>
      </c>
      <c r="H10" s="586" t="s">
        <v>3320</v>
      </c>
      <c r="I10" s="586">
        <v>42921</v>
      </c>
      <c r="J10" s="587">
        <v>1470</v>
      </c>
      <c r="K10" s="590"/>
    </row>
    <row r="11" spans="1:12">
      <c r="A11" s="585">
        <v>10</v>
      </c>
      <c r="B11" s="585" t="s">
        <v>3565</v>
      </c>
      <c r="C11" s="586">
        <v>42683</v>
      </c>
      <c r="D11" s="585" t="s">
        <v>6</v>
      </c>
      <c r="E11" s="586">
        <v>42921</v>
      </c>
      <c r="F11" s="585" t="s">
        <v>6</v>
      </c>
      <c r="G11" s="586">
        <v>42921</v>
      </c>
      <c r="H11" s="586" t="s">
        <v>3318</v>
      </c>
      <c r="I11" s="586">
        <v>42926</v>
      </c>
      <c r="J11" s="587">
        <v>400</v>
      </c>
      <c r="K11" s="590" t="s">
        <v>4007</v>
      </c>
    </row>
    <row r="12" spans="1:12">
      <c r="A12" s="585">
        <v>11</v>
      </c>
      <c r="B12" s="585">
        <v>13</v>
      </c>
      <c r="C12" s="586">
        <v>42579</v>
      </c>
      <c r="D12" s="585" t="s">
        <v>6</v>
      </c>
      <c r="E12" s="586">
        <v>42923</v>
      </c>
      <c r="F12" s="585" t="s">
        <v>3551</v>
      </c>
      <c r="G12" s="586">
        <v>42923</v>
      </c>
      <c r="H12" s="586" t="s">
        <v>3318</v>
      </c>
      <c r="I12" s="586">
        <v>42926</v>
      </c>
      <c r="J12" s="587">
        <v>320</v>
      </c>
      <c r="K12" s="590" t="s">
        <v>3757</v>
      </c>
    </row>
    <row r="13" spans="1:12">
      <c r="A13" s="585">
        <v>12</v>
      </c>
      <c r="B13" s="585" t="s">
        <v>6</v>
      </c>
      <c r="C13" s="586">
        <v>42480</v>
      </c>
      <c r="D13" s="585" t="s">
        <v>6</v>
      </c>
      <c r="E13" s="586">
        <v>42923</v>
      </c>
      <c r="F13" s="586">
        <v>42923</v>
      </c>
      <c r="G13" s="586">
        <v>42923</v>
      </c>
      <c r="H13" s="586" t="s">
        <v>3318</v>
      </c>
      <c r="I13" s="586">
        <v>42926</v>
      </c>
      <c r="J13" s="587">
        <v>99</v>
      </c>
      <c r="K13" s="590" t="s">
        <v>3930</v>
      </c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42920</v>
      </c>
      <c r="F14" s="585" t="s">
        <v>3551</v>
      </c>
      <c r="G14" s="586">
        <v>42920</v>
      </c>
      <c r="H14" s="586" t="s">
        <v>3320</v>
      </c>
      <c r="I14" s="586">
        <v>42922</v>
      </c>
      <c r="J14" s="587">
        <v>1470</v>
      </c>
      <c r="K14" s="587"/>
    </row>
    <row r="15" spans="1:12">
      <c r="A15" s="585">
        <v>14</v>
      </c>
      <c r="B15" s="585" t="s">
        <v>6</v>
      </c>
      <c r="C15" s="586">
        <v>42389</v>
      </c>
      <c r="D15" s="585" t="s">
        <v>6</v>
      </c>
      <c r="E15" s="586">
        <v>42923</v>
      </c>
      <c r="F15" s="585" t="s">
        <v>3876</v>
      </c>
      <c r="G15" s="586">
        <v>42923</v>
      </c>
      <c r="H15" s="586" t="s">
        <v>3318</v>
      </c>
      <c r="I15" s="586">
        <v>42926</v>
      </c>
      <c r="J15" s="587">
        <v>850</v>
      </c>
      <c r="K15" s="590"/>
    </row>
    <row r="16" spans="1:12">
      <c r="A16" s="585">
        <v>15</v>
      </c>
      <c r="B16" s="585">
        <v>13</v>
      </c>
      <c r="C16" s="586">
        <v>42579</v>
      </c>
      <c r="D16" s="585" t="s">
        <v>6</v>
      </c>
      <c r="E16" s="586">
        <v>42922</v>
      </c>
      <c r="F16" s="585" t="s">
        <v>3551</v>
      </c>
      <c r="G16" s="586">
        <v>42922</v>
      </c>
      <c r="H16" s="586" t="s">
        <v>3318</v>
      </c>
      <c r="I16" s="586">
        <v>42926</v>
      </c>
      <c r="J16" s="587">
        <v>360</v>
      </c>
      <c r="K16" s="590"/>
    </row>
    <row r="17" spans="1:11">
      <c r="A17" s="585">
        <v>16</v>
      </c>
      <c r="B17" s="585" t="s">
        <v>3330</v>
      </c>
      <c r="C17" s="586">
        <v>42373</v>
      </c>
      <c r="D17" s="585" t="s">
        <v>6</v>
      </c>
      <c r="E17" s="586">
        <v>42923</v>
      </c>
      <c r="F17" s="585" t="s">
        <v>6</v>
      </c>
      <c r="G17" s="586">
        <v>42923</v>
      </c>
      <c r="H17" s="586" t="s">
        <v>3318</v>
      </c>
      <c r="I17" s="586">
        <v>42926</v>
      </c>
      <c r="J17" s="587">
        <v>1470</v>
      </c>
      <c r="K17" s="590"/>
    </row>
    <row r="18" spans="1:11">
      <c r="A18" s="593">
        <v>17</v>
      </c>
      <c r="B18" s="585" t="s">
        <v>3344</v>
      </c>
      <c r="C18" s="586">
        <v>42338</v>
      </c>
      <c r="D18" s="585" t="s">
        <v>6</v>
      </c>
      <c r="E18" s="586">
        <v>42927</v>
      </c>
      <c r="F18" s="585" t="s">
        <v>6</v>
      </c>
      <c r="G18" s="586">
        <v>42927</v>
      </c>
      <c r="H18" s="586" t="s">
        <v>3318</v>
      </c>
      <c r="I18" s="586">
        <v>42929</v>
      </c>
      <c r="J18" s="587">
        <v>300</v>
      </c>
      <c r="K18" s="590"/>
    </row>
    <row r="19" spans="1:11">
      <c r="A19" s="593">
        <v>18</v>
      </c>
      <c r="B19" s="585" t="s">
        <v>6</v>
      </c>
      <c r="C19" s="586">
        <v>42389</v>
      </c>
      <c r="D19" s="585" t="s">
        <v>6</v>
      </c>
      <c r="E19" s="586">
        <v>42927</v>
      </c>
      <c r="F19" s="585" t="s">
        <v>6</v>
      </c>
      <c r="G19" s="586">
        <v>42927</v>
      </c>
      <c r="H19" s="586" t="s">
        <v>3318</v>
      </c>
      <c r="I19" s="586">
        <v>42929</v>
      </c>
      <c r="J19" s="587">
        <v>190</v>
      </c>
      <c r="K19" s="590"/>
    </row>
    <row r="20" spans="1:11">
      <c r="A20" s="593">
        <v>19</v>
      </c>
      <c r="B20" s="585" t="s">
        <v>6</v>
      </c>
      <c r="C20" s="586">
        <v>42389</v>
      </c>
      <c r="D20" s="585" t="s">
        <v>6</v>
      </c>
      <c r="E20" s="586">
        <v>42927</v>
      </c>
      <c r="F20" s="585" t="s">
        <v>6</v>
      </c>
      <c r="G20" s="586">
        <v>42927</v>
      </c>
      <c r="H20" s="586" t="s">
        <v>3318</v>
      </c>
      <c r="I20" s="586">
        <v>42929</v>
      </c>
      <c r="J20" s="587">
        <v>400</v>
      </c>
      <c r="K20" s="590"/>
    </row>
    <row r="21" spans="1:11">
      <c r="A21" s="593">
        <v>20</v>
      </c>
      <c r="B21" s="585" t="s">
        <v>3330</v>
      </c>
      <c r="C21" s="586">
        <v>42373</v>
      </c>
      <c r="D21" s="585" t="s">
        <v>6</v>
      </c>
      <c r="E21" s="586">
        <v>42926</v>
      </c>
      <c r="F21" s="585" t="s">
        <v>6</v>
      </c>
      <c r="G21" s="586">
        <v>42926</v>
      </c>
      <c r="H21" s="586" t="s">
        <v>3318</v>
      </c>
      <c r="I21" s="586">
        <v>42927</v>
      </c>
      <c r="J21" s="587">
        <v>1470</v>
      </c>
      <c r="K21" s="590"/>
    </row>
    <row r="22" spans="1:11">
      <c r="A22" s="593">
        <v>21</v>
      </c>
      <c r="B22" s="608" t="s">
        <v>4008</v>
      </c>
      <c r="C22" s="586">
        <v>42697</v>
      </c>
      <c r="D22" s="585" t="s">
        <v>6</v>
      </c>
      <c r="E22" s="586">
        <v>42929</v>
      </c>
      <c r="F22" s="585" t="s">
        <v>3551</v>
      </c>
      <c r="G22" s="586">
        <v>42929</v>
      </c>
      <c r="H22" s="586" t="s">
        <v>3318</v>
      </c>
      <c r="I22" s="586">
        <v>42930</v>
      </c>
      <c r="J22" s="587">
        <v>390</v>
      </c>
      <c r="K22" s="590"/>
    </row>
    <row r="23" spans="1:11">
      <c r="A23" s="593">
        <v>22</v>
      </c>
      <c r="B23" s="585" t="s">
        <v>6</v>
      </c>
      <c r="C23" s="586">
        <v>42927</v>
      </c>
      <c r="D23" s="585" t="s">
        <v>6</v>
      </c>
      <c r="E23" s="586">
        <v>42927</v>
      </c>
      <c r="F23" s="585" t="s">
        <v>3551</v>
      </c>
      <c r="G23" s="586">
        <v>42927</v>
      </c>
      <c r="H23" s="586" t="s">
        <v>3318</v>
      </c>
      <c r="I23" s="586">
        <v>42930</v>
      </c>
      <c r="J23" s="587">
        <v>500</v>
      </c>
      <c r="K23" s="590"/>
    </row>
    <row r="24" spans="1:11">
      <c r="A24" s="593">
        <v>23</v>
      </c>
      <c r="B24" s="585" t="s">
        <v>3344</v>
      </c>
      <c r="C24" s="586">
        <v>42338</v>
      </c>
      <c r="D24" s="585" t="s">
        <v>6</v>
      </c>
      <c r="E24" s="586">
        <v>42929</v>
      </c>
      <c r="F24" s="585" t="s">
        <v>6</v>
      </c>
      <c r="G24" s="586">
        <v>42929</v>
      </c>
      <c r="H24" s="586" t="s">
        <v>3318</v>
      </c>
      <c r="I24" s="586">
        <v>42930</v>
      </c>
      <c r="J24" s="587">
        <v>275</v>
      </c>
      <c r="K24" s="590"/>
    </row>
    <row r="25" spans="1:11">
      <c r="A25" s="593">
        <v>24</v>
      </c>
      <c r="B25" s="585" t="s">
        <v>3330</v>
      </c>
      <c r="C25" s="586">
        <v>42373</v>
      </c>
      <c r="D25" s="585" t="s">
        <v>6</v>
      </c>
      <c r="E25" s="586">
        <v>42926</v>
      </c>
      <c r="F25" s="585" t="s">
        <v>6</v>
      </c>
      <c r="G25" s="586">
        <v>42926</v>
      </c>
      <c r="H25" s="586" t="s">
        <v>3318</v>
      </c>
      <c r="I25" s="586">
        <v>42927</v>
      </c>
      <c r="J25" s="587">
        <v>1470</v>
      </c>
      <c r="K25" s="590"/>
    </row>
    <row r="26" spans="1:11">
      <c r="A26" s="593">
        <v>25</v>
      </c>
      <c r="B26" s="585" t="s">
        <v>6</v>
      </c>
      <c r="C26" s="586">
        <v>42307</v>
      </c>
      <c r="D26" s="585" t="s">
        <v>6</v>
      </c>
      <c r="E26" s="586">
        <v>42928</v>
      </c>
      <c r="F26" s="585" t="s">
        <v>6</v>
      </c>
      <c r="G26" s="586">
        <v>42928</v>
      </c>
      <c r="H26" s="586" t="s">
        <v>3318</v>
      </c>
      <c r="I26" s="586" t="s">
        <v>4009</v>
      </c>
      <c r="J26" s="587">
        <v>500</v>
      </c>
      <c r="K26" s="590"/>
    </row>
    <row r="27" spans="1:11">
      <c r="A27" s="593">
        <v>26</v>
      </c>
      <c r="B27" s="585" t="s">
        <v>4010</v>
      </c>
      <c r="C27" s="586">
        <v>42180</v>
      </c>
      <c r="D27" s="585" t="s">
        <v>6</v>
      </c>
      <c r="E27" s="586">
        <v>42929</v>
      </c>
      <c r="F27" s="585" t="s">
        <v>6</v>
      </c>
      <c r="G27" s="586">
        <v>42929</v>
      </c>
      <c r="H27" s="586" t="s">
        <v>3318</v>
      </c>
      <c r="I27" s="586" t="s">
        <v>4009</v>
      </c>
      <c r="J27" s="587">
        <v>380</v>
      </c>
      <c r="K27" s="590"/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42930</v>
      </c>
      <c r="F28" s="586">
        <v>42930</v>
      </c>
      <c r="G28" s="586">
        <v>42930</v>
      </c>
      <c r="H28" s="586" t="s">
        <v>3318</v>
      </c>
      <c r="I28" s="586" t="s">
        <v>4009</v>
      </c>
      <c r="J28" s="587">
        <v>98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42930</v>
      </c>
      <c r="F29" s="585" t="s">
        <v>6</v>
      </c>
      <c r="G29" s="586">
        <v>42930</v>
      </c>
      <c r="H29" s="586" t="s">
        <v>3318</v>
      </c>
      <c r="I29" s="586" t="s">
        <v>4009</v>
      </c>
      <c r="J29" s="587">
        <v>1470</v>
      </c>
      <c r="K29" s="590"/>
    </row>
    <row r="30" spans="1:11">
      <c r="A30" s="593">
        <v>29</v>
      </c>
      <c r="B30" s="585">
        <v>143</v>
      </c>
      <c r="C30" s="586">
        <v>42292</v>
      </c>
      <c r="D30" s="585" t="s">
        <v>6</v>
      </c>
      <c r="E30" s="586">
        <v>42935</v>
      </c>
      <c r="F30" s="585" t="s">
        <v>4011</v>
      </c>
      <c r="G30" s="586" t="s">
        <v>4012</v>
      </c>
      <c r="H30" s="586" t="s">
        <v>3318</v>
      </c>
      <c r="I30" s="586">
        <v>42938</v>
      </c>
      <c r="J30" s="587">
        <v>800</v>
      </c>
      <c r="K30" s="590"/>
    </row>
    <row r="31" spans="1:11">
      <c r="A31" s="596">
        <v>30</v>
      </c>
      <c r="B31" s="585" t="s">
        <v>3344</v>
      </c>
      <c r="C31" s="586">
        <v>42338</v>
      </c>
      <c r="D31" s="585" t="s">
        <v>6</v>
      </c>
      <c r="E31" s="586">
        <v>42935</v>
      </c>
      <c r="F31" s="585" t="s">
        <v>6</v>
      </c>
      <c r="G31" s="586">
        <v>42935</v>
      </c>
      <c r="H31" s="586" t="s">
        <v>3318</v>
      </c>
      <c r="I31" s="586">
        <v>42940</v>
      </c>
      <c r="J31" s="587">
        <v>260</v>
      </c>
      <c r="K31" s="590"/>
    </row>
    <row r="32" spans="1:11">
      <c r="A32" s="596">
        <v>31</v>
      </c>
      <c r="B32" s="585" t="s">
        <v>6</v>
      </c>
      <c r="C32" s="586">
        <v>42795</v>
      </c>
      <c r="D32" s="585" t="s">
        <v>6</v>
      </c>
      <c r="E32" s="586">
        <v>42572</v>
      </c>
      <c r="F32" s="585" t="s">
        <v>6</v>
      </c>
      <c r="G32" s="586">
        <v>42572</v>
      </c>
      <c r="H32" s="586" t="s">
        <v>3318</v>
      </c>
      <c r="I32" s="586">
        <v>42940</v>
      </c>
      <c r="J32" s="587">
        <v>230</v>
      </c>
      <c r="K32" s="590"/>
    </row>
    <row r="33" spans="1:11">
      <c r="A33" s="596">
        <v>32</v>
      </c>
      <c r="B33" s="585" t="s">
        <v>3330</v>
      </c>
      <c r="C33" s="586">
        <v>42373</v>
      </c>
      <c r="D33" s="585" t="s">
        <v>6</v>
      </c>
      <c r="E33" s="586" t="s">
        <v>4009</v>
      </c>
      <c r="F33" s="585" t="s">
        <v>3823</v>
      </c>
      <c r="G33" s="586" t="s">
        <v>4009</v>
      </c>
      <c r="H33" s="586" t="s">
        <v>3320</v>
      </c>
      <c r="I33" s="586" t="s">
        <v>4013</v>
      </c>
      <c r="J33" s="587">
        <v>1590</v>
      </c>
      <c r="K33" s="590"/>
    </row>
    <row r="34" spans="1:11">
      <c r="A34" s="596">
        <v>33</v>
      </c>
      <c r="B34" s="585" t="s">
        <v>6</v>
      </c>
      <c r="C34" s="586">
        <v>42934</v>
      </c>
      <c r="D34" s="585" t="s">
        <v>6</v>
      </c>
      <c r="E34" s="586">
        <v>42935</v>
      </c>
      <c r="F34" s="585" t="s">
        <v>6</v>
      </c>
      <c r="G34" s="586">
        <v>42935</v>
      </c>
      <c r="H34" s="586" t="s">
        <v>3318</v>
      </c>
      <c r="I34" s="586" t="s">
        <v>4014</v>
      </c>
      <c r="J34" s="587">
        <v>500</v>
      </c>
      <c r="K34" s="590"/>
    </row>
    <row r="35" spans="1:11">
      <c r="A35" s="596">
        <v>34</v>
      </c>
      <c r="B35" s="585" t="s">
        <v>3344</v>
      </c>
      <c r="C35" s="586">
        <v>42338</v>
      </c>
      <c r="D35" s="585" t="s">
        <v>6</v>
      </c>
      <c r="E35" s="586">
        <v>42936</v>
      </c>
      <c r="F35" s="585" t="s">
        <v>6</v>
      </c>
      <c r="G35" s="586">
        <v>42936</v>
      </c>
      <c r="H35" s="586" t="s">
        <v>3318</v>
      </c>
      <c r="I35" s="586" t="s">
        <v>4014</v>
      </c>
      <c r="J35" s="587">
        <v>430</v>
      </c>
      <c r="K35" s="590"/>
    </row>
    <row r="36" spans="1:11">
      <c r="A36" s="596">
        <v>35</v>
      </c>
      <c r="B36" s="585" t="s">
        <v>3344</v>
      </c>
      <c r="C36" s="586">
        <v>42338</v>
      </c>
      <c r="D36" s="585" t="s">
        <v>6</v>
      </c>
      <c r="E36" s="586">
        <v>42936</v>
      </c>
      <c r="F36" s="585" t="s">
        <v>6</v>
      </c>
      <c r="G36" s="586">
        <v>42936</v>
      </c>
      <c r="H36" s="586" t="s">
        <v>3318</v>
      </c>
      <c r="I36" s="586" t="s">
        <v>4014</v>
      </c>
      <c r="J36" s="587">
        <v>337</v>
      </c>
      <c r="K36" s="590"/>
    </row>
    <row r="37" spans="1:11">
      <c r="A37" s="596">
        <v>36</v>
      </c>
      <c r="B37" s="585" t="s">
        <v>3330</v>
      </c>
      <c r="C37" s="586">
        <v>42373</v>
      </c>
      <c r="D37" s="585" t="s">
        <v>6</v>
      </c>
      <c r="E37" s="586" t="s">
        <v>4015</v>
      </c>
      <c r="F37" s="585" t="s">
        <v>6</v>
      </c>
      <c r="G37" s="586" t="s">
        <v>4015</v>
      </c>
      <c r="H37" s="586" t="s">
        <v>3318</v>
      </c>
      <c r="I37" s="586" t="s">
        <v>4014</v>
      </c>
      <c r="J37" s="587">
        <v>200</v>
      </c>
      <c r="K37" s="590"/>
    </row>
    <row r="38" spans="1:11">
      <c r="A38" s="596">
        <v>37</v>
      </c>
      <c r="B38" s="585" t="s">
        <v>3330</v>
      </c>
      <c r="C38" s="586">
        <v>42373</v>
      </c>
      <c r="D38" s="585" t="s">
        <v>6</v>
      </c>
      <c r="E38" s="586" t="s">
        <v>4009</v>
      </c>
      <c r="F38" s="585" t="s">
        <v>3823</v>
      </c>
      <c r="G38" s="586" t="s">
        <v>4009</v>
      </c>
      <c r="H38" s="586" t="s">
        <v>3320</v>
      </c>
      <c r="I38" s="586" t="s">
        <v>4013</v>
      </c>
      <c r="J38" s="587">
        <v>1470</v>
      </c>
      <c r="K38" s="590"/>
    </row>
    <row r="39" spans="1:11">
      <c r="A39" s="596">
        <v>38</v>
      </c>
      <c r="B39" s="585" t="s">
        <v>6</v>
      </c>
      <c r="C39" s="586">
        <v>42389</v>
      </c>
      <c r="D39" s="585" t="s">
        <v>6</v>
      </c>
      <c r="E39" s="586">
        <v>42936</v>
      </c>
      <c r="F39" s="585" t="s">
        <v>3823</v>
      </c>
      <c r="G39" s="586">
        <v>42936</v>
      </c>
      <c r="H39" s="586" t="s">
        <v>3318</v>
      </c>
      <c r="I39" s="586" t="s">
        <v>4016</v>
      </c>
      <c r="J39" s="587">
        <v>1350</v>
      </c>
      <c r="K39" s="590"/>
    </row>
    <row r="40" spans="1:11">
      <c r="A40" s="596">
        <v>39</v>
      </c>
      <c r="B40" s="585" t="s">
        <v>3330</v>
      </c>
      <c r="C40" s="586">
        <v>42373</v>
      </c>
      <c r="D40" s="585" t="s">
        <v>6</v>
      </c>
      <c r="E40" s="586" t="s">
        <v>4013</v>
      </c>
      <c r="F40" s="585" t="s">
        <v>6</v>
      </c>
      <c r="G40" s="586" t="s">
        <v>4013</v>
      </c>
      <c r="H40" s="586" t="s">
        <v>3320</v>
      </c>
      <c r="I40" s="586" t="s">
        <v>4017</v>
      </c>
      <c r="J40" s="587">
        <v>1470</v>
      </c>
      <c r="K40" s="590"/>
    </row>
    <row r="41" spans="1:11" ht="12.75" customHeight="1">
      <c r="A41" s="596">
        <v>40</v>
      </c>
      <c r="B41" s="585" t="s">
        <v>6</v>
      </c>
      <c r="C41" s="586" t="s">
        <v>4018</v>
      </c>
      <c r="D41" s="585" t="s">
        <v>6</v>
      </c>
      <c r="E41" s="586" t="s">
        <v>4013</v>
      </c>
      <c r="F41" s="585">
        <v>841505</v>
      </c>
      <c r="G41" s="586" t="s">
        <v>4013</v>
      </c>
      <c r="H41" s="586" t="s">
        <v>3320</v>
      </c>
      <c r="I41" s="586" t="s">
        <v>4017</v>
      </c>
      <c r="J41" s="587">
        <v>658</v>
      </c>
      <c r="K41" s="590"/>
    </row>
    <row r="42" spans="1:11">
      <c r="A42" s="596">
        <v>41</v>
      </c>
      <c r="B42" s="585" t="s">
        <v>6</v>
      </c>
      <c r="C42" s="586">
        <v>42808</v>
      </c>
      <c r="D42" s="585" t="s">
        <v>6</v>
      </c>
      <c r="E42" s="586" t="s">
        <v>4017</v>
      </c>
      <c r="F42" s="585" t="s">
        <v>6</v>
      </c>
      <c r="G42" s="586" t="s">
        <v>4017</v>
      </c>
      <c r="H42" s="586" t="s">
        <v>3318</v>
      </c>
      <c r="I42" s="586" t="s">
        <v>4019</v>
      </c>
      <c r="J42" s="587">
        <v>50</v>
      </c>
      <c r="K42" s="590"/>
    </row>
    <row r="43" spans="1:11">
      <c r="A43" s="596">
        <v>42</v>
      </c>
      <c r="B43" s="585">
        <v>13</v>
      </c>
      <c r="C43" s="586">
        <v>42579</v>
      </c>
      <c r="D43" s="585" t="s">
        <v>6</v>
      </c>
      <c r="E43" s="586" t="s">
        <v>4017</v>
      </c>
      <c r="F43" s="585" t="s">
        <v>4020</v>
      </c>
      <c r="G43" s="586" t="s">
        <v>4017</v>
      </c>
      <c r="H43" s="586" t="s">
        <v>3318</v>
      </c>
      <c r="I43" s="586">
        <v>42940</v>
      </c>
      <c r="J43" s="587">
        <v>550</v>
      </c>
      <c r="K43" s="590"/>
    </row>
    <row r="44" spans="1:11">
      <c r="A44" s="596">
        <v>43</v>
      </c>
      <c r="B44" s="585" t="s">
        <v>6</v>
      </c>
      <c r="C44" s="586">
        <v>42480</v>
      </c>
      <c r="D44" s="585" t="s">
        <v>6</v>
      </c>
      <c r="E44" s="586" t="s">
        <v>4014</v>
      </c>
      <c r="F44" s="586" t="s">
        <v>4014</v>
      </c>
      <c r="G44" s="586" t="s">
        <v>4014</v>
      </c>
      <c r="H44" s="586" t="s">
        <v>3318</v>
      </c>
      <c r="I44" s="586">
        <v>42940</v>
      </c>
      <c r="J44" s="587">
        <v>97</v>
      </c>
      <c r="K44" s="590"/>
    </row>
    <row r="45" spans="1:11">
      <c r="A45" s="596">
        <v>44</v>
      </c>
      <c r="B45" s="585" t="s">
        <v>3330</v>
      </c>
      <c r="C45" s="586">
        <v>42373</v>
      </c>
      <c r="D45" s="585" t="s">
        <v>6</v>
      </c>
      <c r="E45" s="586" t="s">
        <v>4014</v>
      </c>
      <c r="F45" s="585" t="s">
        <v>6</v>
      </c>
      <c r="G45" s="586" t="s">
        <v>4014</v>
      </c>
      <c r="H45" s="586" t="s">
        <v>3320</v>
      </c>
      <c r="I45" s="586" t="s">
        <v>4021</v>
      </c>
      <c r="J45" s="587">
        <v>1470</v>
      </c>
      <c r="K45" s="590"/>
    </row>
    <row r="46" spans="1:11">
      <c r="A46" s="596">
        <v>45</v>
      </c>
      <c r="B46" s="585" t="s">
        <v>6</v>
      </c>
      <c r="C46" s="586">
        <v>42795</v>
      </c>
      <c r="D46" s="585" t="s">
        <v>6</v>
      </c>
      <c r="E46" s="586" t="s">
        <v>4022</v>
      </c>
      <c r="F46" s="585" t="s">
        <v>6</v>
      </c>
      <c r="G46" s="586" t="s">
        <v>4022</v>
      </c>
      <c r="H46" s="586" t="s">
        <v>3318</v>
      </c>
      <c r="I46" s="586" t="s">
        <v>4023</v>
      </c>
      <c r="J46" s="587">
        <v>250</v>
      </c>
      <c r="K46" s="590"/>
    </row>
    <row r="47" spans="1:11">
      <c r="A47" s="596">
        <v>46</v>
      </c>
      <c r="B47" s="585" t="s">
        <v>3584</v>
      </c>
      <c r="C47" s="586">
        <v>42626</v>
      </c>
      <c r="D47" s="585" t="s">
        <v>6</v>
      </c>
      <c r="E47" s="586">
        <v>42943</v>
      </c>
      <c r="F47" s="585" t="s">
        <v>6</v>
      </c>
      <c r="G47" s="586">
        <v>42943</v>
      </c>
      <c r="H47" s="586" t="s">
        <v>3318</v>
      </c>
      <c r="I47" s="586" t="s">
        <v>4023</v>
      </c>
      <c r="J47" s="587">
        <v>400</v>
      </c>
      <c r="K47" s="590"/>
    </row>
    <row r="48" spans="1:11">
      <c r="A48" s="596">
        <v>47</v>
      </c>
      <c r="B48" s="585" t="s">
        <v>3344</v>
      </c>
      <c r="C48" s="586">
        <v>42338</v>
      </c>
      <c r="D48" s="585" t="s">
        <v>6</v>
      </c>
      <c r="E48" s="586" t="s">
        <v>4021</v>
      </c>
      <c r="F48" s="585" t="s">
        <v>4024</v>
      </c>
      <c r="G48" s="586" t="s">
        <v>4021</v>
      </c>
      <c r="H48" s="586" t="s">
        <v>3318</v>
      </c>
      <c r="I48" s="586" t="s">
        <v>4023</v>
      </c>
      <c r="J48" s="587">
        <v>480</v>
      </c>
      <c r="K48" s="590"/>
    </row>
    <row r="49" spans="1:11">
      <c r="A49" s="596">
        <v>48</v>
      </c>
      <c r="B49" s="585" t="s">
        <v>3330</v>
      </c>
      <c r="C49" s="586">
        <v>42373</v>
      </c>
      <c r="D49" s="585" t="s">
        <v>6</v>
      </c>
      <c r="E49" s="586" t="s">
        <v>4025</v>
      </c>
      <c r="F49" s="585" t="s">
        <v>6</v>
      </c>
      <c r="G49" s="586" t="s">
        <v>4025</v>
      </c>
      <c r="H49" s="586" t="s">
        <v>3320</v>
      </c>
      <c r="I49" s="586" t="s">
        <v>4025</v>
      </c>
      <c r="J49" s="587">
        <v>1470</v>
      </c>
      <c r="K49" s="590"/>
    </row>
    <row r="50" spans="1:11">
      <c r="A50" s="596">
        <v>49</v>
      </c>
      <c r="B50" s="585" t="s">
        <v>6</v>
      </c>
      <c r="C50" s="586">
        <v>42888</v>
      </c>
      <c r="D50" s="585" t="s">
        <v>6</v>
      </c>
      <c r="E50" s="586" t="s">
        <v>4026</v>
      </c>
      <c r="F50" s="585" t="s">
        <v>4027</v>
      </c>
      <c r="G50" s="586" t="s">
        <v>4026</v>
      </c>
      <c r="H50" s="586" t="s">
        <v>3318</v>
      </c>
      <c r="I50" s="586" t="s">
        <v>4022</v>
      </c>
      <c r="J50" s="587">
        <v>350</v>
      </c>
      <c r="K50" s="590"/>
    </row>
    <row r="51" spans="1:11">
      <c r="A51" s="596">
        <v>50</v>
      </c>
      <c r="B51" s="585" t="s">
        <v>4028</v>
      </c>
      <c r="C51" s="586">
        <v>42389</v>
      </c>
      <c r="D51" s="585" t="s">
        <v>6</v>
      </c>
      <c r="E51" s="586" t="s">
        <v>4021</v>
      </c>
      <c r="F51" s="585">
        <v>1</v>
      </c>
      <c r="G51" s="586" t="s">
        <v>4021</v>
      </c>
      <c r="H51" s="586" t="s">
        <v>3318</v>
      </c>
      <c r="I51" s="586" t="s">
        <v>4022</v>
      </c>
      <c r="J51" s="587">
        <v>400</v>
      </c>
      <c r="K51" s="590"/>
    </row>
    <row r="52" spans="1:11">
      <c r="A52" s="596">
        <v>51</v>
      </c>
      <c r="B52" s="585" t="s">
        <v>6</v>
      </c>
      <c r="C52" s="586">
        <v>42857</v>
      </c>
      <c r="D52" s="585" t="s">
        <v>6</v>
      </c>
      <c r="E52" s="586" t="s">
        <v>4026</v>
      </c>
      <c r="F52" s="585" t="s">
        <v>6</v>
      </c>
      <c r="G52" s="586" t="s">
        <v>4026</v>
      </c>
      <c r="H52" s="586" t="s">
        <v>3318</v>
      </c>
      <c r="I52" s="586" t="s">
        <v>4022</v>
      </c>
      <c r="J52" s="587">
        <v>100</v>
      </c>
      <c r="K52" s="590"/>
    </row>
    <row r="53" spans="1:11">
      <c r="A53" s="596">
        <v>52</v>
      </c>
      <c r="B53" s="585" t="s">
        <v>3344</v>
      </c>
      <c r="C53" s="586">
        <v>42338</v>
      </c>
      <c r="D53" s="585" t="s">
        <v>6</v>
      </c>
      <c r="E53" s="586" t="s">
        <v>4021</v>
      </c>
      <c r="F53" s="585" t="s">
        <v>6</v>
      </c>
      <c r="G53" s="586" t="s">
        <v>4021</v>
      </c>
      <c r="H53" s="586" t="s">
        <v>3318</v>
      </c>
      <c r="I53" s="586" t="s">
        <v>4022</v>
      </c>
      <c r="J53" s="587">
        <v>63</v>
      </c>
      <c r="K53" s="590"/>
    </row>
    <row r="54" spans="1:11">
      <c r="A54" s="596">
        <v>53</v>
      </c>
      <c r="B54" s="585" t="s">
        <v>3330</v>
      </c>
      <c r="C54" s="586">
        <v>42373</v>
      </c>
      <c r="D54" s="585" t="s">
        <v>6</v>
      </c>
      <c r="E54" s="586" t="s">
        <v>4025</v>
      </c>
      <c r="F54" s="585" t="s">
        <v>6</v>
      </c>
      <c r="G54" s="586" t="s">
        <v>4025</v>
      </c>
      <c r="H54" s="586" t="s">
        <v>3320</v>
      </c>
      <c r="I54" s="586" t="s">
        <v>4021</v>
      </c>
      <c r="J54" s="587">
        <v>1470</v>
      </c>
      <c r="K54" s="590"/>
    </row>
    <row r="55" spans="1:11">
      <c r="A55" s="596">
        <v>54</v>
      </c>
      <c r="B55" s="585" t="s">
        <v>6</v>
      </c>
      <c r="C55" s="586">
        <v>42943</v>
      </c>
      <c r="D55" s="585" t="s">
        <v>6</v>
      </c>
      <c r="E55" s="586" t="s">
        <v>4021</v>
      </c>
      <c r="F55" s="585" t="s">
        <v>4029</v>
      </c>
      <c r="G55" s="586" t="s">
        <v>4021</v>
      </c>
      <c r="H55" s="586" t="s">
        <v>3318</v>
      </c>
      <c r="I55" s="586" t="s">
        <v>4022</v>
      </c>
      <c r="J55" s="587">
        <v>800</v>
      </c>
      <c r="K55" s="590"/>
    </row>
    <row r="56" spans="1:11">
      <c r="A56" s="596">
        <v>55</v>
      </c>
      <c r="B56" s="585" t="s">
        <v>6</v>
      </c>
      <c r="C56" s="586">
        <v>42942</v>
      </c>
      <c r="D56" s="585" t="s">
        <v>6</v>
      </c>
      <c r="E56" s="586">
        <v>42943</v>
      </c>
      <c r="F56" s="585" t="s">
        <v>6</v>
      </c>
      <c r="G56" s="586">
        <v>42943</v>
      </c>
      <c r="H56" s="586" t="s">
        <v>3318</v>
      </c>
      <c r="I56" s="586" t="s">
        <v>4022</v>
      </c>
      <c r="J56" s="587">
        <v>400</v>
      </c>
      <c r="K56" s="590"/>
    </row>
    <row r="57" spans="1:11">
      <c r="A57" s="596">
        <v>56</v>
      </c>
      <c r="B57" s="585" t="s">
        <v>3330</v>
      </c>
      <c r="C57" s="586">
        <v>42373</v>
      </c>
      <c r="D57" s="585" t="s">
        <v>6</v>
      </c>
      <c r="E57" s="586" t="s">
        <v>4021</v>
      </c>
      <c r="F57" s="585" t="s">
        <v>3551</v>
      </c>
      <c r="G57" s="586" t="s">
        <v>4021</v>
      </c>
      <c r="H57" s="586" t="s">
        <v>3320</v>
      </c>
      <c r="I57" s="586">
        <v>42943</v>
      </c>
      <c r="J57" s="587">
        <v>1470</v>
      </c>
      <c r="K57" s="590"/>
    </row>
    <row r="58" spans="1:11">
      <c r="A58" s="596">
        <v>57</v>
      </c>
      <c r="B58" s="585">
        <v>13</v>
      </c>
      <c r="C58" s="586">
        <v>42579</v>
      </c>
      <c r="D58" s="585" t="s">
        <v>6</v>
      </c>
      <c r="E58" s="586">
        <v>42943</v>
      </c>
      <c r="F58" s="585" t="s">
        <v>3551</v>
      </c>
      <c r="G58" s="586">
        <v>42943</v>
      </c>
      <c r="H58" s="586" t="s">
        <v>3318</v>
      </c>
      <c r="I58" s="586">
        <v>42947</v>
      </c>
      <c r="J58" s="587">
        <v>420</v>
      </c>
      <c r="K58" s="590"/>
    </row>
    <row r="59" spans="1:11">
      <c r="A59" s="596">
        <v>58</v>
      </c>
      <c r="B59" s="585" t="s">
        <v>6</v>
      </c>
      <c r="C59" s="586">
        <v>42480</v>
      </c>
      <c r="D59" s="585" t="s">
        <v>6</v>
      </c>
      <c r="E59" s="586" t="s">
        <v>4022</v>
      </c>
      <c r="F59" s="586" t="s">
        <v>4022</v>
      </c>
      <c r="G59" s="586" t="s">
        <v>4022</v>
      </c>
      <c r="H59" s="586" t="s">
        <v>3318</v>
      </c>
      <c r="I59" s="586">
        <v>42947</v>
      </c>
      <c r="J59" s="587">
        <v>97</v>
      </c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D39 H39:I39">
    <cfRule type="timePeriod" dxfId="35" priority="35" timePeriod="lastMonth">
      <formula>AND(MONTH(D39)=MONTH(EDATE(TODAY(),0-1)),YEAR(D39)=YEAR(EDATE(TODAY(),0-1)))</formula>
    </cfRule>
  </conditionalFormatting>
  <conditionalFormatting sqref="C41:D41">
    <cfRule type="timePeriod" dxfId="34" priority="34" timePeriod="lastMonth">
      <formula>AND(MONTH(C41)=MONTH(EDATE(TODAY(),0-1)),YEAR(C41)=YEAR(EDATE(TODAY(),0-1)))</formula>
    </cfRule>
  </conditionalFormatting>
  <conditionalFormatting sqref="E44">
    <cfRule type="timePeriod" dxfId="33" priority="29" timePeriod="lastMonth">
      <formula>AND(MONTH(E44)=MONTH(EDATE(TODAY(),0-1)),YEAR(E44)=YEAR(EDATE(TODAY(),0-1)))</formula>
    </cfRule>
  </conditionalFormatting>
  <conditionalFormatting sqref="E46">
    <cfRule type="timePeriod" dxfId="32" priority="25" timePeriod="lastMonth">
      <formula>AND(MONTH(E46)=MONTH(EDATE(TODAY(),0-1)),YEAR(E46)=YEAR(EDATE(TODAY(),0-1)))</formula>
    </cfRule>
  </conditionalFormatting>
  <conditionalFormatting sqref="C47:D47 H47">
    <cfRule type="timePeriod" dxfId="31" priority="23" timePeriod="lastMonth">
      <formula>AND(MONTH(C47)=MONTH(EDATE(TODAY(),0-1)),YEAR(C47)=YEAR(EDATE(TODAY(),0-1)))</formula>
    </cfRule>
  </conditionalFormatting>
  <conditionalFormatting sqref="C50:D50 H50">
    <cfRule type="timePeriod" dxfId="30" priority="19" timePeriod="lastMonth">
      <formula>AND(MONTH(C50)=MONTH(EDATE(TODAY(),0-1)),YEAR(C50)=YEAR(EDATE(TODAY(),0-1)))</formula>
    </cfRule>
  </conditionalFormatting>
  <conditionalFormatting sqref="C51:D51 H51">
    <cfRule type="timePeriod" dxfId="29" priority="18" timePeriod="lastMonth">
      <formula>AND(MONTH(C51)=MONTH(EDATE(TODAY(),0-1)),YEAR(C51)=YEAR(EDATE(TODAY(),0-1)))</formula>
    </cfRule>
  </conditionalFormatting>
  <conditionalFormatting sqref="F44">
    <cfRule type="timePeriod" dxfId="28" priority="15" timePeriod="lastMonth">
      <formula>AND(MONTH(F44)=MONTH(EDATE(TODAY(),0-1)),YEAR(F44)=YEAR(EDATE(TODAY(),0-1)))</formula>
    </cfRule>
  </conditionalFormatting>
  <conditionalFormatting sqref="G44">
    <cfRule type="timePeriod" dxfId="27" priority="14" timePeriod="lastMonth">
      <formula>AND(MONTH(G44)=MONTH(EDATE(TODAY(),0-1)),YEAR(G44)=YEAR(EDATE(TODAY(),0-1)))</formula>
    </cfRule>
  </conditionalFormatting>
  <conditionalFormatting sqref="E45">
    <cfRule type="timePeriod" dxfId="26" priority="13" timePeriod="lastMonth">
      <formula>AND(MONTH(E45)=MONTH(EDATE(TODAY(),0-1)),YEAR(E45)=YEAR(EDATE(TODAY(),0-1)))</formula>
    </cfRule>
  </conditionalFormatting>
  <conditionalFormatting sqref="G45">
    <cfRule type="timePeriod" dxfId="25" priority="12" timePeriod="lastMonth">
      <formula>AND(MONTH(G45)=MONTH(EDATE(TODAY(),0-1)),YEAR(G45)=YEAR(EDATE(TODAY(),0-1)))</formula>
    </cfRule>
  </conditionalFormatting>
  <conditionalFormatting sqref="G46">
    <cfRule type="timePeriod" dxfId="24" priority="11" timePeriod="lastMonth">
      <formula>AND(MONTH(G46)=MONTH(EDATE(TODAY(),0-1)),YEAR(G46)=YEAR(EDATE(TODAY(),0-1)))</formula>
    </cfRule>
  </conditionalFormatting>
  <conditionalFormatting sqref="E49">
    <cfRule type="timePeriod" dxfId="23" priority="10" timePeriod="lastMonth">
      <formula>AND(MONTH(E49)=MONTH(EDATE(TODAY(),0-1)),YEAR(E49)=YEAR(EDATE(TODAY(),0-1)))</formula>
    </cfRule>
  </conditionalFormatting>
  <conditionalFormatting sqref="G49">
    <cfRule type="timePeriod" dxfId="22" priority="8" timePeriod="lastMonth">
      <formula>AND(MONTH(G49)=MONTH(EDATE(TODAY(),0-1)),YEAR(G49)=YEAR(EDATE(TODAY(),0-1)))</formula>
    </cfRule>
  </conditionalFormatting>
  <conditionalFormatting sqref="E54">
    <cfRule type="timePeriod" dxfId="21" priority="7" timePeriod="lastMonth">
      <formula>AND(MONTH(E54)=MONTH(EDATE(TODAY(),0-1)),YEAR(E54)=YEAR(EDATE(TODAY(),0-1)))</formula>
    </cfRule>
  </conditionalFormatting>
  <conditionalFormatting sqref="G54">
    <cfRule type="timePeriod" dxfId="20" priority="6" timePeriod="lastMonth">
      <formula>AND(MONTH(G54)=MONTH(EDATE(TODAY(),0-1)),YEAR(G54)=YEAR(EDATE(TODAY(),0-1)))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"/>
  <sheetViews>
    <sheetView topLeftCell="A79" zoomScaleNormal="100" workbookViewId="0">
      <selection activeCell="I99" sqref="I99"/>
    </sheetView>
  </sheetViews>
  <sheetFormatPr defaultRowHeight="12.75"/>
  <cols>
    <col min="1" max="1" width="10.140625" customWidth="1"/>
    <col min="2" max="2" width="19.7109375" customWidth="1"/>
    <col min="4" max="4" width="42.28515625" customWidth="1"/>
    <col min="8" max="8" width="11.28515625" customWidth="1"/>
  </cols>
  <sheetData>
    <row r="1" spans="1:9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9" ht="15">
      <c r="A2" s="678" t="s">
        <v>4073</v>
      </c>
      <c r="B2" s="678"/>
      <c r="C2" s="678"/>
      <c r="D2" s="678"/>
      <c r="E2" s="678"/>
      <c r="F2" s="678"/>
      <c r="G2" s="678"/>
      <c r="H2" s="620">
        <f>SUM(F3:F118)</f>
        <v>38754</v>
      </c>
      <c r="I2" t="s">
        <v>4106</v>
      </c>
    </row>
    <row r="3" spans="1:9">
      <c r="A3" s="679">
        <v>1</v>
      </c>
      <c r="B3" s="658" t="s">
        <v>3996</v>
      </c>
      <c r="C3" s="658" t="s">
        <v>3995</v>
      </c>
      <c r="D3" s="658" t="s">
        <v>239</v>
      </c>
      <c r="E3" s="657">
        <v>45411</v>
      </c>
      <c r="F3" s="657">
        <v>1470</v>
      </c>
      <c r="G3" s="681">
        <v>3.2370999999999999</v>
      </c>
      <c r="H3" s="620">
        <f>F45+авг17!F101</f>
        <v>600</v>
      </c>
      <c r="I3" t="s">
        <v>198</v>
      </c>
    </row>
    <row r="4" spans="1:9">
      <c r="A4" s="680"/>
      <c r="B4" s="658"/>
      <c r="C4" s="658"/>
      <c r="D4" s="658"/>
      <c r="E4" s="657"/>
      <c r="F4" s="657"/>
      <c r="G4" s="681"/>
      <c r="H4" s="620">
        <f>H2-H3</f>
        <v>38154</v>
      </c>
      <c r="I4" t="s">
        <v>4107</v>
      </c>
    </row>
    <row r="5" spans="1:9">
      <c r="A5" s="679">
        <v>2</v>
      </c>
      <c r="B5" s="658" t="s">
        <v>928</v>
      </c>
      <c r="C5" s="658" t="s">
        <v>3989</v>
      </c>
      <c r="D5" s="658" t="s">
        <v>1140</v>
      </c>
      <c r="E5" s="657">
        <v>900</v>
      </c>
      <c r="F5" s="657">
        <f t="shared" ref="F5" si="0">E5</f>
        <v>900</v>
      </c>
      <c r="G5" s="681"/>
      <c r="H5" s="13"/>
    </row>
    <row r="6" spans="1:9">
      <c r="A6" s="680"/>
      <c r="B6" s="658"/>
      <c r="C6" s="658"/>
      <c r="D6" s="658"/>
      <c r="E6" s="657"/>
      <c r="F6" s="657"/>
      <c r="G6" s="681"/>
      <c r="H6" s="13"/>
    </row>
    <row r="7" spans="1:9">
      <c r="A7" s="679">
        <v>3</v>
      </c>
      <c r="B7" s="658" t="s">
        <v>941</v>
      </c>
      <c r="C7" s="658" t="s">
        <v>3989</v>
      </c>
      <c r="D7" s="658" t="s">
        <v>2723</v>
      </c>
      <c r="E7" s="657">
        <v>370</v>
      </c>
      <c r="F7" s="657">
        <f t="shared" ref="F7" si="1">E7</f>
        <v>370</v>
      </c>
      <c r="G7" s="681"/>
      <c r="H7" s="13"/>
    </row>
    <row r="8" spans="1:9">
      <c r="A8" s="680"/>
      <c r="B8" s="658"/>
      <c r="C8" s="658"/>
      <c r="D8" s="658"/>
      <c r="E8" s="657"/>
      <c r="F8" s="657"/>
      <c r="G8" s="681"/>
      <c r="H8" s="13"/>
    </row>
    <row r="9" spans="1:9">
      <c r="A9" s="679">
        <v>4</v>
      </c>
      <c r="B9" s="658" t="s">
        <v>944</v>
      </c>
      <c r="C9" s="658" t="s">
        <v>3989</v>
      </c>
      <c r="D9" s="658" t="s">
        <v>2348</v>
      </c>
      <c r="E9" s="657">
        <v>50</v>
      </c>
      <c r="F9" s="657">
        <f t="shared" ref="F9" si="2">E9</f>
        <v>50</v>
      </c>
      <c r="G9" s="681"/>
      <c r="H9" s="13"/>
    </row>
    <row r="10" spans="1:9">
      <c r="A10" s="680"/>
      <c r="B10" s="658"/>
      <c r="C10" s="658"/>
      <c r="D10" s="658"/>
      <c r="E10" s="657"/>
      <c r="F10" s="657"/>
      <c r="G10" s="681"/>
      <c r="H10" s="13"/>
    </row>
    <row r="11" spans="1:9">
      <c r="A11" s="679">
        <v>5</v>
      </c>
      <c r="B11" s="658" t="s">
        <v>3998</v>
      </c>
      <c r="C11" s="658" t="s">
        <v>3997</v>
      </c>
      <c r="D11" s="658" t="s">
        <v>239</v>
      </c>
      <c r="E11" s="657">
        <v>1470</v>
      </c>
      <c r="F11" s="657">
        <f t="shared" ref="F11" si="3">E11</f>
        <v>1470</v>
      </c>
      <c r="G11" s="681"/>
      <c r="H11" s="13"/>
    </row>
    <row r="12" spans="1:9">
      <c r="A12" s="680"/>
      <c r="B12" s="658"/>
      <c r="C12" s="658"/>
      <c r="D12" s="658"/>
      <c r="E12" s="657"/>
      <c r="F12" s="657"/>
      <c r="G12" s="681"/>
      <c r="H12" s="13"/>
    </row>
    <row r="13" spans="1:9">
      <c r="A13" s="679">
        <v>6</v>
      </c>
      <c r="B13" s="658" t="s">
        <v>945</v>
      </c>
      <c r="C13" s="658" t="s">
        <v>3991</v>
      </c>
      <c r="D13" s="658" t="s">
        <v>2376</v>
      </c>
      <c r="E13" s="657">
        <v>60</v>
      </c>
      <c r="F13" s="657">
        <f t="shared" ref="F13" si="4">E13</f>
        <v>60</v>
      </c>
      <c r="G13" s="681"/>
      <c r="H13" s="13"/>
    </row>
    <row r="14" spans="1:9">
      <c r="A14" s="680"/>
      <c r="B14" s="658"/>
      <c r="C14" s="658"/>
      <c r="D14" s="658"/>
      <c r="E14" s="657"/>
      <c r="F14" s="657"/>
      <c r="G14" s="681"/>
      <c r="H14" s="13"/>
    </row>
    <row r="15" spans="1:9">
      <c r="A15" s="679">
        <v>7</v>
      </c>
      <c r="B15" s="658" t="s">
        <v>946</v>
      </c>
      <c r="C15" s="658" t="s">
        <v>3992</v>
      </c>
      <c r="D15" s="658" t="s">
        <v>2375</v>
      </c>
      <c r="E15" s="657">
        <v>40</v>
      </c>
      <c r="F15" s="657">
        <f t="shared" ref="F15" si="5">E15</f>
        <v>40</v>
      </c>
      <c r="G15" s="681"/>
      <c r="H15" s="13"/>
    </row>
    <row r="16" spans="1:9">
      <c r="A16" s="680"/>
      <c r="B16" s="658"/>
      <c r="C16" s="658"/>
      <c r="D16" s="658"/>
      <c r="E16" s="657"/>
      <c r="F16" s="657"/>
      <c r="G16" s="681"/>
      <c r="H16" s="13"/>
    </row>
    <row r="17" spans="1:15">
      <c r="A17" s="679">
        <v>8</v>
      </c>
      <c r="B17" s="658" t="s">
        <v>948</v>
      </c>
      <c r="C17" s="658" t="s">
        <v>3991</v>
      </c>
      <c r="D17" s="658" t="s">
        <v>3025</v>
      </c>
      <c r="E17" s="657">
        <v>98</v>
      </c>
      <c r="F17" s="657">
        <f t="shared" ref="F17" si="6">E17</f>
        <v>98</v>
      </c>
      <c r="G17" s="681"/>
      <c r="H17" s="13"/>
    </row>
    <row r="18" spans="1:15">
      <c r="A18" s="680"/>
      <c r="B18" s="658"/>
      <c r="C18" s="658"/>
      <c r="D18" s="658"/>
      <c r="E18" s="657"/>
      <c r="F18" s="657"/>
      <c r="G18" s="681"/>
      <c r="H18" s="13"/>
    </row>
    <row r="19" spans="1:15">
      <c r="A19" s="679">
        <v>9</v>
      </c>
      <c r="B19" s="658" t="s">
        <v>4000</v>
      </c>
      <c r="C19" s="658" t="s">
        <v>3999</v>
      </c>
      <c r="D19" s="658" t="s">
        <v>239</v>
      </c>
      <c r="E19" s="657">
        <v>45645</v>
      </c>
      <c r="F19" s="657">
        <v>1470</v>
      </c>
      <c r="G19" s="681">
        <v>3.2204999999999999</v>
      </c>
      <c r="H19" s="13"/>
    </row>
    <row r="20" spans="1:15">
      <c r="A20" s="680"/>
      <c r="B20" s="658"/>
      <c r="C20" s="658"/>
      <c r="D20" s="658"/>
      <c r="E20" s="657"/>
      <c r="F20" s="657"/>
      <c r="G20" s="681"/>
      <c r="H20" s="13"/>
    </row>
    <row r="21" spans="1:15">
      <c r="A21" s="679">
        <v>10</v>
      </c>
      <c r="B21" s="658" t="s">
        <v>958</v>
      </c>
      <c r="C21" s="658" t="s">
        <v>3991</v>
      </c>
      <c r="D21" s="658" t="s">
        <v>3990</v>
      </c>
      <c r="E21" s="657">
        <v>1150</v>
      </c>
      <c r="F21" s="657">
        <f t="shared" ref="F21" si="7">E21</f>
        <v>1150</v>
      </c>
      <c r="G21" s="681"/>
      <c r="H21" s="13"/>
    </row>
    <row r="22" spans="1:15">
      <c r="A22" s="680"/>
      <c r="B22" s="658"/>
      <c r="C22" s="658"/>
      <c r="D22" s="658"/>
      <c r="E22" s="657"/>
      <c r="F22" s="657"/>
      <c r="G22" s="681"/>
      <c r="H22" s="13"/>
    </row>
    <row r="23" spans="1:15">
      <c r="A23" s="679">
        <v>11</v>
      </c>
      <c r="B23" s="658" t="s">
        <v>4002</v>
      </c>
      <c r="C23" s="658" t="s">
        <v>3991</v>
      </c>
      <c r="D23" s="658" t="s">
        <v>239</v>
      </c>
      <c r="E23" s="657">
        <v>45467</v>
      </c>
      <c r="F23" s="657">
        <v>1470</v>
      </c>
      <c r="G23" s="681">
        <v>3.2330999999999999</v>
      </c>
      <c r="H23" s="13"/>
    </row>
    <row r="24" spans="1:15">
      <c r="A24" s="680"/>
      <c r="B24" s="658"/>
      <c r="C24" s="658"/>
      <c r="D24" s="658"/>
      <c r="E24" s="657"/>
      <c r="F24" s="657"/>
      <c r="G24" s="681"/>
      <c r="H24" s="13"/>
    </row>
    <row r="25" spans="1:15">
      <c r="A25" s="679">
        <v>12</v>
      </c>
      <c r="B25" s="658" t="s">
        <v>963</v>
      </c>
      <c r="C25" s="658" t="s">
        <v>4001</v>
      </c>
      <c r="D25" s="658" t="s">
        <v>2723</v>
      </c>
      <c r="E25" s="657">
        <v>20</v>
      </c>
      <c r="F25" s="657">
        <f t="shared" ref="F25" si="8">E25</f>
        <v>20</v>
      </c>
      <c r="G25" s="681"/>
      <c r="H25" s="13"/>
    </row>
    <row r="26" spans="1:15">
      <c r="A26" s="680"/>
      <c r="B26" s="658"/>
      <c r="C26" s="658"/>
      <c r="D26" s="658"/>
      <c r="E26" s="657"/>
      <c r="F26" s="657"/>
      <c r="G26" s="681"/>
      <c r="H26" s="13"/>
    </row>
    <row r="27" spans="1:15">
      <c r="A27" s="679">
        <v>13</v>
      </c>
      <c r="B27" s="658" t="s">
        <v>968</v>
      </c>
      <c r="C27" s="658" t="s">
        <v>4001</v>
      </c>
      <c r="D27" s="658" t="s">
        <v>2723</v>
      </c>
      <c r="E27" s="657">
        <v>580</v>
      </c>
      <c r="F27" s="657">
        <f t="shared" ref="F27" si="9">E27</f>
        <v>580</v>
      </c>
      <c r="G27" s="681"/>
      <c r="H27" s="13"/>
    </row>
    <row r="28" spans="1:15">
      <c r="A28" s="680"/>
      <c r="B28" s="658"/>
      <c r="C28" s="658"/>
      <c r="D28" s="658"/>
      <c r="E28" s="657"/>
      <c r="F28" s="657"/>
      <c r="G28" s="681"/>
      <c r="H28" s="13"/>
    </row>
    <row r="29" spans="1:15">
      <c r="A29" s="679">
        <v>14</v>
      </c>
      <c r="B29" s="658" t="s">
        <v>4033</v>
      </c>
      <c r="C29" s="658" t="s">
        <v>4031</v>
      </c>
      <c r="D29" s="658" t="s">
        <v>239</v>
      </c>
      <c r="E29" s="657">
        <v>1470</v>
      </c>
      <c r="F29" s="657">
        <f t="shared" ref="F29" si="10">E29</f>
        <v>1470</v>
      </c>
      <c r="G29" s="681"/>
      <c r="H29" s="13"/>
    </row>
    <row r="30" spans="1:15">
      <c r="A30" s="680"/>
      <c r="B30" s="658"/>
      <c r="C30" s="658"/>
      <c r="D30" s="658"/>
      <c r="E30" s="657"/>
      <c r="F30" s="657"/>
      <c r="G30" s="681"/>
      <c r="H30" s="13"/>
    </row>
    <row r="31" spans="1:15">
      <c r="A31" s="679">
        <v>15</v>
      </c>
      <c r="B31" s="658" t="s">
        <v>959</v>
      </c>
      <c r="C31" s="658" t="s">
        <v>4030</v>
      </c>
      <c r="D31" s="658" t="s">
        <v>2723</v>
      </c>
      <c r="E31" s="657">
        <v>520</v>
      </c>
      <c r="F31" s="657">
        <f t="shared" ref="F31" si="11">E31</f>
        <v>520</v>
      </c>
      <c r="G31" s="681"/>
      <c r="H31" s="13"/>
    </row>
    <row r="32" spans="1:15">
      <c r="A32" s="680"/>
      <c r="B32" s="658"/>
      <c r="C32" s="658"/>
      <c r="D32" s="658"/>
      <c r="E32" s="657"/>
      <c r="F32" s="657"/>
      <c r="G32" s="681"/>
      <c r="H32" s="13"/>
      <c r="M32" s="628" t="s">
        <v>4074</v>
      </c>
      <c r="O32" s="628" t="s">
        <v>4102</v>
      </c>
    </row>
    <row r="33" spans="1:18" ht="15.75">
      <c r="A33" s="679">
        <v>16</v>
      </c>
      <c r="B33" s="658" t="s">
        <v>960</v>
      </c>
      <c r="C33" s="658" t="s">
        <v>4030</v>
      </c>
      <c r="D33" s="658" t="s">
        <v>4003</v>
      </c>
      <c r="E33" s="657">
        <v>300</v>
      </c>
      <c r="F33" s="657">
        <f t="shared" ref="F33" si="12">E33</f>
        <v>300</v>
      </c>
      <c r="G33" s="681"/>
      <c r="H33" s="13"/>
      <c r="M33" s="629" t="s">
        <v>4075</v>
      </c>
      <c r="O33" s="628" t="s">
        <v>4103</v>
      </c>
    </row>
    <row r="34" spans="1:18">
      <c r="A34" s="680"/>
      <c r="B34" s="658"/>
      <c r="C34" s="658"/>
      <c r="D34" s="658"/>
      <c r="E34" s="657"/>
      <c r="F34" s="657"/>
      <c r="G34" s="681"/>
      <c r="H34" s="13"/>
      <c r="N34" s="630" t="s">
        <v>4076</v>
      </c>
    </row>
    <row r="35" spans="1:18" ht="15.75">
      <c r="A35" s="679">
        <v>17</v>
      </c>
      <c r="B35" s="658" t="s">
        <v>962</v>
      </c>
      <c r="C35" s="658" t="s">
        <v>4030</v>
      </c>
      <c r="D35" s="658" t="s">
        <v>4004</v>
      </c>
      <c r="E35" s="657">
        <v>350</v>
      </c>
      <c r="F35" s="657">
        <f t="shared" ref="F35" si="13">E35</f>
        <v>350</v>
      </c>
      <c r="G35" s="681"/>
      <c r="H35" s="13"/>
      <c r="N35" s="606" t="s">
        <v>4077</v>
      </c>
      <c r="R35" s="637" t="s">
        <v>4104</v>
      </c>
    </row>
    <row r="36" spans="1:18">
      <c r="A36" s="680"/>
      <c r="B36" s="658"/>
      <c r="C36" s="658"/>
      <c r="D36" s="658"/>
      <c r="E36" s="657"/>
      <c r="F36" s="657"/>
      <c r="G36" s="681"/>
      <c r="H36" s="13"/>
    </row>
    <row r="37" spans="1:18">
      <c r="A37" s="679">
        <v>18</v>
      </c>
      <c r="B37" s="658" t="s">
        <v>4032</v>
      </c>
      <c r="C37" s="658" t="s">
        <v>4031</v>
      </c>
      <c r="D37" s="658" t="s">
        <v>239</v>
      </c>
      <c r="E37" s="657">
        <v>45154</v>
      </c>
      <c r="F37" s="657">
        <v>1470</v>
      </c>
      <c r="G37" s="681">
        <v>3.2555000000000001</v>
      </c>
      <c r="H37" s="13"/>
    </row>
    <row r="38" spans="1:18">
      <c r="A38" s="680"/>
      <c r="B38" s="658"/>
      <c r="C38" s="658"/>
      <c r="D38" s="658"/>
      <c r="E38" s="657"/>
      <c r="F38" s="657"/>
      <c r="G38" s="681"/>
      <c r="H38" s="13"/>
    </row>
    <row r="39" spans="1:18">
      <c r="A39" s="679">
        <v>19</v>
      </c>
      <c r="B39" s="658" t="s">
        <v>969</v>
      </c>
      <c r="C39" s="658" t="s">
        <v>4030</v>
      </c>
      <c r="D39" s="658" t="s">
        <v>3025</v>
      </c>
      <c r="E39" s="657">
        <v>97</v>
      </c>
      <c r="F39" s="657">
        <f t="shared" ref="F39" si="14">E39</f>
        <v>97</v>
      </c>
      <c r="G39" s="681"/>
      <c r="H39" s="13"/>
    </row>
    <row r="40" spans="1:18">
      <c r="A40" s="680"/>
      <c r="B40" s="658"/>
      <c r="C40" s="658"/>
      <c r="D40" s="658"/>
      <c r="E40" s="657"/>
      <c r="F40" s="657"/>
      <c r="G40" s="681"/>
      <c r="H40" s="13"/>
    </row>
    <row r="41" spans="1:18">
      <c r="A41" s="679">
        <v>20</v>
      </c>
      <c r="B41" s="658" t="s">
        <v>972</v>
      </c>
      <c r="C41" s="658" t="s">
        <v>4030</v>
      </c>
      <c r="D41" s="658" t="s">
        <v>2517</v>
      </c>
      <c r="E41" s="657">
        <v>516</v>
      </c>
      <c r="F41" s="657">
        <f t="shared" ref="F41" si="15">E41</f>
        <v>516</v>
      </c>
      <c r="G41" s="681"/>
      <c r="H41" s="13"/>
    </row>
    <row r="42" spans="1:18">
      <c r="A42" s="680"/>
      <c r="B42" s="658"/>
      <c r="C42" s="658"/>
      <c r="D42" s="658"/>
      <c r="E42" s="657"/>
      <c r="F42" s="657"/>
      <c r="G42" s="681"/>
      <c r="H42" s="13"/>
    </row>
    <row r="43" spans="1:18">
      <c r="A43" s="679">
        <v>21</v>
      </c>
      <c r="B43" s="658" t="s">
        <v>977</v>
      </c>
      <c r="C43" s="658" t="s">
        <v>4030</v>
      </c>
      <c r="D43" s="658" t="s">
        <v>4005</v>
      </c>
      <c r="E43" s="657">
        <v>350</v>
      </c>
      <c r="F43" s="657">
        <f t="shared" ref="F43" si="16">E43</f>
        <v>350</v>
      </c>
      <c r="G43" s="681"/>
      <c r="H43" s="13"/>
      <c r="I43" s="628" t="s">
        <v>4078</v>
      </c>
    </row>
    <row r="44" spans="1:18" ht="15.75">
      <c r="A44" s="680"/>
      <c r="B44" s="658"/>
      <c r="C44" s="658"/>
      <c r="D44" s="658"/>
      <c r="E44" s="657"/>
      <c r="F44" s="657"/>
      <c r="G44" s="681"/>
      <c r="H44" s="13"/>
      <c r="I44" s="606" t="s">
        <v>4079</v>
      </c>
    </row>
    <row r="45" spans="1:18">
      <c r="A45" s="679">
        <v>22</v>
      </c>
      <c r="B45" s="658" t="s">
        <v>978</v>
      </c>
      <c r="C45" s="658" t="s">
        <v>4031</v>
      </c>
      <c r="D45" s="658" t="s">
        <v>4034</v>
      </c>
      <c r="E45" s="657">
        <v>250</v>
      </c>
      <c r="F45" s="657">
        <v>300</v>
      </c>
      <c r="G45" s="681"/>
      <c r="H45" s="13"/>
    </row>
    <row r="46" spans="1:18">
      <c r="A46" s="680"/>
      <c r="B46" s="658"/>
      <c r="C46" s="658"/>
      <c r="D46" s="658"/>
      <c r="E46" s="657"/>
      <c r="F46" s="657"/>
      <c r="G46" s="681"/>
      <c r="H46" s="13"/>
    </row>
    <row r="47" spans="1:18">
      <c r="A47" s="679">
        <v>23</v>
      </c>
      <c r="B47" s="658" t="s">
        <v>4043</v>
      </c>
      <c r="C47" s="658" t="s">
        <v>4042</v>
      </c>
      <c r="D47" s="658" t="s">
        <v>239</v>
      </c>
      <c r="E47" s="657">
        <v>1530</v>
      </c>
      <c r="F47" s="657">
        <f t="shared" ref="F47" si="17">E47</f>
        <v>1530</v>
      </c>
      <c r="G47" s="681"/>
      <c r="H47" s="13"/>
    </row>
    <row r="48" spans="1:18">
      <c r="A48" s="680"/>
      <c r="B48" s="658"/>
      <c r="C48" s="658"/>
      <c r="D48" s="658"/>
      <c r="E48" s="657"/>
      <c r="F48" s="657"/>
      <c r="G48" s="681"/>
      <c r="H48" s="13"/>
    </row>
    <row r="49" spans="1:14">
      <c r="A49" s="679">
        <v>24</v>
      </c>
      <c r="B49" s="658" t="s">
        <v>983</v>
      </c>
      <c r="C49" s="658" t="s">
        <v>4039</v>
      </c>
      <c r="D49" s="658" t="s">
        <v>2780</v>
      </c>
      <c r="E49" s="657">
        <v>380</v>
      </c>
      <c r="F49" s="657">
        <f t="shared" ref="F49" si="18">E49</f>
        <v>380</v>
      </c>
      <c r="G49" s="681"/>
      <c r="H49" s="13"/>
    </row>
    <row r="50" spans="1:14">
      <c r="A50" s="680"/>
      <c r="B50" s="658"/>
      <c r="C50" s="658"/>
      <c r="D50" s="658"/>
      <c r="E50" s="657"/>
      <c r="F50" s="657"/>
      <c r="G50" s="681"/>
      <c r="H50" s="13"/>
    </row>
    <row r="51" spans="1:14" ht="15.75">
      <c r="A51" s="679">
        <v>25</v>
      </c>
      <c r="B51" s="658" t="s">
        <v>988</v>
      </c>
      <c r="C51" s="658" t="s">
        <v>4039</v>
      </c>
      <c r="D51" s="658" t="s">
        <v>4035</v>
      </c>
      <c r="E51" s="657">
        <v>520</v>
      </c>
      <c r="F51" s="657">
        <f t="shared" ref="F51" si="19">E51</f>
        <v>520</v>
      </c>
      <c r="G51" s="681"/>
      <c r="H51" s="13"/>
      <c r="I51" s="631" t="s">
        <v>4080</v>
      </c>
    </row>
    <row r="52" spans="1:14" ht="15.75">
      <c r="A52" s="680"/>
      <c r="B52" s="658"/>
      <c r="C52" s="658"/>
      <c r="D52" s="658"/>
      <c r="E52" s="657"/>
      <c r="F52" s="657"/>
      <c r="G52" s="681"/>
      <c r="H52" s="13"/>
      <c r="I52" s="606" t="s">
        <v>4081</v>
      </c>
    </row>
    <row r="53" spans="1:14">
      <c r="A53" s="679">
        <v>26</v>
      </c>
      <c r="B53" s="658" t="s">
        <v>4046</v>
      </c>
      <c r="C53" s="658" t="s">
        <v>4042</v>
      </c>
      <c r="D53" s="658" t="s">
        <v>239</v>
      </c>
      <c r="E53" s="657">
        <v>1470</v>
      </c>
      <c r="F53" s="657">
        <v>1470</v>
      </c>
      <c r="G53" s="681"/>
      <c r="H53" s="13"/>
    </row>
    <row r="54" spans="1:14">
      <c r="A54" s="680"/>
      <c r="B54" s="658"/>
      <c r="C54" s="658"/>
      <c r="D54" s="658"/>
      <c r="E54" s="657"/>
      <c r="F54" s="657"/>
      <c r="G54" s="681"/>
      <c r="H54" s="13"/>
    </row>
    <row r="55" spans="1:14" ht="15.75">
      <c r="A55" s="679">
        <v>27</v>
      </c>
      <c r="B55" s="658" t="s">
        <v>993</v>
      </c>
      <c r="C55" s="658" t="s">
        <v>4039</v>
      </c>
      <c r="D55" s="658" t="s">
        <v>4040</v>
      </c>
      <c r="E55" s="657">
        <v>50</v>
      </c>
      <c r="F55" s="657">
        <f t="shared" ref="F55" si="20">E55</f>
        <v>50</v>
      </c>
      <c r="G55" s="681"/>
      <c r="H55" s="13"/>
      <c r="I55" s="632" t="s">
        <v>4082</v>
      </c>
    </row>
    <row r="56" spans="1:14" ht="15.75">
      <c r="A56" s="680"/>
      <c r="B56" s="658"/>
      <c r="C56" s="658"/>
      <c r="D56" s="658"/>
      <c r="E56" s="657"/>
      <c r="F56" s="657"/>
      <c r="G56" s="681"/>
      <c r="H56" s="13"/>
      <c r="I56" s="632" t="s">
        <v>4083</v>
      </c>
      <c r="N56" s="606" t="s">
        <v>4084</v>
      </c>
    </row>
    <row r="57" spans="1:14" ht="15.75">
      <c r="A57" s="679">
        <v>28</v>
      </c>
      <c r="B57" s="658" t="s">
        <v>554</v>
      </c>
      <c r="C57" s="658" t="s">
        <v>4039</v>
      </c>
      <c r="D57" s="658" t="s">
        <v>4036</v>
      </c>
      <c r="E57" s="657">
        <v>430</v>
      </c>
      <c r="F57" s="657">
        <f t="shared" ref="F57" si="21">E57</f>
        <v>430</v>
      </c>
      <c r="G57" s="681"/>
      <c r="H57" s="13"/>
      <c r="I57" s="632" t="s">
        <v>4085</v>
      </c>
    </row>
    <row r="58" spans="1:14" ht="15.75">
      <c r="A58" s="680"/>
      <c r="B58" s="658"/>
      <c r="C58" s="658"/>
      <c r="D58" s="658"/>
      <c r="E58" s="657"/>
      <c r="F58" s="657"/>
      <c r="G58" s="681"/>
      <c r="H58" s="13"/>
      <c r="I58" s="632" t="s">
        <v>4086</v>
      </c>
      <c r="L58" s="629" t="s">
        <v>4087</v>
      </c>
    </row>
    <row r="59" spans="1:14">
      <c r="A59" s="679">
        <v>29</v>
      </c>
      <c r="B59" s="658" t="s">
        <v>4047</v>
      </c>
      <c r="C59" s="658" t="s">
        <v>4044</v>
      </c>
      <c r="D59" s="658" t="s">
        <v>239</v>
      </c>
      <c r="E59" s="657">
        <v>45174</v>
      </c>
      <c r="F59" s="657">
        <v>1470</v>
      </c>
      <c r="G59" s="681">
        <v>3.2541000000000002</v>
      </c>
      <c r="H59" s="13"/>
    </row>
    <row r="60" spans="1:14">
      <c r="A60" s="680"/>
      <c r="B60" s="658"/>
      <c r="C60" s="658"/>
      <c r="D60" s="658"/>
      <c r="E60" s="657"/>
      <c r="F60" s="657"/>
      <c r="G60" s="681"/>
      <c r="H60" s="13"/>
    </row>
    <row r="61" spans="1:14">
      <c r="A61" s="679">
        <v>30</v>
      </c>
      <c r="B61" s="658" t="s">
        <v>994</v>
      </c>
      <c r="C61" s="658" t="s">
        <v>4041</v>
      </c>
      <c r="D61" s="658" t="s">
        <v>1601</v>
      </c>
      <c r="E61" s="657">
        <v>1350</v>
      </c>
      <c r="F61" s="657">
        <f t="shared" ref="F61" si="22">E61</f>
        <v>1350</v>
      </c>
      <c r="G61" s="681"/>
      <c r="H61" s="13"/>
    </row>
    <row r="62" spans="1:14">
      <c r="A62" s="680"/>
      <c r="B62" s="658"/>
      <c r="C62" s="658"/>
      <c r="D62" s="658"/>
      <c r="E62" s="657"/>
      <c r="F62" s="657"/>
      <c r="G62" s="681"/>
      <c r="H62" s="13"/>
    </row>
    <row r="63" spans="1:14">
      <c r="A63" s="679">
        <v>31</v>
      </c>
      <c r="B63" s="658" t="s">
        <v>4045</v>
      </c>
      <c r="C63" s="658" t="s">
        <v>4044</v>
      </c>
      <c r="D63" s="658" t="s">
        <v>239</v>
      </c>
      <c r="E63" s="657">
        <v>45174</v>
      </c>
      <c r="F63" s="657">
        <v>1470</v>
      </c>
      <c r="G63" s="681">
        <v>3.2541000000000002</v>
      </c>
      <c r="H63" s="13"/>
    </row>
    <row r="64" spans="1:14">
      <c r="A64" s="680"/>
      <c r="B64" s="658"/>
      <c r="C64" s="658"/>
      <c r="D64" s="658"/>
      <c r="E64" s="657"/>
      <c r="F64" s="657"/>
      <c r="G64" s="681"/>
      <c r="H64" s="13"/>
    </row>
    <row r="65" spans="1:11" ht="15.75">
      <c r="A65" s="679">
        <v>32</v>
      </c>
      <c r="B65" s="658" t="s">
        <v>1000</v>
      </c>
      <c r="C65" s="658" t="s">
        <v>4041</v>
      </c>
      <c r="D65" s="658" t="s">
        <v>3287</v>
      </c>
      <c r="E65" s="657">
        <v>380</v>
      </c>
      <c r="F65" s="657">
        <f t="shared" ref="F65" si="23">E65</f>
        <v>380</v>
      </c>
      <c r="G65" s="681"/>
      <c r="H65" s="13"/>
      <c r="I65" s="629" t="s">
        <v>4088</v>
      </c>
      <c r="K65" s="606" t="s">
        <v>4089</v>
      </c>
    </row>
    <row r="66" spans="1:11">
      <c r="A66" s="680"/>
      <c r="B66" s="658"/>
      <c r="C66" s="658"/>
      <c r="D66" s="658"/>
      <c r="E66" s="657"/>
      <c r="F66" s="657"/>
      <c r="G66" s="681"/>
      <c r="H66" s="13"/>
    </row>
    <row r="67" spans="1:11">
      <c r="A67" s="679">
        <v>33</v>
      </c>
      <c r="B67" s="658" t="s">
        <v>1001</v>
      </c>
      <c r="C67" s="658" t="s">
        <v>4041</v>
      </c>
      <c r="D67" s="658" t="s">
        <v>2723</v>
      </c>
      <c r="E67" s="657">
        <v>470</v>
      </c>
      <c r="F67" s="657">
        <f t="shared" ref="F67" si="24">E67</f>
        <v>470</v>
      </c>
      <c r="G67" s="681"/>
      <c r="H67" s="13"/>
    </row>
    <row r="68" spans="1:11">
      <c r="A68" s="680"/>
      <c r="B68" s="658"/>
      <c r="C68" s="658"/>
      <c r="D68" s="658"/>
      <c r="E68" s="657"/>
      <c r="F68" s="657"/>
      <c r="G68" s="681"/>
      <c r="H68" s="13"/>
    </row>
    <row r="69" spans="1:11">
      <c r="A69" s="679">
        <v>34</v>
      </c>
      <c r="B69" s="658" t="s">
        <v>1002</v>
      </c>
      <c r="C69" s="658" t="s">
        <v>4041</v>
      </c>
      <c r="D69" s="658" t="s">
        <v>3025</v>
      </c>
      <c r="E69" s="657">
        <v>98</v>
      </c>
      <c r="F69" s="657">
        <f t="shared" ref="F69" si="25">E69</f>
        <v>98</v>
      </c>
      <c r="G69" s="681"/>
      <c r="H69" s="13"/>
    </row>
    <row r="70" spans="1:11">
      <c r="A70" s="680"/>
      <c r="B70" s="658"/>
      <c r="C70" s="658"/>
      <c r="D70" s="658"/>
      <c r="E70" s="657"/>
      <c r="F70" s="657"/>
      <c r="G70" s="681"/>
      <c r="H70" s="13"/>
    </row>
    <row r="71" spans="1:11">
      <c r="A71" s="679">
        <v>35</v>
      </c>
      <c r="B71" s="658" t="s">
        <v>4060</v>
      </c>
      <c r="C71" s="658" t="s">
        <v>4059</v>
      </c>
      <c r="D71" s="658" t="s">
        <v>1873</v>
      </c>
      <c r="E71" s="657">
        <v>1470</v>
      </c>
      <c r="F71" s="657">
        <f t="shared" ref="F71" si="26">E71</f>
        <v>1470</v>
      </c>
      <c r="G71" s="681"/>
      <c r="H71" s="13"/>
    </row>
    <row r="72" spans="1:11">
      <c r="A72" s="680"/>
      <c r="B72" s="658"/>
      <c r="C72" s="658"/>
      <c r="D72" s="658"/>
      <c r="E72" s="657"/>
      <c r="F72" s="657"/>
      <c r="G72" s="681"/>
      <c r="H72" s="13"/>
    </row>
    <row r="73" spans="1:11">
      <c r="A73" s="679">
        <v>36</v>
      </c>
      <c r="B73" s="658" t="s">
        <v>1011</v>
      </c>
      <c r="C73" s="658" t="s">
        <v>4053</v>
      </c>
      <c r="D73" s="658" t="s">
        <v>2780</v>
      </c>
      <c r="E73" s="657">
        <v>520</v>
      </c>
      <c r="F73" s="657">
        <f t="shared" ref="F73" si="27">E73</f>
        <v>520</v>
      </c>
      <c r="G73" s="681"/>
      <c r="H73" s="13"/>
    </row>
    <row r="74" spans="1:11">
      <c r="A74" s="680"/>
      <c r="B74" s="658"/>
      <c r="C74" s="658"/>
      <c r="D74" s="658"/>
      <c r="E74" s="657"/>
      <c r="F74" s="657"/>
      <c r="G74" s="681"/>
      <c r="H74" s="13"/>
    </row>
    <row r="75" spans="1:11" ht="15.75">
      <c r="A75" s="679">
        <v>37</v>
      </c>
      <c r="B75" s="658" t="s">
        <v>1012</v>
      </c>
      <c r="C75" s="658" t="s">
        <v>4056</v>
      </c>
      <c r="D75" s="658" t="s">
        <v>4050</v>
      </c>
      <c r="E75" s="657">
        <v>500</v>
      </c>
      <c r="F75" s="657">
        <f t="shared" ref="F75" si="28">E75</f>
        <v>500</v>
      </c>
      <c r="G75" s="681"/>
      <c r="H75" s="13"/>
      <c r="I75" s="633" t="s">
        <v>4090</v>
      </c>
    </row>
    <row r="76" spans="1:11" ht="15.75">
      <c r="A76" s="680"/>
      <c r="B76" s="658"/>
      <c r="C76" s="658"/>
      <c r="D76" s="658"/>
      <c r="E76" s="657"/>
      <c r="F76" s="657"/>
      <c r="G76" s="681"/>
      <c r="H76" s="13"/>
      <c r="I76" s="633" t="s">
        <v>4091</v>
      </c>
      <c r="K76" s="606" t="s">
        <v>4092</v>
      </c>
    </row>
    <row r="77" spans="1:11">
      <c r="A77" s="679">
        <v>38</v>
      </c>
      <c r="B77" s="658" t="s">
        <v>4061</v>
      </c>
      <c r="C77" s="658" t="s">
        <v>4041</v>
      </c>
      <c r="D77" s="658" t="s">
        <v>1873</v>
      </c>
      <c r="E77" s="657">
        <v>45024</v>
      </c>
      <c r="F77" s="657">
        <v>1470</v>
      </c>
      <c r="G77" s="681"/>
      <c r="H77" s="13"/>
    </row>
    <row r="78" spans="1:11">
      <c r="A78" s="680"/>
      <c r="B78" s="658"/>
      <c r="C78" s="658"/>
      <c r="D78" s="658"/>
      <c r="E78" s="657"/>
      <c r="F78" s="657"/>
      <c r="G78" s="681"/>
      <c r="H78" s="13"/>
    </row>
    <row r="79" spans="1:11" ht="15.75">
      <c r="A79" s="679">
        <v>39</v>
      </c>
      <c r="B79" s="658" t="s">
        <v>1013</v>
      </c>
      <c r="C79" s="658" t="s">
        <v>4053</v>
      </c>
      <c r="D79" s="658" t="s">
        <v>4051</v>
      </c>
      <c r="E79" s="657">
        <v>12000</v>
      </c>
      <c r="F79" s="657">
        <v>392</v>
      </c>
      <c r="G79" s="681">
        <v>3.2702</v>
      </c>
      <c r="H79" s="13"/>
      <c r="I79" s="632" t="s">
        <v>4093</v>
      </c>
    </row>
    <row r="80" spans="1:11" ht="15.75">
      <c r="A80" s="680"/>
      <c r="B80" s="658"/>
      <c r="C80" s="658"/>
      <c r="D80" s="658"/>
      <c r="E80" s="657"/>
      <c r="F80" s="657"/>
      <c r="G80" s="681"/>
      <c r="H80" s="13"/>
      <c r="I80" s="606" t="s">
        <v>4094</v>
      </c>
    </row>
    <row r="81" spans="1:10">
      <c r="A81" s="679">
        <v>40</v>
      </c>
      <c r="B81" s="658" t="s">
        <v>1019</v>
      </c>
      <c r="C81" s="658" t="s">
        <v>4053</v>
      </c>
      <c r="D81" s="658" t="s">
        <v>4057</v>
      </c>
      <c r="E81" s="657">
        <v>11000</v>
      </c>
      <c r="F81" s="657">
        <v>360</v>
      </c>
      <c r="G81" s="681">
        <v>3.2702</v>
      </c>
      <c r="H81" s="638" t="s">
        <v>4108</v>
      </c>
      <c r="I81" s="635" t="s">
        <v>4098</v>
      </c>
    </row>
    <row r="82" spans="1:10" ht="15.75">
      <c r="A82" s="680"/>
      <c r="B82" s="658"/>
      <c r="C82" s="658"/>
      <c r="D82" s="658"/>
      <c r="E82" s="657"/>
      <c r="F82" s="657"/>
      <c r="G82" s="681"/>
      <c r="H82" s="13"/>
      <c r="I82" s="606" t="s">
        <v>4099</v>
      </c>
    </row>
    <row r="83" spans="1:10">
      <c r="A83" s="679">
        <v>41</v>
      </c>
      <c r="B83" s="658" t="s">
        <v>1020</v>
      </c>
      <c r="C83" s="658" t="s">
        <v>4053</v>
      </c>
      <c r="D83" s="658" t="s">
        <v>4052</v>
      </c>
      <c r="E83" s="657">
        <v>400</v>
      </c>
      <c r="F83" s="657">
        <f t="shared" ref="F83" si="29">E83</f>
        <v>400</v>
      </c>
      <c r="G83" s="681"/>
      <c r="H83" s="13"/>
      <c r="I83" s="634">
        <v>231900</v>
      </c>
    </row>
    <row r="84" spans="1:10">
      <c r="A84" s="680"/>
      <c r="B84" s="658"/>
      <c r="C84" s="658"/>
      <c r="D84" s="658"/>
      <c r="E84" s="657"/>
      <c r="F84" s="657"/>
      <c r="G84" s="681"/>
      <c r="H84" s="13"/>
      <c r="I84" s="634" t="s">
        <v>4095</v>
      </c>
    </row>
    <row r="85" spans="1:10">
      <c r="A85" s="679">
        <v>42</v>
      </c>
      <c r="B85" s="658" t="s">
        <v>4063</v>
      </c>
      <c r="C85" s="658" t="s">
        <v>4062</v>
      </c>
      <c r="D85" s="658" t="s">
        <v>1873</v>
      </c>
      <c r="E85" s="657">
        <v>1470</v>
      </c>
      <c r="F85" s="657">
        <f t="shared" ref="F85" si="30">E85</f>
        <v>1470</v>
      </c>
      <c r="G85" s="681"/>
      <c r="H85" s="13"/>
      <c r="I85" s="634" t="s">
        <v>4096</v>
      </c>
      <c r="J85" s="6" t="s">
        <v>4097</v>
      </c>
    </row>
    <row r="86" spans="1:10">
      <c r="A86" s="680"/>
      <c r="B86" s="658"/>
      <c r="C86" s="658"/>
      <c r="D86" s="658"/>
      <c r="E86" s="657"/>
      <c r="F86" s="657"/>
      <c r="G86" s="681"/>
      <c r="H86" s="13"/>
    </row>
    <row r="87" spans="1:10">
      <c r="A87" s="679">
        <v>43</v>
      </c>
      <c r="B87" s="658" t="s">
        <v>1030</v>
      </c>
      <c r="C87" s="658" t="s">
        <v>4053</v>
      </c>
      <c r="D87" s="658" t="s">
        <v>2376</v>
      </c>
      <c r="E87" s="657">
        <v>78</v>
      </c>
      <c r="F87" s="657">
        <f t="shared" ref="F87" si="31">E87</f>
        <v>78</v>
      </c>
      <c r="G87" s="681"/>
      <c r="H87" s="13"/>
    </row>
    <row r="88" spans="1:10">
      <c r="A88" s="680"/>
      <c r="B88" s="658"/>
      <c r="C88" s="658"/>
      <c r="D88" s="658"/>
      <c r="E88" s="657"/>
      <c r="F88" s="657"/>
      <c r="G88" s="681"/>
      <c r="H88" s="13"/>
    </row>
    <row r="89" spans="1:10">
      <c r="A89" s="679">
        <v>44</v>
      </c>
      <c r="B89" s="658" t="s">
        <v>1038</v>
      </c>
      <c r="C89" s="658" t="s">
        <v>4053</v>
      </c>
      <c r="D89" s="658" t="s">
        <v>2375</v>
      </c>
      <c r="E89" s="657">
        <v>88</v>
      </c>
      <c r="F89" s="657">
        <f t="shared" ref="F89" si="32">E89</f>
        <v>88</v>
      </c>
      <c r="G89" s="681"/>
      <c r="H89" s="13"/>
    </row>
    <row r="90" spans="1:10">
      <c r="A90" s="680"/>
      <c r="B90" s="658"/>
      <c r="C90" s="658"/>
      <c r="D90" s="658"/>
      <c r="E90" s="657"/>
      <c r="F90" s="657"/>
      <c r="G90" s="681"/>
      <c r="H90" s="13"/>
    </row>
    <row r="91" spans="1:10">
      <c r="A91" s="679">
        <v>45</v>
      </c>
      <c r="B91" s="658" t="s">
        <v>1031</v>
      </c>
      <c r="C91" s="658" t="s">
        <v>4053</v>
      </c>
      <c r="D91" s="658" t="s">
        <v>3025</v>
      </c>
      <c r="E91" s="657">
        <v>97</v>
      </c>
      <c r="F91" s="657">
        <f t="shared" ref="F91" si="33">E91</f>
        <v>97</v>
      </c>
      <c r="G91" s="681"/>
      <c r="H91" s="13"/>
    </row>
    <row r="92" spans="1:10">
      <c r="A92" s="680"/>
      <c r="B92" s="658"/>
      <c r="C92" s="658"/>
      <c r="D92" s="658"/>
      <c r="E92" s="657"/>
      <c r="F92" s="657"/>
      <c r="G92" s="681"/>
      <c r="H92" s="13"/>
    </row>
    <row r="93" spans="1:10">
      <c r="A93" s="679">
        <v>46</v>
      </c>
      <c r="B93" s="658" t="s">
        <v>1035</v>
      </c>
      <c r="C93" s="658" t="s">
        <v>4053</v>
      </c>
      <c r="D93" s="658" t="s">
        <v>3309</v>
      </c>
      <c r="E93" s="657">
        <v>480</v>
      </c>
      <c r="F93" s="657">
        <f>E93</f>
        <v>480</v>
      </c>
      <c r="G93" s="681"/>
      <c r="H93" s="13"/>
    </row>
    <row r="94" spans="1:10">
      <c r="A94" s="680"/>
      <c r="B94" s="658"/>
      <c r="C94" s="658"/>
      <c r="D94" s="658"/>
      <c r="E94" s="657"/>
      <c r="F94" s="657"/>
      <c r="G94" s="681"/>
      <c r="H94" s="13"/>
    </row>
    <row r="95" spans="1:10">
      <c r="A95" s="679">
        <v>47</v>
      </c>
      <c r="B95" s="658" t="s">
        <v>4065</v>
      </c>
      <c r="C95" s="658" t="s">
        <v>4064</v>
      </c>
      <c r="D95" s="658" t="s">
        <v>1873</v>
      </c>
      <c r="E95" s="657">
        <v>44976</v>
      </c>
      <c r="F95" s="657">
        <v>1470</v>
      </c>
      <c r="G95" s="681">
        <v>3.2684000000000002</v>
      </c>
      <c r="H95" s="13"/>
    </row>
    <row r="96" spans="1:10">
      <c r="A96" s="680"/>
      <c r="B96" s="658"/>
      <c r="C96" s="658"/>
      <c r="D96" s="658"/>
      <c r="E96" s="657"/>
      <c r="F96" s="657"/>
      <c r="G96" s="681"/>
      <c r="H96" s="13"/>
    </row>
    <row r="97" spans="1:9">
      <c r="A97" s="679">
        <v>48</v>
      </c>
      <c r="B97" s="658" t="s">
        <v>1036</v>
      </c>
      <c r="C97" s="658" t="s">
        <v>4053</v>
      </c>
      <c r="D97" s="658" t="s">
        <v>4054</v>
      </c>
      <c r="E97" s="657">
        <v>550</v>
      </c>
      <c r="F97" s="657">
        <f>E97</f>
        <v>550</v>
      </c>
      <c r="G97" s="681"/>
      <c r="H97" s="13"/>
    </row>
    <row r="98" spans="1:9" ht="15">
      <c r="A98" s="680"/>
      <c r="B98" s="658"/>
      <c r="C98" s="658"/>
      <c r="D98" s="658"/>
      <c r="E98" s="657"/>
      <c r="F98" s="657"/>
      <c r="G98" s="681"/>
      <c r="H98" s="13"/>
      <c r="I98" s="636" t="s">
        <v>4100</v>
      </c>
    </row>
    <row r="99" spans="1:9" ht="15.75">
      <c r="A99" s="679">
        <v>49</v>
      </c>
      <c r="B99" s="658" t="s">
        <v>1037</v>
      </c>
      <c r="C99" s="658" t="s">
        <v>4053</v>
      </c>
      <c r="D99" s="658" t="s">
        <v>4054</v>
      </c>
      <c r="E99" s="657">
        <v>500</v>
      </c>
      <c r="F99" s="657">
        <f>E99</f>
        <v>500</v>
      </c>
      <c r="G99" s="681"/>
      <c r="H99" s="13"/>
      <c r="I99" s="606" t="s">
        <v>4101</v>
      </c>
    </row>
    <row r="100" spans="1:9">
      <c r="A100" s="680"/>
      <c r="B100" s="658"/>
      <c r="C100" s="658"/>
      <c r="D100" s="658"/>
      <c r="E100" s="657"/>
      <c r="F100" s="657"/>
      <c r="G100" s="681"/>
      <c r="H100" s="13"/>
    </row>
    <row r="101" spans="1:9">
      <c r="A101" s="679">
        <v>50</v>
      </c>
      <c r="B101" s="658" t="s">
        <v>1045</v>
      </c>
      <c r="C101" s="658" t="s">
        <v>4041</v>
      </c>
      <c r="D101" s="658" t="s">
        <v>3836</v>
      </c>
      <c r="E101" s="657">
        <v>250</v>
      </c>
      <c r="F101" s="657">
        <v>300</v>
      </c>
      <c r="G101" s="681"/>
    </row>
    <row r="102" spans="1:9">
      <c r="A102" s="680"/>
      <c r="B102" s="658"/>
      <c r="C102" s="658"/>
      <c r="D102" s="658"/>
      <c r="E102" s="657"/>
      <c r="F102" s="657"/>
      <c r="G102" s="681"/>
    </row>
    <row r="103" spans="1:9">
      <c r="A103" s="679">
        <v>51</v>
      </c>
      <c r="B103" s="658" t="s">
        <v>4067</v>
      </c>
      <c r="C103" s="658" t="s">
        <v>4067</v>
      </c>
      <c r="D103" s="658" t="s">
        <v>239</v>
      </c>
      <c r="E103" s="657">
        <v>1470</v>
      </c>
      <c r="F103" s="657">
        <f>E103</f>
        <v>1470</v>
      </c>
      <c r="G103" s="681"/>
    </row>
    <row r="104" spans="1:9">
      <c r="A104" s="680"/>
      <c r="B104" s="658"/>
      <c r="C104" s="658"/>
      <c r="D104" s="658"/>
      <c r="E104" s="657"/>
      <c r="F104" s="657"/>
      <c r="G104" s="681"/>
    </row>
    <row r="105" spans="1:9">
      <c r="A105" s="679">
        <v>52</v>
      </c>
      <c r="B105" s="658" t="s">
        <v>4068</v>
      </c>
      <c r="C105" s="658" t="s">
        <v>4067</v>
      </c>
      <c r="D105" s="658" t="s">
        <v>239</v>
      </c>
      <c r="E105" s="657">
        <v>1470</v>
      </c>
      <c r="F105" s="657">
        <v>1470</v>
      </c>
      <c r="G105" s="681"/>
    </row>
    <row r="106" spans="1:9">
      <c r="A106" s="680"/>
      <c r="B106" s="658"/>
      <c r="C106" s="658"/>
      <c r="D106" s="658"/>
      <c r="E106" s="657"/>
      <c r="F106" s="657"/>
      <c r="G106" s="681"/>
    </row>
    <row r="107" spans="1:9">
      <c r="A107" s="679">
        <v>53</v>
      </c>
      <c r="B107" s="658" t="s">
        <v>4069</v>
      </c>
      <c r="C107" s="658" t="s">
        <v>4070</v>
      </c>
      <c r="D107" s="658" t="s">
        <v>239</v>
      </c>
      <c r="E107" s="657">
        <v>46459</v>
      </c>
      <c r="F107" s="657">
        <v>1530</v>
      </c>
      <c r="G107" s="681">
        <v>3.2932000000000001</v>
      </c>
    </row>
    <row r="108" spans="1:9">
      <c r="A108" s="680"/>
      <c r="B108" s="658"/>
      <c r="C108" s="658"/>
      <c r="D108" s="658"/>
      <c r="E108" s="657"/>
      <c r="F108" s="657"/>
      <c r="G108" s="681"/>
    </row>
    <row r="109" spans="1:9">
      <c r="A109" s="679">
        <v>54</v>
      </c>
      <c r="B109" s="658"/>
      <c r="C109" s="658"/>
      <c r="D109" s="658"/>
      <c r="E109" s="657"/>
      <c r="F109" s="657"/>
      <c r="G109" s="681"/>
    </row>
    <row r="110" spans="1:9">
      <c r="A110" s="680"/>
      <c r="B110" s="658"/>
      <c r="C110" s="658"/>
      <c r="D110" s="658"/>
      <c r="E110" s="657"/>
      <c r="F110" s="657"/>
      <c r="G110" s="681"/>
    </row>
    <row r="111" spans="1:9">
      <c r="A111" s="679">
        <v>55</v>
      </c>
      <c r="B111" s="658"/>
      <c r="C111" s="658"/>
      <c r="D111" s="658"/>
      <c r="E111" s="657"/>
      <c r="F111" s="657"/>
      <c r="G111" s="683"/>
    </row>
    <row r="112" spans="1:9">
      <c r="A112" s="680"/>
      <c r="B112" s="658"/>
      <c r="C112" s="658"/>
      <c r="D112" s="658"/>
      <c r="E112" s="657"/>
      <c r="F112" s="657"/>
      <c r="G112" s="684"/>
    </row>
    <row r="113" spans="1:7">
      <c r="A113" s="679">
        <v>56</v>
      </c>
      <c r="B113" s="658"/>
      <c r="C113" s="658"/>
      <c r="D113" s="658"/>
      <c r="E113" s="657"/>
      <c r="F113" s="657"/>
      <c r="G113" s="685"/>
    </row>
    <row r="114" spans="1:7">
      <c r="A114" s="680"/>
      <c r="B114" s="658"/>
      <c r="C114" s="658"/>
      <c r="D114" s="658"/>
      <c r="E114" s="657"/>
      <c r="F114" s="657"/>
      <c r="G114" s="686"/>
    </row>
    <row r="115" spans="1:7">
      <c r="A115" s="679">
        <v>57</v>
      </c>
      <c r="B115" s="658"/>
      <c r="C115" s="658"/>
      <c r="D115" s="658"/>
      <c r="E115" s="657"/>
      <c r="F115" s="657"/>
      <c r="G115" s="685"/>
    </row>
    <row r="116" spans="1:7">
      <c r="A116" s="680"/>
      <c r="B116" s="658"/>
      <c r="C116" s="658"/>
      <c r="D116" s="658"/>
      <c r="E116" s="657"/>
      <c r="F116" s="657"/>
      <c r="G116" s="686"/>
    </row>
    <row r="117" spans="1:7">
      <c r="A117" s="679">
        <v>58</v>
      </c>
      <c r="B117" s="658"/>
      <c r="C117" s="658"/>
      <c r="D117" s="658"/>
      <c r="E117" s="657"/>
      <c r="F117" s="657"/>
      <c r="G117" s="685"/>
    </row>
    <row r="118" spans="1:7">
      <c r="A118" s="680"/>
      <c r="B118" s="658"/>
      <c r="C118" s="658"/>
      <c r="D118" s="658"/>
      <c r="E118" s="657"/>
      <c r="F118" s="657"/>
      <c r="G118" s="686"/>
    </row>
    <row r="119" spans="1:7">
      <c r="A119" s="679"/>
      <c r="B119" s="658"/>
      <c r="C119" s="658"/>
      <c r="D119" s="658"/>
      <c r="E119" s="657"/>
      <c r="F119" s="657"/>
      <c r="G119" s="685"/>
    </row>
    <row r="120" spans="1:7">
      <c r="A120" s="680"/>
      <c r="B120" s="658"/>
      <c r="C120" s="658"/>
      <c r="D120" s="658"/>
      <c r="E120" s="657"/>
      <c r="F120" s="657"/>
      <c r="G120" s="686"/>
    </row>
    <row r="121" spans="1:7">
      <c r="A121" s="679"/>
      <c r="B121" s="658"/>
      <c r="C121" s="658"/>
      <c r="D121" s="658"/>
      <c r="E121" s="657"/>
      <c r="F121" s="657"/>
      <c r="G121" s="685"/>
    </row>
    <row r="122" spans="1:7">
      <c r="A122" s="680"/>
      <c r="B122" s="658"/>
      <c r="C122" s="658"/>
      <c r="D122" s="658"/>
      <c r="E122" s="657"/>
      <c r="F122" s="657"/>
      <c r="G122" s="686"/>
    </row>
    <row r="123" spans="1:7">
      <c r="A123" s="679"/>
      <c r="B123" s="658"/>
      <c r="C123" s="658"/>
      <c r="D123" s="658"/>
      <c r="E123" s="657"/>
      <c r="F123" s="657"/>
      <c r="G123" s="685"/>
    </row>
    <row r="124" spans="1:7">
      <c r="A124" s="680"/>
      <c r="B124" s="658"/>
      <c r="C124" s="658"/>
      <c r="D124" s="658"/>
      <c r="E124" s="657"/>
      <c r="F124" s="657"/>
      <c r="G124" s="686"/>
    </row>
    <row r="125" spans="1:7">
      <c r="A125" s="687"/>
      <c r="B125" s="658"/>
      <c r="C125" s="658"/>
      <c r="D125" s="658"/>
      <c r="E125" s="657"/>
      <c r="F125" s="657"/>
      <c r="G125" s="685"/>
    </row>
    <row r="126" spans="1:7">
      <c r="A126" s="688"/>
      <c r="B126" s="658"/>
      <c r="C126" s="658"/>
      <c r="D126" s="658"/>
      <c r="E126" s="657"/>
      <c r="F126" s="657"/>
      <c r="G126" s="686"/>
    </row>
    <row r="127" spans="1:7">
      <c r="A127" s="687"/>
      <c r="B127" s="689"/>
      <c r="C127" s="689"/>
      <c r="D127" s="689"/>
      <c r="E127" s="689"/>
      <c r="F127" s="689"/>
      <c r="G127" s="685"/>
    </row>
    <row r="128" spans="1:7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</sheetData>
  <mergeCells count="449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</mergeCells>
  <pageMargins left="0.70866141732283472" right="0.31496062992125984" top="0.35433070866141736" bottom="0.35433070866141736" header="0.31496062992125984" footer="0.31496062992125984"/>
  <pageSetup paperSize="9" fitToWidth="0" orientation="landscape" verticalDpi="0" r:id="rId1"/>
  <headerFooter>
    <oddFooter>&amp;C____________________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"/>
  <sheetViews>
    <sheetView topLeftCell="A112" zoomScaleNormal="100" workbookViewId="0">
      <selection activeCell="A81" sqref="A81:A82"/>
    </sheetView>
  </sheetViews>
  <sheetFormatPr defaultRowHeight="12.75"/>
  <cols>
    <col min="1" max="1" width="10.140625" customWidth="1"/>
    <col min="2" max="2" width="19.7109375" customWidth="1"/>
    <col min="4" max="4" width="42.28515625" customWidth="1"/>
  </cols>
  <sheetData>
    <row r="1" spans="1:8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>
      <c r="A2" s="678" t="s">
        <v>3988</v>
      </c>
      <c r="B2" s="678"/>
      <c r="C2" s="678"/>
      <c r="D2" s="678"/>
      <c r="E2" s="678"/>
      <c r="F2" s="678"/>
      <c r="G2" s="678"/>
      <c r="H2" s="620">
        <f>SUM(F3:F118)</f>
        <v>38111</v>
      </c>
    </row>
    <row r="3" spans="1:8">
      <c r="A3" s="679">
        <v>1</v>
      </c>
      <c r="B3" s="658" t="s">
        <v>778</v>
      </c>
      <c r="C3" s="658" t="s">
        <v>3916</v>
      </c>
      <c r="D3" s="658" t="s">
        <v>3309</v>
      </c>
      <c r="E3" s="657">
        <v>570</v>
      </c>
      <c r="F3" s="657">
        <f t="shared" ref="F3" si="0">E3</f>
        <v>570</v>
      </c>
      <c r="G3" s="657"/>
      <c r="H3" s="620"/>
    </row>
    <row r="4" spans="1:8">
      <c r="A4" s="680"/>
      <c r="B4" s="658"/>
      <c r="C4" s="658"/>
      <c r="D4" s="658"/>
      <c r="E4" s="657"/>
      <c r="F4" s="657"/>
      <c r="G4" s="657"/>
      <c r="H4" s="13"/>
    </row>
    <row r="5" spans="1:8">
      <c r="A5" s="679">
        <v>2</v>
      </c>
      <c r="B5" s="658" t="s">
        <v>779</v>
      </c>
      <c r="C5" s="658" t="s">
        <v>3916</v>
      </c>
      <c r="D5" s="658" t="s">
        <v>3025</v>
      </c>
      <c r="E5" s="657">
        <v>97</v>
      </c>
      <c r="F5" s="657">
        <f t="shared" ref="F5" si="1">E5</f>
        <v>97</v>
      </c>
      <c r="G5" s="683"/>
      <c r="H5" s="13"/>
    </row>
    <row r="6" spans="1:8">
      <c r="A6" s="680"/>
      <c r="B6" s="658"/>
      <c r="C6" s="658"/>
      <c r="D6" s="658"/>
      <c r="E6" s="657"/>
      <c r="F6" s="657"/>
      <c r="G6" s="684"/>
      <c r="H6" s="13"/>
    </row>
    <row r="7" spans="1:8">
      <c r="A7" s="679">
        <v>3</v>
      </c>
      <c r="B7" s="658" t="s">
        <v>782</v>
      </c>
      <c r="C7" s="658" t="s">
        <v>3916</v>
      </c>
      <c r="D7" s="658" t="s">
        <v>1601</v>
      </c>
      <c r="E7" s="657">
        <v>350</v>
      </c>
      <c r="F7" s="657">
        <f t="shared" ref="F7" si="2">E7</f>
        <v>350</v>
      </c>
      <c r="G7" s="683"/>
      <c r="H7" s="13"/>
    </row>
    <row r="8" spans="1:8">
      <c r="A8" s="680"/>
      <c r="B8" s="658"/>
      <c r="C8" s="658"/>
      <c r="D8" s="658"/>
      <c r="E8" s="657"/>
      <c r="F8" s="657"/>
      <c r="G8" s="684"/>
      <c r="H8" s="13"/>
    </row>
    <row r="9" spans="1:8">
      <c r="A9" s="679">
        <v>4</v>
      </c>
      <c r="B9" s="658" t="s">
        <v>799</v>
      </c>
      <c r="C9" s="658" t="s">
        <v>3916</v>
      </c>
      <c r="D9" s="658" t="s">
        <v>1140</v>
      </c>
      <c r="E9" s="657">
        <v>900</v>
      </c>
      <c r="F9" s="657">
        <f t="shared" ref="F9" si="3">E9</f>
        <v>900</v>
      </c>
      <c r="G9" s="683"/>
      <c r="H9" s="13"/>
    </row>
    <row r="10" spans="1:8">
      <c r="A10" s="680"/>
      <c r="B10" s="658"/>
      <c r="C10" s="658"/>
      <c r="D10" s="658"/>
      <c r="E10" s="657"/>
      <c r="F10" s="657"/>
      <c r="G10" s="684"/>
      <c r="H10" s="13"/>
    </row>
    <row r="11" spans="1:8">
      <c r="A11" s="679">
        <v>5</v>
      </c>
      <c r="B11" s="658" t="s">
        <v>3913</v>
      </c>
      <c r="C11" s="658" t="s">
        <v>3916</v>
      </c>
      <c r="D11" s="658" t="s">
        <v>239</v>
      </c>
      <c r="E11" s="657">
        <v>120</v>
      </c>
      <c r="F11" s="657">
        <f t="shared" ref="F11" si="4">E11</f>
        <v>120</v>
      </c>
      <c r="G11" s="683"/>
      <c r="H11" s="13"/>
    </row>
    <row r="12" spans="1:8">
      <c r="A12" s="680"/>
      <c r="B12" s="658"/>
      <c r="C12" s="658"/>
      <c r="D12" s="658"/>
      <c r="E12" s="657"/>
      <c r="F12" s="657"/>
      <c r="G12" s="684"/>
      <c r="H12" s="13"/>
    </row>
    <row r="13" spans="1:8">
      <c r="A13" s="679">
        <v>6</v>
      </c>
      <c r="B13" s="659" t="s">
        <v>3924</v>
      </c>
      <c r="C13" s="658" t="s">
        <v>3923</v>
      </c>
      <c r="D13" s="658" t="s">
        <v>239</v>
      </c>
      <c r="E13" s="657">
        <v>44947</v>
      </c>
      <c r="F13" s="657">
        <v>1470</v>
      </c>
      <c r="G13" s="683">
        <v>3.2705000000000002</v>
      </c>
      <c r="H13" s="13"/>
    </row>
    <row r="14" spans="1:8">
      <c r="A14" s="680"/>
      <c r="B14" s="660"/>
      <c r="C14" s="658"/>
      <c r="D14" s="658"/>
      <c r="E14" s="657"/>
      <c r="F14" s="657"/>
      <c r="G14" s="684"/>
      <c r="H14" s="13"/>
    </row>
    <row r="15" spans="1:8">
      <c r="A15" s="679">
        <v>7</v>
      </c>
      <c r="B15" s="658" t="s">
        <v>807</v>
      </c>
      <c r="C15" s="658" t="s">
        <v>3922</v>
      </c>
      <c r="D15" s="658" t="s">
        <v>2780</v>
      </c>
      <c r="E15" s="657">
        <v>490</v>
      </c>
      <c r="F15" s="657">
        <f t="shared" ref="F15" si="5">E15</f>
        <v>490</v>
      </c>
      <c r="G15" s="683"/>
      <c r="H15" s="13"/>
    </row>
    <row r="16" spans="1:8">
      <c r="A16" s="680"/>
      <c r="B16" s="658"/>
      <c r="C16" s="658"/>
      <c r="D16" s="658"/>
      <c r="E16" s="657"/>
      <c r="F16" s="657"/>
      <c r="G16" s="684"/>
      <c r="H16" s="13"/>
    </row>
    <row r="17" spans="1:8">
      <c r="A17" s="679">
        <v>8</v>
      </c>
      <c r="B17" s="658" t="s">
        <v>810</v>
      </c>
      <c r="C17" s="658" t="s">
        <v>3922</v>
      </c>
      <c r="D17" s="658" t="s">
        <v>1661</v>
      </c>
      <c r="E17" s="657">
        <v>600</v>
      </c>
      <c r="F17" s="657">
        <f t="shared" ref="F17" si="6">E17</f>
        <v>600</v>
      </c>
      <c r="G17" s="683"/>
      <c r="H17" s="13"/>
    </row>
    <row r="18" spans="1:8">
      <c r="A18" s="680"/>
      <c r="B18" s="658"/>
      <c r="C18" s="658"/>
      <c r="D18" s="658"/>
      <c r="E18" s="657"/>
      <c r="F18" s="657"/>
      <c r="G18" s="684"/>
      <c r="H18" s="13"/>
    </row>
    <row r="19" spans="1:8">
      <c r="A19" s="679">
        <v>9</v>
      </c>
      <c r="B19" s="658" t="s">
        <v>3927</v>
      </c>
      <c r="C19" s="658" t="s">
        <v>3926</v>
      </c>
      <c r="D19" s="658" t="s">
        <v>239</v>
      </c>
      <c r="E19" s="657">
        <v>1470</v>
      </c>
      <c r="F19" s="657">
        <f t="shared" ref="F19" si="7">E19</f>
        <v>1470</v>
      </c>
      <c r="G19" s="683"/>
      <c r="H19" s="13"/>
    </row>
    <row r="20" spans="1:8">
      <c r="A20" s="680"/>
      <c r="B20" s="658"/>
      <c r="C20" s="658"/>
      <c r="D20" s="658"/>
      <c r="E20" s="657"/>
      <c r="F20" s="657"/>
      <c r="G20" s="684"/>
      <c r="H20" s="13"/>
    </row>
    <row r="21" spans="1:8">
      <c r="A21" s="679">
        <v>10</v>
      </c>
      <c r="B21" s="658" t="s">
        <v>811</v>
      </c>
      <c r="C21" s="658" t="s">
        <v>3925</v>
      </c>
      <c r="D21" s="658" t="s">
        <v>3388</v>
      </c>
      <c r="E21" s="657">
        <v>400</v>
      </c>
      <c r="F21" s="657">
        <f t="shared" ref="F21" si="8">E21</f>
        <v>400</v>
      </c>
      <c r="G21" s="683"/>
      <c r="H21" s="13"/>
    </row>
    <row r="22" spans="1:8">
      <c r="A22" s="680"/>
      <c r="B22" s="658"/>
      <c r="C22" s="658"/>
      <c r="D22" s="658"/>
      <c r="E22" s="657"/>
      <c r="F22" s="657"/>
      <c r="G22" s="684"/>
      <c r="H22" s="13"/>
    </row>
    <row r="23" spans="1:8">
      <c r="A23" s="679">
        <v>11</v>
      </c>
      <c r="B23" s="658" t="s">
        <v>812</v>
      </c>
      <c r="C23" s="658" t="s">
        <v>3925</v>
      </c>
      <c r="D23" s="658" t="s">
        <v>3309</v>
      </c>
      <c r="E23" s="657">
        <v>320</v>
      </c>
      <c r="F23" s="657">
        <f t="shared" ref="F23" si="9">E23</f>
        <v>320</v>
      </c>
      <c r="G23" s="683"/>
      <c r="H23" s="13"/>
    </row>
    <row r="24" spans="1:8">
      <c r="A24" s="680"/>
      <c r="B24" s="658"/>
      <c r="C24" s="658"/>
      <c r="D24" s="658"/>
      <c r="E24" s="657"/>
      <c r="F24" s="657"/>
      <c r="G24" s="684"/>
      <c r="H24" s="13"/>
    </row>
    <row r="25" spans="1:8">
      <c r="A25" s="679">
        <v>12</v>
      </c>
      <c r="B25" s="658" t="s">
        <v>813</v>
      </c>
      <c r="C25" s="658" t="s">
        <v>3925</v>
      </c>
      <c r="D25" s="658" t="s">
        <v>3025</v>
      </c>
      <c r="E25" s="657">
        <v>99</v>
      </c>
      <c r="F25" s="657">
        <f t="shared" ref="F25" si="10">E25</f>
        <v>99</v>
      </c>
      <c r="G25" s="683"/>
      <c r="H25" s="13"/>
    </row>
    <row r="26" spans="1:8">
      <c r="A26" s="680"/>
      <c r="B26" s="658"/>
      <c r="C26" s="658"/>
      <c r="D26" s="658"/>
      <c r="E26" s="657"/>
      <c r="F26" s="657"/>
      <c r="G26" s="684"/>
      <c r="H26" s="13"/>
    </row>
    <row r="27" spans="1:8">
      <c r="A27" s="679">
        <v>13</v>
      </c>
      <c r="B27" s="658" t="s">
        <v>3928</v>
      </c>
      <c r="C27" s="658" t="s">
        <v>3922</v>
      </c>
      <c r="D27" s="658" t="s">
        <v>239</v>
      </c>
      <c r="E27" s="657">
        <v>44799</v>
      </c>
      <c r="F27" s="657">
        <v>1470</v>
      </c>
      <c r="G27" s="683">
        <v>3.2812999999999999</v>
      </c>
      <c r="H27" s="13"/>
    </row>
    <row r="28" spans="1:8">
      <c r="A28" s="680"/>
      <c r="B28" s="658"/>
      <c r="C28" s="658"/>
      <c r="D28" s="658"/>
      <c r="E28" s="657"/>
      <c r="F28" s="657"/>
      <c r="G28" s="684"/>
      <c r="H28" s="13"/>
    </row>
    <row r="29" spans="1:8">
      <c r="A29" s="679">
        <v>14</v>
      </c>
      <c r="B29" s="658" t="s">
        <v>820</v>
      </c>
      <c r="C29" s="658" t="s">
        <v>3925</v>
      </c>
      <c r="D29" s="658" t="s">
        <v>1601</v>
      </c>
      <c r="E29" s="657">
        <v>850</v>
      </c>
      <c r="F29" s="657">
        <f t="shared" ref="F29" si="11">E29</f>
        <v>850</v>
      </c>
      <c r="G29" s="683"/>
      <c r="H29" s="13"/>
    </row>
    <row r="30" spans="1:8">
      <c r="A30" s="680"/>
      <c r="B30" s="658"/>
      <c r="C30" s="658"/>
      <c r="D30" s="658"/>
      <c r="E30" s="657"/>
      <c r="F30" s="657"/>
      <c r="G30" s="684"/>
      <c r="H30" s="13"/>
    </row>
    <row r="31" spans="1:8">
      <c r="A31" s="679">
        <v>15</v>
      </c>
      <c r="B31" s="658" t="s">
        <v>821</v>
      </c>
      <c r="C31" s="658" t="s">
        <v>3925</v>
      </c>
      <c r="D31" s="658" t="s">
        <v>3309</v>
      </c>
      <c r="E31" s="657">
        <v>360</v>
      </c>
      <c r="F31" s="657">
        <f t="shared" ref="F31" si="12">E31</f>
        <v>360</v>
      </c>
      <c r="G31" s="683"/>
      <c r="H31" s="13"/>
    </row>
    <row r="32" spans="1:8">
      <c r="A32" s="680"/>
      <c r="B32" s="658"/>
      <c r="C32" s="658"/>
      <c r="D32" s="658"/>
      <c r="E32" s="657"/>
      <c r="F32" s="657"/>
      <c r="G32" s="684"/>
      <c r="H32" s="13"/>
    </row>
    <row r="33" spans="1:8">
      <c r="A33" s="679">
        <v>16</v>
      </c>
      <c r="B33" s="658" t="s">
        <v>3960</v>
      </c>
      <c r="C33" s="658" t="s">
        <v>3925</v>
      </c>
      <c r="D33" s="658" t="s">
        <v>239</v>
      </c>
      <c r="E33" s="657">
        <v>1470</v>
      </c>
      <c r="F33" s="657">
        <f t="shared" ref="F33" si="13">E33</f>
        <v>1470</v>
      </c>
      <c r="G33" s="657"/>
      <c r="H33" s="13"/>
    </row>
    <row r="34" spans="1:8">
      <c r="A34" s="680"/>
      <c r="B34" s="658"/>
      <c r="C34" s="658"/>
      <c r="D34" s="658"/>
      <c r="E34" s="657"/>
      <c r="F34" s="657"/>
      <c r="G34" s="657"/>
      <c r="H34" s="13"/>
    </row>
    <row r="35" spans="1:8">
      <c r="A35" s="679">
        <v>17</v>
      </c>
      <c r="B35" s="658" t="s">
        <v>824</v>
      </c>
      <c r="C35" s="658" t="s">
        <v>3956</v>
      </c>
      <c r="D35" s="658" t="s">
        <v>2723</v>
      </c>
      <c r="E35" s="657">
        <v>300</v>
      </c>
      <c r="F35" s="657">
        <f t="shared" ref="F35" si="14">E35</f>
        <v>300</v>
      </c>
      <c r="G35" s="683"/>
      <c r="H35" s="13"/>
    </row>
    <row r="36" spans="1:8">
      <c r="A36" s="680"/>
      <c r="B36" s="658"/>
      <c r="C36" s="658"/>
      <c r="D36" s="658"/>
      <c r="E36" s="657"/>
      <c r="F36" s="657"/>
      <c r="G36" s="684"/>
      <c r="H36" s="13"/>
    </row>
    <row r="37" spans="1:8">
      <c r="A37" s="679">
        <v>18</v>
      </c>
      <c r="B37" s="658" t="s">
        <v>826</v>
      </c>
      <c r="C37" s="658" t="s">
        <v>3956</v>
      </c>
      <c r="D37" s="658" t="s">
        <v>2517</v>
      </c>
      <c r="E37" s="657">
        <v>190</v>
      </c>
      <c r="F37" s="657">
        <f t="shared" ref="F37" si="15">E37</f>
        <v>190</v>
      </c>
      <c r="G37" s="683"/>
      <c r="H37" s="13"/>
    </row>
    <row r="38" spans="1:8">
      <c r="A38" s="680"/>
      <c r="B38" s="658"/>
      <c r="C38" s="658"/>
      <c r="D38" s="658"/>
      <c r="E38" s="657"/>
      <c r="F38" s="657"/>
      <c r="G38" s="684"/>
      <c r="H38" s="13"/>
    </row>
    <row r="39" spans="1:8">
      <c r="A39" s="679">
        <v>19</v>
      </c>
      <c r="B39" s="658" t="s">
        <v>833</v>
      </c>
      <c r="C39" s="658" t="s">
        <v>3956</v>
      </c>
      <c r="D39" s="658" t="s">
        <v>2517</v>
      </c>
      <c r="E39" s="657">
        <v>400</v>
      </c>
      <c r="F39" s="657">
        <f t="shared" ref="F39" si="16">E39</f>
        <v>400</v>
      </c>
      <c r="G39" s="683"/>
      <c r="H39" s="13"/>
    </row>
    <row r="40" spans="1:8">
      <c r="A40" s="680"/>
      <c r="B40" s="658"/>
      <c r="C40" s="658"/>
      <c r="D40" s="658"/>
      <c r="E40" s="657"/>
      <c r="F40" s="657"/>
      <c r="G40" s="684"/>
      <c r="H40" s="13"/>
    </row>
    <row r="41" spans="1:8">
      <c r="A41" s="679">
        <v>20</v>
      </c>
      <c r="B41" s="658" t="s">
        <v>3963</v>
      </c>
      <c r="C41" s="658" t="s">
        <v>3961</v>
      </c>
      <c r="D41" s="658" t="s">
        <v>239</v>
      </c>
      <c r="E41" s="657">
        <v>44928</v>
      </c>
      <c r="F41" s="657">
        <v>1470</v>
      </c>
      <c r="G41" s="683">
        <v>3.2719</v>
      </c>
      <c r="H41" s="13"/>
    </row>
    <row r="42" spans="1:8">
      <c r="A42" s="680"/>
      <c r="B42" s="658"/>
      <c r="C42" s="658"/>
      <c r="D42" s="658"/>
      <c r="E42" s="657"/>
      <c r="F42" s="657"/>
      <c r="G42" s="684"/>
      <c r="H42" s="13"/>
    </row>
    <row r="43" spans="1:8">
      <c r="A43" s="679">
        <v>21</v>
      </c>
      <c r="B43" s="658" t="s">
        <v>841</v>
      </c>
      <c r="C43" s="658" t="s">
        <v>3957</v>
      </c>
      <c r="D43" s="658" t="s">
        <v>3427</v>
      </c>
      <c r="E43" s="657">
        <v>390</v>
      </c>
      <c r="F43" s="657">
        <f t="shared" ref="F43" si="17">E43</f>
        <v>390</v>
      </c>
      <c r="G43" s="683"/>
      <c r="H43" s="13"/>
    </row>
    <row r="44" spans="1:8">
      <c r="A44" s="680"/>
      <c r="B44" s="658"/>
      <c r="C44" s="658"/>
      <c r="D44" s="658"/>
      <c r="E44" s="657"/>
      <c r="F44" s="657"/>
      <c r="G44" s="684"/>
      <c r="H44" s="13"/>
    </row>
    <row r="45" spans="1:8">
      <c r="A45" s="679">
        <v>22</v>
      </c>
      <c r="B45" s="658" t="s">
        <v>842</v>
      </c>
      <c r="C45" s="658" t="s">
        <v>3957</v>
      </c>
      <c r="D45" s="658" t="s">
        <v>3955</v>
      </c>
      <c r="E45" s="657">
        <v>500</v>
      </c>
      <c r="F45" s="657">
        <f t="shared" ref="F45" si="18">E45</f>
        <v>500</v>
      </c>
      <c r="G45" s="683"/>
      <c r="H45" s="13"/>
    </row>
    <row r="46" spans="1:8">
      <c r="A46" s="680"/>
      <c r="B46" s="658"/>
      <c r="C46" s="658"/>
      <c r="D46" s="658"/>
      <c r="E46" s="657"/>
      <c r="F46" s="657"/>
      <c r="G46" s="684"/>
      <c r="H46" s="13"/>
    </row>
    <row r="47" spans="1:8">
      <c r="A47" s="679">
        <v>23</v>
      </c>
      <c r="B47" s="658" t="s">
        <v>1642</v>
      </c>
      <c r="C47" s="658" t="s">
        <v>3957</v>
      </c>
      <c r="D47" s="658" t="s">
        <v>2723</v>
      </c>
      <c r="E47" s="657">
        <v>275</v>
      </c>
      <c r="F47" s="657">
        <f t="shared" ref="F47" si="19">E47</f>
        <v>275</v>
      </c>
      <c r="G47" s="683"/>
      <c r="H47" s="13"/>
    </row>
    <row r="48" spans="1:8">
      <c r="A48" s="680"/>
      <c r="B48" s="658"/>
      <c r="C48" s="658"/>
      <c r="D48" s="658"/>
      <c r="E48" s="657"/>
      <c r="F48" s="657"/>
      <c r="G48" s="684"/>
      <c r="H48" s="13"/>
    </row>
    <row r="49" spans="1:8">
      <c r="A49" s="679">
        <v>24</v>
      </c>
      <c r="B49" s="658" t="s">
        <v>3962</v>
      </c>
      <c r="C49" s="658" t="s">
        <v>3961</v>
      </c>
      <c r="D49" s="658" t="s">
        <v>239</v>
      </c>
      <c r="E49" s="657">
        <v>1470</v>
      </c>
      <c r="F49" s="657">
        <f t="shared" ref="F49" si="20">E49</f>
        <v>1470</v>
      </c>
      <c r="G49" s="683"/>
      <c r="H49" s="13"/>
    </row>
    <row r="50" spans="1:8">
      <c r="A50" s="680"/>
      <c r="B50" s="658"/>
      <c r="C50" s="658"/>
      <c r="D50" s="658"/>
      <c r="E50" s="657"/>
      <c r="F50" s="657"/>
      <c r="G50" s="684"/>
      <c r="H50" s="13"/>
    </row>
    <row r="51" spans="1:8">
      <c r="A51" s="679">
        <v>25</v>
      </c>
      <c r="B51" s="658" t="s">
        <v>843</v>
      </c>
      <c r="C51" s="658" t="s">
        <v>3958</v>
      </c>
      <c r="D51" s="658" t="s">
        <v>3959</v>
      </c>
      <c r="E51" s="657">
        <v>500</v>
      </c>
      <c r="F51" s="657">
        <f t="shared" ref="F51" si="21">E51</f>
        <v>500</v>
      </c>
      <c r="G51" s="683"/>
      <c r="H51" s="13"/>
    </row>
    <row r="52" spans="1:8">
      <c r="A52" s="680"/>
      <c r="B52" s="658"/>
      <c r="C52" s="658"/>
      <c r="D52" s="658"/>
      <c r="E52" s="657"/>
      <c r="F52" s="657"/>
      <c r="G52" s="684"/>
      <c r="H52" s="13"/>
    </row>
    <row r="53" spans="1:8">
      <c r="A53" s="679">
        <v>26</v>
      </c>
      <c r="B53" s="658" t="s">
        <v>844</v>
      </c>
      <c r="C53" s="658" t="s">
        <v>3958</v>
      </c>
      <c r="D53" s="658" t="s">
        <v>3964</v>
      </c>
      <c r="E53" s="657">
        <v>380</v>
      </c>
      <c r="F53" s="657">
        <f t="shared" ref="F53" si="22">E53</f>
        <v>380</v>
      </c>
      <c r="G53" s="683"/>
      <c r="H53" s="13"/>
    </row>
    <row r="54" spans="1:8">
      <c r="A54" s="680"/>
      <c r="B54" s="658"/>
      <c r="C54" s="658"/>
      <c r="D54" s="658"/>
      <c r="E54" s="657"/>
      <c r="F54" s="657"/>
      <c r="G54" s="684"/>
      <c r="H54" s="13"/>
    </row>
    <row r="55" spans="1:8">
      <c r="A55" s="679">
        <v>27</v>
      </c>
      <c r="B55" s="658" t="s">
        <v>845</v>
      </c>
      <c r="C55" s="658" t="s">
        <v>3958</v>
      </c>
      <c r="D55" s="658" t="s">
        <v>3025</v>
      </c>
      <c r="E55" s="657">
        <v>98</v>
      </c>
      <c r="F55" s="657">
        <f t="shared" ref="F55" si="23">E55</f>
        <v>98</v>
      </c>
      <c r="G55" s="683"/>
      <c r="H55" s="13"/>
    </row>
    <row r="56" spans="1:8">
      <c r="A56" s="680"/>
      <c r="B56" s="658"/>
      <c r="C56" s="658"/>
      <c r="D56" s="658"/>
      <c r="E56" s="657"/>
      <c r="F56" s="657"/>
      <c r="G56" s="684"/>
      <c r="H56" s="13"/>
    </row>
    <row r="57" spans="1:8">
      <c r="A57" s="679">
        <v>28</v>
      </c>
      <c r="B57" s="658" t="s">
        <v>3970</v>
      </c>
      <c r="C57" s="658" t="s">
        <v>3958</v>
      </c>
      <c r="D57" s="658" t="s">
        <v>239</v>
      </c>
      <c r="E57" s="657">
        <v>44724</v>
      </c>
      <c r="F57" s="657">
        <v>1470</v>
      </c>
      <c r="G57" s="683">
        <v>3.2867999999999999</v>
      </c>
      <c r="H57" s="13"/>
    </row>
    <row r="58" spans="1:8">
      <c r="A58" s="680"/>
      <c r="B58" s="658"/>
      <c r="C58" s="658"/>
      <c r="D58" s="658"/>
      <c r="E58" s="657"/>
      <c r="F58" s="657"/>
      <c r="G58" s="684"/>
      <c r="H58" s="13"/>
    </row>
    <row r="59" spans="1:8">
      <c r="A59" s="679">
        <v>29</v>
      </c>
      <c r="B59" s="658" t="s">
        <v>855</v>
      </c>
      <c r="C59" s="658" t="s">
        <v>3967</v>
      </c>
      <c r="D59" s="658" t="s">
        <v>3515</v>
      </c>
      <c r="E59" s="657">
        <v>800</v>
      </c>
      <c r="F59" s="657">
        <f t="shared" ref="F59" si="24">E59</f>
        <v>800</v>
      </c>
      <c r="G59" s="683"/>
      <c r="H59" s="13"/>
    </row>
    <row r="60" spans="1:8">
      <c r="A60" s="680"/>
      <c r="B60" s="658"/>
      <c r="C60" s="658"/>
      <c r="D60" s="658"/>
      <c r="E60" s="657"/>
      <c r="F60" s="657"/>
      <c r="G60" s="684"/>
      <c r="H60" s="13"/>
    </row>
    <row r="61" spans="1:8">
      <c r="A61" s="679">
        <v>30</v>
      </c>
      <c r="B61" s="658" t="s">
        <v>856</v>
      </c>
      <c r="C61" s="658" t="s">
        <v>3967</v>
      </c>
      <c r="D61" s="658" t="s">
        <v>1661</v>
      </c>
      <c r="E61" s="657">
        <v>230</v>
      </c>
      <c r="F61" s="657">
        <f t="shared" ref="F61" si="25">E61</f>
        <v>230</v>
      </c>
      <c r="G61" s="683"/>
      <c r="H61" s="13"/>
    </row>
    <row r="62" spans="1:8">
      <c r="A62" s="680"/>
      <c r="B62" s="658"/>
      <c r="C62" s="658"/>
      <c r="D62" s="658"/>
      <c r="E62" s="657"/>
      <c r="F62" s="657"/>
      <c r="G62" s="684"/>
      <c r="H62" s="13"/>
    </row>
    <row r="63" spans="1:8">
      <c r="A63" s="679">
        <v>31</v>
      </c>
      <c r="B63" s="658" t="s">
        <v>866</v>
      </c>
      <c r="C63" s="658" t="s">
        <v>3967</v>
      </c>
      <c r="D63" s="658" t="s">
        <v>2723</v>
      </c>
      <c r="E63" s="657">
        <v>260</v>
      </c>
      <c r="F63" s="657">
        <f t="shared" ref="F63" si="26">E63</f>
        <v>260</v>
      </c>
      <c r="G63" s="683"/>
      <c r="H63" s="13"/>
    </row>
    <row r="64" spans="1:8">
      <c r="A64" s="680"/>
      <c r="B64" s="658"/>
      <c r="C64" s="658"/>
      <c r="D64" s="658"/>
      <c r="E64" s="657"/>
      <c r="F64" s="657"/>
      <c r="G64" s="684"/>
      <c r="H64" s="13"/>
    </row>
    <row r="65" spans="1:8">
      <c r="A65" s="679">
        <v>32</v>
      </c>
      <c r="B65" s="658" t="s">
        <v>3972</v>
      </c>
      <c r="C65" s="658" t="s">
        <v>3971</v>
      </c>
      <c r="D65" s="658" t="s">
        <v>239</v>
      </c>
      <c r="E65" s="657">
        <v>48340</v>
      </c>
      <c r="F65" s="657">
        <v>1590</v>
      </c>
      <c r="G65" s="683">
        <v>3.2892000000000001</v>
      </c>
      <c r="H65" s="13"/>
    </row>
    <row r="66" spans="1:8">
      <c r="A66" s="680"/>
      <c r="B66" s="658"/>
      <c r="C66" s="658"/>
      <c r="D66" s="658"/>
      <c r="E66" s="657"/>
      <c r="F66" s="657"/>
      <c r="G66" s="684"/>
      <c r="H66" s="13"/>
    </row>
    <row r="67" spans="1:8">
      <c r="A67" s="679">
        <v>33</v>
      </c>
      <c r="B67" s="658" t="s">
        <v>867</v>
      </c>
      <c r="C67" s="658" t="s">
        <v>3968</v>
      </c>
      <c r="D67" s="658" t="s">
        <v>3965</v>
      </c>
      <c r="E67" s="657">
        <v>500</v>
      </c>
      <c r="F67" s="657">
        <f t="shared" ref="F67" si="27">E67</f>
        <v>500</v>
      </c>
      <c r="G67" s="800"/>
      <c r="H67" s="13"/>
    </row>
    <row r="68" spans="1:8">
      <c r="A68" s="680"/>
      <c r="B68" s="658"/>
      <c r="C68" s="658"/>
      <c r="D68" s="658"/>
      <c r="E68" s="657"/>
      <c r="F68" s="657"/>
      <c r="G68" s="801"/>
      <c r="H68" s="13"/>
    </row>
    <row r="69" spans="1:8">
      <c r="A69" s="679">
        <v>34</v>
      </c>
      <c r="B69" s="658" t="s">
        <v>868</v>
      </c>
      <c r="C69" s="658" t="s">
        <v>3968</v>
      </c>
      <c r="D69" s="658" t="s">
        <v>2723</v>
      </c>
      <c r="E69" s="657">
        <v>430</v>
      </c>
      <c r="F69" s="657">
        <f t="shared" ref="F69" si="28">E69</f>
        <v>430</v>
      </c>
      <c r="G69" s="800"/>
      <c r="H69" s="13"/>
    </row>
    <row r="70" spans="1:8">
      <c r="A70" s="680"/>
      <c r="B70" s="658"/>
      <c r="C70" s="658"/>
      <c r="D70" s="658"/>
      <c r="E70" s="657"/>
      <c r="F70" s="657"/>
      <c r="G70" s="801"/>
      <c r="H70" s="13"/>
    </row>
    <row r="71" spans="1:8">
      <c r="A71" s="679">
        <v>35</v>
      </c>
      <c r="B71" s="658" t="s">
        <v>877</v>
      </c>
      <c r="C71" s="658" t="s">
        <v>3968</v>
      </c>
      <c r="D71" s="658" t="s">
        <v>2723</v>
      </c>
      <c r="E71" s="657">
        <v>337</v>
      </c>
      <c r="F71" s="657">
        <f t="shared" ref="F71" si="29">E71</f>
        <v>337</v>
      </c>
      <c r="G71" s="800"/>
      <c r="H71" s="13"/>
    </row>
    <row r="72" spans="1:8">
      <c r="A72" s="680"/>
      <c r="B72" s="658"/>
      <c r="C72" s="658"/>
      <c r="D72" s="658"/>
      <c r="E72" s="657"/>
      <c r="F72" s="657"/>
      <c r="G72" s="801"/>
      <c r="H72" s="13"/>
    </row>
    <row r="73" spans="1:8">
      <c r="A73" s="679">
        <v>36</v>
      </c>
      <c r="B73" s="658" t="s">
        <v>3973</v>
      </c>
      <c r="C73" s="658" t="s">
        <v>3968</v>
      </c>
      <c r="D73" s="658" t="s">
        <v>239</v>
      </c>
      <c r="E73" s="657">
        <v>200</v>
      </c>
      <c r="F73" s="657">
        <f t="shared" ref="F73" si="30">E73</f>
        <v>200</v>
      </c>
      <c r="G73" s="800"/>
      <c r="H73" s="13"/>
    </row>
    <row r="74" spans="1:8">
      <c r="A74" s="680"/>
      <c r="B74" s="658"/>
      <c r="C74" s="658"/>
      <c r="D74" s="658"/>
      <c r="E74" s="657"/>
      <c r="F74" s="657"/>
      <c r="G74" s="801"/>
      <c r="H74" s="13"/>
    </row>
    <row r="75" spans="1:8">
      <c r="A75" s="679">
        <v>37</v>
      </c>
      <c r="B75" s="658" t="s">
        <v>3974</v>
      </c>
      <c r="C75" s="658" t="s">
        <v>3971</v>
      </c>
      <c r="D75" s="658" t="s">
        <v>239</v>
      </c>
      <c r="E75" s="657">
        <v>1470</v>
      </c>
      <c r="F75" s="657">
        <v>1470</v>
      </c>
      <c r="G75" s="683"/>
      <c r="H75" s="13"/>
    </row>
    <row r="76" spans="1:8">
      <c r="A76" s="680"/>
      <c r="B76" s="658"/>
      <c r="C76" s="658"/>
      <c r="D76" s="658"/>
      <c r="E76" s="657"/>
      <c r="F76" s="657"/>
      <c r="G76" s="684"/>
      <c r="H76" s="13"/>
    </row>
    <row r="77" spans="1:8">
      <c r="A77" s="679">
        <v>38</v>
      </c>
      <c r="B77" s="658" t="s">
        <v>878</v>
      </c>
      <c r="C77" s="658" t="s">
        <v>3967</v>
      </c>
      <c r="D77" s="658" t="s">
        <v>1601</v>
      </c>
      <c r="E77" s="657">
        <v>1350</v>
      </c>
      <c r="F77" s="657">
        <f t="shared" ref="F77" si="31">E77</f>
        <v>1350</v>
      </c>
      <c r="G77" s="800"/>
      <c r="H77" s="13"/>
    </row>
    <row r="78" spans="1:8">
      <c r="A78" s="680"/>
      <c r="B78" s="658"/>
      <c r="C78" s="658"/>
      <c r="D78" s="658"/>
      <c r="E78" s="657"/>
      <c r="F78" s="657"/>
      <c r="G78" s="801"/>
      <c r="H78" s="13"/>
    </row>
    <row r="79" spans="1:8">
      <c r="A79" s="679">
        <v>39</v>
      </c>
      <c r="B79" s="658" t="s">
        <v>3976</v>
      </c>
      <c r="C79" s="658" t="s">
        <v>3975</v>
      </c>
      <c r="D79" s="658" t="s">
        <v>239</v>
      </c>
      <c r="E79" s="657">
        <v>1470</v>
      </c>
      <c r="F79" s="657">
        <f t="shared" ref="F79" si="32">E79</f>
        <v>1470</v>
      </c>
      <c r="G79" s="800"/>
      <c r="H79" s="13"/>
    </row>
    <row r="80" spans="1:8">
      <c r="A80" s="680"/>
      <c r="B80" s="658"/>
      <c r="C80" s="658"/>
      <c r="D80" s="658"/>
      <c r="E80" s="657"/>
      <c r="F80" s="657"/>
      <c r="G80" s="801"/>
      <c r="H80" s="13"/>
    </row>
    <row r="81" spans="1:8">
      <c r="A81" s="679">
        <v>40</v>
      </c>
      <c r="B81" s="658" t="s">
        <v>851</v>
      </c>
      <c r="C81" s="658" t="s">
        <v>3975</v>
      </c>
      <c r="D81" s="658" t="s">
        <v>3966</v>
      </c>
      <c r="E81" s="657">
        <v>20000</v>
      </c>
      <c r="F81" s="657">
        <v>658</v>
      </c>
      <c r="G81" s="800">
        <v>3.2921</v>
      </c>
      <c r="H81" s="13"/>
    </row>
    <row r="82" spans="1:8">
      <c r="A82" s="680"/>
      <c r="B82" s="658"/>
      <c r="C82" s="658"/>
      <c r="D82" s="658"/>
      <c r="E82" s="657"/>
      <c r="F82" s="657"/>
      <c r="G82" s="801"/>
      <c r="H82" s="13"/>
    </row>
    <row r="83" spans="1:8">
      <c r="A83" s="679">
        <v>41</v>
      </c>
      <c r="B83" s="658" t="s">
        <v>879</v>
      </c>
      <c r="C83" s="658" t="s">
        <v>3967</v>
      </c>
      <c r="D83" s="658" t="s">
        <v>2348</v>
      </c>
      <c r="E83" s="657">
        <v>50</v>
      </c>
      <c r="F83" s="657">
        <f t="shared" ref="F83" si="33">E83</f>
        <v>50</v>
      </c>
      <c r="G83" s="800"/>
      <c r="H83" s="13"/>
    </row>
    <row r="84" spans="1:8">
      <c r="A84" s="680"/>
      <c r="B84" s="658"/>
      <c r="C84" s="658"/>
      <c r="D84" s="658"/>
      <c r="E84" s="657"/>
      <c r="F84" s="657"/>
      <c r="G84" s="801"/>
      <c r="H84" s="13"/>
    </row>
    <row r="85" spans="1:8">
      <c r="A85" s="679">
        <v>42</v>
      </c>
      <c r="B85" s="658" t="s">
        <v>884</v>
      </c>
      <c r="C85" s="658" t="s">
        <v>3967</v>
      </c>
      <c r="D85" s="658" t="s">
        <v>3886</v>
      </c>
      <c r="E85" s="657">
        <v>550</v>
      </c>
      <c r="F85" s="657">
        <f t="shared" ref="F85" si="34">E85</f>
        <v>550</v>
      </c>
      <c r="G85" s="657"/>
      <c r="H85" s="13"/>
    </row>
    <row r="86" spans="1:8">
      <c r="A86" s="680"/>
      <c r="B86" s="658"/>
      <c r="C86" s="658"/>
      <c r="D86" s="658"/>
      <c r="E86" s="657"/>
      <c r="F86" s="657"/>
      <c r="G86" s="657"/>
      <c r="H86" s="13"/>
    </row>
    <row r="87" spans="1:8">
      <c r="A87" s="679">
        <v>43</v>
      </c>
      <c r="B87" s="658" t="s">
        <v>885</v>
      </c>
      <c r="C87" s="658" t="s">
        <v>3967</v>
      </c>
      <c r="D87" s="658" t="s">
        <v>3025</v>
      </c>
      <c r="E87" s="657">
        <v>97</v>
      </c>
      <c r="F87" s="657">
        <f t="shared" ref="F87" si="35">E87</f>
        <v>97</v>
      </c>
      <c r="G87" s="683"/>
      <c r="H87" s="13"/>
    </row>
    <row r="88" spans="1:8">
      <c r="A88" s="680"/>
      <c r="B88" s="658"/>
      <c r="C88" s="658"/>
      <c r="D88" s="658"/>
      <c r="E88" s="657"/>
      <c r="F88" s="657"/>
      <c r="G88" s="684"/>
      <c r="H88" s="13"/>
    </row>
    <row r="89" spans="1:8">
      <c r="A89" s="679">
        <v>44</v>
      </c>
      <c r="B89" s="658" t="s">
        <v>3983</v>
      </c>
      <c r="C89" s="658" t="s">
        <v>3982</v>
      </c>
      <c r="D89" s="658" t="s">
        <v>239</v>
      </c>
      <c r="E89" s="657">
        <v>45192</v>
      </c>
      <c r="F89" s="657">
        <v>1470</v>
      </c>
      <c r="G89" s="683">
        <v>3.2526000000000002</v>
      </c>
      <c r="H89" s="13"/>
    </row>
    <row r="90" spans="1:8">
      <c r="A90" s="680"/>
      <c r="B90" s="658"/>
      <c r="C90" s="658"/>
      <c r="D90" s="658"/>
      <c r="E90" s="657"/>
      <c r="F90" s="657"/>
      <c r="G90" s="684"/>
      <c r="H90" s="13"/>
    </row>
    <row r="91" spans="1:8">
      <c r="A91" s="679">
        <v>45</v>
      </c>
      <c r="B91" s="658" t="s">
        <v>886</v>
      </c>
      <c r="C91" s="658" t="s">
        <v>3980</v>
      </c>
      <c r="D91" s="658" t="s">
        <v>1661</v>
      </c>
      <c r="E91" s="657">
        <v>250</v>
      </c>
      <c r="F91" s="657">
        <f t="shared" ref="F91" si="36">E91</f>
        <v>250</v>
      </c>
      <c r="G91" s="683"/>
      <c r="H91" s="13"/>
    </row>
    <row r="92" spans="1:8">
      <c r="A92" s="680"/>
      <c r="B92" s="658"/>
      <c r="C92" s="658"/>
      <c r="D92" s="658"/>
      <c r="E92" s="657"/>
      <c r="F92" s="657"/>
      <c r="G92" s="684"/>
      <c r="H92" s="13"/>
    </row>
    <row r="93" spans="1:8">
      <c r="A93" s="679">
        <v>46</v>
      </c>
      <c r="B93" s="658" t="s">
        <v>893</v>
      </c>
      <c r="C93" s="658" t="s">
        <v>3980</v>
      </c>
      <c r="D93" s="658" t="s">
        <v>3257</v>
      </c>
      <c r="E93" s="657">
        <v>400</v>
      </c>
      <c r="F93" s="657">
        <f t="shared" ref="F93" si="37">E93</f>
        <v>400</v>
      </c>
      <c r="G93" s="683"/>
      <c r="H93" s="13"/>
    </row>
    <row r="94" spans="1:8">
      <c r="A94" s="680"/>
      <c r="B94" s="658"/>
      <c r="C94" s="658"/>
      <c r="D94" s="658"/>
      <c r="E94" s="657"/>
      <c r="F94" s="657"/>
      <c r="G94" s="684"/>
      <c r="H94" s="13"/>
    </row>
    <row r="95" spans="1:8">
      <c r="A95" s="679">
        <v>47</v>
      </c>
      <c r="B95" s="658" t="s">
        <v>896</v>
      </c>
      <c r="C95" s="658" t="s">
        <v>3980</v>
      </c>
      <c r="D95" s="658" t="s">
        <v>2780</v>
      </c>
      <c r="E95" s="657">
        <v>480</v>
      </c>
      <c r="F95" s="657">
        <f t="shared" ref="F95" si="38">E95</f>
        <v>480</v>
      </c>
      <c r="G95" s="683"/>
      <c r="H95" s="13"/>
    </row>
    <row r="96" spans="1:8">
      <c r="A96" s="680"/>
      <c r="B96" s="658"/>
      <c r="C96" s="658"/>
      <c r="D96" s="658"/>
      <c r="E96" s="657"/>
      <c r="F96" s="657"/>
      <c r="G96" s="684"/>
      <c r="H96" s="13"/>
    </row>
    <row r="97" spans="1:8">
      <c r="A97" s="679">
        <v>48</v>
      </c>
      <c r="B97" s="658" t="s">
        <v>3985</v>
      </c>
      <c r="C97" s="658" t="s">
        <v>3984</v>
      </c>
      <c r="D97" s="658" t="s">
        <v>239</v>
      </c>
      <c r="E97" s="657">
        <v>1470</v>
      </c>
      <c r="F97" s="657">
        <f t="shared" ref="F97" si="39">E97</f>
        <v>1470</v>
      </c>
      <c r="G97" s="683"/>
      <c r="H97" s="13"/>
    </row>
    <row r="98" spans="1:8">
      <c r="A98" s="680"/>
      <c r="B98" s="658"/>
      <c r="C98" s="658"/>
      <c r="D98" s="658"/>
      <c r="E98" s="657"/>
      <c r="F98" s="657"/>
      <c r="G98" s="684"/>
      <c r="H98" s="13"/>
    </row>
    <row r="99" spans="1:8">
      <c r="A99" s="679">
        <v>49</v>
      </c>
      <c r="B99" s="658" t="s">
        <v>903</v>
      </c>
      <c r="C99" s="658" t="s">
        <v>3979</v>
      </c>
      <c r="D99" s="658" t="s">
        <v>3860</v>
      </c>
      <c r="E99" s="657">
        <v>350</v>
      </c>
      <c r="F99" s="657">
        <f t="shared" ref="F99" si="40">E99</f>
        <v>350</v>
      </c>
      <c r="G99" s="683"/>
      <c r="H99" s="13"/>
    </row>
    <row r="100" spans="1:8">
      <c r="A100" s="680"/>
      <c r="B100" s="658"/>
      <c r="C100" s="658"/>
      <c r="D100" s="658"/>
      <c r="E100" s="657"/>
      <c r="F100" s="657"/>
      <c r="G100" s="684"/>
      <c r="H100" s="13"/>
    </row>
    <row r="101" spans="1:8">
      <c r="A101" s="679">
        <v>50</v>
      </c>
      <c r="B101" s="658" t="s">
        <v>910</v>
      </c>
      <c r="C101" s="658" t="s">
        <v>3979</v>
      </c>
      <c r="D101" s="658" t="s">
        <v>2843</v>
      </c>
      <c r="E101" s="657">
        <v>400</v>
      </c>
      <c r="F101" s="657">
        <f t="shared" ref="F101" si="41">E101</f>
        <v>400</v>
      </c>
      <c r="G101" s="683"/>
    </row>
    <row r="102" spans="1:8">
      <c r="A102" s="680"/>
      <c r="B102" s="658"/>
      <c r="C102" s="658"/>
      <c r="D102" s="658"/>
      <c r="E102" s="657"/>
      <c r="F102" s="657"/>
      <c r="G102" s="684"/>
    </row>
    <row r="103" spans="1:8">
      <c r="A103" s="679">
        <v>51</v>
      </c>
      <c r="B103" s="658" t="s">
        <v>913</v>
      </c>
      <c r="C103" s="658" t="s">
        <v>3979</v>
      </c>
      <c r="D103" s="658" t="s">
        <v>3805</v>
      </c>
      <c r="E103" s="657">
        <v>100</v>
      </c>
      <c r="F103" s="657">
        <f t="shared" ref="F103" si="42">E103</f>
        <v>100</v>
      </c>
      <c r="G103" s="683"/>
    </row>
    <row r="104" spans="1:8">
      <c r="A104" s="680"/>
      <c r="B104" s="658"/>
      <c r="C104" s="658"/>
      <c r="D104" s="658"/>
      <c r="E104" s="657"/>
      <c r="F104" s="657"/>
      <c r="G104" s="684"/>
    </row>
    <row r="105" spans="1:8">
      <c r="A105" s="679">
        <v>52</v>
      </c>
      <c r="B105" s="658" t="s">
        <v>914</v>
      </c>
      <c r="C105" s="658" t="s">
        <v>3979</v>
      </c>
      <c r="D105" s="658" t="s">
        <v>2723</v>
      </c>
      <c r="E105" s="657">
        <v>63</v>
      </c>
      <c r="F105" s="657">
        <f t="shared" ref="F105" si="43">E105</f>
        <v>63</v>
      </c>
      <c r="G105" s="657"/>
    </row>
    <row r="106" spans="1:8">
      <c r="A106" s="680"/>
      <c r="B106" s="658"/>
      <c r="C106" s="658"/>
      <c r="D106" s="658"/>
      <c r="E106" s="657"/>
      <c r="F106" s="657"/>
      <c r="G106" s="657"/>
    </row>
    <row r="107" spans="1:8">
      <c r="A107" s="679">
        <v>53</v>
      </c>
      <c r="B107" s="658" t="s">
        <v>3986</v>
      </c>
      <c r="C107" s="658" t="s">
        <v>3982</v>
      </c>
      <c r="D107" s="658" t="s">
        <v>239</v>
      </c>
      <c r="E107" s="657">
        <v>45192</v>
      </c>
      <c r="F107" s="657">
        <v>1470</v>
      </c>
      <c r="G107" s="683">
        <v>3.2526000000000002</v>
      </c>
    </row>
    <row r="108" spans="1:8">
      <c r="A108" s="680"/>
      <c r="B108" s="658"/>
      <c r="C108" s="658"/>
      <c r="D108" s="658"/>
      <c r="E108" s="657"/>
      <c r="F108" s="657"/>
      <c r="G108" s="684"/>
    </row>
    <row r="109" spans="1:8">
      <c r="A109" s="679">
        <v>54</v>
      </c>
      <c r="B109" s="658" t="s">
        <v>918</v>
      </c>
      <c r="C109" s="658" t="s">
        <v>2415</v>
      </c>
      <c r="D109" s="658" t="s">
        <v>3977</v>
      </c>
      <c r="E109" s="657">
        <v>800</v>
      </c>
      <c r="F109" s="657">
        <f t="shared" ref="F109" si="44">E109</f>
        <v>800</v>
      </c>
      <c r="G109" s="683"/>
    </row>
    <row r="110" spans="1:8">
      <c r="A110" s="680"/>
      <c r="B110" s="658"/>
      <c r="C110" s="658"/>
      <c r="D110" s="658"/>
      <c r="E110" s="657"/>
      <c r="F110" s="657"/>
      <c r="G110" s="684"/>
    </row>
    <row r="111" spans="1:8">
      <c r="A111" s="679">
        <v>55</v>
      </c>
      <c r="B111" s="658" t="s">
        <v>921</v>
      </c>
      <c r="C111" s="658" t="s">
        <v>2415</v>
      </c>
      <c r="D111" s="658" t="s">
        <v>3978</v>
      </c>
      <c r="E111" s="657">
        <v>400</v>
      </c>
      <c r="F111" s="657">
        <f t="shared" ref="F111" si="45">E111</f>
        <v>400</v>
      </c>
      <c r="G111" s="683"/>
    </row>
    <row r="112" spans="1:8">
      <c r="A112" s="680"/>
      <c r="B112" s="658"/>
      <c r="C112" s="658"/>
      <c r="D112" s="658"/>
      <c r="E112" s="657"/>
      <c r="F112" s="657"/>
      <c r="G112" s="684"/>
    </row>
    <row r="113" spans="1:7">
      <c r="A113" s="679">
        <v>56</v>
      </c>
      <c r="B113" s="658" t="s">
        <v>3987</v>
      </c>
      <c r="C113" s="658" t="s">
        <v>2415</v>
      </c>
      <c r="D113" s="658" t="s">
        <v>239</v>
      </c>
      <c r="E113" s="657">
        <v>1470</v>
      </c>
      <c r="F113" s="657">
        <f t="shared" ref="F113" si="46">E113</f>
        <v>1470</v>
      </c>
      <c r="G113" s="685"/>
    </row>
    <row r="114" spans="1:7">
      <c r="A114" s="680"/>
      <c r="B114" s="658"/>
      <c r="C114" s="658"/>
      <c r="D114" s="658"/>
      <c r="E114" s="657"/>
      <c r="F114" s="657"/>
      <c r="G114" s="686"/>
    </row>
    <row r="115" spans="1:7">
      <c r="A115" s="679">
        <v>57</v>
      </c>
      <c r="B115" s="658" t="s">
        <v>922</v>
      </c>
      <c r="C115" s="658" t="s">
        <v>3980</v>
      </c>
      <c r="D115" s="658" t="s">
        <v>3309</v>
      </c>
      <c r="E115" s="657">
        <v>420</v>
      </c>
      <c r="F115" s="657">
        <f t="shared" ref="F115" si="47">E115</f>
        <v>420</v>
      </c>
      <c r="G115" s="685"/>
    </row>
    <row r="116" spans="1:7">
      <c r="A116" s="680"/>
      <c r="B116" s="658"/>
      <c r="C116" s="658"/>
      <c r="D116" s="658"/>
      <c r="E116" s="657"/>
      <c r="F116" s="657"/>
      <c r="G116" s="686"/>
    </row>
    <row r="117" spans="1:7">
      <c r="A117" s="679">
        <v>58</v>
      </c>
      <c r="B117" s="658" t="s">
        <v>927</v>
      </c>
      <c r="C117" s="658" t="s">
        <v>3980</v>
      </c>
      <c r="D117" s="658" t="s">
        <v>3025</v>
      </c>
      <c r="E117" s="657">
        <v>97</v>
      </c>
      <c r="F117" s="657">
        <f t="shared" ref="F117" si="48">E117</f>
        <v>97</v>
      </c>
      <c r="G117" s="685"/>
    </row>
    <row r="118" spans="1:7">
      <c r="A118" s="680"/>
      <c r="B118" s="658"/>
      <c r="C118" s="658"/>
      <c r="D118" s="658"/>
      <c r="E118" s="657"/>
      <c r="F118" s="657"/>
      <c r="G118" s="686"/>
    </row>
    <row r="119" spans="1:7">
      <c r="A119" s="679"/>
      <c r="B119" s="658"/>
      <c r="C119" s="658"/>
      <c r="D119" s="658"/>
      <c r="E119" s="657"/>
      <c r="F119" s="657"/>
      <c r="G119" s="685"/>
    </row>
    <row r="120" spans="1:7">
      <c r="A120" s="680"/>
      <c r="B120" s="658"/>
      <c r="C120" s="658"/>
      <c r="D120" s="658"/>
      <c r="E120" s="657"/>
      <c r="F120" s="657"/>
      <c r="G120" s="686"/>
    </row>
    <row r="121" spans="1:7">
      <c r="A121" s="679"/>
      <c r="B121" s="658"/>
      <c r="C121" s="658"/>
      <c r="D121" s="658"/>
      <c r="E121" s="657"/>
      <c r="F121" s="657"/>
      <c r="G121" s="685"/>
    </row>
    <row r="122" spans="1:7">
      <c r="A122" s="680"/>
      <c r="B122" s="658"/>
      <c r="C122" s="658"/>
      <c r="D122" s="658"/>
      <c r="E122" s="657"/>
      <c r="F122" s="657"/>
      <c r="G122" s="686"/>
    </row>
    <row r="123" spans="1:7">
      <c r="A123" s="679"/>
      <c r="B123" s="658"/>
      <c r="C123" s="658"/>
      <c r="D123" s="658"/>
      <c r="E123" s="657"/>
      <c r="F123" s="657"/>
      <c r="G123" s="685"/>
    </row>
    <row r="124" spans="1:7">
      <c r="A124" s="680"/>
      <c r="B124" s="658"/>
      <c r="C124" s="658"/>
      <c r="D124" s="658"/>
      <c r="E124" s="657"/>
      <c r="F124" s="657"/>
      <c r="G124" s="686"/>
    </row>
    <row r="125" spans="1:7">
      <c r="A125" s="687"/>
      <c r="B125" s="658"/>
      <c r="C125" s="658"/>
      <c r="D125" s="658"/>
      <c r="E125" s="657"/>
      <c r="F125" s="657"/>
      <c r="G125" s="685"/>
    </row>
    <row r="126" spans="1:7">
      <c r="A126" s="688"/>
      <c r="B126" s="658"/>
      <c r="C126" s="658"/>
      <c r="D126" s="658"/>
      <c r="E126" s="657"/>
      <c r="F126" s="657"/>
      <c r="G126" s="686"/>
    </row>
    <row r="127" spans="1:7">
      <c r="A127" s="687"/>
      <c r="B127" s="689"/>
      <c r="C127" s="689"/>
      <c r="D127" s="689"/>
      <c r="E127" s="689"/>
      <c r="F127" s="689"/>
      <c r="G127" s="685"/>
    </row>
    <row r="128" spans="1:7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</sheetData>
  <mergeCells count="449">
    <mergeCell ref="G129:G130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"/>
  <sheetViews>
    <sheetView topLeftCell="A22" zoomScaleNormal="100" workbookViewId="0">
      <selection activeCell="D33" sqref="D33:D34"/>
    </sheetView>
  </sheetViews>
  <sheetFormatPr defaultRowHeight="12.75"/>
  <cols>
    <col min="1" max="1" width="10.140625" customWidth="1"/>
    <col min="2" max="2" width="19.7109375" customWidth="1"/>
    <col min="4" max="4" width="42.28515625" customWidth="1"/>
  </cols>
  <sheetData>
    <row r="1" spans="1:8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>
      <c r="A2" s="678" t="s">
        <v>3919</v>
      </c>
      <c r="B2" s="678"/>
      <c r="C2" s="678"/>
      <c r="D2" s="678"/>
      <c r="E2" s="678"/>
      <c r="F2" s="678"/>
      <c r="G2" s="678"/>
      <c r="H2" s="620">
        <f>SUM(F3:F110)</f>
        <v>36188</v>
      </c>
    </row>
    <row r="3" spans="1:8">
      <c r="A3" s="679">
        <v>1</v>
      </c>
      <c r="B3" s="658" t="s">
        <v>620</v>
      </c>
      <c r="C3" s="658" t="s">
        <v>3899</v>
      </c>
      <c r="D3" s="658" t="s">
        <v>3836</v>
      </c>
      <c r="E3" s="657">
        <v>250</v>
      </c>
      <c r="F3" s="657">
        <v>300</v>
      </c>
      <c r="G3" s="657" t="s">
        <v>3838</v>
      </c>
      <c r="H3" s="620">
        <f>H2-F3-F33-F105-F85</f>
        <v>35148</v>
      </c>
    </row>
    <row r="4" spans="1:8">
      <c r="A4" s="680"/>
      <c r="B4" s="658"/>
      <c r="C4" s="658"/>
      <c r="D4" s="658"/>
      <c r="E4" s="657"/>
      <c r="F4" s="657"/>
      <c r="G4" s="657"/>
      <c r="H4" s="13"/>
    </row>
    <row r="5" spans="1:8">
      <c r="A5" s="679">
        <v>2</v>
      </c>
      <c r="B5" s="658" t="s">
        <v>660</v>
      </c>
      <c r="C5" s="658" t="s">
        <v>3861</v>
      </c>
      <c r="D5" s="658" t="s">
        <v>3025</v>
      </c>
      <c r="E5" s="657">
        <v>93</v>
      </c>
      <c r="F5" s="657">
        <f t="shared" ref="F5" si="0">E5</f>
        <v>93</v>
      </c>
      <c r="G5" s="683"/>
      <c r="H5" s="13"/>
    </row>
    <row r="6" spans="1:8">
      <c r="A6" s="680"/>
      <c r="B6" s="658"/>
      <c r="C6" s="658"/>
      <c r="D6" s="658"/>
      <c r="E6" s="657"/>
      <c r="F6" s="657"/>
      <c r="G6" s="684"/>
      <c r="H6" s="13"/>
    </row>
    <row r="7" spans="1:8">
      <c r="A7" s="679">
        <v>3</v>
      </c>
      <c r="B7" s="658" t="s">
        <v>666</v>
      </c>
      <c r="C7" s="658" t="s">
        <v>3861</v>
      </c>
      <c r="D7" s="658" t="s">
        <v>3860</v>
      </c>
      <c r="E7" s="657">
        <v>490</v>
      </c>
      <c r="F7" s="657">
        <f t="shared" ref="F7" si="1">E7</f>
        <v>490</v>
      </c>
      <c r="G7" s="683"/>
      <c r="H7" s="13"/>
    </row>
    <row r="8" spans="1:8">
      <c r="A8" s="680"/>
      <c r="B8" s="658"/>
      <c r="C8" s="658"/>
      <c r="D8" s="658"/>
      <c r="E8" s="657"/>
      <c r="F8" s="657"/>
      <c r="G8" s="684"/>
      <c r="H8" s="13"/>
    </row>
    <row r="9" spans="1:8">
      <c r="A9" s="679">
        <v>4</v>
      </c>
      <c r="B9" s="658" t="s">
        <v>675</v>
      </c>
      <c r="C9" s="658" t="s">
        <v>3861</v>
      </c>
      <c r="D9" s="658" t="s">
        <v>1601</v>
      </c>
      <c r="E9" s="657">
        <v>1050</v>
      </c>
      <c r="F9" s="657">
        <f t="shared" ref="F9" si="2">E9</f>
        <v>1050</v>
      </c>
      <c r="G9" s="683"/>
      <c r="H9" s="13"/>
    </row>
    <row r="10" spans="1:8">
      <c r="A10" s="680"/>
      <c r="B10" s="658"/>
      <c r="C10" s="658"/>
      <c r="D10" s="658"/>
      <c r="E10" s="657"/>
      <c r="F10" s="657"/>
      <c r="G10" s="684"/>
      <c r="H10" s="13"/>
    </row>
    <row r="11" spans="1:8">
      <c r="A11" s="679">
        <v>5</v>
      </c>
      <c r="B11" s="658" t="s">
        <v>3869</v>
      </c>
      <c r="C11" s="658" t="s">
        <v>3861</v>
      </c>
      <c r="D11" s="658" t="s">
        <v>239</v>
      </c>
      <c r="E11" s="657">
        <v>150</v>
      </c>
      <c r="F11" s="657">
        <f t="shared" ref="F11" si="3">E11</f>
        <v>150</v>
      </c>
      <c r="G11" s="683"/>
      <c r="H11" s="13"/>
    </row>
    <row r="12" spans="1:8">
      <c r="A12" s="680"/>
      <c r="B12" s="658"/>
      <c r="C12" s="658"/>
      <c r="D12" s="658"/>
      <c r="E12" s="657"/>
      <c r="F12" s="657"/>
      <c r="G12" s="684"/>
      <c r="H12" s="13"/>
    </row>
    <row r="13" spans="1:8">
      <c r="A13" s="679">
        <v>6</v>
      </c>
      <c r="B13" s="658" t="s">
        <v>676</v>
      </c>
      <c r="C13" s="658" t="s">
        <v>3868</v>
      </c>
      <c r="D13" s="658" t="s">
        <v>3862</v>
      </c>
      <c r="E13" s="657">
        <v>450</v>
      </c>
      <c r="F13" s="657">
        <f t="shared" ref="F13" si="4">E13</f>
        <v>450</v>
      </c>
      <c r="G13" s="683"/>
      <c r="H13" s="13"/>
    </row>
    <row r="14" spans="1:8">
      <c r="A14" s="680"/>
      <c r="B14" s="658"/>
      <c r="C14" s="658"/>
      <c r="D14" s="658"/>
      <c r="E14" s="657"/>
      <c r="F14" s="657"/>
      <c r="G14" s="684"/>
      <c r="H14" s="13"/>
    </row>
    <row r="15" spans="1:8">
      <c r="A15" s="679">
        <v>7</v>
      </c>
      <c r="B15" s="658" t="s">
        <v>3871</v>
      </c>
      <c r="C15" s="658" t="s">
        <v>3861</v>
      </c>
      <c r="D15" s="658" t="s">
        <v>239</v>
      </c>
      <c r="E15" s="657">
        <v>1470</v>
      </c>
      <c r="F15" s="657">
        <f t="shared" ref="F15" si="5">E15</f>
        <v>1470</v>
      </c>
      <c r="G15" s="683"/>
      <c r="H15" s="13"/>
    </row>
    <row r="16" spans="1:8">
      <c r="A16" s="680"/>
      <c r="B16" s="658"/>
      <c r="C16" s="658"/>
      <c r="D16" s="658"/>
      <c r="E16" s="657"/>
      <c r="F16" s="657"/>
      <c r="G16" s="684"/>
      <c r="H16" s="13"/>
    </row>
    <row r="17" spans="1:8">
      <c r="A17" s="679">
        <v>8</v>
      </c>
      <c r="B17" s="658" t="s">
        <v>679</v>
      </c>
      <c r="C17" s="658" t="s">
        <v>3870</v>
      </c>
      <c r="D17" s="658" t="s">
        <v>2723</v>
      </c>
      <c r="E17" s="657">
        <v>675</v>
      </c>
      <c r="F17" s="657">
        <f t="shared" ref="F17" si="6">E17</f>
        <v>675</v>
      </c>
      <c r="G17" s="683"/>
      <c r="H17" s="13"/>
    </row>
    <row r="18" spans="1:8">
      <c r="A18" s="680"/>
      <c r="B18" s="658"/>
      <c r="C18" s="658"/>
      <c r="D18" s="658"/>
      <c r="E18" s="657"/>
      <c r="F18" s="657"/>
      <c r="G18" s="684"/>
      <c r="H18" s="13"/>
    </row>
    <row r="19" spans="1:8">
      <c r="A19" s="679">
        <v>9</v>
      </c>
      <c r="B19" s="658" t="s">
        <v>681</v>
      </c>
      <c r="C19" s="658" t="s">
        <v>3870</v>
      </c>
      <c r="D19" s="658" t="s">
        <v>2723</v>
      </c>
      <c r="E19" s="657">
        <v>470</v>
      </c>
      <c r="F19" s="657">
        <f t="shared" ref="F19" si="7">E19</f>
        <v>470</v>
      </c>
      <c r="G19" s="683"/>
      <c r="H19" s="13"/>
    </row>
    <row r="20" spans="1:8">
      <c r="A20" s="680"/>
      <c r="B20" s="658"/>
      <c r="C20" s="658"/>
      <c r="D20" s="658"/>
      <c r="E20" s="657"/>
      <c r="F20" s="657"/>
      <c r="G20" s="684"/>
      <c r="H20" s="13"/>
    </row>
    <row r="21" spans="1:8">
      <c r="A21" s="679">
        <v>10</v>
      </c>
      <c r="B21" s="658" t="s">
        <v>3874</v>
      </c>
      <c r="C21" s="658" t="s">
        <v>3873</v>
      </c>
      <c r="D21" s="658" t="s">
        <v>1873</v>
      </c>
      <c r="E21" s="657">
        <v>46441</v>
      </c>
      <c r="F21" s="657">
        <v>1530</v>
      </c>
      <c r="G21" s="683">
        <v>3.2945000000000002</v>
      </c>
      <c r="H21" s="13"/>
    </row>
    <row r="22" spans="1:8">
      <c r="A22" s="680"/>
      <c r="B22" s="658"/>
      <c r="C22" s="658"/>
      <c r="D22" s="658"/>
      <c r="E22" s="657"/>
      <c r="F22" s="657"/>
      <c r="G22" s="684"/>
      <c r="H22" s="13"/>
    </row>
    <row r="23" spans="1:8">
      <c r="A23" s="679">
        <v>11</v>
      </c>
      <c r="B23" s="658" t="s">
        <v>682</v>
      </c>
      <c r="C23" s="658" t="s">
        <v>3872</v>
      </c>
      <c r="D23" s="658" t="s">
        <v>3025</v>
      </c>
      <c r="E23" s="657">
        <v>94</v>
      </c>
      <c r="F23" s="657">
        <f t="shared" ref="F23" si="8">E23</f>
        <v>94</v>
      </c>
      <c r="G23" s="683"/>
      <c r="H23" s="13"/>
    </row>
    <row r="24" spans="1:8">
      <c r="A24" s="680"/>
      <c r="B24" s="658"/>
      <c r="C24" s="658"/>
      <c r="D24" s="658"/>
      <c r="E24" s="657"/>
      <c r="F24" s="657"/>
      <c r="G24" s="684"/>
      <c r="H24" s="13"/>
    </row>
    <row r="25" spans="1:8">
      <c r="A25" s="679">
        <v>12</v>
      </c>
      <c r="B25" s="658" t="s">
        <v>694</v>
      </c>
      <c r="C25" s="658" t="s">
        <v>3872</v>
      </c>
      <c r="D25" s="658" t="s">
        <v>2376</v>
      </c>
      <c r="E25" s="657">
        <v>60</v>
      </c>
      <c r="F25" s="657">
        <f t="shared" ref="F25" si="9">E25</f>
        <v>60</v>
      </c>
      <c r="G25" s="683"/>
      <c r="H25" s="13"/>
    </row>
    <row r="26" spans="1:8">
      <c r="A26" s="680"/>
      <c r="B26" s="658"/>
      <c r="C26" s="658"/>
      <c r="D26" s="658"/>
      <c r="E26" s="657"/>
      <c r="F26" s="657"/>
      <c r="G26" s="684"/>
      <c r="H26" s="13"/>
    </row>
    <row r="27" spans="1:8">
      <c r="A27" s="679">
        <v>13</v>
      </c>
      <c r="B27" s="658" t="s">
        <v>683</v>
      </c>
      <c r="C27" s="658" t="s">
        <v>3872</v>
      </c>
      <c r="D27" s="658" t="s">
        <v>3309</v>
      </c>
      <c r="E27" s="657">
        <v>420</v>
      </c>
      <c r="F27" s="657">
        <f t="shared" ref="F27" si="10">E27</f>
        <v>420</v>
      </c>
      <c r="G27" s="683"/>
      <c r="H27" s="13"/>
    </row>
    <row r="28" spans="1:8">
      <c r="A28" s="680"/>
      <c r="B28" s="658"/>
      <c r="C28" s="658"/>
      <c r="D28" s="658"/>
      <c r="E28" s="657"/>
      <c r="F28" s="657"/>
      <c r="G28" s="684"/>
      <c r="H28" s="13"/>
    </row>
    <row r="29" spans="1:8">
      <c r="A29" s="679">
        <v>14</v>
      </c>
      <c r="B29" s="658" t="s">
        <v>3875</v>
      </c>
      <c r="C29" s="658" t="s">
        <v>3873</v>
      </c>
      <c r="D29" s="658" t="s">
        <v>1873</v>
      </c>
      <c r="E29" s="657">
        <v>1470</v>
      </c>
      <c r="F29" s="657">
        <f t="shared" ref="F29" si="11">E29</f>
        <v>1470</v>
      </c>
      <c r="G29" s="683"/>
      <c r="H29" s="13"/>
    </row>
    <row r="30" spans="1:8">
      <c r="A30" s="680"/>
      <c r="B30" s="658"/>
      <c r="C30" s="658"/>
      <c r="D30" s="658"/>
      <c r="E30" s="657"/>
      <c r="F30" s="657"/>
      <c r="G30" s="684"/>
      <c r="H30" s="13"/>
    </row>
    <row r="31" spans="1:8">
      <c r="A31" s="679">
        <v>15</v>
      </c>
      <c r="B31" s="658" t="s">
        <v>693</v>
      </c>
      <c r="C31" s="658" t="s">
        <v>3872</v>
      </c>
      <c r="D31" s="658" t="s">
        <v>3226</v>
      </c>
      <c r="E31" s="657">
        <v>430</v>
      </c>
      <c r="F31" s="657">
        <f t="shared" ref="F31" si="12">E31</f>
        <v>430</v>
      </c>
      <c r="G31" s="683"/>
      <c r="H31" s="13"/>
    </row>
    <row r="32" spans="1:8">
      <c r="A32" s="680"/>
      <c r="B32" s="658"/>
      <c r="C32" s="658"/>
      <c r="D32" s="658"/>
      <c r="E32" s="657"/>
      <c r="F32" s="657"/>
      <c r="G32" s="684"/>
      <c r="H32" s="13"/>
    </row>
    <row r="33" spans="1:8">
      <c r="A33" s="679">
        <v>16</v>
      </c>
      <c r="B33" s="658" t="s">
        <v>721</v>
      </c>
      <c r="C33" s="658" t="s">
        <v>3897</v>
      </c>
      <c r="D33" s="658" t="s">
        <v>3836</v>
      </c>
      <c r="E33" s="657" t="s">
        <v>3898</v>
      </c>
      <c r="F33" s="657">
        <v>200</v>
      </c>
      <c r="G33" s="657" t="s">
        <v>3838</v>
      </c>
      <c r="H33" s="13"/>
    </row>
    <row r="34" spans="1:8">
      <c r="A34" s="680"/>
      <c r="B34" s="658"/>
      <c r="C34" s="658"/>
      <c r="D34" s="658"/>
      <c r="E34" s="657"/>
      <c r="F34" s="657"/>
      <c r="G34" s="657"/>
      <c r="H34" s="13"/>
    </row>
    <row r="35" spans="1:8">
      <c r="A35" s="679">
        <v>17</v>
      </c>
      <c r="B35" s="658" t="s">
        <v>3891</v>
      </c>
      <c r="C35" s="658" t="s">
        <v>3890</v>
      </c>
      <c r="D35" s="658" t="s">
        <v>239</v>
      </c>
      <c r="E35" s="657">
        <v>1470</v>
      </c>
      <c r="F35" s="657">
        <f t="shared" ref="F35" si="13">E35</f>
        <v>1470</v>
      </c>
      <c r="G35" s="683"/>
      <c r="H35" s="13"/>
    </row>
    <row r="36" spans="1:8">
      <c r="A36" s="680"/>
      <c r="B36" s="658"/>
      <c r="C36" s="658"/>
      <c r="D36" s="658"/>
      <c r="E36" s="657"/>
      <c r="F36" s="657"/>
      <c r="G36" s="684"/>
      <c r="H36" s="13"/>
    </row>
    <row r="37" spans="1:8">
      <c r="A37" s="679">
        <v>18</v>
      </c>
      <c r="B37" s="658" t="s">
        <v>700</v>
      </c>
      <c r="C37" s="658" t="s">
        <v>3887</v>
      </c>
      <c r="D37" s="658" t="s">
        <v>3812</v>
      </c>
      <c r="E37" s="657">
        <v>15000</v>
      </c>
      <c r="F37" s="657">
        <v>492</v>
      </c>
      <c r="G37" s="683">
        <v>3.2808000000000002</v>
      </c>
      <c r="H37" s="13"/>
    </row>
    <row r="38" spans="1:8">
      <c r="A38" s="680"/>
      <c r="B38" s="658"/>
      <c r="C38" s="658"/>
      <c r="D38" s="658"/>
      <c r="E38" s="657"/>
      <c r="F38" s="657"/>
      <c r="G38" s="684"/>
      <c r="H38" s="13"/>
    </row>
    <row r="39" spans="1:8">
      <c r="A39" s="679">
        <v>19</v>
      </c>
      <c r="B39" s="658" t="s">
        <v>701</v>
      </c>
      <c r="C39" s="658" t="s">
        <v>3887</v>
      </c>
      <c r="D39" s="658" t="s">
        <v>2723</v>
      </c>
      <c r="E39" s="657">
        <v>110</v>
      </c>
      <c r="F39" s="657">
        <f t="shared" ref="F39" si="14">E39</f>
        <v>110</v>
      </c>
      <c r="G39" s="683"/>
      <c r="H39" s="13"/>
    </row>
    <row r="40" spans="1:8">
      <c r="A40" s="680"/>
      <c r="B40" s="658"/>
      <c r="C40" s="658"/>
      <c r="D40" s="658"/>
      <c r="E40" s="657"/>
      <c r="F40" s="657"/>
      <c r="G40" s="684"/>
      <c r="H40" s="13"/>
    </row>
    <row r="41" spans="1:8">
      <c r="A41" s="679">
        <v>20</v>
      </c>
      <c r="B41" s="658" t="s">
        <v>702</v>
      </c>
      <c r="C41" s="658" t="s">
        <v>3887</v>
      </c>
      <c r="D41" s="658" t="s">
        <v>2780</v>
      </c>
      <c r="E41" s="657">
        <v>500</v>
      </c>
      <c r="F41" s="657">
        <f t="shared" ref="F41" si="15">E41</f>
        <v>500</v>
      </c>
      <c r="G41" s="683"/>
      <c r="H41" s="13"/>
    </row>
    <row r="42" spans="1:8">
      <c r="A42" s="680"/>
      <c r="B42" s="658"/>
      <c r="C42" s="658"/>
      <c r="D42" s="658"/>
      <c r="E42" s="657"/>
      <c r="F42" s="657"/>
      <c r="G42" s="684"/>
      <c r="H42" s="13"/>
    </row>
    <row r="43" spans="1:8">
      <c r="A43" s="679">
        <v>21</v>
      </c>
      <c r="B43" s="658" t="s">
        <v>3892</v>
      </c>
      <c r="C43" s="658" t="s">
        <v>3890</v>
      </c>
      <c r="D43" s="658" t="s">
        <v>239</v>
      </c>
      <c r="E43" s="657">
        <v>44754</v>
      </c>
      <c r="F43" s="657">
        <v>1470</v>
      </c>
      <c r="G43" s="683">
        <v>3.2846000000000002</v>
      </c>
      <c r="H43" s="13"/>
    </row>
    <row r="44" spans="1:8">
      <c r="A44" s="680"/>
      <c r="B44" s="658"/>
      <c r="C44" s="658"/>
      <c r="D44" s="658"/>
      <c r="E44" s="657"/>
      <c r="F44" s="657"/>
      <c r="G44" s="684"/>
      <c r="H44" s="13"/>
    </row>
    <row r="45" spans="1:8">
      <c r="A45" s="679">
        <v>22</v>
      </c>
      <c r="B45" s="658" t="s">
        <v>704</v>
      </c>
      <c r="C45" s="658" t="s">
        <v>3887</v>
      </c>
      <c r="D45" s="658" t="s">
        <v>2780</v>
      </c>
      <c r="E45" s="657">
        <v>480</v>
      </c>
      <c r="F45" s="657">
        <f t="shared" ref="F45" si="16">E45</f>
        <v>480</v>
      </c>
      <c r="G45" s="683"/>
      <c r="H45" s="13"/>
    </row>
    <row r="46" spans="1:8">
      <c r="A46" s="680"/>
      <c r="B46" s="658"/>
      <c r="C46" s="658"/>
      <c r="D46" s="658"/>
      <c r="E46" s="657"/>
      <c r="F46" s="657"/>
      <c r="G46" s="684"/>
      <c r="H46" s="13"/>
    </row>
    <row r="47" spans="1:8">
      <c r="A47" s="679">
        <v>23</v>
      </c>
      <c r="B47" s="658" t="s">
        <v>708</v>
      </c>
      <c r="C47" s="658" t="s">
        <v>3887</v>
      </c>
      <c r="D47" s="658" t="s">
        <v>3884</v>
      </c>
      <c r="E47" s="657">
        <v>380</v>
      </c>
      <c r="F47" s="657">
        <f t="shared" ref="F47" si="17">E47</f>
        <v>380</v>
      </c>
      <c r="G47" s="683"/>
      <c r="H47" s="13"/>
    </row>
    <row r="48" spans="1:8">
      <c r="A48" s="680"/>
      <c r="B48" s="658"/>
      <c r="C48" s="658"/>
      <c r="D48" s="658"/>
      <c r="E48" s="657"/>
      <c r="F48" s="657"/>
      <c r="G48" s="684"/>
      <c r="H48" s="13"/>
    </row>
    <row r="49" spans="1:8">
      <c r="A49" s="679">
        <v>24</v>
      </c>
      <c r="B49" s="658" t="s">
        <v>3894</v>
      </c>
      <c r="C49" s="658" t="s">
        <v>3893</v>
      </c>
      <c r="D49" s="658" t="s">
        <v>239</v>
      </c>
      <c r="E49" s="657">
        <v>1470</v>
      </c>
      <c r="F49" s="657">
        <f t="shared" ref="F49" si="18">E49</f>
        <v>1470</v>
      </c>
      <c r="G49" s="683"/>
      <c r="H49" s="13"/>
    </row>
    <row r="50" spans="1:8">
      <c r="A50" s="680"/>
      <c r="B50" s="658"/>
      <c r="C50" s="658"/>
      <c r="D50" s="658"/>
      <c r="E50" s="657"/>
      <c r="F50" s="657"/>
      <c r="G50" s="684"/>
      <c r="H50" s="13"/>
    </row>
    <row r="51" spans="1:8">
      <c r="A51" s="679">
        <v>25</v>
      </c>
      <c r="B51" s="658" t="s">
        <v>709</v>
      </c>
      <c r="C51" s="658" t="s">
        <v>3889</v>
      </c>
      <c r="D51" s="658" t="s">
        <v>2723</v>
      </c>
      <c r="E51" s="657">
        <v>470</v>
      </c>
      <c r="F51" s="657">
        <f t="shared" ref="F51" si="19">E51</f>
        <v>470</v>
      </c>
      <c r="G51" s="683"/>
      <c r="H51" s="13"/>
    </row>
    <row r="52" spans="1:8">
      <c r="A52" s="680"/>
      <c r="B52" s="658"/>
      <c r="C52" s="658"/>
      <c r="D52" s="658"/>
      <c r="E52" s="657"/>
      <c r="F52" s="657"/>
      <c r="G52" s="684"/>
      <c r="H52" s="13"/>
    </row>
    <row r="53" spans="1:8">
      <c r="A53" s="679">
        <v>26</v>
      </c>
      <c r="B53" s="658" t="s">
        <v>710</v>
      </c>
      <c r="C53" s="658" t="s">
        <v>3889</v>
      </c>
      <c r="D53" s="658" t="s">
        <v>3885</v>
      </c>
      <c r="E53" s="657">
        <v>420</v>
      </c>
      <c r="F53" s="657">
        <f t="shared" ref="F53" si="20">E53</f>
        <v>420</v>
      </c>
      <c r="G53" s="683"/>
      <c r="H53" s="13"/>
    </row>
    <row r="54" spans="1:8">
      <c r="A54" s="680"/>
      <c r="B54" s="658"/>
      <c r="C54" s="658"/>
      <c r="D54" s="658"/>
      <c r="E54" s="657"/>
      <c r="F54" s="657"/>
      <c r="G54" s="684"/>
      <c r="H54" s="13"/>
    </row>
    <row r="55" spans="1:8">
      <c r="A55" s="679">
        <v>27</v>
      </c>
      <c r="B55" s="658" t="s">
        <v>711</v>
      </c>
      <c r="C55" s="658" t="s">
        <v>3889</v>
      </c>
      <c r="D55" s="658" t="s">
        <v>3025</v>
      </c>
      <c r="E55" s="657">
        <v>94</v>
      </c>
      <c r="F55" s="657">
        <f t="shared" ref="F55" si="21">E55</f>
        <v>94</v>
      </c>
      <c r="G55" s="683"/>
      <c r="H55" s="13"/>
    </row>
    <row r="56" spans="1:8">
      <c r="A56" s="680"/>
      <c r="B56" s="658"/>
      <c r="C56" s="658"/>
      <c r="D56" s="658"/>
      <c r="E56" s="657"/>
      <c r="F56" s="657"/>
      <c r="G56" s="684"/>
      <c r="H56" s="13"/>
    </row>
    <row r="57" spans="1:8">
      <c r="A57" s="679">
        <v>28</v>
      </c>
      <c r="B57" s="658" t="s">
        <v>3896</v>
      </c>
      <c r="C57" s="658" t="s">
        <v>3895</v>
      </c>
      <c r="D57" s="658" t="s">
        <v>239</v>
      </c>
      <c r="E57" s="657">
        <v>44641</v>
      </c>
      <c r="F57" s="657">
        <v>1470</v>
      </c>
      <c r="G57" s="683">
        <v>3.2928999999999999</v>
      </c>
      <c r="H57" s="13"/>
    </row>
    <row r="58" spans="1:8">
      <c r="A58" s="680"/>
      <c r="B58" s="658"/>
      <c r="C58" s="658"/>
      <c r="D58" s="658"/>
      <c r="E58" s="657"/>
      <c r="F58" s="657"/>
      <c r="G58" s="684"/>
      <c r="H58" s="13"/>
    </row>
    <row r="59" spans="1:8">
      <c r="A59" s="679">
        <v>29</v>
      </c>
      <c r="B59" s="658" t="s">
        <v>716</v>
      </c>
      <c r="C59" s="658" t="s">
        <v>3889</v>
      </c>
      <c r="D59" s="658" t="s">
        <v>1140</v>
      </c>
      <c r="E59" s="657">
        <v>300</v>
      </c>
      <c r="F59" s="657">
        <f t="shared" ref="F59" si="22">E59</f>
        <v>300</v>
      </c>
      <c r="G59" s="683"/>
      <c r="H59" s="13"/>
    </row>
    <row r="60" spans="1:8">
      <c r="A60" s="680"/>
      <c r="B60" s="658"/>
      <c r="C60" s="658"/>
      <c r="D60" s="658"/>
      <c r="E60" s="657"/>
      <c r="F60" s="657"/>
      <c r="G60" s="684"/>
      <c r="H60" s="13"/>
    </row>
    <row r="61" spans="1:8">
      <c r="A61" s="679">
        <v>30</v>
      </c>
      <c r="B61" s="658" t="s">
        <v>717</v>
      </c>
      <c r="C61" s="658" t="s">
        <v>3889</v>
      </c>
      <c r="D61" s="658" t="s">
        <v>2517</v>
      </c>
      <c r="E61" s="657">
        <v>274</v>
      </c>
      <c r="F61" s="657">
        <f t="shared" ref="F61" si="23">E61</f>
        <v>274</v>
      </c>
      <c r="G61" s="683"/>
      <c r="H61" s="13"/>
    </row>
    <row r="62" spans="1:8">
      <c r="A62" s="680"/>
      <c r="B62" s="658"/>
      <c r="C62" s="658"/>
      <c r="D62" s="658"/>
      <c r="E62" s="657"/>
      <c r="F62" s="657"/>
      <c r="G62" s="684"/>
      <c r="H62" s="13"/>
    </row>
    <row r="63" spans="1:8">
      <c r="A63" s="679">
        <v>31</v>
      </c>
      <c r="B63" s="658" t="s">
        <v>720</v>
      </c>
      <c r="C63" s="659" t="s">
        <v>3888</v>
      </c>
      <c r="D63" s="658" t="s">
        <v>3886</v>
      </c>
      <c r="E63" s="657">
        <v>570</v>
      </c>
      <c r="F63" s="657">
        <f t="shared" ref="F63" si="24">E63</f>
        <v>570</v>
      </c>
      <c r="G63" s="683"/>
      <c r="H63" s="13"/>
    </row>
    <row r="64" spans="1:8">
      <c r="A64" s="680"/>
      <c r="B64" s="658"/>
      <c r="C64" s="660"/>
      <c r="D64" s="658"/>
      <c r="E64" s="657"/>
      <c r="F64" s="657"/>
      <c r="G64" s="684"/>
      <c r="H64" s="13"/>
    </row>
    <row r="65" spans="1:8">
      <c r="A65" s="679">
        <v>32</v>
      </c>
      <c r="B65" s="658" t="s">
        <v>3904</v>
      </c>
      <c r="C65" s="658" t="s">
        <v>3889</v>
      </c>
      <c r="D65" s="658" t="s">
        <v>239</v>
      </c>
      <c r="E65" s="657">
        <v>44965</v>
      </c>
      <c r="F65" s="657">
        <v>1470</v>
      </c>
      <c r="G65" s="683">
        <v>3.2692000000000001</v>
      </c>
      <c r="H65" s="13"/>
    </row>
    <row r="66" spans="1:8">
      <c r="A66" s="680"/>
      <c r="B66" s="658"/>
      <c r="C66" s="658"/>
      <c r="D66" s="658"/>
      <c r="E66" s="657"/>
      <c r="F66" s="657"/>
      <c r="G66" s="684"/>
      <c r="H66" s="13"/>
    </row>
    <row r="67" spans="1:8">
      <c r="A67" s="679">
        <v>33</v>
      </c>
      <c r="B67" s="658" t="s">
        <v>728</v>
      </c>
      <c r="C67" s="658" t="s">
        <v>3903</v>
      </c>
      <c r="D67" s="658" t="s">
        <v>2723</v>
      </c>
      <c r="E67" s="657">
        <v>400</v>
      </c>
      <c r="F67" s="657">
        <f t="shared" ref="F67" si="25">E67</f>
        <v>400</v>
      </c>
      <c r="G67" s="800"/>
      <c r="H67" s="13"/>
    </row>
    <row r="68" spans="1:8">
      <c r="A68" s="680"/>
      <c r="B68" s="658"/>
      <c r="C68" s="658"/>
      <c r="D68" s="658"/>
      <c r="E68" s="657"/>
      <c r="F68" s="657"/>
      <c r="G68" s="801"/>
      <c r="H68" s="13"/>
    </row>
    <row r="69" spans="1:8">
      <c r="A69" s="679">
        <v>34</v>
      </c>
      <c r="B69" s="658" t="s">
        <v>732</v>
      </c>
      <c r="C69" s="658" t="s">
        <v>3903</v>
      </c>
      <c r="D69" s="658" t="s">
        <v>2723</v>
      </c>
      <c r="E69" s="657">
        <v>780</v>
      </c>
      <c r="F69" s="657">
        <f t="shared" ref="F69" si="26">E69</f>
        <v>780</v>
      </c>
      <c r="G69" s="800"/>
      <c r="H69" s="13"/>
    </row>
    <row r="70" spans="1:8">
      <c r="A70" s="680"/>
      <c r="B70" s="658"/>
      <c r="C70" s="658"/>
      <c r="D70" s="658"/>
      <c r="E70" s="657"/>
      <c r="F70" s="657"/>
      <c r="G70" s="801"/>
      <c r="H70" s="13"/>
    </row>
    <row r="71" spans="1:8">
      <c r="A71" s="679">
        <v>35</v>
      </c>
      <c r="B71" s="658" t="s">
        <v>734</v>
      </c>
      <c r="C71" s="658" t="s">
        <v>3903</v>
      </c>
      <c r="D71" s="658" t="s">
        <v>2348</v>
      </c>
      <c r="E71" s="657">
        <v>50</v>
      </c>
      <c r="F71" s="657">
        <f t="shared" ref="F71" si="27">E71</f>
        <v>50</v>
      </c>
      <c r="G71" s="800"/>
      <c r="H71" s="13"/>
    </row>
    <row r="72" spans="1:8">
      <c r="A72" s="680"/>
      <c r="B72" s="658"/>
      <c r="C72" s="658"/>
      <c r="D72" s="658"/>
      <c r="E72" s="657"/>
      <c r="F72" s="657"/>
      <c r="G72" s="801"/>
      <c r="H72" s="13"/>
    </row>
    <row r="73" spans="1:8">
      <c r="A73" s="679">
        <v>36</v>
      </c>
      <c r="B73" s="658" t="s">
        <v>3905</v>
      </c>
      <c r="C73" s="658" t="s">
        <v>3903</v>
      </c>
      <c r="D73" s="658" t="s">
        <v>239</v>
      </c>
      <c r="E73" s="657">
        <v>120</v>
      </c>
      <c r="F73" s="657">
        <f t="shared" ref="F73" si="28">E73</f>
        <v>120</v>
      </c>
      <c r="G73" s="800"/>
      <c r="H73" s="13"/>
    </row>
    <row r="74" spans="1:8">
      <c r="A74" s="680"/>
      <c r="B74" s="658"/>
      <c r="C74" s="658"/>
      <c r="D74" s="658"/>
      <c r="E74" s="657"/>
      <c r="F74" s="657"/>
      <c r="G74" s="801"/>
      <c r="H74" s="13"/>
    </row>
    <row r="75" spans="1:8">
      <c r="A75" s="679">
        <v>37</v>
      </c>
      <c r="B75" s="658" t="s">
        <v>3907</v>
      </c>
      <c r="C75" s="658" t="s">
        <v>3906</v>
      </c>
      <c r="D75" s="658" t="s">
        <v>239</v>
      </c>
      <c r="E75" s="657">
        <v>2080</v>
      </c>
      <c r="F75" s="657">
        <f t="shared" ref="F75" si="29">E75</f>
        <v>2080</v>
      </c>
      <c r="G75" s="683"/>
      <c r="H75" s="13"/>
    </row>
    <row r="76" spans="1:8">
      <c r="A76" s="680"/>
      <c r="B76" s="658"/>
      <c r="C76" s="658"/>
      <c r="D76" s="658"/>
      <c r="E76" s="657"/>
      <c r="F76" s="657"/>
      <c r="G76" s="684"/>
      <c r="H76" s="13"/>
    </row>
    <row r="77" spans="1:8">
      <c r="A77" s="679">
        <v>38</v>
      </c>
      <c r="B77" s="658" t="s">
        <v>741</v>
      </c>
      <c r="C77" s="658" t="s">
        <v>3902</v>
      </c>
      <c r="D77" s="658" t="s">
        <v>3309</v>
      </c>
      <c r="E77" s="657">
        <v>320</v>
      </c>
      <c r="F77" s="657">
        <f t="shared" ref="F77" si="30">E77</f>
        <v>320</v>
      </c>
      <c r="G77" s="800"/>
      <c r="H77" s="13"/>
    </row>
    <row r="78" spans="1:8">
      <c r="A78" s="680"/>
      <c r="B78" s="658"/>
      <c r="C78" s="658"/>
      <c r="D78" s="658"/>
      <c r="E78" s="657"/>
      <c r="F78" s="657"/>
      <c r="G78" s="801"/>
      <c r="H78" s="13"/>
    </row>
    <row r="79" spans="1:8">
      <c r="A79" s="679">
        <v>39</v>
      </c>
      <c r="B79" s="658" t="s">
        <v>736</v>
      </c>
      <c r="C79" s="658" t="s">
        <v>3902</v>
      </c>
      <c r="D79" s="658" t="s">
        <v>3025</v>
      </c>
      <c r="E79" s="657">
        <v>96</v>
      </c>
      <c r="F79" s="657">
        <f t="shared" ref="F79" si="31">E79</f>
        <v>96</v>
      </c>
      <c r="G79" s="800"/>
      <c r="H79" s="13"/>
    </row>
    <row r="80" spans="1:8">
      <c r="A80" s="680"/>
      <c r="B80" s="658"/>
      <c r="C80" s="658"/>
      <c r="D80" s="658"/>
      <c r="E80" s="657"/>
      <c r="F80" s="657"/>
      <c r="G80" s="801"/>
      <c r="H80" s="13"/>
    </row>
    <row r="81" spans="1:8">
      <c r="A81" s="679">
        <v>40</v>
      </c>
      <c r="B81" s="658" t="s">
        <v>3908</v>
      </c>
      <c r="C81" s="658" t="s">
        <v>3900</v>
      </c>
      <c r="D81" s="658" t="s">
        <v>239</v>
      </c>
      <c r="E81" s="657">
        <v>45335</v>
      </c>
      <c r="F81" s="657">
        <v>1470</v>
      </c>
      <c r="G81" s="800">
        <v>3.2425000000000002</v>
      </c>
      <c r="H81" s="13"/>
    </row>
    <row r="82" spans="1:8">
      <c r="A82" s="680"/>
      <c r="B82" s="658"/>
      <c r="C82" s="658"/>
      <c r="D82" s="658"/>
      <c r="E82" s="657"/>
      <c r="F82" s="657"/>
      <c r="G82" s="801"/>
      <c r="H82" s="13"/>
    </row>
    <row r="83" spans="1:8">
      <c r="A83" s="679">
        <v>41</v>
      </c>
      <c r="B83" s="658" t="s">
        <v>740</v>
      </c>
      <c r="C83" s="658" t="s">
        <v>3902</v>
      </c>
      <c r="D83" s="658" t="s">
        <v>1601</v>
      </c>
      <c r="E83" s="657">
        <v>1350</v>
      </c>
      <c r="F83" s="657">
        <f t="shared" ref="F83" si="32">E83</f>
        <v>1350</v>
      </c>
      <c r="G83" s="800"/>
      <c r="H83" s="13"/>
    </row>
    <row r="84" spans="1:8">
      <c r="A84" s="680"/>
      <c r="B84" s="658"/>
      <c r="C84" s="658"/>
      <c r="D84" s="658"/>
      <c r="E84" s="657"/>
      <c r="F84" s="657"/>
      <c r="G84" s="801"/>
      <c r="H84" s="13"/>
    </row>
    <row r="85" spans="1:8">
      <c r="A85" s="679">
        <v>42</v>
      </c>
      <c r="B85" s="658" t="s">
        <v>722</v>
      </c>
      <c r="C85" s="658" t="s">
        <v>3900</v>
      </c>
      <c r="D85" s="658" t="s">
        <v>3901</v>
      </c>
      <c r="E85" s="657">
        <v>200</v>
      </c>
      <c r="F85" s="657">
        <v>240</v>
      </c>
      <c r="G85" s="657" t="s">
        <v>3838</v>
      </c>
      <c r="H85" s="13"/>
    </row>
    <row r="86" spans="1:8">
      <c r="A86" s="680"/>
      <c r="B86" s="658"/>
      <c r="C86" s="658"/>
      <c r="D86" s="658"/>
      <c r="E86" s="657"/>
      <c r="F86" s="657"/>
      <c r="G86" s="657"/>
      <c r="H86" s="13"/>
    </row>
    <row r="87" spans="1:8">
      <c r="A87" s="679">
        <v>43</v>
      </c>
      <c r="B87" s="658" t="s">
        <v>3921</v>
      </c>
      <c r="C87" s="658" t="s">
        <v>3920</v>
      </c>
      <c r="D87" s="658" t="s">
        <v>239</v>
      </c>
      <c r="E87" s="657">
        <v>45142</v>
      </c>
      <c r="F87" s="657">
        <v>1470</v>
      </c>
      <c r="G87" s="683">
        <v>3.2564000000000002</v>
      </c>
      <c r="H87" s="13"/>
    </row>
    <row r="88" spans="1:8">
      <c r="A88" s="680"/>
      <c r="B88" s="658"/>
      <c r="C88" s="658"/>
      <c r="D88" s="658"/>
      <c r="E88" s="657"/>
      <c r="F88" s="657"/>
      <c r="G88" s="684"/>
      <c r="H88" s="13"/>
    </row>
    <row r="89" spans="1:8">
      <c r="A89" s="679">
        <v>44</v>
      </c>
      <c r="B89" s="658" t="s">
        <v>735</v>
      </c>
      <c r="C89" s="658" t="s">
        <v>3910</v>
      </c>
      <c r="D89" s="658" t="s">
        <v>3226</v>
      </c>
      <c r="E89" s="657">
        <v>280</v>
      </c>
      <c r="F89" s="657">
        <f t="shared" ref="F89" si="33">E89</f>
        <v>280</v>
      </c>
      <c r="G89" s="683"/>
      <c r="H89" s="13"/>
    </row>
    <row r="90" spans="1:8">
      <c r="A90" s="680"/>
      <c r="B90" s="658"/>
      <c r="C90" s="658"/>
      <c r="D90" s="658"/>
      <c r="E90" s="657"/>
      <c r="F90" s="657"/>
      <c r="G90" s="684"/>
      <c r="H90" s="13"/>
    </row>
    <row r="91" spans="1:8">
      <c r="A91" s="679">
        <v>45</v>
      </c>
      <c r="B91" s="658" t="s">
        <v>742</v>
      </c>
      <c r="C91" s="658" t="s">
        <v>3910</v>
      </c>
      <c r="D91" s="658" t="s">
        <v>2723</v>
      </c>
      <c r="E91" s="657">
        <v>370</v>
      </c>
      <c r="F91" s="657">
        <f t="shared" ref="F91" si="34">E91</f>
        <v>370</v>
      </c>
      <c r="G91" s="683"/>
      <c r="H91" s="13"/>
    </row>
    <row r="92" spans="1:8">
      <c r="A92" s="680"/>
      <c r="B92" s="658"/>
      <c r="C92" s="658"/>
      <c r="D92" s="658"/>
      <c r="E92" s="657"/>
      <c r="F92" s="657"/>
      <c r="G92" s="684"/>
      <c r="H92" s="13"/>
    </row>
    <row r="93" spans="1:8">
      <c r="A93" s="679">
        <v>46</v>
      </c>
      <c r="B93" s="658" t="s">
        <v>762</v>
      </c>
      <c r="C93" s="658" t="s">
        <v>3910</v>
      </c>
      <c r="D93" s="658" t="s">
        <v>57</v>
      </c>
      <c r="E93" s="657">
        <v>500</v>
      </c>
      <c r="F93" s="657">
        <f t="shared" ref="F93" si="35">E93</f>
        <v>500</v>
      </c>
      <c r="G93" s="683"/>
      <c r="H93" s="13"/>
    </row>
    <row r="94" spans="1:8">
      <c r="A94" s="680"/>
      <c r="B94" s="658"/>
      <c r="C94" s="658"/>
      <c r="D94" s="658"/>
      <c r="E94" s="657"/>
      <c r="F94" s="657"/>
      <c r="G94" s="684"/>
      <c r="H94" s="13"/>
    </row>
    <row r="95" spans="1:8">
      <c r="A95" s="679">
        <v>47</v>
      </c>
      <c r="B95" s="658" t="s">
        <v>800</v>
      </c>
      <c r="C95" s="658" t="s">
        <v>3910</v>
      </c>
      <c r="D95" s="658" t="s">
        <v>57</v>
      </c>
      <c r="E95" s="657">
        <v>150</v>
      </c>
      <c r="F95" s="657">
        <f t="shared" ref="F95" si="36">E95</f>
        <v>150</v>
      </c>
      <c r="G95" s="683"/>
      <c r="H95" s="13"/>
    </row>
    <row r="96" spans="1:8">
      <c r="A96" s="680"/>
      <c r="B96" s="658"/>
      <c r="C96" s="658"/>
      <c r="D96" s="658"/>
      <c r="E96" s="657"/>
      <c r="F96" s="657"/>
      <c r="G96" s="684"/>
      <c r="H96" s="13"/>
    </row>
    <row r="97" spans="1:8">
      <c r="A97" s="679">
        <v>48</v>
      </c>
      <c r="B97" s="658" t="s">
        <v>763</v>
      </c>
      <c r="C97" s="692" t="s">
        <v>3911</v>
      </c>
      <c r="D97" s="658" t="s">
        <v>2376</v>
      </c>
      <c r="E97" s="657">
        <v>60</v>
      </c>
      <c r="F97" s="657">
        <f t="shared" ref="F97" si="37">E97</f>
        <v>60</v>
      </c>
      <c r="G97" s="683"/>
      <c r="H97" s="13"/>
    </row>
    <row r="98" spans="1:8">
      <c r="A98" s="680"/>
      <c r="B98" s="658"/>
      <c r="C98" s="692"/>
      <c r="D98" s="658"/>
      <c r="E98" s="657"/>
      <c r="F98" s="657"/>
      <c r="G98" s="684"/>
      <c r="H98" s="13"/>
    </row>
    <row r="99" spans="1:8">
      <c r="A99" s="679">
        <v>49</v>
      </c>
      <c r="B99" s="658" t="s">
        <v>3917</v>
      </c>
      <c r="C99" s="658" t="s">
        <v>3914</v>
      </c>
      <c r="D99" s="658" t="s">
        <v>239</v>
      </c>
      <c r="E99" s="657">
        <v>1530</v>
      </c>
      <c r="F99" s="657">
        <f t="shared" ref="F99" si="38">E99</f>
        <v>1530</v>
      </c>
      <c r="G99" s="683"/>
      <c r="H99" s="13"/>
    </row>
    <row r="100" spans="1:8">
      <c r="A100" s="680"/>
      <c r="B100" s="658"/>
      <c r="C100" s="658"/>
      <c r="D100" s="658"/>
      <c r="E100" s="657"/>
      <c r="F100" s="657"/>
      <c r="G100" s="684"/>
      <c r="H100" s="13"/>
    </row>
    <row r="101" spans="1:8">
      <c r="A101" s="679">
        <v>50</v>
      </c>
      <c r="B101" s="658" t="s">
        <v>772</v>
      </c>
      <c r="C101" s="658" t="s">
        <v>3910</v>
      </c>
      <c r="D101" s="658" t="s">
        <v>2780</v>
      </c>
      <c r="E101" s="657">
        <v>500</v>
      </c>
      <c r="F101" s="657">
        <f t="shared" ref="F101" si="39">E101</f>
        <v>500</v>
      </c>
      <c r="G101" s="683"/>
    </row>
    <row r="102" spans="1:8">
      <c r="A102" s="680"/>
      <c r="B102" s="658"/>
      <c r="C102" s="658"/>
      <c r="D102" s="658"/>
      <c r="E102" s="657"/>
      <c r="F102" s="657"/>
      <c r="G102" s="684"/>
    </row>
    <row r="103" spans="1:8">
      <c r="A103" s="679">
        <v>51</v>
      </c>
      <c r="B103" s="658" t="s">
        <v>773</v>
      </c>
      <c r="C103" s="658" t="s">
        <v>3910</v>
      </c>
      <c r="D103" s="658" t="s">
        <v>3912</v>
      </c>
      <c r="E103" s="657">
        <v>400</v>
      </c>
      <c r="F103" s="657">
        <f t="shared" ref="F103" si="40">E103</f>
        <v>400</v>
      </c>
      <c r="G103" s="683"/>
    </row>
    <row r="104" spans="1:8">
      <c r="A104" s="680"/>
      <c r="B104" s="658"/>
      <c r="C104" s="658"/>
      <c r="D104" s="658"/>
      <c r="E104" s="657"/>
      <c r="F104" s="657"/>
      <c r="G104" s="684"/>
    </row>
    <row r="105" spans="1:8">
      <c r="A105" s="679">
        <v>52</v>
      </c>
      <c r="B105" s="659" t="s">
        <v>801</v>
      </c>
      <c r="C105" s="658" t="s">
        <v>3914</v>
      </c>
      <c r="D105" s="658" t="s">
        <v>3836</v>
      </c>
      <c r="E105" s="657">
        <v>250</v>
      </c>
      <c r="F105" s="657">
        <v>300</v>
      </c>
      <c r="G105" s="657" t="s">
        <v>3838</v>
      </c>
    </row>
    <row r="106" spans="1:8">
      <c r="A106" s="680"/>
      <c r="B106" s="660"/>
      <c r="C106" s="658"/>
      <c r="D106" s="658"/>
      <c r="E106" s="657"/>
      <c r="F106" s="657"/>
      <c r="G106" s="657"/>
    </row>
    <row r="107" spans="1:8">
      <c r="A107" s="679">
        <v>53</v>
      </c>
      <c r="B107" s="658" t="s">
        <v>3918</v>
      </c>
      <c r="C107" s="658" t="s">
        <v>3911</v>
      </c>
      <c r="D107" s="658" t="s">
        <v>239</v>
      </c>
      <c r="E107" s="657">
        <v>47099</v>
      </c>
      <c r="F107" s="657">
        <v>1530</v>
      </c>
      <c r="G107" s="683">
        <v>3.2484999999999999</v>
      </c>
    </row>
    <row r="108" spans="1:8">
      <c r="A108" s="680"/>
      <c r="B108" s="658"/>
      <c r="C108" s="658"/>
      <c r="D108" s="658"/>
      <c r="E108" s="657"/>
      <c r="F108" s="657"/>
      <c r="G108" s="684"/>
    </row>
    <row r="109" spans="1:8">
      <c r="A109" s="679">
        <v>54</v>
      </c>
      <c r="B109" s="658" t="s">
        <v>3915</v>
      </c>
      <c r="C109" s="658" t="s">
        <v>3911</v>
      </c>
      <c r="D109" s="658" t="s">
        <v>239</v>
      </c>
      <c r="E109" s="657">
        <v>1400</v>
      </c>
      <c r="F109" s="657">
        <f t="shared" ref="F109" si="41">E109</f>
        <v>1400</v>
      </c>
      <c r="G109" s="683"/>
    </row>
    <row r="110" spans="1:8">
      <c r="A110" s="680"/>
      <c r="B110" s="658"/>
      <c r="C110" s="658"/>
      <c r="D110" s="658"/>
      <c r="E110" s="657"/>
      <c r="F110" s="657"/>
      <c r="G110" s="684"/>
    </row>
    <row r="111" spans="1:8">
      <c r="A111" s="679"/>
      <c r="B111" s="658"/>
      <c r="C111" s="658"/>
      <c r="D111" s="658"/>
      <c r="E111" s="657"/>
      <c r="F111" s="657"/>
      <c r="G111" s="683"/>
    </row>
    <row r="112" spans="1:8">
      <c r="A112" s="680"/>
      <c r="B112" s="658"/>
      <c r="C112" s="658"/>
      <c r="D112" s="658"/>
      <c r="E112" s="657"/>
      <c r="F112" s="657"/>
      <c r="G112" s="684"/>
    </row>
    <row r="113" spans="1:7">
      <c r="A113" s="679"/>
      <c r="B113" s="658"/>
      <c r="C113" s="658"/>
      <c r="D113" s="658"/>
      <c r="E113" s="657"/>
      <c r="F113" s="657"/>
      <c r="G113" s="685"/>
    </row>
    <row r="114" spans="1:7">
      <c r="A114" s="680"/>
      <c r="B114" s="658"/>
      <c r="C114" s="658"/>
      <c r="D114" s="658"/>
      <c r="E114" s="657"/>
      <c r="F114" s="657"/>
      <c r="G114" s="686"/>
    </row>
    <row r="115" spans="1:7">
      <c r="A115" s="679"/>
      <c r="B115" s="658"/>
      <c r="C115" s="658"/>
      <c r="D115" s="658"/>
      <c r="E115" s="657"/>
      <c r="F115" s="657"/>
      <c r="G115" s="685"/>
    </row>
    <row r="116" spans="1:7">
      <c r="A116" s="680"/>
      <c r="B116" s="658"/>
      <c r="C116" s="658"/>
      <c r="D116" s="658"/>
      <c r="E116" s="657"/>
      <c r="F116" s="657"/>
      <c r="G116" s="686"/>
    </row>
    <row r="117" spans="1:7">
      <c r="A117" s="679"/>
      <c r="B117" s="658"/>
      <c r="C117" s="658"/>
      <c r="D117" s="658"/>
      <c r="E117" s="657"/>
      <c r="F117" s="657"/>
      <c r="G117" s="685"/>
    </row>
    <row r="118" spans="1:7">
      <c r="A118" s="680"/>
      <c r="B118" s="658"/>
      <c r="C118" s="658"/>
      <c r="D118" s="658"/>
      <c r="E118" s="657"/>
      <c r="F118" s="657"/>
      <c r="G118" s="686"/>
    </row>
    <row r="119" spans="1:7">
      <c r="A119" s="679"/>
      <c r="B119" s="658"/>
      <c r="C119" s="658"/>
      <c r="D119" s="658"/>
      <c r="E119" s="657"/>
      <c r="F119" s="657"/>
      <c r="G119" s="685"/>
    </row>
    <row r="120" spans="1:7">
      <c r="A120" s="680"/>
      <c r="B120" s="658"/>
      <c r="C120" s="658"/>
      <c r="D120" s="658"/>
      <c r="E120" s="657"/>
      <c r="F120" s="657"/>
      <c r="G120" s="686"/>
    </row>
    <row r="121" spans="1:7">
      <c r="A121" s="679"/>
      <c r="B121" s="658"/>
      <c r="C121" s="658"/>
      <c r="D121" s="658"/>
      <c r="E121" s="657"/>
      <c r="F121" s="657"/>
      <c r="G121" s="685"/>
    </row>
    <row r="122" spans="1:7">
      <c r="A122" s="680"/>
      <c r="B122" s="658"/>
      <c r="C122" s="658"/>
      <c r="D122" s="658"/>
      <c r="E122" s="657"/>
      <c r="F122" s="657"/>
      <c r="G122" s="686"/>
    </row>
    <row r="123" spans="1:7">
      <c r="A123" s="679"/>
      <c r="B123" s="658"/>
      <c r="C123" s="658"/>
      <c r="D123" s="658"/>
      <c r="E123" s="657"/>
      <c r="F123" s="657"/>
      <c r="G123" s="685"/>
    </row>
    <row r="124" spans="1:7">
      <c r="A124" s="680"/>
      <c r="B124" s="658"/>
      <c r="C124" s="658"/>
      <c r="D124" s="658"/>
      <c r="E124" s="657"/>
      <c r="F124" s="657"/>
      <c r="G124" s="686"/>
    </row>
    <row r="125" spans="1:7">
      <c r="A125" s="687"/>
      <c r="B125" s="658"/>
      <c r="C125" s="658"/>
      <c r="D125" s="658"/>
      <c r="E125" s="657"/>
      <c r="F125" s="657"/>
      <c r="G125" s="685"/>
    </row>
    <row r="126" spans="1:7">
      <c r="A126" s="688"/>
      <c r="B126" s="658"/>
      <c r="C126" s="658"/>
      <c r="D126" s="658"/>
      <c r="E126" s="657"/>
      <c r="F126" s="657"/>
      <c r="G126" s="686"/>
    </row>
    <row r="127" spans="1:7">
      <c r="A127" s="687"/>
      <c r="B127" s="689"/>
      <c r="C127" s="689"/>
      <c r="D127" s="689"/>
      <c r="E127" s="689"/>
      <c r="F127" s="689"/>
      <c r="G127" s="685"/>
    </row>
    <row r="128" spans="1:7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</sheetData>
  <mergeCells count="449">
    <mergeCell ref="G127:G128"/>
    <mergeCell ref="A129:A130"/>
    <mergeCell ref="B129:B130"/>
    <mergeCell ref="C129:C130"/>
    <mergeCell ref="D129:D130"/>
    <mergeCell ref="E129:E130"/>
    <mergeCell ref="F129:F130"/>
    <mergeCell ref="G129:G130"/>
    <mergeCell ref="A127:A128"/>
    <mergeCell ref="B127:B128"/>
    <mergeCell ref="C127:C128"/>
    <mergeCell ref="D127:D128"/>
    <mergeCell ref="E127:E128"/>
    <mergeCell ref="F127:F128"/>
    <mergeCell ref="G123:G124"/>
    <mergeCell ref="A125:A126"/>
    <mergeCell ref="B125:B126"/>
    <mergeCell ref="C125:C126"/>
    <mergeCell ref="D125:D126"/>
    <mergeCell ref="E125:E126"/>
    <mergeCell ref="F125:F126"/>
    <mergeCell ref="G125:G126"/>
    <mergeCell ref="A123:A124"/>
    <mergeCell ref="B123:B124"/>
    <mergeCell ref="C123:C124"/>
    <mergeCell ref="D123:D124"/>
    <mergeCell ref="E123:E124"/>
    <mergeCell ref="F123:F124"/>
    <mergeCell ref="G119:G120"/>
    <mergeCell ref="A121:A122"/>
    <mergeCell ref="B121:B122"/>
    <mergeCell ref="C121:C122"/>
    <mergeCell ref="D121:D122"/>
    <mergeCell ref="E121:E122"/>
    <mergeCell ref="F121:F122"/>
    <mergeCell ref="G121:G122"/>
    <mergeCell ref="A119:A120"/>
    <mergeCell ref="B119:B120"/>
    <mergeCell ref="C119:C120"/>
    <mergeCell ref="D119:D120"/>
    <mergeCell ref="E119:E120"/>
    <mergeCell ref="F119:F120"/>
    <mergeCell ref="G115:G116"/>
    <mergeCell ref="A117:A118"/>
    <mergeCell ref="B117:B118"/>
    <mergeCell ref="C117:C118"/>
    <mergeCell ref="D117:D118"/>
    <mergeCell ref="E117:E118"/>
    <mergeCell ref="F117:F118"/>
    <mergeCell ref="G117:G118"/>
    <mergeCell ref="A115:A116"/>
    <mergeCell ref="B115:B116"/>
    <mergeCell ref="C115:C116"/>
    <mergeCell ref="D115:D116"/>
    <mergeCell ref="E115:E116"/>
    <mergeCell ref="F115:F116"/>
    <mergeCell ref="G111:G112"/>
    <mergeCell ref="A113:A114"/>
    <mergeCell ref="B113:B114"/>
    <mergeCell ref="C113:C114"/>
    <mergeCell ref="D113:D114"/>
    <mergeCell ref="E113:E114"/>
    <mergeCell ref="F113:F114"/>
    <mergeCell ref="G113:G114"/>
    <mergeCell ref="A111:A112"/>
    <mergeCell ref="B111:B112"/>
    <mergeCell ref="C111:C112"/>
    <mergeCell ref="D111:D112"/>
    <mergeCell ref="E111:E112"/>
    <mergeCell ref="F111:F112"/>
    <mergeCell ref="G107:G108"/>
    <mergeCell ref="A109:A110"/>
    <mergeCell ref="B109:B110"/>
    <mergeCell ref="C109:C110"/>
    <mergeCell ref="D109:D110"/>
    <mergeCell ref="E109:E110"/>
    <mergeCell ref="F109:F110"/>
    <mergeCell ref="G109:G110"/>
    <mergeCell ref="A107:A108"/>
    <mergeCell ref="B107:B108"/>
    <mergeCell ref="C107:C108"/>
    <mergeCell ref="D107:D108"/>
    <mergeCell ref="E107:E108"/>
    <mergeCell ref="F107:F108"/>
    <mergeCell ref="G103:G104"/>
    <mergeCell ref="A105:A106"/>
    <mergeCell ref="B105:B106"/>
    <mergeCell ref="C105:C106"/>
    <mergeCell ref="D105:D106"/>
    <mergeCell ref="E105:E106"/>
    <mergeCell ref="F105:F106"/>
    <mergeCell ref="G105:G106"/>
    <mergeCell ref="A103:A104"/>
    <mergeCell ref="B103:B104"/>
    <mergeCell ref="C103:C104"/>
    <mergeCell ref="D103:D104"/>
    <mergeCell ref="E103:E104"/>
    <mergeCell ref="F103:F104"/>
    <mergeCell ref="G99:G100"/>
    <mergeCell ref="A101:A102"/>
    <mergeCell ref="B101:B102"/>
    <mergeCell ref="C101:C102"/>
    <mergeCell ref="D101:D102"/>
    <mergeCell ref="E101:E102"/>
    <mergeCell ref="F101:F102"/>
    <mergeCell ref="G101:G102"/>
    <mergeCell ref="A99:A100"/>
    <mergeCell ref="B99:B100"/>
    <mergeCell ref="C99:C100"/>
    <mergeCell ref="D99:D100"/>
    <mergeCell ref="E99:E100"/>
    <mergeCell ref="F99:F100"/>
    <mergeCell ref="G95:G96"/>
    <mergeCell ref="A97:A98"/>
    <mergeCell ref="B97:B98"/>
    <mergeCell ref="C97:C98"/>
    <mergeCell ref="D97:D98"/>
    <mergeCell ref="E97:E98"/>
    <mergeCell ref="F97:F98"/>
    <mergeCell ref="G97:G98"/>
    <mergeCell ref="A95:A96"/>
    <mergeCell ref="B95:B96"/>
    <mergeCell ref="C95:C96"/>
    <mergeCell ref="D95:D96"/>
    <mergeCell ref="E95:E96"/>
    <mergeCell ref="F95:F96"/>
    <mergeCell ref="G91:G92"/>
    <mergeCell ref="A93:A94"/>
    <mergeCell ref="B93:B94"/>
    <mergeCell ref="C93:C94"/>
    <mergeCell ref="D93:D94"/>
    <mergeCell ref="E93:E94"/>
    <mergeCell ref="F93:F94"/>
    <mergeCell ref="G93:G94"/>
    <mergeCell ref="A91:A92"/>
    <mergeCell ref="B91:B92"/>
    <mergeCell ref="C91:C92"/>
    <mergeCell ref="D91:D92"/>
    <mergeCell ref="E91:E92"/>
    <mergeCell ref="F91:F92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79:G80"/>
    <mergeCell ref="A81:A82"/>
    <mergeCell ref="B81:B82"/>
    <mergeCell ref="C81:C82"/>
    <mergeCell ref="D81:D82"/>
    <mergeCell ref="E81:E82"/>
    <mergeCell ref="F81:F82"/>
    <mergeCell ref="G81:G82"/>
    <mergeCell ref="A79:A80"/>
    <mergeCell ref="B79:B80"/>
    <mergeCell ref="C79:C80"/>
    <mergeCell ref="D79:D80"/>
    <mergeCell ref="E79:E80"/>
    <mergeCell ref="F79:F80"/>
    <mergeCell ref="G75:G76"/>
    <mergeCell ref="A77:A78"/>
    <mergeCell ref="B77:B78"/>
    <mergeCell ref="C77:C78"/>
    <mergeCell ref="D77:D78"/>
    <mergeCell ref="E77:E78"/>
    <mergeCell ref="F77:F78"/>
    <mergeCell ref="G77:G78"/>
    <mergeCell ref="A75:A76"/>
    <mergeCell ref="B75:B76"/>
    <mergeCell ref="C75:C76"/>
    <mergeCell ref="D75:D76"/>
    <mergeCell ref="E75:E76"/>
    <mergeCell ref="F75:F76"/>
    <mergeCell ref="G71:G72"/>
    <mergeCell ref="A73:A74"/>
    <mergeCell ref="B73:B74"/>
    <mergeCell ref="C73:C74"/>
    <mergeCell ref="D73:D74"/>
    <mergeCell ref="E73:E74"/>
    <mergeCell ref="F73:F74"/>
    <mergeCell ref="G73:G74"/>
    <mergeCell ref="A71:A72"/>
    <mergeCell ref="B71:B72"/>
    <mergeCell ref="C71:C72"/>
    <mergeCell ref="D71:D72"/>
    <mergeCell ref="E71:E72"/>
    <mergeCell ref="F71:F72"/>
    <mergeCell ref="G67:G68"/>
    <mergeCell ref="A69:A70"/>
    <mergeCell ref="B69:B70"/>
    <mergeCell ref="C69:C70"/>
    <mergeCell ref="D69:D70"/>
    <mergeCell ref="E69:E70"/>
    <mergeCell ref="F69:F70"/>
    <mergeCell ref="G69:G70"/>
    <mergeCell ref="A67:A68"/>
    <mergeCell ref="B67:B68"/>
    <mergeCell ref="C67:C68"/>
    <mergeCell ref="D67:D68"/>
    <mergeCell ref="E67:E68"/>
    <mergeCell ref="F67:F68"/>
    <mergeCell ref="G63:G64"/>
    <mergeCell ref="A65:A66"/>
    <mergeCell ref="B65:B66"/>
    <mergeCell ref="C65:C66"/>
    <mergeCell ref="D65:D66"/>
    <mergeCell ref="E65:E66"/>
    <mergeCell ref="F65:F66"/>
    <mergeCell ref="G65:G66"/>
    <mergeCell ref="A63:A64"/>
    <mergeCell ref="B63:B64"/>
    <mergeCell ref="C63:C64"/>
    <mergeCell ref="D63:D64"/>
    <mergeCell ref="E63:E64"/>
    <mergeCell ref="F63:F64"/>
    <mergeCell ref="G59:G60"/>
    <mergeCell ref="A61:A62"/>
    <mergeCell ref="B61:B62"/>
    <mergeCell ref="C61:C62"/>
    <mergeCell ref="D61:D62"/>
    <mergeCell ref="E61:E62"/>
    <mergeCell ref="F61:F62"/>
    <mergeCell ref="G61:G62"/>
    <mergeCell ref="A59:A60"/>
    <mergeCell ref="B59:B60"/>
    <mergeCell ref="C59:C60"/>
    <mergeCell ref="D59:D60"/>
    <mergeCell ref="E59:E60"/>
    <mergeCell ref="F59:F60"/>
    <mergeCell ref="G55:G56"/>
    <mergeCell ref="A57:A58"/>
    <mergeCell ref="B57:B58"/>
    <mergeCell ref="C57:C58"/>
    <mergeCell ref="D57:D58"/>
    <mergeCell ref="E57:E58"/>
    <mergeCell ref="F57:F58"/>
    <mergeCell ref="G57:G58"/>
    <mergeCell ref="A55:A56"/>
    <mergeCell ref="B55:B56"/>
    <mergeCell ref="C55:C56"/>
    <mergeCell ref="D55:D56"/>
    <mergeCell ref="E55:E56"/>
    <mergeCell ref="F55:F56"/>
    <mergeCell ref="G51:G52"/>
    <mergeCell ref="A53:A54"/>
    <mergeCell ref="B53:B54"/>
    <mergeCell ref="C53:C54"/>
    <mergeCell ref="D53:D54"/>
    <mergeCell ref="E53:E54"/>
    <mergeCell ref="F53:F54"/>
    <mergeCell ref="G53:G54"/>
    <mergeCell ref="A51:A52"/>
    <mergeCell ref="B51:B52"/>
    <mergeCell ref="C51:C52"/>
    <mergeCell ref="D51:D52"/>
    <mergeCell ref="E51:E52"/>
    <mergeCell ref="F51:F52"/>
    <mergeCell ref="G47:G48"/>
    <mergeCell ref="A49:A50"/>
    <mergeCell ref="B49:B50"/>
    <mergeCell ref="C49:C50"/>
    <mergeCell ref="D49:D50"/>
    <mergeCell ref="E49:E50"/>
    <mergeCell ref="F49:F50"/>
    <mergeCell ref="G49:G50"/>
    <mergeCell ref="A47:A48"/>
    <mergeCell ref="B47:B48"/>
    <mergeCell ref="C47:C48"/>
    <mergeCell ref="D47:D48"/>
    <mergeCell ref="E47:E48"/>
    <mergeCell ref="F47:F48"/>
    <mergeCell ref="G43:G44"/>
    <mergeCell ref="A45:A46"/>
    <mergeCell ref="B45:B46"/>
    <mergeCell ref="C45:C46"/>
    <mergeCell ref="D45:D46"/>
    <mergeCell ref="E45:E46"/>
    <mergeCell ref="F45:F46"/>
    <mergeCell ref="G45:G46"/>
    <mergeCell ref="A43:A44"/>
    <mergeCell ref="B43:B44"/>
    <mergeCell ref="C43:C44"/>
    <mergeCell ref="D43:D44"/>
    <mergeCell ref="E43:E44"/>
    <mergeCell ref="F43:F44"/>
    <mergeCell ref="G39:G40"/>
    <mergeCell ref="A41:A42"/>
    <mergeCell ref="B41:B42"/>
    <mergeCell ref="C41:C42"/>
    <mergeCell ref="D41:D42"/>
    <mergeCell ref="E41:E42"/>
    <mergeCell ref="F41:F42"/>
    <mergeCell ref="G41:G42"/>
    <mergeCell ref="A39:A40"/>
    <mergeCell ref="B39:B40"/>
    <mergeCell ref="C39:C40"/>
    <mergeCell ref="D39:D40"/>
    <mergeCell ref="E39:E40"/>
    <mergeCell ref="F39:F40"/>
    <mergeCell ref="G35:G36"/>
    <mergeCell ref="A37:A38"/>
    <mergeCell ref="B37:B38"/>
    <mergeCell ref="C37:C38"/>
    <mergeCell ref="D37:D38"/>
    <mergeCell ref="E37:E38"/>
    <mergeCell ref="F37:F38"/>
    <mergeCell ref="G37:G38"/>
    <mergeCell ref="A35:A36"/>
    <mergeCell ref="B35:B36"/>
    <mergeCell ref="C35:C36"/>
    <mergeCell ref="D35:D36"/>
    <mergeCell ref="E35:E36"/>
    <mergeCell ref="F35:F36"/>
    <mergeCell ref="G31:G32"/>
    <mergeCell ref="A33:A34"/>
    <mergeCell ref="B33:B34"/>
    <mergeCell ref="C33:C34"/>
    <mergeCell ref="D33:D34"/>
    <mergeCell ref="E33:E34"/>
    <mergeCell ref="F33:F34"/>
    <mergeCell ref="G33:G34"/>
    <mergeCell ref="A31:A32"/>
    <mergeCell ref="B31:B32"/>
    <mergeCell ref="C31:C32"/>
    <mergeCell ref="D31:D32"/>
    <mergeCell ref="E31:E32"/>
    <mergeCell ref="F31:F32"/>
    <mergeCell ref="G27:G28"/>
    <mergeCell ref="A29:A30"/>
    <mergeCell ref="B29:B30"/>
    <mergeCell ref="C29:C30"/>
    <mergeCell ref="D29:D30"/>
    <mergeCell ref="E29:E30"/>
    <mergeCell ref="F29:F30"/>
    <mergeCell ref="G29:G30"/>
    <mergeCell ref="A27:A28"/>
    <mergeCell ref="B27:B28"/>
    <mergeCell ref="C27:C28"/>
    <mergeCell ref="D27:D28"/>
    <mergeCell ref="E27:E28"/>
    <mergeCell ref="F27:F28"/>
    <mergeCell ref="G23:G24"/>
    <mergeCell ref="A25:A26"/>
    <mergeCell ref="B25:B26"/>
    <mergeCell ref="C25:C26"/>
    <mergeCell ref="D25:D26"/>
    <mergeCell ref="E25:E26"/>
    <mergeCell ref="F25:F26"/>
    <mergeCell ref="G25:G26"/>
    <mergeCell ref="A23:A24"/>
    <mergeCell ref="B23:B24"/>
    <mergeCell ref="C23:C24"/>
    <mergeCell ref="D23:D24"/>
    <mergeCell ref="E23:E24"/>
    <mergeCell ref="F23:F24"/>
    <mergeCell ref="G19:G20"/>
    <mergeCell ref="A21:A22"/>
    <mergeCell ref="B21:B22"/>
    <mergeCell ref="C21:C22"/>
    <mergeCell ref="D21:D22"/>
    <mergeCell ref="E21:E22"/>
    <mergeCell ref="F21:F22"/>
    <mergeCell ref="G21:G22"/>
    <mergeCell ref="A19:A20"/>
    <mergeCell ref="B19:B20"/>
    <mergeCell ref="C19:C20"/>
    <mergeCell ref="D19:D20"/>
    <mergeCell ref="E19:E20"/>
    <mergeCell ref="F19:F20"/>
    <mergeCell ref="G15:G16"/>
    <mergeCell ref="A17:A18"/>
    <mergeCell ref="B17:B18"/>
    <mergeCell ref="C17:C18"/>
    <mergeCell ref="D17:D18"/>
    <mergeCell ref="E17:E18"/>
    <mergeCell ref="F17:F18"/>
    <mergeCell ref="G17:G18"/>
    <mergeCell ref="A15:A16"/>
    <mergeCell ref="B15:B16"/>
    <mergeCell ref="C15:C16"/>
    <mergeCell ref="D15:D16"/>
    <mergeCell ref="E15:E16"/>
    <mergeCell ref="F15:F16"/>
    <mergeCell ref="G11:G12"/>
    <mergeCell ref="A13:A14"/>
    <mergeCell ref="B13:B14"/>
    <mergeCell ref="C13:C14"/>
    <mergeCell ref="D13:D14"/>
    <mergeCell ref="E13:E14"/>
    <mergeCell ref="F13:F14"/>
    <mergeCell ref="G13:G14"/>
    <mergeCell ref="A11:A12"/>
    <mergeCell ref="B11:B12"/>
    <mergeCell ref="C11:C12"/>
    <mergeCell ref="D11:D12"/>
    <mergeCell ref="E11:E12"/>
    <mergeCell ref="F11:F12"/>
    <mergeCell ref="G7:G8"/>
    <mergeCell ref="A9:A10"/>
    <mergeCell ref="B9:B10"/>
    <mergeCell ref="C9:C10"/>
    <mergeCell ref="D9:D10"/>
    <mergeCell ref="E9:E10"/>
    <mergeCell ref="F9:F10"/>
    <mergeCell ref="G9:G10"/>
    <mergeCell ref="A7:A8"/>
    <mergeCell ref="B7:B8"/>
    <mergeCell ref="C7:C8"/>
    <mergeCell ref="D7:D8"/>
    <mergeCell ref="E7:E8"/>
    <mergeCell ref="F7:F8"/>
    <mergeCell ref="A5:A6"/>
    <mergeCell ref="B5:B6"/>
    <mergeCell ref="C5:C6"/>
    <mergeCell ref="D5:D6"/>
    <mergeCell ref="E5:E6"/>
    <mergeCell ref="F5:F6"/>
    <mergeCell ref="G5:G6"/>
    <mergeCell ref="A2:G2"/>
    <mergeCell ref="A3:A4"/>
    <mergeCell ref="B3:B4"/>
    <mergeCell ref="C3:C4"/>
    <mergeCell ref="D3:D4"/>
    <mergeCell ref="E3:E4"/>
    <mergeCell ref="F3:F4"/>
    <mergeCell ref="G3:G4"/>
  </mergeCells>
  <pageMargins left="1" right="1" top="1" bottom="1" header="0.5" footer="0.5"/>
  <pageSetup paperSize="9" orientation="landscape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"/>
  <sheetViews>
    <sheetView zoomScaleNormal="100" workbookViewId="0">
      <selection activeCell="G111" sqref="G111:G112"/>
    </sheetView>
  </sheetViews>
  <sheetFormatPr defaultRowHeight="12.75"/>
  <cols>
    <col min="1" max="1" width="10.140625" customWidth="1"/>
    <col min="2" max="2" width="19.7109375" customWidth="1"/>
    <col min="4" max="4" width="42.28515625" customWidth="1"/>
  </cols>
  <sheetData>
    <row r="1" spans="1:8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>
      <c r="A2" s="678" t="s">
        <v>3866</v>
      </c>
      <c r="B2" s="678"/>
      <c r="C2" s="678"/>
      <c r="D2" s="678"/>
      <c r="E2" s="678"/>
      <c r="F2" s="678"/>
      <c r="G2" s="678"/>
      <c r="H2" s="620">
        <f>SUM(F3:F128)</f>
        <v>39017</v>
      </c>
    </row>
    <row r="3" spans="1:8">
      <c r="A3" s="679">
        <v>1</v>
      </c>
      <c r="B3" s="658" t="s">
        <v>465</v>
      </c>
      <c r="C3" s="658" t="s">
        <v>3791</v>
      </c>
      <c r="D3" s="658" t="s">
        <v>1601</v>
      </c>
      <c r="E3" s="657">
        <v>1350</v>
      </c>
      <c r="F3" s="657">
        <f t="shared" ref="F3" si="0">E3</f>
        <v>1350</v>
      </c>
      <c r="G3" s="683"/>
      <c r="H3" s="620">
        <f>H2-F21-F127</f>
        <v>38657</v>
      </c>
    </row>
    <row r="4" spans="1:8">
      <c r="A4" s="680"/>
      <c r="B4" s="658"/>
      <c r="C4" s="658"/>
      <c r="D4" s="658"/>
      <c r="E4" s="657"/>
      <c r="F4" s="657"/>
      <c r="G4" s="684"/>
      <c r="H4" s="13"/>
    </row>
    <row r="5" spans="1:8">
      <c r="A5" s="679">
        <v>2</v>
      </c>
      <c r="B5" s="658" t="s">
        <v>466</v>
      </c>
      <c r="C5" s="658" t="s">
        <v>3791</v>
      </c>
      <c r="D5" s="659" t="s">
        <v>3790</v>
      </c>
      <c r="E5" s="657">
        <v>9000</v>
      </c>
      <c r="F5" s="657">
        <v>295</v>
      </c>
      <c r="G5" s="683"/>
      <c r="H5" s="13"/>
    </row>
    <row r="6" spans="1:8">
      <c r="A6" s="680"/>
      <c r="B6" s="658"/>
      <c r="C6" s="658"/>
      <c r="D6" s="660"/>
      <c r="E6" s="657"/>
      <c r="F6" s="657"/>
      <c r="G6" s="684"/>
      <c r="H6" s="13"/>
    </row>
    <row r="7" spans="1:8">
      <c r="A7" s="679">
        <v>3</v>
      </c>
      <c r="B7" s="658" t="s">
        <v>467</v>
      </c>
      <c r="C7" s="658" t="s">
        <v>3791</v>
      </c>
      <c r="D7" s="658" t="s">
        <v>2780</v>
      </c>
      <c r="E7" s="657">
        <v>280</v>
      </c>
      <c r="F7" s="657">
        <f t="shared" ref="F7" si="1">E7</f>
        <v>280</v>
      </c>
      <c r="G7" s="683"/>
      <c r="H7" s="13"/>
    </row>
    <row r="8" spans="1:8">
      <c r="A8" s="680"/>
      <c r="B8" s="658"/>
      <c r="C8" s="658"/>
      <c r="D8" s="658"/>
      <c r="E8" s="657"/>
      <c r="F8" s="657"/>
      <c r="G8" s="684"/>
      <c r="H8" s="13"/>
    </row>
    <row r="9" spans="1:8">
      <c r="A9" s="679">
        <v>4</v>
      </c>
      <c r="B9" s="658" t="s">
        <v>468</v>
      </c>
      <c r="C9" s="658" t="s">
        <v>3791</v>
      </c>
      <c r="D9" s="658" t="s">
        <v>3792</v>
      </c>
      <c r="E9" s="657">
        <v>480</v>
      </c>
      <c r="F9" s="657">
        <f t="shared" ref="F9" si="2">E9</f>
        <v>480</v>
      </c>
      <c r="G9" s="683"/>
      <c r="H9" s="13"/>
    </row>
    <row r="10" spans="1:8">
      <c r="A10" s="680"/>
      <c r="B10" s="658"/>
      <c r="C10" s="658"/>
      <c r="D10" s="658"/>
      <c r="E10" s="657"/>
      <c r="F10" s="657"/>
      <c r="G10" s="684"/>
      <c r="H10" s="13"/>
    </row>
    <row r="11" spans="1:8">
      <c r="A11" s="679">
        <v>5</v>
      </c>
      <c r="B11" s="658" t="s">
        <v>3806</v>
      </c>
      <c r="C11" s="658" t="s">
        <v>3791</v>
      </c>
      <c r="D11" s="658" t="s">
        <v>239</v>
      </c>
      <c r="E11" s="657">
        <v>41155</v>
      </c>
      <c r="F11" s="657">
        <v>1350</v>
      </c>
      <c r="G11" s="683">
        <v>3.2803</v>
      </c>
      <c r="H11" s="13"/>
    </row>
    <row r="12" spans="1:8">
      <c r="A12" s="680"/>
      <c r="B12" s="658"/>
      <c r="C12" s="658"/>
      <c r="D12" s="658"/>
      <c r="E12" s="657"/>
      <c r="F12" s="657"/>
      <c r="G12" s="684"/>
      <c r="H12" s="13"/>
    </row>
    <row r="13" spans="1:8">
      <c r="A13" s="679">
        <v>6</v>
      </c>
      <c r="B13" s="658" t="s">
        <v>472</v>
      </c>
      <c r="C13" s="658" t="s">
        <v>3804</v>
      </c>
      <c r="D13" s="658" t="s">
        <v>3801</v>
      </c>
      <c r="E13" s="657">
        <v>350</v>
      </c>
      <c r="F13" s="657">
        <f t="shared" ref="F13" si="3">E13</f>
        <v>350</v>
      </c>
      <c r="G13" s="683"/>
      <c r="H13" s="13"/>
    </row>
    <row r="14" spans="1:8">
      <c r="A14" s="680"/>
      <c r="B14" s="658"/>
      <c r="C14" s="658"/>
      <c r="D14" s="658"/>
      <c r="E14" s="657"/>
      <c r="F14" s="657"/>
      <c r="G14" s="684"/>
      <c r="H14" s="13"/>
    </row>
    <row r="15" spans="1:8">
      <c r="A15" s="679">
        <v>7</v>
      </c>
      <c r="B15" s="658" t="s">
        <v>485</v>
      </c>
      <c r="C15" s="658" t="s">
        <v>3804</v>
      </c>
      <c r="D15" s="658" t="s">
        <v>2829</v>
      </c>
      <c r="E15" s="657">
        <v>380</v>
      </c>
      <c r="F15" s="657">
        <f t="shared" ref="F15" si="4">E15</f>
        <v>380</v>
      </c>
      <c r="G15" s="683"/>
      <c r="H15" s="13"/>
    </row>
    <row r="16" spans="1:8">
      <c r="A16" s="680"/>
      <c r="B16" s="658"/>
      <c r="C16" s="658"/>
      <c r="D16" s="658"/>
      <c r="E16" s="657"/>
      <c r="F16" s="657"/>
      <c r="G16" s="684"/>
      <c r="H16" s="13"/>
    </row>
    <row r="17" spans="1:8">
      <c r="A17" s="679">
        <v>8</v>
      </c>
      <c r="B17" s="658" t="s">
        <v>486</v>
      </c>
      <c r="C17" s="658" t="s">
        <v>3804</v>
      </c>
      <c r="D17" s="658" t="s">
        <v>3802</v>
      </c>
      <c r="E17" s="657">
        <v>380</v>
      </c>
      <c r="F17" s="657">
        <f t="shared" ref="F17" si="5">E17</f>
        <v>380</v>
      </c>
      <c r="G17" s="683"/>
      <c r="H17" s="13"/>
    </row>
    <row r="18" spans="1:8">
      <c r="A18" s="680"/>
      <c r="B18" s="658"/>
      <c r="C18" s="658"/>
      <c r="D18" s="658"/>
      <c r="E18" s="657"/>
      <c r="F18" s="657"/>
      <c r="G18" s="684"/>
      <c r="H18" s="13"/>
    </row>
    <row r="19" spans="1:8">
      <c r="A19" s="679">
        <v>9</v>
      </c>
      <c r="B19" s="658" t="s">
        <v>3807</v>
      </c>
      <c r="C19" s="658" t="s">
        <v>3807</v>
      </c>
      <c r="D19" s="658" t="s">
        <v>239</v>
      </c>
      <c r="E19" s="657">
        <v>1350</v>
      </c>
      <c r="F19" s="657">
        <f t="shared" ref="F19" si="6">E19</f>
        <v>1350</v>
      </c>
      <c r="G19" s="683"/>
      <c r="H19" s="13"/>
    </row>
    <row r="20" spans="1:8">
      <c r="A20" s="680"/>
      <c r="B20" s="658"/>
      <c r="C20" s="658"/>
      <c r="D20" s="658"/>
      <c r="E20" s="657"/>
      <c r="F20" s="657"/>
      <c r="G20" s="684"/>
      <c r="H20" s="13"/>
    </row>
    <row r="21" spans="1:8">
      <c r="A21" s="679">
        <v>10</v>
      </c>
      <c r="B21" s="658" t="s">
        <v>3808</v>
      </c>
      <c r="C21" s="658" t="s">
        <v>3791</v>
      </c>
      <c r="D21" s="658" t="s">
        <v>239</v>
      </c>
      <c r="E21" s="657">
        <v>150</v>
      </c>
      <c r="F21" s="657">
        <v>180</v>
      </c>
      <c r="G21" s="683"/>
      <c r="H21" s="13"/>
    </row>
    <row r="22" spans="1:8">
      <c r="A22" s="680"/>
      <c r="B22" s="658"/>
      <c r="C22" s="658"/>
      <c r="D22" s="658"/>
      <c r="E22" s="657"/>
      <c r="F22" s="657"/>
      <c r="G22" s="684"/>
      <c r="H22" s="13"/>
    </row>
    <row r="23" spans="1:8">
      <c r="A23" s="679">
        <v>11</v>
      </c>
      <c r="B23" s="658" t="s">
        <v>490</v>
      </c>
      <c r="C23" s="658" t="s">
        <v>3803</v>
      </c>
      <c r="D23" s="658" t="s">
        <v>2723</v>
      </c>
      <c r="E23" s="657">
        <v>350</v>
      </c>
      <c r="F23" s="657">
        <f t="shared" ref="F23" si="7">E23</f>
        <v>350</v>
      </c>
      <c r="G23" s="683"/>
      <c r="H23" s="13"/>
    </row>
    <row r="24" spans="1:8">
      <c r="A24" s="680"/>
      <c r="B24" s="658"/>
      <c r="C24" s="658"/>
      <c r="D24" s="658"/>
      <c r="E24" s="657"/>
      <c r="F24" s="657"/>
      <c r="G24" s="684"/>
      <c r="H24" s="13"/>
    </row>
    <row r="25" spans="1:8">
      <c r="A25" s="679">
        <v>12</v>
      </c>
      <c r="B25" s="658" t="s">
        <v>494</v>
      </c>
      <c r="C25" s="658" t="s">
        <v>3803</v>
      </c>
      <c r="D25" s="658" t="s">
        <v>2723</v>
      </c>
      <c r="E25" s="657">
        <v>300</v>
      </c>
      <c r="F25" s="657">
        <f t="shared" ref="F25" si="8">E25</f>
        <v>300</v>
      </c>
      <c r="G25" s="683"/>
      <c r="H25" s="13"/>
    </row>
    <row r="26" spans="1:8">
      <c r="A26" s="680"/>
      <c r="B26" s="658"/>
      <c r="C26" s="658"/>
      <c r="D26" s="658"/>
      <c r="E26" s="657"/>
      <c r="F26" s="657"/>
      <c r="G26" s="684"/>
      <c r="H26" s="13"/>
    </row>
    <row r="27" spans="1:8">
      <c r="A27" s="679">
        <v>13</v>
      </c>
      <c r="B27" s="702">
        <v>134</v>
      </c>
      <c r="C27" s="658" t="s">
        <v>3803</v>
      </c>
      <c r="D27" s="658" t="s">
        <v>1140</v>
      </c>
      <c r="E27" s="657">
        <v>700</v>
      </c>
      <c r="F27" s="657">
        <f t="shared" ref="F27" si="9">E27</f>
        <v>700</v>
      </c>
      <c r="G27" s="683"/>
      <c r="H27" s="13"/>
    </row>
    <row r="28" spans="1:8">
      <c r="A28" s="680"/>
      <c r="B28" s="658"/>
      <c r="C28" s="658"/>
      <c r="D28" s="658"/>
      <c r="E28" s="657"/>
      <c r="F28" s="657"/>
      <c r="G28" s="684"/>
      <c r="H28" s="13"/>
    </row>
    <row r="29" spans="1:8">
      <c r="A29" s="679">
        <v>14</v>
      </c>
      <c r="B29" s="658" t="s">
        <v>3810</v>
      </c>
      <c r="C29" s="658" t="s">
        <v>3809</v>
      </c>
      <c r="D29" s="658" t="s">
        <v>239</v>
      </c>
      <c r="E29" s="657">
        <v>41190</v>
      </c>
      <c r="F29" s="657">
        <v>1350</v>
      </c>
      <c r="G29" s="683">
        <v>3.2774999999999999</v>
      </c>
      <c r="H29" s="13"/>
    </row>
    <row r="30" spans="1:8">
      <c r="A30" s="680"/>
      <c r="B30" s="658"/>
      <c r="C30" s="658"/>
      <c r="D30" s="658"/>
      <c r="E30" s="657"/>
      <c r="F30" s="657"/>
      <c r="G30" s="684"/>
      <c r="H30" s="13"/>
    </row>
    <row r="31" spans="1:8">
      <c r="A31" s="679">
        <v>15</v>
      </c>
      <c r="B31" s="658" t="s">
        <v>491</v>
      </c>
      <c r="C31" s="658" t="s">
        <v>3803</v>
      </c>
      <c r="D31" s="658" t="s">
        <v>3025</v>
      </c>
      <c r="E31" s="657">
        <v>95</v>
      </c>
      <c r="F31" s="657">
        <f t="shared" ref="F31" si="10">E31</f>
        <v>95</v>
      </c>
      <c r="G31" s="683"/>
      <c r="H31" s="13"/>
    </row>
    <row r="32" spans="1:8">
      <c r="A32" s="680"/>
      <c r="B32" s="658"/>
      <c r="C32" s="658"/>
      <c r="D32" s="658"/>
      <c r="E32" s="657"/>
      <c r="F32" s="657"/>
      <c r="G32" s="684"/>
      <c r="H32" s="13"/>
    </row>
    <row r="33" spans="1:8">
      <c r="A33" s="679">
        <v>16</v>
      </c>
      <c r="B33" s="658" t="s">
        <v>495</v>
      </c>
      <c r="C33" s="658" t="s">
        <v>3803</v>
      </c>
      <c r="D33" s="658" t="s">
        <v>3805</v>
      </c>
      <c r="E33" s="657">
        <v>20</v>
      </c>
      <c r="F33" s="657">
        <f t="shared" ref="F33" si="11">E33</f>
        <v>20</v>
      </c>
      <c r="G33" s="683"/>
      <c r="H33" s="13"/>
    </row>
    <row r="34" spans="1:8">
      <c r="A34" s="680"/>
      <c r="B34" s="658"/>
      <c r="C34" s="658"/>
      <c r="D34" s="658"/>
      <c r="E34" s="657"/>
      <c r="F34" s="657"/>
      <c r="G34" s="684"/>
      <c r="H34" s="13"/>
    </row>
    <row r="35" spans="1:8">
      <c r="A35" s="679">
        <v>17</v>
      </c>
      <c r="B35" s="658" t="s">
        <v>3819</v>
      </c>
      <c r="C35" s="658" t="s">
        <v>3817</v>
      </c>
      <c r="D35" s="658" t="s">
        <v>239</v>
      </c>
      <c r="E35" s="657">
        <v>1350</v>
      </c>
      <c r="F35" s="657">
        <f t="shared" ref="F35" si="12">E35</f>
        <v>1350</v>
      </c>
      <c r="G35" s="683"/>
      <c r="H35" s="13"/>
    </row>
    <row r="36" spans="1:8">
      <c r="A36" s="680"/>
      <c r="B36" s="658"/>
      <c r="C36" s="658"/>
      <c r="D36" s="658"/>
      <c r="E36" s="657"/>
      <c r="F36" s="657"/>
      <c r="G36" s="684"/>
      <c r="H36" s="13"/>
    </row>
    <row r="37" spans="1:8">
      <c r="A37" s="679">
        <v>18</v>
      </c>
      <c r="B37" s="658" t="s">
        <v>503</v>
      </c>
      <c r="C37" s="658" t="s">
        <v>3813</v>
      </c>
      <c r="D37" s="658" t="s">
        <v>3811</v>
      </c>
      <c r="E37" s="657">
        <v>500</v>
      </c>
      <c r="F37" s="657">
        <f t="shared" ref="F37" si="13">E37</f>
        <v>500</v>
      </c>
      <c r="G37" s="683"/>
      <c r="H37" s="13"/>
    </row>
    <row r="38" spans="1:8">
      <c r="A38" s="680"/>
      <c r="B38" s="658"/>
      <c r="C38" s="658"/>
      <c r="D38" s="658"/>
      <c r="E38" s="657"/>
      <c r="F38" s="657"/>
      <c r="G38" s="684"/>
      <c r="H38" s="13"/>
    </row>
    <row r="39" spans="1:8">
      <c r="A39" s="679">
        <v>19</v>
      </c>
      <c r="B39" s="658" t="s">
        <v>504</v>
      </c>
      <c r="C39" s="658" t="s">
        <v>3814</v>
      </c>
      <c r="D39" s="658" t="s">
        <v>3812</v>
      </c>
      <c r="E39" s="657">
        <v>15000</v>
      </c>
      <c r="F39" s="657">
        <v>491</v>
      </c>
      <c r="G39" s="683">
        <v>3.2749000000000001</v>
      </c>
      <c r="H39" s="13"/>
    </row>
    <row r="40" spans="1:8">
      <c r="A40" s="680"/>
      <c r="B40" s="658"/>
      <c r="C40" s="658"/>
      <c r="D40" s="658"/>
      <c r="E40" s="657"/>
      <c r="F40" s="657"/>
      <c r="G40" s="684"/>
      <c r="H40" s="13"/>
    </row>
    <row r="41" spans="1:8">
      <c r="A41" s="679">
        <v>20</v>
      </c>
      <c r="B41" s="658" t="s">
        <v>505</v>
      </c>
      <c r="C41" s="658" t="s">
        <v>3814</v>
      </c>
      <c r="D41" s="658" t="s">
        <v>2723</v>
      </c>
      <c r="E41" s="657">
        <v>270</v>
      </c>
      <c r="F41" s="657">
        <f t="shared" ref="F41" si="14">E41</f>
        <v>270</v>
      </c>
      <c r="G41" s="683"/>
      <c r="H41" s="13"/>
    </row>
    <row r="42" spans="1:8">
      <c r="A42" s="680"/>
      <c r="B42" s="658"/>
      <c r="C42" s="658"/>
      <c r="D42" s="658"/>
      <c r="E42" s="657"/>
      <c r="F42" s="657"/>
      <c r="G42" s="684"/>
      <c r="H42" s="13"/>
    </row>
    <row r="43" spans="1:8">
      <c r="A43" s="679">
        <v>21</v>
      </c>
      <c r="B43" s="658" t="s">
        <v>3818</v>
      </c>
      <c r="C43" s="658" t="s">
        <v>3817</v>
      </c>
      <c r="D43" s="658" t="s">
        <v>239</v>
      </c>
      <c r="E43" s="657">
        <v>41563</v>
      </c>
      <c r="F43" s="657">
        <v>1350</v>
      </c>
      <c r="G43" s="683">
        <v>3.2481</v>
      </c>
      <c r="H43" s="13"/>
    </row>
    <row r="44" spans="1:8">
      <c r="A44" s="680"/>
      <c r="B44" s="658"/>
      <c r="C44" s="658"/>
      <c r="D44" s="658"/>
      <c r="E44" s="657"/>
      <c r="F44" s="657"/>
      <c r="G44" s="684"/>
      <c r="H44" s="13"/>
    </row>
    <row r="45" spans="1:8">
      <c r="A45" s="679">
        <v>22</v>
      </c>
      <c r="B45" s="658" t="s">
        <v>507</v>
      </c>
      <c r="C45" s="658" t="s">
        <v>3816</v>
      </c>
      <c r="D45" s="658" t="s">
        <v>3309</v>
      </c>
      <c r="E45" s="657">
        <v>620</v>
      </c>
      <c r="F45" s="657">
        <f t="shared" ref="F45" si="15">E45</f>
        <v>620</v>
      </c>
      <c r="G45" s="683"/>
      <c r="H45" s="13"/>
    </row>
    <row r="46" spans="1:8">
      <c r="A46" s="680"/>
      <c r="B46" s="658"/>
      <c r="C46" s="658"/>
      <c r="D46" s="658"/>
      <c r="E46" s="657"/>
      <c r="F46" s="657"/>
      <c r="G46" s="684"/>
      <c r="H46" s="13"/>
    </row>
    <row r="47" spans="1:8">
      <c r="A47" s="679">
        <v>23</v>
      </c>
      <c r="B47" s="658" t="s">
        <v>508</v>
      </c>
      <c r="C47" s="658" t="s">
        <v>3816</v>
      </c>
      <c r="D47" s="658" t="s">
        <v>3815</v>
      </c>
      <c r="E47" s="657">
        <v>250</v>
      </c>
      <c r="F47" s="657">
        <f t="shared" ref="F47" si="16">E47</f>
        <v>250</v>
      </c>
      <c r="G47" s="683"/>
      <c r="H47" s="13"/>
    </row>
    <row r="48" spans="1:8">
      <c r="A48" s="680"/>
      <c r="B48" s="658"/>
      <c r="C48" s="658"/>
      <c r="D48" s="658"/>
      <c r="E48" s="657"/>
      <c r="F48" s="657"/>
      <c r="G48" s="684"/>
      <c r="H48" s="13"/>
    </row>
    <row r="49" spans="1:8">
      <c r="A49" s="679">
        <v>24</v>
      </c>
      <c r="B49" s="658" t="s">
        <v>3820</v>
      </c>
      <c r="C49" s="658" t="s">
        <v>3816</v>
      </c>
      <c r="D49" s="658" t="s">
        <v>239</v>
      </c>
      <c r="E49" s="657">
        <v>1350</v>
      </c>
      <c r="F49" s="657">
        <f t="shared" ref="F49" si="17">E49</f>
        <v>1350</v>
      </c>
      <c r="G49" s="683"/>
      <c r="H49" s="13"/>
    </row>
    <row r="50" spans="1:8">
      <c r="A50" s="680"/>
      <c r="B50" s="658"/>
      <c r="C50" s="658"/>
      <c r="D50" s="658"/>
      <c r="E50" s="657"/>
      <c r="F50" s="657"/>
      <c r="G50" s="684"/>
      <c r="H50" s="13"/>
    </row>
    <row r="51" spans="1:8">
      <c r="A51" s="679">
        <v>25</v>
      </c>
      <c r="B51" s="658" t="s">
        <v>509</v>
      </c>
      <c r="C51" s="658" t="s">
        <v>3814</v>
      </c>
      <c r="D51" s="658" t="s">
        <v>3309</v>
      </c>
      <c r="E51" s="657">
        <v>160</v>
      </c>
      <c r="F51" s="657">
        <f t="shared" ref="F51" si="18">E51</f>
        <v>160</v>
      </c>
      <c r="G51" s="683"/>
      <c r="H51" s="13"/>
    </row>
    <row r="52" spans="1:8">
      <c r="A52" s="680"/>
      <c r="B52" s="658"/>
      <c r="C52" s="658"/>
      <c r="D52" s="658"/>
      <c r="E52" s="657"/>
      <c r="F52" s="657"/>
      <c r="G52" s="684"/>
      <c r="H52" s="13"/>
    </row>
    <row r="53" spans="1:8">
      <c r="A53" s="679">
        <v>26</v>
      </c>
      <c r="B53" s="658" t="s">
        <v>510</v>
      </c>
      <c r="C53" s="658" t="s">
        <v>3813</v>
      </c>
      <c r="D53" s="658" t="s">
        <v>3769</v>
      </c>
      <c r="E53" s="657">
        <v>370</v>
      </c>
      <c r="F53" s="657">
        <f t="shared" ref="F53" si="19">E53</f>
        <v>370</v>
      </c>
      <c r="G53" s="683"/>
      <c r="H53" s="13"/>
    </row>
    <row r="54" spans="1:8">
      <c r="A54" s="680"/>
      <c r="B54" s="658"/>
      <c r="C54" s="658"/>
      <c r="D54" s="658"/>
      <c r="E54" s="657"/>
      <c r="F54" s="657"/>
      <c r="G54" s="684"/>
      <c r="H54" s="13"/>
    </row>
    <row r="55" spans="1:8">
      <c r="A55" s="679">
        <v>27</v>
      </c>
      <c r="B55" s="658" t="s">
        <v>526</v>
      </c>
      <c r="C55" s="658" t="s">
        <v>3813</v>
      </c>
      <c r="D55" s="658" t="s">
        <v>2348</v>
      </c>
      <c r="E55" s="657">
        <v>50</v>
      </c>
      <c r="F55" s="657">
        <f t="shared" ref="F55" si="20">E55</f>
        <v>50</v>
      </c>
      <c r="G55" s="683"/>
      <c r="H55" s="13"/>
    </row>
    <row r="56" spans="1:8">
      <c r="A56" s="680"/>
      <c r="B56" s="658"/>
      <c r="C56" s="658"/>
      <c r="D56" s="658"/>
      <c r="E56" s="657"/>
      <c r="F56" s="657"/>
      <c r="G56" s="684"/>
      <c r="H56" s="13"/>
    </row>
    <row r="57" spans="1:8">
      <c r="A57" s="679">
        <v>28</v>
      </c>
      <c r="B57" s="658" t="s">
        <v>3841</v>
      </c>
      <c r="C57" s="658" t="s">
        <v>3837</v>
      </c>
      <c r="D57" s="658" t="s">
        <v>239</v>
      </c>
      <c r="E57" s="657">
        <v>41015</v>
      </c>
      <c r="F57" s="657">
        <v>1350</v>
      </c>
      <c r="G57" s="683">
        <v>3.2915000000000001</v>
      </c>
      <c r="H57" s="13"/>
    </row>
    <row r="58" spans="1:8">
      <c r="A58" s="680"/>
      <c r="B58" s="658"/>
      <c r="C58" s="658"/>
      <c r="D58" s="658"/>
      <c r="E58" s="657"/>
      <c r="F58" s="657"/>
      <c r="G58" s="684"/>
      <c r="H58" s="13"/>
    </row>
    <row r="59" spans="1:8">
      <c r="A59" s="679">
        <v>29</v>
      </c>
      <c r="B59" s="658" t="s">
        <v>529</v>
      </c>
      <c r="C59" s="658" t="s">
        <v>3833</v>
      </c>
      <c r="D59" s="658" t="s">
        <v>2723</v>
      </c>
      <c r="E59" s="657">
        <v>275</v>
      </c>
      <c r="F59" s="657">
        <f t="shared" ref="F59" si="21">E59</f>
        <v>275</v>
      </c>
      <c r="G59" s="683"/>
      <c r="H59" s="13"/>
    </row>
    <row r="60" spans="1:8">
      <c r="A60" s="680"/>
      <c r="B60" s="658"/>
      <c r="C60" s="658"/>
      <c r="D60" s="658"/>
      <c r="E60" s="657"/>
      <c r="F60" s="657"/>
      <c r="G60" s="684"/>
      <c r="H60" s="13"/>
    </row>
    <row r="61" spans="1:8">
      <c r="A61" s="679">
        <v>30</v>
      </c>
      <c r="B61" s="658" t="s">
        <v>530</v>
      </c>
      <c r="C61" s="658" t="s">
        <v>3833</v>
      </c>
      <c r="D61" s="658" t="s">
        <v>2723</v>
      </c>
      <c r="E61" s="657">
        <v>275</v>
      </c>
      <c r="F61" s="657">
        <f t="shared" ref="F61" si="22">E61</f>
        <v>275</v>
      </c>
      <c r="G61" s="683"/>
      <c r="H61" s="13"/>
    </row>
    <row r="62" spans="1:8">
      <c r="A62" s="680"/>
      <c r="B62" s="658"/>
      <c r="C62" s="658"/>
      <c r="D62" s="658"/>
      <c r="E62" s="657"/>
      <c r="F62" s="657"/>
      <c r="G62" s="684"/>
      <c r="H62" s="13"/>
    </row>
    <row r="63" spans="1:8">
      <c r="A63" s="679">
        <v>31</v>
      </c>
      <c r="B63" s="658" t="s">
        <v>531</v>
      </c>
      <c r="C63" s="658" t="s">
        <v>3833</v>
      </c>
      <c r="D63" s="658" t="s">
        <v>1601</v>
      </c>
      <c r="E63" s="657">
        <v>950</v>
      </c>
      <c r="F63" s="657">
        <f t="shared" ref="F63" si="23">E63</f>
        <v>950</v>
      </c>
      <c r="G63" s="683"/>
      <c r="H63" s="13"/>
    </row>
    <row r="64" spans="1:8">
      <c r="A64" s="680"/>
      <c r="B64" s="658"/>
      <c r="C64" s="658"/>
      <c r="D64" s="658"/>
      <c r="E64" s="657"/>
      <c r="F64" s="657"/>
      <c r="G64" s="684"/>
      <c r="H64" s="13"/>
    </row>
    <row r="65" spans="1:8">
      <c r="A65" s="679">
        <v>32</v>
      </c>
      <c r="B65" s="658" t="s">
        <v>3842</v>
      </c>
      <c r="C65" s="658" t="s">
        <v>3834</v>
      </c>
      <c r="D65" s="658" t="s">
        <v>239</v>
      </c>
      <c r="E65" s="657">
        <v>1350</v>
      </c>
      <c r="F65" s="657">
        <f t="shared" ref="F65" si="24">E65</f>
        <v>1350</v>
      </c>
      <c r="G65" s="683"/>
      <c r="H65" s="13"/>
    </row>
    <row r="66" spans="1:8">
      <c r="A66" s="680"/>
      <c r="B66" s="658"/>
      <c r="C66" s="658"/>
      <c r="D66" s="658"/>
      <c r="E66" s="657"/>
      <c r="F66" s="657"/>
      <c r="G66" s="684"/>
      <c r="H66" s="13"/>
    </row>
    <row r="67" spans="1:8">
      <c r="A67" s="679">
        <v>33</v>
      </c>
      <c r="B67" s="658" t="s">
        <v>535</v>
      </c>
      <c r="C67" s="658" t="s">
        <v>3833</v>
      </c>
      <c r="D67" s="658" t="s">
        <v>3025</v>
      </c>
      <c r="E67" s="657">
        <v>93</v>
      </c>
      <c r="F67" s="657">
        <f t="shared" ref="F67" si="25">E67</f>
        <v>93</v>
      </c>
      <c r="G67" s="683"/>
      <c r="H67" s="13"/>
    </row>
    <row r="68" spans="1:8">
      <c r="A68" s="680"/>
      <c r="B68" s="658"/>
      <c r="C68" s="658"/>
      <c r="D68" s="658"/>
      <c r="E68" s="657"/>
      <c r="F68" s="657"/>
      <c r="G68" s="684"/>
      <c r="H68" s="13"/>
    </row>
    <row r="69" spans="1:8">
      <c r="A69" s="679">
        <v>34</v>
      </c>
      <c r="B69" s="658" t="s">
        <v>536</v>
      </c>
      <c r="C69" s="658" t="s">
        <v>3833</v>
      </c>
      <c r="D69" s="658" t="s">
        <v>2376</v>
      </c>
      <c r="E69" s="657">
        <v>100</v>
      </c>
      <c r="F69" s="657">
        <f t="shared" ref="F69" si="26">E69</f>
        <v>100</v>
      </c>
      <c r="G69" s="800"/>
      <c r="H69" s="13"/>
    </row>
    <row r="70" spans="1:8">
      <c r="A70" s="680"/>
      <c r="B70" s="658"/>
      <c r="C70" s="658"/>
      <c r="D70" s="658"/>
      <c r="E70" s="657"/>
      <c r="F70" s="657"/>
      <c r="G70" s="801"/>
      <c r="H70" s="13"/>
    </row>
    <row r="71" spans="1:8">
      <c r="A71" s="679">
        <v>35</v>
      </c>
      <c r="B71" s="658" t="s">
        <v>3840</v>
      </c>
      <c r="C71" s="658" t="s">
        <v>3814</v>
      </c>
      <c r="D71" s="658" t="s">
        <v>239</v>
      </c>
      <c r="E71" s="657">
        <v>41223</v>
      </c>
      <c r="F71" s="657">
        <v>1350</v>
      </c>
      <c r="G71" s="800">
        <v>3.2749000000000001</v>
      </c>
      <c r="H71" s="13"/>
    </row>
    <row r="72" spans="1:8">
      <c r="A72" s="680"/>
      <c r="B72" s="658"/>
      <c r="C72" s="658"/>
      <c r="D72" s="658"/>
      <c r="E72" s="657"/>
      <c r="F72" s="657"/>
      <c r="G72" s="801"/>
      <c r="H72" s="13"/>
    </row>
    <row r="73" spans="1:8">
      <c r="A73" s="679">
        <v>36</v>
      </c>
      <c r="B73" s="658" t="s">
        <v>607</v>
      </c>
      <c r="C73" s="658" t="s">
        <v>3834</v>
      </c>
      <c r="D73" s="658" t="s">
        <v>3309</v>
      </c>
      <c r="E73" s="657">
        <v>580</v>
      </c>
      <c r="F73" s="657">
        <f t="shared" ref="F73" si="27">E73</f>
        <v>580</v>
      </c>
      <c r="G73" s="800"/>
      <c r="H73" s="13"/>
    </row>
    <row r="74" spans="1:8">
      <c r="A74" s="680"/>
      <c r="B74" s="658"/>
      <c r="C74" s="658"/>
      <c r="D74" s="658"/>
      <c r="E74" s="657"/>
      <c r="F74" s="657"/>
      <c r="G74" s="801"/>
      <c r="H74" s="13"/>
    </row>
    <row r="75" spans="1:8">
      <c r="A75" s="679">
        <v>37</v>
      </c>
      <c r="B75" s="658" t="s">
        <v>613</v>
      </c>
      <c r="C75" s="658" t="s">
        <v>3835</v>
      </c>
      <c r="D75" s="658" t="s">
        <v>2723</v>
      </c>
      <c r="E75" s="657">
        <v>390</v>
      </c>
      <c r="F75" s="657">
        <v>390</v>
      </c>
      <c r="G75" s="800"/>
      <c r="H75" s="13"/>
    </row>
    <row r="76" spans="1:8">
      <c r="A76" s="680"/>
      <c r="B76" s="658"/>
      <c r="C76" s="658"/>
      <c r="D76" s="658"/>
      <c r="E76" s="657"/>
      <c r="F76" s="657"/>
      <c r="G76" s="801"/>
      <c r="H76" s="13"/>
    </row>
    <row r="77" spans="1:8">
      <c r="A77" s="679">
        <v>38</v>
      </c>
      <c r="B77" s="658" t="s">
        <v>614</v>
      </c>
      <c r="C77" s="658" t="s">
        <v>3834</v>
      </c>
      <c r="D77" s="658" t="s">
        <v>1661</v>
      </c>
      <c r="E77" s="657">
        <v>270</v>
      </c>
      <c r="F77" s="657">
        <f t="shared" ref="F77" si="28">E77</f>
        <v>270</v>
      </c>
      <c r="G77" s="683"/>
      <c r="H77" s="13"/>
    </row>
    <row r="78" spans="1:8">
      <c r="A78" s="680"/>
      <c r="B78" s="658"/>
      <c r="C78" s="658"/>
      <c r="D78" s="658"/>
      <c r="E78" s="657"/>
      <c r="F78" s="657"/>
      <c r="G78" s="684"/>
      <c r="H78" s="13"/>
    </row>
    <row r="79" spans="1:8">
      <c r="A79" s="679">
        <v>39</v>
      </c>
      <c r="B79" s="658" t="s">
        <v>619</v>
      </c>
      <c r="C79" s="658" t="s">
        <v>3835</v>
      </c>
      <c r="D79" s="658" t="s">
        <v>2723</v>
      </c>
      <c r="E79" s="657">
        <v>30</v>
      </c>
      <c r="F79" s="657">
        <v>30</v>
      </c>
      <c r="G79" s="800"/>
      <c r="H79" s="13"/>
    </row>
    <row r="80" spans="1:8">
      <c r="A80" s="680"/>
      <c r="B80" s="658"/>
      <c r="C80" s="658"/>
      <c r="D80" s="658"/>
      <c r="E80" s="657"/>
      <c r="F80" s="657"/>
      <c r="G80" s="801"/>
      <c r="H80" s="13"/>
    </row>
    <row r="81" spans="1:8">
      <c r="A81" s="679">
        <v>40</v>
      </c>
      <c r="B81" s="658" t="s">
        <v>3849</v>
      </c>
      <c r="C81" s="658" t="s">
        <v>3833</v>
      </c>
      <c r="D81" s="658" t="s">
        <v>239</v>
      </c>
      <c r="E81" s="657">
        <v>1350</v>
      </c>
      <c r="F81" s="657">
        <f t="shared" ref="F81" si="29">E81</f>
        <v>1350</v>
      </c>
      <c r="G81" s="800"/>
      <c r="H81" s="13"/>
    </row>
    <row r="82" spans="1:8">
      <c r="A82" s="680"/>
      <c r="B82" s="658"/>
      <c r="C82" s="658"/>
      <c r="D82" s="658"/>
      <c r="E82" s="657"/>
      <c r="F82" s="657"/>
      <c r="G82" s="801"/>
      <c r="H82" s="13"/>
    </row>
    <row r="83" spans="1:8">
      <c r="A83" s="679">
        <v>41</v>
      </c>
      <c r="B83" s="658" t="s">
        <v>621</v>
      </c>
      <c r="C83" s="658" t="s">
        <v>3847</v>
      </c>
      <c r="D83" s="658" t="s">
        <v>2723</v>
      </c>
      <c r="E83" s="657">
        <v>600</v>
      </c>
      <c r="F83" s="657">
        <f t="shared" ref="F83" si="30">E83</f>
        <v>600</v>
      </c>
      <c r="G83" s="800"/>
      <c r="H83" s="13"/>
    </row>
    <row r="84" spans="1:8">
      <c r="A84" s="680"/>
      <c r="B84" s="658"/>
      <c r="C84" s="658"/>
      <c r="D84" s="658"/>
      <c r="E84" s="657"/>
      <c r="F84" s="657"/>
      <c r="G84" s="801"/>
      <c r="H84" s="13"/>
    </row>
    <row r="85" spans="1:8">
      <c r="A85" s="679">
        <v>42</v>
      </c>
      <c r="B85" s="658" t="s">
        <v>623</v>
      </c>
      <c r="C85" s="658" t="s">
        <v>3847</v>
      </c>
      <c r="D85" s="658" t="s">
        <v>2723</v>
      </c>
      <c r="E85" s="657">
        <v>370</v>
      </c>
      <c r="F85" s="657">
        <f t="shared" ref="F85" si="31">E85</f>
        <v>370</v>
      </c>
      <c r="G85" s="800"/>
      <c r="H85" s="13"/>
    </row>
    <row r="86" spans="1:8">
      <c r="A86" s="680"/>
      <c r="B86" s="658"/>
      <c r="C86" s="658"/>
      <c r="D86" s="658"/>
      <c r="E86" s="657"/>
      <c r="F86" s="657"/>
      <c r="G86" s="801"/>
      <c r="H86" s="13"/>
    </row>
    <row r="87" spans="1:8">
      <c r="A87" s="679">
        <v>43</v>
      </c>
      <c r="B87" s="658" t="s">
        <v>624</v>
      </c>
      <c r="C87" s="658" t="s">
        <v>3846</v>
      </c>
      <c r="D87" s="658" t="s">
        <v>2348</v>
      </c>
      <c r="E87" s="657">
        <v>50</v>
      </c>
      <c r="F87" s="657">
        <f t="shared" ref="F87" si="32">E87</f>
        <v>50</v>
      </c>
      <c r="G87" s="800"/>
      <c r="H87" s="13"/>
    </row>
    <row r="88" spans="1:8">
      <c r="A88" s="680"/>
      <c r="B88" s="658"/>
      <c r="C88" s="658"/>
      <c r="D88" s="658"/>
      <c r="E88" s="657"/>
      <c r="F88" s="657"/>
      <c r="G88" s="801"/>
      <c r="H88" s="13"/>
    </row>
    <row r="89" spans="1:8">
      <c r="A89" s="679">
        <v>44</v>
      </c>
      <c r="B89" s="658" t="s">
        <v>3854</v>
      </c>
      <c r="C89" s="658" t="s">
        <v>3852</v>
      </c>
      <c r="D89" s="658" t="s">
        <v>239</v>
      </c>
      <c r="E89" s="657">
        <v>42761</v>
      </c>
      <c r="F89" s="657">
        <v>1400</v>
      </c>
      <c r="G89" s="683">
        <v>3.274</v>
      </c>
      <c r="H89" s="13"/>
    </row>
    <row r="90" spans="1:8">
      <c r="A90" s="680"/>
      <c r="B90" s="658"/>
      <c r="C90" s="658"/>
      <c r="D90" s="658"/>
      <c r="E90" s="657"/>
      <c r="F90" s="657"/>
      <c r="G90" s="684"/>
      <c r="H90" s="13"/>
    </row>
    <row r="91" spans="1:8">
      <c r="A91" s="679">
        <v>45</v>
      </c>
      <c r="B91" s="658" t="s">
        <v>631</v>
      </c>
      <c r="C91" s="658" t="s">
        <v>3848</v>
      </c>
      <c r="D91" s="658" t="s">
        <v>2723</v>
      </c>
      <c r="E91" s="657">
        <v>550</v>
      </c>
      <c r="F91" s="657">
        <f t="shared" ref="F91" si="33">E91</f>
        <v>550</v>
      </c>
      <c r="G91" s="683"/>
      <c r="H91" s="13"/>
    </row>
    <row r="92" spans="1:8">
      <c r="A92" s="680"/>
      <c r="B92" s="658"/>
      <c r="C92" s="658"/>
      <c r="D92" s="658"/>
      <c r="E92" s="657"/>
      <c r="F92" s="657"/>
      <c r="G92" s="684"/>
      <c r="H92" s="13"/>
    </row>
    <row r="93" spans="1:8">
      <c r="A93" s="679">
        <v>46</v>
      </c>
      <c r="B93" s="658" t="s">
        <v>632</v>
      </c>
      <c r="C93" s="658" t="s">
        <v>3848</v>
      </c>
      <c r="D93" s="658" t="s">
        <v>3025</v>
      </c>
      <c r="E93" s="657">
        <v>93</v>
      </c>
      <c r="F93" s="657">
        <f t="shared" ref="F93" si="34">E93</f>
        <v>93</v>
      </c>
      <c r="G93" s="683"/>
      <c r="H93" s="13"/>
    </row>
    <row r="94" spans="1:8">
      <c r="A94" s="680"/>
      <c r="B94" s="658"/>
      <c r="C94" s="658"/>
      <c r="D94" s="658"/>
      <c r="E94" s="657"/>
      <c r="F94" s="657"/>
      <c r="G94" s="684"/>
      <c r="H94" s="13"/>
    </row>
    <row r="95" spans="1:8">
      <c r="A95" s="679">
        <v>47</v>
      </c>
      <c r="B95" s="658" t="s">
        <v>3853</v>
      </c>
      <c r="C95" s="658" t="s">
        <v>3852</v>
      </c>
      <c r="D95" s="658" t="s">
        <v>239</v>
      </c>
      <c r="E95" s="657">
        <v>1350</v>
      </c>
      <c r="F95" s="657">
        <f t="shared" ref="F95" si="35">E95</f>
        <v>1350</v>
      </c>
      <c r="G95" s="683"/>
      <c r="H95" s="13"/>
    </row>
    <row r="96" spans="1:8">
      <c r="A96" s="680"/>
      <c r="B96" s="658"/>
      <c r="C96" s="658"/>
      <c r="D96" s="658"/>
      <c r="E96" s="657"/>
      <c r="F96" s="657"/>
      <c r="G96" s="684"/>
      <c r="H96" s="13"/>
    </row>
    <row r="97" spans="1:8">
      <c r="A97" s="679">
        <v>48</v>
      </c>
      <c r="B97" s="658" t="s">
        <v>633</v>
      </c>
      <c r="C97" s="658" t="s">
        <v>3848</v>
      </c>
      <c r="D97" s="658" t="s">
        <v>1601</v>
      </c>
      <c r="E97" s="657">
        <v>200</v>
      </c>
      <c r="F97" s="657">
        <f t="shared" ref="F97" si="36">E97</f>
        <v>200</v>
      </c>
      <c r="G97" s="683"/>
      <c r="H97" s="13"/>
    </row>
    <row r="98" spans="1:8">
      <c r="A98" s="680"/>
      <c r="B98" s="658"/>
      <c r="C98" s="658"/>
      <c r="D98" s="658"/>
      <c r="E98" s="657"/>
      <c r="F98" s="657"/>
      <c r="G98" s="684"/>
      <c r="H98" s="13"/>
    </row>
    <row r="99" spans="1:8">
      <c r="A99" s="679">
        <v>49</v>
      </c>
      <c r="B99" s="658" t="s">
        <v>634</v>
      </c>
      <c r="C99" s="658" t="s">
        <v>3848</v>
      </c>
      <c r="D99" s="658" t="s">
        <v>3309</v>
      </c>
      <c r="E99" s="657">
        <v>320</v>
      </c>
      <c r="F99" s="657">
        <f t="shared" ref="F99" si="37">E99</f>
        <v>320</v>
      </c>
      <c r="G99" s="683"/>
      <c r="H99" s="13"/>
    </row>
    <row r="100" spans="1:8">
      <c r="A100" s="680"/>
      <c r="B100" s="658"/>
      <c r="C100" s="658"/>
      <c r="D100" s="658"/>
      <c r="E100" s="657"/>
      <c r="F100" s="657"/>
      <c r="G100" s="684"/>
      <c r="H100" s="13"/>
    </row>
    <row r="101" spans="1:8">
      <c r="A101" s="679">
        <v>50</v>
      </c>
      <c r="B101" s="658" t="s">
        <v>642</v>
      </c>
      <c r="C101" s="658" t="s">
        <v>3848</v>
      </c>
      <c r="D101" s="658" t="s">
        <v>1140</v>
      </c>
      <c r="E101" s="657">
        <v>500</v>
      </c>
      <c r="F101" s="657">
        <f t="shared" ref="F101" si="38">E101</f>
        <v>500</v>
      </c>
      <c r="G101" s="683"/>
      <c r="H101" s="13"/>
    </row>
    <row r="102" spans="1:8">
      <c r="A102" s="680"/>
      <c r="B102" s="658"/>
      <c r="C102" s="658"/>
      <c r="D102" s="658"/>
      <c r="E102" s="657"/>
      <c r="F102" s="657"/>
      <c r="G102" s="684"/>
      <c r="H102" s="13"/>
    </row>
    <row r="103" spans="1:8">
      <c r="A103" s="679">
        <v>51</v>
      </c>
      <c r="B103" s="658" t="s">
        <v>3851</v>
      </c>
      <c r="C103" s="658" t="s">
        <v>3850</v>
      </c>
      <c r="D103" s="658" t="s">
        <v>239</v>
      </c>
      <c r="E103" s="657">
        <v>41214</v>
      </c>
      <c r="F103" s="657">
        <v>1350</v>
      </c>
      <c r="G103" s="683">
        <v>3.2755999999999998</v>
      </c>
    </row>
    <row r="104" spans="1:8">
      <c r="A104" s="680"/>
      <c r="B104" s="658"/>
      <c r="C104" s="658"/>
      <c r="D104" s="658"/>
      <c r="E104" s="657"/>
      <c r="F104" s="657"/>
      <c r="G104" s="684"/>
    </row>
    <row r="105" spans="1:8">
      <c r="A105" s="679">
        <v>52</v>
      </c>
      <c r="B105" s="658" t="s">
        <v>646</v>
      </c>
      <c r="C105" s="658" t="s">
        <v>3846</v>
      </c>
      <c r="D105" s="658" t="s">
        <v>2517</v>
      </c>
      <c r="E105" s="657">
        <v>200</v>
      </c>
      <c r="F105" s="657">
        <f t="shared" ref="F105" si="39">E105</f>
        <v>200</v>
      </c>
      <c r="G105" s="683"/>
    </row>
    <row r="106" spans="1:8">
      <c r="A106" s="680"/>
      <c r="B106" s="658"/>
      <c r="C106" s="658"/>
      <c r="D106" s="658"/>
      <c r="E106" s="657"/>
      <c r="F106" s="657"/>
      <c r="G106" s="684"/>
    </row>
    <row r="107" spans="1:8">
      <c r="A107" s="679">
        <v>53</v>
      </c>
      <c r="B107" s="658" t="s">
        <v>648</v>
      </c>
      <c r="C107" s="658" t="s">
        <v>3846</v>
      </c>
      <c r="D107" s="658" t="s">
        <v>2517</v>
      </c>
      <c r="E107" s="657">
        <v>410</v>
      </c>
      <c r="F107" s="657">
        <f t="shared" ref="F107" si="40">E107</f>
        <v>410</v>
      </c>
      <c r="G107" s="683"/>
    </row>
    <row r="108" spans="1:8">
      <c r="A108" s="680"/>
      <c r="B108" s="658"/>
      <c r="C108" s="658"/>
      <c r="D108" s="658"/>
      <c r="E108" s="657"/>
      <c r="F108" s="657"/>
      <c r="G108" s="684"/>
    </row>
    <row r="109" spans="1:8">
      <c r="A109" s="679">
        <v>54</v>
      </c>
      <c r="B109" s="658" t="s">
        <v>650</v>
      </c>
      <c r="C109" s="658" t="s">
        <v>3846</v>
      </c>
      <c r="D109" s="658" t="s">
        <v>3844</v>
      </c>
      <c r="E109" s="657">
        <v>450</v>
      </c>
      <c r="F109" s="657">
        <f t="shared" ref="F109" si="41">E109</f>
        <v>450</v>
      </c>
      <c r="G109" s="683"/>
    </row>
    <row r="110" spans="1:8">
      <c r="A110" s="680"/>
      <c r="B110" s="658"/>
      <c r="C110" s="658"/>
      <c r="D110" s="658"/>
      <c r="E110" s="657"/>
      <c r="F110" s="657"/>
      <c r="G110" s="684"/>
    </row>
    <row r="111" spans="1:8">
      <c r="A111" s="679">
        <v>55</v>
      </c>
      <c r="B111" s="658" t="s">
        <v>652</v>
      </c>
      <c r="C111" s="658" t="s">
        <v>3846</v>
      </c>
      <c r="D111" s="658" t="s">
        <v>3845</v>
      </c>
      <c r="E111" s="657">
        <v>400</v>
      </c>
      <c r="F111" s="657">
        <f t="shared" ref="F111" si="42">E111</f>
        <v>400</v>
      </c>
      <c r="G111" s="683"/>
    </row>
    <row r="112" spans="1:8">
      <c r="A112" s="680"/>
      <c r="B112" s="658"/>
      <c r="C112" s="658"/>
      <c r="D112" s="658"/>
      <c r="E112" s="657"/>
      <c r="F112" s="657"/>
      <c r="G112" s="684"/>
    </row>
    <row r="113" spans="1:7">
      <c r="A113" s="679">
        <v>56</v>
      </c>
      <c r="B113" s="658" t="s">
        <v>3857</v>
      </c>
      <c r="C113" s="658" t="s">
        <v>3848</v>
      </c>
      <c r="D113" s="658" t="s">
        <v>239</v>
      </c>
      <c r="E113" s="657">
        <v>1350</v>
      </c>
      <c r="F113" s="657">
        <f t="shared" ref="F113" si="43">E113</f>
        <v>1350</v>
      </c>
      <c r="G113" s="683"/>
    </row>
    <row r="114" spans="1:7">
      <c r="A114" s="680"/>
      <c r="B114" s="658"/>
      <c r="C114" s="658"/>
      <c r="D114" s="658"/>
      <c r="E114" s="657"/>
      <c r="F114" s="657"/>
      <c r="G114" s="684"/>
    </row>
    <row r="115" spans="1:7">
      <c r="A115" s="679">
        <v>57</v>
      </c>
      <c r="B115" s="658" t="s">
        <v>653</v>
      </c>
      <c r="C115" s="658" t="s">
        <v>3859</v>
      </c>
      <c r="D115" s="658" t="s">
        <v>3256</v>
      </c>
      <c r="E115" s="657">
        <v>220</v>
      </c>
      <c r="F115" s="657">
        <f t="shared" ref="F115" si="44">E115</f>
        <v>220</v>
      </c>
      <c r="G115" s="685"/>
    </row>
    <row r="116" spans="1:7">
      <c r="A116" s="680"/>
      <c r="B116" s="658"/>
      <c r="C116" s="658"/>
      <c r="D116" s="658"/>
      <c r="E116" s="657"/>
      <c r="F116" s="657"/>
      <c r="G116" s="686"/>
    </row>
    <row r="117" spans="1:7">
      <c r="A117" s="679">
        <v>58</v>
      </c>
      <c r="B117" s="658" t="s">
        <v>654</v>
      </c>
      <c r="C117" s="658" t="s">
        <v>3859</v>
      </c>
      <c r="D117" s="658" t="s">
        <v>3309</v>
      </c>
      <c r="E117" s="657">
        <v>370</v>
      </c>
      <c r="F117" s="657">
        <f t="shared" ref="F117" si="45">E117</f>
        <v>370</v>
      </c>
      <c r="G117" s="685"/>
    </row>
    <row r="118" spans="1:7">
      <c r="A118" s="680"/>
      <c r="B118" s="658"/>
      <c r="C118" s="658"/>
      <c r="D118" s="658"/>
      <c r="E118" s="657"/>
      <c r="F118" s="657"/>
      <c r="G118" s="686"/>
    </row>
    <row r="119" spans="1:7">
      <c r="A119" s="679">
        <v>59</v>
      </c>
      <c r="B119" s="658" t="s">
        <v>655</v>
      </c>
      <c r="C119" s="658" t="s">
        <v>3859</v>
      </c>
      <c r="D119" s="658" t="s">
        <v>3858</v>
      </c>
      <c r="E119" s="657">
        <v>270</v>
      </c>
      <c r="F119" s="657">
        <f t="shared" ref="F119" si="46">E119</f>
        <v>270</v>
      </c>
      <c r="G119" s="685"/>
    </row>
    <row r="120" spans="1:7">
      <c r="A120" s="680"/>
      <c r="B120" s="658"/>
      <c r="C120" s="658"/>
      <c r="D120" s="658"/>
      <c r="E120" s="657"/>
      <c r="F120" s="657"/>
      <c r="G120" s="686"/>
    </row>
    <row r="121" spans="1:7">
      <c r="A121" s="679">
        <v>60</v>
      </c>
      <c r="B121" s="658" t="s">
        <v>3863</v>
      </c>
      <c r="C121" s="658" t="s">
        <v>3859</v>
      </c>
      <c r="D121" s="658" t="s">
        <v>239</v>
      </c>
      <c r="E121" s="657">
        <v>40924</v>
      </c>
      <c r="F121" s="657">
        <v>1350</v>
      </c>
      <c r="G121" s="685">
        <v>3.2988</v>
      </c>
    </row>
    <row r="122" spans="1:7">
      <c r="A122" s="680"/>
      <c r="B122" s="658"/>
      <c r="C122" s="658"/>
      <c r="D122" s="658"/>
      <c r="E122" s="657"/>
      <c r="F122" s="657"/>
      <c r="G122" s="686"/>
    </row>
    <row r="123" spans="1:7">
      <c r="A123" s="679">
        <v>61</v>
      </c>
      <c r="B123" s="658" t="s">
        <v>3864</v>
      </c>
      <c r="C123" s="658" t="s">
        <v>3859</v>
      </c>
      <c r="D123" s="658" t="s">
        <v>239</v>
      </c>
      <c r="E123" s="657">
        <v>1350</v>
      </c>
      <c r="F123" s="657">
        <f t="shared" ref="F123" si="47">E123</f>
        <v>1350</v>
      </c>
      <c r="G123" s="685"/>
    </row>
    <row r="124" spans="1:7">
      <c r="A124" s="680"/>
      <c r="B124" s="658"/>
      <c r="C124" s="658"/>
      <c r="D124" s="658"/>
      <c r="E124" s="657"/>
      <c r="F124" s="657"/>
      <c r="G124" s="686"/>
    </row>
    <row r="125" spans="1:7">
      <c r="A125" s="679">
        <v>62</v>
      </c>
      <c r="B125" s="658" t="s">
        <v>3865</v>
      </c>
      <c r="C125" s="658" t="s">
        <v>3859</v>
      </c>
      <c r="D125" s="658" t="s">
        <v>239</v>
      </c>
      <c r="E125" s="657">
        <v>40924</v>
      </c>
      <c r="F125" s="657">
        <v>1350</v>
      </c>
      <c r="G125" s="685">
        <v>3.2988</v>
      </c>
    </row>
    <row r="126" spans="1:7">
      <c r="A126" s="680"/>
      <c r="B126" s="658"/>
      <c r="C126" s="658"/>
      <c r="D126" s="658"/>
      <c r="E126" s="657"/>
      <c r="F126" s="657"/>
      <c r="G126" s="686"/>
    </row>
    <row r="127" spans="1:7">
      <c r="A127" s="687">
        <v>63</v>
      </c>
      <c r="B127" s="658" t="s">
        <v>3867</v>
      </c>
      <c r="C127" s="658" t="s">
        <v>3848</v>
      </c>
      <c r="D127" s="658" t="s">
        <v>239</v>
      </c>
      <c r="E127" s="657">
        <v>150</v>
      </c>
      <c r="F127" s="657">
        <v>180</v>
      </c>
      <c r="G127" s="685"/>
    </row>
    <row r="128" spans="1:7">
      <c r="A128" s="688"/>
      <c r="B128" s="658"/>
      <c r="C128" s="658"/>
      <c r="D128" s="658"/>
      <c r="E128" s="657"/>
      <c r="F128" s="657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  <row r="131" spans="1:7">
      <c r="A131" s="687"/>
      <c r="B131" s="689"/>
      <c r="C131" s="689"/>
      <c r="D131" s="689"/>
      <c r="E131" s="689"/>
      <c r="F131" s="689"/>
      <c r="G131" s="685"/>
    </row>
    <row r="132" spans="1:7">
      <c r="A132" s="688"/>
      <c r="B132" s="689"/>
      <c r="C132" s="689"/>
      <c r="D132" s="689"/>
      <c r="E132" s="689"/>
      <c r="F132" s="689"/>
      <c r="G132" s="686"/>
    </row>
  </sheetData>
  <mergeCells count="456">
    <mergeCell ref="G131:G132"/>
    <mergeCell ref="A131:A132"/>
    <mergeCell ref="B131:B132"/>
    <mergeCell ref="C131:C132"/>
    <mergeCell ref="D131:D132"/>
    <mergeCell ref="E131:E132"/>
    <mergeCell ref="F131:F132"/>
    <mergeCell ref="G127:G128"/>
    <mergeCell ref="A129:A130"/>
    <mergeCell ref="B129:B130"/>
    <mergeCell ref="C129:C130"/>
    <mergeCell ref="D129:D130"/>
    <mergeCell ref="E129:E130"/>
    <mergeCell ref="F129:F130"/>
    <mergeCell ref="G129:G130"/>
    <mergeCell ref="A127:A128"/>
    <mergeCell ref="B127:B128"/>
    <mergeCell ref="C127:C128"/>
    <mergeCell ref="D127:D128"/>
    <mergeCell ref="E127:E128"/>
    <mergeCell ref="F127:F128"/>
    <mergeCell ref="G123:G124"/>
    <mergeCell ref="A125:A126"/>
    <mergeCell ref="B125:B126"/>
    <mergeCell ref="C125:C126"/>
    <mergeCell ref="D125:D126"/>
    <mergeCell ref="E125:E126"/>
    <mergeCell ref="F125:F126"/>
    <mergeCell ref="G125:G126"/>
    <mergeCell ref="A123:A124"/>
    <mergeCell ref="B123:B124"/>
    <mergeCell ref="C123:C124"/>
    <mergeCell ref="D123:D124"/>
    <mergeCell ref="E123:E124"/>
    <mergeCell ref="F123:F124"/>
    <mergeCell ref="G119:G120"/>
    <mergeCell ref="A121:A122"/>
    <mergeCell ref="B121:B122"/>
    <mergeCell ref="C121:C122"/>
    <mergeCell ref="D121:D122"/>
    <mergeCell ref="E121:E122"/>
    <mergeCell ref="F121:F122"/>
    <mergeCell ref="G121:G122"/>
    <mergeCell ref="A119:A120"/>
    <mergeCell ref="B119:B120"/>
    <mergeCell ref="C119:C120"/>
    <mergeCell ref="D119:D120"/>
    <mergeCell ref="E119:E120"/>
    <mergeCell ref="F119:F120"/>
    <mergeCell ref="G115:G116"/>
    <mergeCell ref="A117:A118"/>
    <mergeCell ref="B117:B118"/>
    <mergeCell ref="C117:C118"/>
    <mergeCell ref="D117:D118"/>
    <mergeCell ref="E117:E118"/>
    <mergeCell ref="F117:F118"/>
    <mergeCell ref="G117:G118"/>
    <mergeCell ref="A115:A116"/>
    <mergeCell ref="B115:B116"/>
    <mergeCell ref="C115:C116"/>
    <mergeCell ref="D115:D116"/>
    <mergeCell ref="E115:E116"/>
    <mergeCell ref="F115:F116"/>
    <mergeCell ref="G111:G112"/>
    <mergeCell ref="A113:A114"/>
    <mergeCell ref="B113:B114"/>
    <mergeCell ref="C113:C114"/>
    <mergeCell ref="D113:D114"/>
    <mergeCell ref="E113:E114"/>
    <mergeCell ref="F113:F114"/>
    <mergeCell ref="G113:G114"/>
    <mergeCell ref="A111:A112"/>
    <mergeCell ref="B111:B112"/>
    <mergeCell ref="C111:C112"/>
    <mergeCell ref="D111:D112"/>
    <mergeCell ref="E111:E112"/>
    <mergeCell ref="F111:F112"/>
    <mergeCell ref="G107:G108"/>
    <mergeCell ref="A109:A110"/>
    <mergeCell ref="B109:B110"/>
    <mergeCell ref="C109:C110"/>
    <mergeCell ref="D109:D110"/>
    <mergeCell ref="E109:E110"/>
    <mergeCell ref="F109:F110"/>
    <mergeCell ref="G109:G110"/>
    <mergeCell ref="A107:A108"/>
    <mergeCell ref="B107:B108"/>
    <mergeCell ref="C107:C108"/>
    <mergeCell ref="D107:D108"/>
    <mergeCell ref="E107:E108"/>
    <mergeCell ref="F107:F108"/>
    <mergeCell ref="G103:G104"/>
    <mergeCell ref="A105:A106"/>
    <mergeCell ref="B105:B106"/>
    <mergeCell ref="C105:C106"/>
    <mergeCell ref="D105:D106"/>
    <mergeCell ref="E105:E106"/>
    <mergeCell ref="F105:F106"/>
    <mergeCell ref="G105:G106"/>
    <mergeCell ref="A103:A104"/>
    <mergeCell ref="B103:B104"/>
    <mergeCell ref="C103:C104"/>
    <mergeCell ref="D103:D104"/>
    <mergeCell ref="E103:E104"/>
    <mergeCell ref="F103:F104"/>
    <mergeCell ref="G99:G100"/>
    <mergeCell ref="A101:A102"/>
    <mergeCell ref="B101:B102"/>
    <mergeCell ref="C101:C102"/>
    <mergeCell ref="D101:D102"/>
    <mergeCell ref="E101:E102"/>
    <mergeCell ref="F101:F102"/>
    <mergeCell ref="G101:G102"/>
    <mergeCell ref="A99:A100"/>
    <mergeCell ref="B99:B100"/>
    <mergeCell ref="C99:C100"/>
    <mergeCell ref="D99:D100"/>
    <mergeCell ref="E99:E100"/>
    <mergeCell ref="F99:F100"/>
    <mergeCell ref="G95:G96"/>
    <mergeCell ref="A97:A98"/>
    <mergeCell ref="B97:B98"/>
    <mergeCell ref="C97:C98"/>
    <mergeCell ref="D97:D98"/>
    <mergeCell ref="E97:E98"/>
    <mergeCell ref="F97:F98"/>
    <mergeCell ref="G97:G98"/>
    <mergeCell ref="A95:A96"/>
    <mergeCell ref="B95:B96"/>
    <mergeCell ref="C95:C96"/>
    <mergeCell ref="D95:D96"/>
    <mergeCell ref="E95:E96"/>
    <mergeCell ref="F95:F96"/>
    <mergeCell ref="G91:G92"/>
    <mergeCell ref="A93:A94"/>
    <mergeCell ref="B93:B94"/>
    <mergeCell ref="C93:C94"/>
    <mergeCell ref="D93:D94"/>
    <mergeCell ref="E93:E94"/>
    <mergeCell ref="F93:F94"/>
    <mergeCell ref="G93:G94"/>
    <mergeCell ref="A91:A92"/>
    <mergeCell ref="B91:B92"/>
    <mergeCell ref="C91:C92"/>
    <mergeCell ref="D91:D92"/>
    <mergeCell ref="E91:E92"/>
    <mergeCell ref="F91:F92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A81:A82"/>
    <mergeCell ref="B81:B82"/>
    <mergeCell ref="C81:C82"/>
    <mergeCell ref="D81:D82"/>
    <mergeCell ref="E81:E82"/>
    <mergeCell ref="F81:F82"/>
    <mergeCell ref="G81:G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workbookViewId="0">
      <selection sqref="A1:H104"/>
    </sheetView>
  </sheetViews>
  <sheetFormatPr defaultRowHeight="12.75"/>
  <cols>
    <col min="1" max="1" width="10.140625" customWidth="1"/>
    <col min="2" max="2" width="19.7109375" customWidth="1"/>
    <col min="4" max="4" width="42.28515625" customWidth="1"/>
  </cols>
  <sheetData>
    <row r="1" spans="1:8" ht="15">
      <c r="A1" s="617" t="s">
        <v>2925</v>
      </c>
      <c r="B1" s="617"/>
      <c r="C1" s="617"/>
      <c r="D1" s="617"/>
      <c r="E1" s="617"/>
      <c r="F1" s="617"/>
      <c r="G1" s="618"/>
      <c r="H1" s="13"/>
    </row>
    <row r="2" spans="1:8" ht="15">
      <c r="A2" s="678" t="s">
        <v>3793</v>
      </c>
      <c r="B2" s="678"/>
      <c r="C2" s="678"/>
      <c r="D2" s="678"/>
      <c r="E2" s="678"/>
      <c r="F2" s="678"/>
      <c r="G2" s="678"/>
      <c r="H2" s="620">
        <f>SUM(F3:F104)</f>
        <v>34183</v>
      </c>
    </row>
    <row r="3" spans="1:8">
      <c r="A3" s="679">
        <v>1</v>
      </c>
      <c r="B3" s="658" t="s">
        <v>318</v>
      </c>
      <c r="C3" s="658" t="s">
        <v>3725</v>
      </c>
      <c r="D3" s="658" t="s">
        <v>2375</v>
      </c>
      <c r="E3" s="657">
        <v>120</v>
      </c>
      <c r="F3" s="657">
        <f t="shared" ref="F3" si="0">E3</f>
        <v>120</v>
      </c>
      <c r="G3" s="683"/>
      <c r="H3" s="620">
        <f>H2-F93</f>
        <v>34003</v>
      </c>
    </row>
    <row r="4" spans="1:8">
      <c r="A4" s="680"/>
      <c r="B4" s="658"/>
      <c r="C4" s="658"/>
      <c r="D4" s="658"/>
      <c r="E4" s="657"/>
      <c r="F4" s="657"/>
      <c r="G4" s="684"/>
      <c r="H4" s="13"/>
    </row>
    <row r="5" spans="1:8">
      <c r="A5" s="679">
        <v>2</v>
      </c>
      <c r="B5" s="658" t="s">
        <v>337</v>
      </c>
      <c r="C5" s="658" t="s">
        <v>3725</v>
      </c>
      <c r="D5" s="658" t="s">
        <v>1601</v>
      </c>
      <c r="E5" s="657">
        <v>1450</v>
      </c>
      <c r="F5" s="657">
        <f t="shared" ref="F5" si="1">E5</f>
        <v>1450</v>
      </c>
      <c r="G5" s="683"/>
      <c r="H5" s="13"/>
    </row>
    <row r="6" spans="1:8">
      <c r="A6" s="680"/>
      <c r="B6" s="658"/>
      <c r="C6" s="658"/>
      <c r="D6" s="658"/>
      <c r="E6" s="657"/>
      <c r="F6" s="657"/>
      <c r="G6" s="684"/>
      <c r="H6" s="13"/>
    </row>
    <row r="7" spans="1:8">
      <c r="A7" s="679">
        <v>3</v>
      </c>
      <c r="B7" s="658" t="s">
        <v>338</v>
      </c>
      <c r="C7" s="658" t="s">
        <v>3725</v>
      </c>
      <c r="D7" s="658" t="s">
        <v>1661</v>
      </c>
      <c r="E7" s="657">
        <v>520</v>
      </c>
      <c r="F7" s="657">
        <f t="shared" ref="F7" si="2">E7</f>
        <v>520</v>
      </c>
      <c r="G7" s="683"/>
      <c r="H7" s="13"/>
    </row>
    <row r="8" spans="1:8">
      <c r="A8" s="680"/>
      <c r="B8" s="658"/>
      <c r="C8" s="658"/>
      <c r="D8" s="658"/>
      <c r="E8" s="657"/>
      <c r="F8" s="657"/>
      <c r="G8" s="684"/>
      <c r="H8" s="13"/>
    </row>
    <row r="9" spans="1:8">
      <c r="A9" s="679">
        <v>4</v>
      </c>
      <c r="B9" s="658" t="s">
        <v>348</v>
      </c>
      <c r="C9" s="658" t="s">
        <v>3725</v>
      </c>
      <c r="D9" s="658" t="s">
        <v>3724</v>
      </c>
      <c r="E9" s="657">
        <v>160</v>
      </c>
      <c r="F9" s="657">
        <f t="shared" ref="F9" si="3">E9</f>
        <v>160</v>
      </c>
      <c r="G9" s="683"/>
      <c r="H9" s="13"/>
    </row>
    <row r="10" spans="1:8">
      <c r="A10" s="680"/>
      <c r="B10" s="658"/>
      <c r="C10" s="658"/>
      <c r="D10" s="658"/>
      <c r="E10" s="657"/>
      <c r="F10" s="657"/>
      <c r="G10" s="684"/>
      <c r="H10" s="13"/>
    </row>
    <row r="11" spans="1:8">
      <c r="A11" s="679">
        <v>5</v>
      </c>
      <c r="B11" s="658" t="s">
        <v>350</v>
      </c>
      <c r="C11" s="658" t="s">
        <v>3725</v>
      </c>
      <c r="D11" s="658" t="s">
        <v>3025</v>
      </c>
      <c r="E11" s="657">
        <v>94</v>
      </c>
      <c r="F11" s="657">
        <f t="shared" ref="F11" si="4">E11</f>
        <v>94</v>
      </c>
      <c r="G11" s="683"/>
      <c r="H11" s="13"/>
    </row>
    <row r="12" spans="1:8">
      <c r="A12" s="680"/>
      <c r="B12" s="658"/>
      <c r="C12" s="658"/>
      <c r="D12" s="658"/>
      <c r="E12" s="657"/>
      <c r="F12" s="657"/>
      <c r="G12" s="684"/>
      <c r="H12" s="13"/>
    </row>
    <row r="13" spans="1:8">
      <c r="A13" s="679">
        <v>6</v>
      </c>
      <c r="B13" s="658" t="s">
        <v>3744</v>
      </c>
      <c r="C13" s="658" t="s">
        <v>3725</v>
      </c>
      <c r="D13" s="658" t="s">
        <v>239</v>
      </c>
      <c r="E13" s="657">
        <v>1350</v>
      </c>
      <c r="F13" s="657">
        <f t="shared" ref="F13" si="5">E13</f>
        <v>1350</v>
      </c>
      <c r="G13" s="683"/>
      <c r="H13" s="13"/>
    </row>
    <row r="14" spans="1:8">
      <c r="A14" s="680"/>
      <c r="B14" s="658"/>
      <c r="C14" s="658"/>
      <c r="D14" s="658"/>
      <c r="E14" s="657"/>
      <c r="F14" s="657"/>
      <c r="G14" s="684"/>
      <c r="H14" s="13"/>
    </row>
    <row r="15" spans="1:8">
      <c r="A15" s="679">
        <v>7</v>
      </c>
      <c r="B15" s="658" t="s">
        <v>359</v>
      </c>
      <c r="C15" s="658" t="s">
        <v>3738</v>
      </c>
      <c r="D15" s="658" t="s">
        <v>3737</v>
      </c>
      <c r="E15" s="657">
        <v>15000</v>
      </c>
      <c r="F15" s="657">
        <v>499</v>
      </c>
      <c r="G15" s="683">
        <v>3.3628</v>
      </c>
      <c r="H15" s="13"/>
    </row>
    <row r="16" spans="1:8">
      <c r="A16" s="680"/>
      <c r="B16" s="658"/>
      <c r="C16" s="658"/>
      <c r="D16" s="658"/>
      <c r="E16" s="657"/>
      <c r="F16" s="657"/>
      <c r="G16" s="684"/>
      <c r="H16" s="13"/>
    </row>
    <row r="17" spans="1:8">
      <c r="A17" s="679">
        <v>8</v>
      </c>
      <c r="B17" s="658" t="s">
        <v>3739</v>
      </c>
      <c r="C17" s="658" t="s">
        <v>3738</v>
      </c>
      <c r="D17" s="658" t="s">
        <v>239</v>
      </c>
      <c r="E17" s="657">
        <v>250</v>
      </c>
      <c r="F17" s="657">
        <f t="shared" ref="F17" si="6">E17</f>
        <v>250</v>
      </c>
      <c r="G17" s="683"/>
      <c r="H17" s="13"/>
    </row>
    <row r="18" spans="1:8">
      <c r="A18" s="680"/>
      <c r="B18" s="658"/>
      <c r="C18" s="658"/>
      <c r="D18" s="658"/>
      <c r="E18" s="657"/>
      <c r="F18" s="657"/>
      <c r="G18" s="684"/>
      <c r="H18" s="13"/>
    </row>
    <row r="19" spans="1:8">
      <c r="A19" s="679">
        <v>9</v>
      </c>
      <c r="B19" s="658" t="s">
        <v>360</v>
      </c>
      <c r="C19" s="658" t="s">
        <v>3738</v>
      </c>
      <c r="D19" s="658" t="s">
        <v>2838</v>
      </c>
      <c r="E19" s="657">
        <v>200</v>
      </c>
      <c r="F19" s="657">
        <f t="shared" ref="F19" si="7">E19</f>
        <v>200</v>
      </c>
      <c r="G19" s="683"/>
      <c r="H19" s="13"/>
    </row>
    <row r="20" spans="1:8">
      <c r="A20" s="680"/>
      <c r="B20" s="658"/>
      <c r="C20" s="658"/>
      <c r="D20" s="658"/>
      <c r="E20" s="657"/>
      <c r="F20" s="657"/>
      <c r="G20" s="684"/>
      <c r="H20" s="13"/>
    </row>
    <row r="21" spans="1:8">
      <c r="A21" s="679">
        <v>10</v>
      </c>
      <c r="B21" s="658" t="s">
        <v>3746</v>
      </c>
      <c r="C21" s="658" t="s">
        <v>3745</v>
      </c>
      <c r="D21" s="658" t="s">
        <v>239</v>
      </c>
      <c r="E21" s="657">
        <v>41921</v>
      </c>
      <c r="F21" s="657">
        <v>1400</v>
      </c>
      <c r="G21" s="683">
        <v>3.3395999999999999</v>
      </c>
      <c r="H21" s="13"/>
    </row>
    <row r="22" spans="1:8">
      <c r="A22" s="680"/>
      <c r="B22" s="658"/>
      <c r="C22" s="658"/>
      <c r="D22" s="658"/>
      <c r="E22" s="657"/>
      <c r="F22" s="657"/>
      <c r="G22" s="684"/>
      <c r="H22" s="13"/>
    </row>
    <row r="23" spans="1:8">
      <c r="A23" s="679">
        <v>11</v>
      </c>
      <c r="B23" s="658" t="s">
        <v>361</v>
      </c>
      <c r="C23" s="658" t="s">
        <v>3738</v>
      </c>
      <c r="D23" s="658" t="s">
        <v>3740</v>
      </c>
      <c r="E23" s="657">
        <v>20000</v>
      </c>
      <c r="F23" s="657">
        <v>666</v>
      </c>
      <c r="G23" s="683">
        <v>3.3395999999999999</v>
      </c>
      <c r="H23" s="13"/>
    </row>
    <row r="24" spans="1:8">
      <c r="A24" s="680"/>
      <c r="B24" s="658"/>
      <c r="C24" s="658"/>
      <c r="D24" s="658"/>
      <c r="E24" s="657"/>
      <c r="F24" s="657"/>
      <c r="G24" s="684"/>
      <c r="H24" s="13"/>
    </row>
    <row r="25" spans="1:8">
      <c r="A25" s="679">
        <v>12</v>
      </c>
      <c r="B25" s="658" t="s">
        <v>3748</v>
      </c>
      <c r="C25" s="658" t="s">
        <v>3747</v>
      </c>
      <c r="D25" s="658" t="s">
        <v>239</v>
      </c>
      <c r="E25" s="657">
        <v>1350</v>
      </c>
      <c r="F25" s="657">
        <v>1350</v>
      </c>
      <c r="G25" s="683"/>
      <c r="H25" s="13"/>
    </row>
    <row r="26" spans="1:8">
      <c r="A26" s="680"/>
      <c r="B26" s="658"/>
      <c r="C26" s="658"/>
      <c r="D26" s="658"/>
      <c r="E26" s="657"/>
      <c r="F26" s="657"/>
      <c r="G26" s="684"/>
      <c r="H26" s="13"/>
    </row>
    <row r="27" spans="1:8">
      <c r="A27" s="679">
        <v>13</v>
      </c>
      <c r="B27" s="658" t="s">
        <v>363</v>
      </c>
      <c r="C27" s="658" t="s">
        <v>3742</v>
      </c>
      <c r="D27" s="658" t="s">
        <v>3226</v>
      </c>
      <c r="E27" s="657">
        <v>270</v>
      </c>
      <c r="F27" s="657">
        <f t="shared" ref="F27" si="8">E27</f>
        <v>270</v>
      </c>
      <c r="G27" s="683"/>
      <c r="H27" s="13"/>
    </row>
    <row r="28" spans="1:8">
      <c r="A28" s="680"/>
      <c r="B28" s="658"/>
      <c r="C28" s="658"/>
      <c r="D28" s="658"/>
      <c r="E28" s="657"/>
      <c r="F28" s="657"/>
      <c r="G28" s="684"/>
      <c r="H28" s="13"/>
    </row>
    <row r="29" spans="1:8">
      <c r="A29" s="679">
        <v>14</v>
      </c>
      <c r="B29" s="658" t="s">
        <v>382</v>
      </c>
      <c r="C29" s="658" t="s">
        <v>3743</v>
      </c>
      <c r="D29" s="658" t="s">
        <v>3741</v>
      </c>
      <c r="E29" s="657">
        <v>410</v>
      </c>
      <c r="F29" s="657">
        <f t="shared" ref="F29" si="9">E29</f>
        <v>410</v>
      </c>
      <c r="G29" s="683"/>
      <c r="H29" s="13"/>
    </row>
    <row r="30" spans="1:8">
      <c r="A30" s="680"/>
      <c r="B30" s="658"/>
      <c r="C30" s="658"/>
      <c r="D30" s="658"/>
      <c r="E30" s="657"/>
      <c r="F30" s="657"/>
      <c r="G30" s="684"/>
      <c r="H30" s="13"/>
    </row>
    <row r="31" spans="1:8">
      <c r="A31" s="679">
        <v>15</v>
      </c>
      <c r="B31" s="658" t="s">
        <v>3749</v>
      </c>
      <c r="C31" s="658" t="s">
        <v>3747</v>
      </c>
      <c r="D31" s="658" t="s">
        <v>239</v>
      </c>
      <c r="E31" s="657">
        <v>40426</v>
      </c>
      <c r="F31" s="657">
        <v>1350</v>
      </c>
      <c r="G31" s="683">
        <v>3.3393999999999999</v>
      </c>
      <c r="H31" s="13"/>
    </row>
    <row r="32" spans="1:8">
      <c r="A32" s="680"/>
      <c r="B32" s="658"/>
      <c r="C32" s="658"/>
      <c r="D32" s="658"/>
      <c r="E32" s="657"/>
      <c r="F32" s="657"/>
      <c r="G32" s="684"/>
      <c r="H32" s="13"/>
    </row>
    <row r="33" spans="1:8">
      <c r="A33" s="679">
        <v>16</v>
      </c>
      <c r="B33" s="658" t="s">
        <v>366</v>
      </c>
      <c r="C33" s="658" t="s">
        <v>3742</v>
      </c>
      <c r="D33" s="658" t="s">
        <v>3515</v>
      </c>
      <c r="E33" s="657">
        <v>370</v>
      </c>
      <c r="F33" s="657">
        <f t="shared" ref="F33" si="10">E33</f>
        <v>370</v>
      </c>
      <c r="G33" s="683"/>
      <c r="H33" s="13"/>
    </row>
    <row r="34" spans="1:8">
      <c r="A34" s="680"/>
      <c r="B34" s="658"/>
      <c r="C34" s="658"/>
      <c r="D34" s="658"/>
      <c r="E34" s="657"/>
      <c r="F34" s="657"/>
      <c r="G34" s="684"/>
      <c r="H34" s="13"/>
    </row>
    <row r="35" spans="1:8">
      <c r="A35" s="679">
        <v>17</v>
      </c>
      <c r="B35" s="658" t="s">
        <v>367</v>
      </c>
      <c r="C35" s="658" t="s">
        <v>3742</v>
      </c>
      <c r="D35" s="658" t="s">
        <v>3025</v>
      </c>
      <c r="E35" s="657">
        <v>95</v>
      </c>
      <c r="F35" s="657">
        <f t="shared" ref="F35" si="11">E35</f>
        <v>95</v>
      </c>
      <c r="G35" s="683"/>
      <c r="H35" s="13"/>
    </row>
    <row r="36" spans="1:8">
      <c r="A36" s="680"/>
      <c r="B36" s="658"/>
      <c r="C36" s="658"/>
      <c r="D36" s="658"/>
      <c r="E36" s="657"/>
      <c r="F36" s="657"/>
      <c r="G36" s="684"/>
      <c r="H36" s="13"/>
    </row>
    <row r="37" spans="1:8">
      <c r="A37" s="679">
        <v>18</v>
      </c>
      <c r="B37" s="658" t="s">
        <v>3773</v>
      </c>
      <c r="C37" s="658" t="s">
        <v>3742</v>
      </c>
      <c r="D37" s="658" t="s">
        <v>1873</v>
      </c>
      <c r="E37" s="657">
        <v>1350</v>
      </c>
      <c r="F37" s="657">
        <f t="shared" ref="F37" si="12">E37</f>
        <v>1350</v>
      </c>
      <c r="G37" s="683"/>
      <c r="H37" s="13"/>
    </row>
    <row r="38" spans="1:8">
      <c r="A38" s="680"/>
      <c r="B38" s="658"/>
      <c r="C38" s="658"/>
      <c r="D38" s="658"/>
      <c r="E38" s="657"/>
      <c r="F38" s="657"/>
      <c r="G38" s="684"/>
      <c r="H38" s="13"/>
    </row>
    <row r="39" spans="1:8">
      <c r="A39" s="679">
        <v>19</v>
      </c>
      <c r="B39" s="658" t="s">
        <v>1321</v>
      </c>
      <c r="C39" s="658" t="s">
        <v>3771</v>
      </c>
      <c r="D39" s="658" t="s">
        <v>2723</v>
      </c>
      <c r="E39" s="657">
        <v>20</v>
      </c>
      <c r="F39" s="657">
        <f t="shared" ref="F39" si="13">E39</f>
        <v>20</v>
      </c>
      <c r="G39" s="683"/>
      <c r="H39" s="13"/>
    </row>
    <row r="40" spans="1:8">
      <c r="A40" s="680"/>
      <c r="B40" s="658"/>
      <c r="C40" s="658"/>
      <c r="D40" s="658"/>
      <c r="E40" s="657"/>
      <c r="F40" s="657"/>
      <c r="G40" s="684"/>
      <c r="H40" s="13"/>
    </row>
    <row r="41" spans="1:8">
      <c r="A41" s="679">
        <v>20</v>
      </c>
      <c r="B41" s="658" t="s">
        <v>369</v>
      </c>
      <c r="C41" s="658" t="s">
        <v>3771</v>
      </c>
      <c r="D41" s="658" t="s">
        <v>2723</v>
      </c>
      <c r="E41" s="657">
        <v>640</v>
      </c>
      <c r="F41" s="657">
        <f t="shared" ref="F41" si="14">E41</f>
        <v>640</v>
      </c>
      <c r="G41" s="683"/>
      <c r="H41" s="13"/>
    </row>
    <row r="42" spans="1:8">
      <c r="A42" s="680"/>
      <c r="B42" s="658"/>
      <c r="C42" s="658"/>
      <c r="D42" s="658"/>
      <c r="E42" s="657"/>
      <c r="F42" s="657"/>
      <c r="G42" s="684"/>
      <c r="H42" s="13"/>
    </row>
    <row r="43" spans="1:8">
      <c r="A43" s="679">
        <v>21</v>
      </c>
      <c r="B43" s="658" t="s">
        <v>371</v>
      </c>
      <c r="C43" s="658" t="s">
        <v>3771</v>
      </c>
      <c r="D43" s="658" t="s">
        <v>2780</v>
      </c>
      <c r="E43" s="657">
        <v>400</v>
      </c>
      <c r="F43" s="657">
        <f t="shared" ref="F43" si="15">E43</f>
        <v>400</v>
      </c>
      <c r="G43" s="683"/>
      <c r="H43" s="13"/>
    </row>
    <row r="44" spans="1:8">
      <c r="A44" s="680"/>
      <c r="B44" s="658"/>
      <c r="C44" s="658"/>
      <c r="D44" s="658"/>
      <c r="E44" s="657"/>
      <c r="F44" s="657"/>
      <c r="G44" s="684"/>
      <c r="H44" s="13"/>
    </row>
    <row r="45" spans="1:8">
      <c r="A45" s="679">
        <v>22</v>
      </c>
      <c r="B45" s="658" t="s">
        <v>3774</v>
      </c>
      <c r="C45" s="658" t="s">
        <v>3771</v>
      </c>
      <c r="D45" s="658" t="s">
        <v>1873</v>
      </c>
      <c r="E45" s="657">
        <v>40539</v>
      </c>
      <c r="F45" s="657">
        <v>1350</v>
      </c>
      <c r="G45" s="683">
        <v>3.3300999999999998</v>
      </c>
      <c r="H45" s="13"/>
    </row>
    <row r="46" spans="1:8">
      <c r="A46" s="680"/>
      <c r="B46" s="658"/>
      <c r="C46" s="658"/>
      <c r="D46" s="658"/>
      <c r="E46" s="657"/>
      <c r="F46" s="657"/>
      <c r="G46" s="684"/>
      <c r="H46" s="13"/>
    </row>
    <row r="47" spans="1:8">
      <c r="A47" s="679">
        <v>23</v>
      </c>
      <c r="B47" s="658" t="s">
        <v>375</v>
      </c>
      <c r="C47" s="658" t="s">
        <v>3767</v>
      </c>
      <c r="D47" s="658" t="s">
        <v>1601</v>
      </c>
      <c r="E47" s="657">
        <v>950</v>
      </c>
      <c r="F47" s="657">
        <f t="shared" ref="F47" si="16">E47</f>
        <v>950</v>
      </c>
      <c r="G47" s="683"/>
      <c r="H47" s="13"/>
    </row>
    <row r="48" spans="1:8">
      <c r="A48" s="680"/>
      <c r="B48" s="658"/>
      <c r="C48" s="658"/>
      <c r="D48" s="658"/>
      <c r="E48" s="657"/>
      <c r="F48" s="657"/>
      <c r="G48" s="684"/>
      <c r="H48" s="13"/>
    </row>
    <row r="49" spans="1:8">
      <c r="A49" s="679">
        <v>24</v>
      </c>
      <c r="B49" s="658" t="s">
        <v>399</v>
      </c>
      <c r="C49" s="658" t="s">
        <v>3767</v>
      </c>
      <c r="D49" s="658" t="s">
        <v>3772</v>
      </c>
      <c r="E49" s="657">
        <v>12000</v>
      </c>
      <c r="F49" s="657">
        <v>401</v>
      </c>
      <c r="G49" s="683">
        <v>3.3445</v>
      </c>
      <c r="H49" s="13"/>
    </row>
    <row r="50" spans="1:8">
      <c r="A50" s="680"/>
      <c r="B50" s="658"/>
      <c r="C50" s="658"/>
      <c r="D50" s="658"/>
      <c r="E50" s="657"/>
      <c r="F50" s="657"/>
      <c r="G50" s="684"/>
      <c r="H50" s="13"/>
    </row>
    <row r="51" spans="1:8">
      <c r="A51" s="679">
        <v>25</v>
      </c>
      <c r="B51" s="658" t="s">
        <v>3775</v>
      </c>
      <c r="C51" s="658" t="s">
        <v>3771</v>
      </c>
      <c r="D51" s="658" t="s">
        <v>1873</v>
      </c>
      <c r="E51" s="657">
        <v>1350</v>
      </c>
      <c r="F51" s="657">
        <f t="shared" ref="F51" si="17">E51</f>
        <v>1350</v>
      </c>
      <c r="G51" s="683"/>
      <c r="H51" s="13"/>
    </row>
    <row r="52" spans="1:8">
      <c r="A52" s="680"/>
      <c r="B52" s="658"/>
      <c r="C52" s="658"/>
      <c r="D52" s="658"/>
      <c r="E52" s="657"/>
      <c r="F52" s="657"/>
      <c r="G52" s="684"/>
      <c r="H52" s="13"/>
    </row>
    <row r="53" spans="1:8">
      <c r="A53" s="679">
        <v>26</v>
      </c>
      <c r="B53" s="658" t="s">
        <v>403</v>
      </c>
      <c r="C53" s="658" t="s">
        <v>3767</v>
      </c>
      <c r="D53" s="658" t="s">
        <v>3309</v>
      </c>
      <c r="E53" s="657">
        <v>630</v>
      </c>
      <c r="F53" s="657">
        <f t="shared" ref="F53" si="18">E53</f>
        <v>630</v>
      </c>
      <c r="G53" s="683"/>
      <c r="H53" s="13"/>
    </row>
    <row r="54" spans="1:8">
      <c r="A54" s="680"/>
      <c r="B54" s="658"/>
      <c r="C54" s="658"/>
      <c r="D54" s="658"/>
      <c r="E54" s="657"/>
      <c r="F54" s="657"/>
      <c r="G54" s="684"/>
      <c r="H54" s="13"/>
    </row>
    <row r="55" spans="1:8">
      <c r="A55" s="679">
        <v>27</v>
      </c>
      <c r="B55" s="658" t="s">
        <v>405</v>
      </c>
      <c r="C55" s="658" t="s">
        <v>3767</v>
      </c>
      <c r="D55" s="658" t="s">
        <v>3768</v>
      </c>
      <c r="E55" s="657">
        <v>290</v>
      </c>
      <c r="F55" s="657">
        <f t="shared" ref="F55" si="19">E55</f>
        <v>290</v>
      </c>
      <c r="G55" s="683"/>
      <c r="H55" s="13"/>
    </row>
    <row r="56" spans="1:8">
      <c r="A56" s="680"/>
      <c r="B56" s="658"/>
      <c r="C56" s="658"/>
      <c r="D56" s="658"/>
      <c r="E56" s="657"/>
      <c r="F56" s="657"/>
      <c r="G56" s="684"/>
      <c r="H56" s="13"/>
    </row>
    <row r="57" spans="1:8">
      <c r="A57" s="679">
        <v>28</v>
      </c>
      <c r="B57" s="658" t="s">
        <v>3777</v>
      </c>
      <c r="C57" s="658" t="s">
        <v>3776</v>
      </c>
      <c r="D57" s="658" t="s">
        <v>1873</v>
      </c>
      <c r="E57" s="657">
        <v>40533</v>
      </c>
      <c r="F57" s="657">
        <v>1350</v>
      </c>
      <c r="G57" s="683">
        <v>3.3306</v>
      </c>
      <c r="H57" s="13"/>
    </row>
    <row r="58" spans="1:8">
      <c r="A58" s="680"/>
      <c r="B58" s="658"/>
      <c r="C58" s="658"/>
      <c r="D58" s="658"/>
      <c r="E58" s="657"/>
      <c r="F58" s="657"/>
      <c r="G58" s="684"/>
      <c r="H58" s="13"/>
    </row>
    <row r="59" spans="1:8">
      <c r="A59" s="679">
        <v>29</v>
      </c>
      <c r="B59" s="658" t="s">
        <v>406</v>
      </c>
      <c r="C59" s="658" t="s">
        <v>3767</v>
      </c>
      <c r="D59" s="658" t="s">
        <v>3769</v>
      </c>
      <c r="E59" s="657">
        <v>500</v>
      </c>
      <c r="F59" s="657">
        <f t="shared" ref="F59" si="20">E59</f>
        <v>500</v>
      </c>
      <c r="G59" s="683"/>
      <c r="H59" s="13"/>
    </row>
    <row r="60" spans="1:8">
      <c r="A60" s="680"/>
      <c r="B60" s="658"/>
      <c r="C60" s="658"/>
      <c r="D60" s="658"/>
      <c r="E60" s="657"/>
      <c r="F60" s="657"/>
      <c r="G60" s="684"/>
      <c r="H60" s="13"/>
    </row>
    <row r="61" spans="1:8">
      <c r="A61" s="679">
        <v>30</v>
      </c>
      <c r="B61" s="658" t="s">
        <v>413</v>
      </c>
      <c r="C61" s="658" t="s">
        <v>3767</v>
      </c>
      <c r="D61" s="658" t="s">
        <v>3025</v>
      </c>
      <c r="E61" s="657">
        <v>94</v>
      </c>
      <c r="F61" s="657">
        <f t="shared" ref="F61" si="21">E61</f>
        <v>94</v>
      </c>
      <c r="G61" s="683"/>
      <c r="H61" s="13"/>
    </row>
    <row r="62" spans="1:8">
      <c r="A62" s="680"/>
      <c r="B62" s="658"/>
      <c r="C62" s="658"/>
      <c r="D62" s="658"/>
      <c r="E62" s="657"/>
      <c r="F62" s="657"/>
      <c r="G62" s="684"/>
      <c r="H62" s="13"/>
    </row>
    <row r="63" spans="1:8">
      <c r="A63" s="679">
        <v>31</v>
      </c>
      <c r="B63" s="658" t="s">
        <v>3770</v>
      </c>
      <c r="C63" s="658" t="s">
        <v>3767</v>
      </c>
      <c r="D63" s="658" t="s">
        <v>1873</v>
      </c>
      <c r="E63" s="657">
        <v>520</v>
      </c>
      <c r="F63" s="657">
        <f t="shared" ref="F63" si="22">E63</f>
        <v>520</v>
      </c>
      <c r="G63" s="683"/>
      <c r="H63" s="13"/>
    </row>
    <row r="64" spans="1:8">
      <c r="A64" s="680"/>
      <c r="B64" s="658"/>
      <c r="C64" s="658"/>
      <c r="D64" s="658"/>
      <c r="E64" s="657"/>
      <c r="F64" s="657"/>
      <c r="G64" s="684"/>
      <c r="H64" s="13"/>
    </row>
    <row r="65" spans="1:8">
      <c r="A65" s="679">
        <v>32</v>
      </c>
      <c r="B65" s="658" t="s">
        <v>3784</v>
      </c>
      <c r="C65" s="658" t="s">
        <v>3783</v>
      </c>
      <c r="D65" s="658" t="s">
        <v>239</v>
      </c>
      <c r="E65" s="657">
        <v>1350</v>
      </c>
      <c r="F65" s="657">
        <f t="shared" ref="F65:F67" si="23">E65</f>
        <v>1350</v>
      </c>
      <c r="G65" s="683"/>
      <c r="H65" s="13"/>
    </row>
    <row r="66" spans="1:8">
      <c r="A66" s="680"/>
      <c r="B66" s="658"/>
      <c r="C66" s="658"/>
      <c r="D66" s="658"/>
      <c r="E66" s="657"/>
      <c r="F66" s="657"/>
      <c r="G66" s="684"/>
      <c r="H66" s="13"/>
    </row>
    <row r="67" spans="1:8">
      <c r="A67" s="679">
        <v>33</v>
      </c>
      <c r="B67" s="658" t="s">
        <v>420</v>
      </c>
      <c r="C67" s="658" t="s">
        <v>3780</v>
      </c>
      <c r="D67" s="658" t="s">
        <v>3025</v>
      </c>
      <c r="E67" s="657">
        <v>94</v>
      </c>
      <c r="F67" s="657">
        <f t="shared" si="23"/>
        <v>94</v>
      </c>
      <c r="G67" s="683"/>
      <c r="H67" s="13"/>
    </row>
    <row r="68" spans="1:8">
      <c r="A68" s="680"/>
      <c r="B68" s="658"/>
      <c r="C68" s="658"/>
      <c r="D68" s="658"/>
      <c r="E68" s="657"/>
      <c r="F68" s="657"/>
      <c r="G68" s="684"/>
      <c r="H68" s="13"/>
    </row>
    <row r="69" spans="1:8">
      <c r="A69" s="679">
        <v>34</v>
      </c>
      <c r="B69" s="658" t="s">
        <v>432</v>
      </c>
      <c r="C69" s="658" t="s">
        <v>3780</v>
      </c>
      <c r="D69" s="658" t="s">
        <v>3778</v>
      </c>
      <c r="E69" s="657">
        <v>520</v>
      </c>
      <c r="F69" s="657">
        <f t="shared" ref="F69" si="24">E69</f>
        <v>520</v>
      </c>
      <c r="G69" s="800"/>
      <c r="H69" s="13"/>
    </row>
    <row r="70" spans="1:8">
      <c r="A70" s="680"/>
      <c r="B70" s="658"/>
      <c r="C70" s="658"/>
      <c r="D70" s="658"/>
      <c r="E70" s="657"/>
      <c r="F70" s="657"/>
      <c r="G70" s="801"/>
      <c r="H70" s="13"/>
    </row>
    <row r="71" spans="1:8">
      <c r="A71" s="679">
        <v>35</v>
      </c>
      <c r="B71" s="658" t="s">
        <v>3770</v>
      </c>
      <c r="C71" s="658" t="s">
        <v>3767</v>
      </c>
      <c r="D71" s="658" t="s">
        <v>239</v>
      </c>
      <c r="E71" s="657">
        <v>40365</v>
      </c>
      <c r="F71" s="657">
        <v>1350</v>
      </c>
      <c r="G71" s="800">
        <v>3.3445</v>
      </c>
      <c r="H71" s="13"/>
    </row>
    <row r="72" spans="1:8">
      <c r="A72" s="680"/>
      <c r="B72" s="658"/>
      <c r="C72" s="658"/>
      <c r="D72" s="658"/>
      <c r="E72" s="657"/>
      <c r="F72" s="657"/>
      <c r="G72" s="801"/>
      <c r="H72" s="13"/>
    </row>
    <row r="73" spans="1:8">
      <c r="A73" s="679">
        <v>36</v>
      </c>
      <c r="B73" s="658" t="s">
        <v>418</v>
      </c>
      <c r="C73" s="658" t="s">
        <v>3779</v>
      </c>
      <c r="D73" s="658" t="s">
        <v>3309</v>
      </c>
      <c r="E73" s="657">
        <v>480</v>
      </c>
      <c r="F73" s="657">
        <f t="shared" ref="F73" si="25">E73</f>
        <v>480</v>
      </c>
      <c r="G73" s="800"/>
      <c r="H73" s="13"/>
    </row>
    <row r="74" spans="1:8">
      <c r="A74" s="680"/>
      <c r="B74" s="658"/>
      <c r="C74" s="658"/>
      <c r="D74" s="658"/>
      <c r="E74" s="657"/>
      <c r="F74" s="657"/>
      <c r="G74" s="801"/>
      <c r="H74" s="13"/>
    </row>
    <row r="75" spans="1:8">
      <c r="A75" s="679">
        <v>37</v>
      </c>
      <c r="B75" s="658" t="s">
        <v>416</v>
      </c>
      <c r="C75" s="658" t="s">
        <v>3779</v>
      </c>
      <c r="D75" s="658" t="s">
        <v>1140</v>
      </c>
      <c r="E75" s="657">
        <v>750</v>
      </c>
      <c r="F75" s="657">
        <f t="shared" ref="F75" si="26">E75</f>
        <v>750</v>
      </c>
      <c r="G75" s="800"/>
      <c r="H75" s="13"/>
    </row>
    <row r="76" spans="1:8">
      <c r="A76" s="680"/>
      <c r="B76" s="658"/>
      <c r="C76" s="658"/>
      <c r="D76" s="658"/>
      <c r="E76" s="657"/>
      <c r="F76" s="657"/>
      <c r="G76" s="801"/>
      <c r="H76" s="13"/>
    </row>
    <row r="77" spans="1:8">
      <c r="A77" s="679">
        <v>38</v>
      </c>
      <c r="B77" s="658" t="s">
        <v>3785</v>
      </c>
      <c r="C77" s="658" t="s">
        <v>3779</v>
      </c>
      <c r="D77" s="658" t="s">
        <v>239</v>
      </c>
      <c r="E77" s="657">
        <v>1400</v>
      </c>
      <c r="F77" s="657">
        <f t="shared" ref="F77" si="27">E77</f>
        <v>1400</v>
      </c>
      <c r="G77" s="683"/>
      <c r="H77" s="13"/>
    </row>
    <row r="78" spans="1:8">
      <c r="A78" s="680"/>
      <c r="B78" s="658"/>
      <c r="C78" s="658"/>
      <c r="D78" s="658"/>
      <c r="E78" s="657"/>
      <c r="F78" s="657"/>
      <c r="G78" s="684"/>
      <c r="H78" s="13"/>
    </row>
    <row r="79" spans="1:8">
      <c r="A79" s="679">
        <v>39</v>
      </c>
      <c r="B79" s="658" t="s">
        <v>433</v>
      </c>
      <c r="C79" s="658" t="s">
        <v>3781</v>
      </c>
      <c r="D79" s="658" t="s">
        <v>2348</v>
      </c>
      <c r="E79" s="657">
        <v>75</v>
      </c>
      <c r="F79" s="657">
        <f t="shared" ref="F79" si="28">E79</f>
        <v>75</v>
      </c>
      <c r="G79" s="800"/>
      <c r="H79" s="13"/>
    </row>
    <row r="80" spans="1:8">
      <c r="A80" s="680"/>
      <c r="B80" s="658"/>
      <c r="C80" s="658"/>
      <c r="D80" s="658"/>
      <c r="E80" s="657"/>
      <c r="F80" s="657"/>
      <c r="G80" s="801"/>
      <c r="H80" s="13"/>
    </row>
    <row r="81" spans="1:8">
      <c r="A81" s="679">
        <v>40</v>
      </c>
      <c r="B81" s="658" t="s">
        <v>434</v>
      </c>
      <c r="C81" s="658" t="s">
        <v>3780</v>
      </c>
      <c r="D81" s="658" t="s">
        <v>2780</v>
      </c>
      <c r="E81" s="657">
        <v>270</v>
      </c>
      <c r="F81" s="657">
        <f t="shared" ref="F81" si="29">E81</f>
        <v>270</v>
      </c>
      <c r="G81" s="800"/>
      <c r="H81" s="13"/>
    </row>
    <row r="82" spans="1:8">
      <c r="A82" s="680"/>
      <c r="B82" s="658"/>
      <c r="C82" s="658"/>
      <c r="D82" s="658"/>
      <c r="E82" s="657"/>
      <c r="F82" s="657"/>
      <c r="G82" s="801"/>
      <c r="H82" s="13"/>
    </row>
    <row r="83" spans="1:8">
      <c r="A83" s="679">
        <v>41</v>
      </c>
      <c r="B83" s="658" t="s">
        <v>435</v>
      </c>
      <c r="C83" s="658" t="s">
        <v>3780</v>
      </c>
      <c r="D83" s="658" t="s">
        <v>2780</v>
      </c>
      <c r="E83" s="657">
        <v>260</v>
      </c>
      <c r="F83" s="657">
        <f t="shared" ref="F83" si="30">E83</f>
        <v>260</v>
      </c>
      <c r="G83" s="800"/>
      <c r="H83" s="13"/>
    </row>
    <row r="84" spans="1:8">
      <c r="A84" s="680"/>
      <c r="B84" s="658"/>
      <c r="C84" s="658"/>
      <c r="D84" s="658"/>
      <c r="E84" s="657"/>
      <c r="F84" s="657"/>
      <c r="G84" s="801"/>
      <c r="H84" s="13"/>
    </row>
    <row r="85" spans="1:8">
      <c r="A85" s="679">
        <v>42</v>
      </c>
      <c r="B85" s="658" t="s">
        <v>3786</v>
      </c>
      <c r="C85" s="658" t="s">
        <v>3779</v>
      </c>
      <c r="D85" s="658" t="s">
        <v>239</v>
      </c>
      <c r="E85" s="657">
        <v>40255</v>
      </c>
      <c r="F85" s="657">
        <v>1350</v>
      </c>
      <c r="G85" s="800">
        <v>3.3536000000000001</v>
      </c>
      <c r="H85" s="13"/>
    </row>
    <row r="86" spans="1:8">
      <c r="A86" s="680"/>
      <c r="B86" s="658"/>
      <c r="C86" s="658"/>
      <c r="D86" s="658"/>
      <c r="E86" s="657"/>
      <c r="F86" s="657"/>
      <c r="G86" s="801"/>
      <c r="H86" s="13"/>
    </row>
    <row r="87" spans="1:8">
      <c r="A87" s="679">
        <v>43</v>
      </c>
      <c r="B87" s="658" t="s">
        <v>436</v>
      </c>
      <c r="C87" s="658" t="s">
        <v>3782</v>
      </c>
      <c r="D87" s="658" t="s">
        <v>3388</v>
      </c>
      <c r="E87" s="657">
        <v>400</v>
      </c>
      <c r="F87" s="657">
        <f t="shared" ref="F87" si="31">E87</f>
        <v>400</v>
      </c>
      <c r="G87" s="800"/>
      <c r="H87" s="13"/>
    </row>
    <row r="88" spans="1:8">
      <c r="A88" s="680"/>
      <c r="B88" s="658"/>
      <c r="C88" s="658"/>
      <c r="D88" s="658"/>
      <c r="E88" s="657"/>
      <c r="F88" s="657"/>
      <c r="G88" s="801"/>
      <c r="H88" s="13"/>
    </row>
    <row r="89" spans="1:8">
      <c r="A89" s="679">
        <v>44</v>
      </c>
      <c r="B89" s="658" t="s">
        <v>438</v>
      </c>
      <c r="C89" s="658" t="s">
        <v>3782</v>
      </c>
      <c r="D89" s="658" t="s">
        <v>3226</v>
      </c>
      <c r="E89" s="657">
        <v>350</v>
      </c>
      <c r="F89" s="657">
        <f t="shared" ref="F89" si="32">E89</f>
        <v>350</v>
      </c>
      <c r="G89" s="800"/>
      <c r="H89" s="13"/>
    </row>
    <row r="90" spans="1:8">
      <c r="A90" s="680"/>
      <c r="B90" s="658"/>
      <c r="C90" s="658"/>
      <c r="D90" s="658"/>
      <c r="E90" s="657"/>
      <c r="F90" s="657"/>
      <c r="G90" s="801"/>
      <c r="H90" s="13"/>
    </row>
    <row r="91" spans="1:8">
      <c r="A91" s="679">
        <v>45</v>
      </c>
      <c r="B91" s="658" t="s">
        <v>3789</v>
      </c>
      <c r="C91" s="658" t="s">
        <v>3788</v>
      </c>
      <c r="D91" s="658" t="s">
        <v>239</v>
      </c>
      <c r="E91" s="657">
        <v>1350</v>
      </c>
      <c r="F91" s="657">
        <f t="shared" ref="F91" si="33">E91</f>
        <v>1350</v>
      </c>
      <c r="G91" s="683"/>
      <c r="H91" s="13"/>
    </row>
    <row r="92" spans="1:8">
      <c r="A92" s="680"/>
      <c r="B92" s="658"/>
      <c r="C92" s="658"/>
      <c r="D92" s="658"/>
      <c r="E92" s="657"/>
      <c r="F92" s="657"/>
      <c r="G92" s="684"/>
      <c r="H92" s="13"/>
    </row>
    <row r="93" spans="1:8">
      <c r="A93" s="679">
        <v>46</v>
      </c>
      <c r="B93" s="658" t="s">
        <v>3787</v>
      </c>
      <c r="C93" s="658" t="s">
        <v>3782</v>
      </c>
      <c r="D93" s="658" t="s">
        <v>239</v>
      </c>
      <c r="E93" s="657">
        <v>150</v>
      </c>
      <c r="F93" s="657">
        <v>180</v>
      </c>
      <c r="G93" s="683"/>
      <c r="H93" s="13"/>
    </row>
    <row r="94" spans="1:8">
      <c r="A94" s="680"/>
      <c r="B94" s="658"/>
      <c r="C94" s="658"/>
      <c r="D94" s="658"/>
      <c r="E94" s="657"/>
      <c r="F94" s="657"/>
      <c r="G94" s="684"/>
      <c r="H94" s="13"/>
    </row>
    <row r="95" spans="1:8">
      <c r="A95" s="679">
        <v>47</v>
      </c>
      <c r="B95" s="658" t="s">
        <v>457</v>
      </c>
      <c r="C95" s="658" t="s">
        <v>3780</v>
      </c>
      <c r="D95" s="658" t="s">
        <v>2376</v>
      </c>
      <c r="E95" s="657">
        <v>60</v>
      </c>
      <c r="F95" s="657">
        <f t="shared" ref="F95" si="34">E95</f>
        <v>60</v>
      </c>
      <c r="G95" s="683"/>
      <c r="H95" s="13"/>
    </row>
    <row r="96" spans="1:8">
      <c r="A96" s="680"/>
      <c r="B96" s="658"/>
      <c r="C96" s="658"/>
      <c r="D96" s="658"/>
      <c r="E96" s="657"/>
      <c r="F96" s="657"/>
      <c r="G96" s="684"/>
      <c r="H96" s="13"/>
    </row>
    <row r="97" spans="1:8">
      <c r="A97" s="679">
        <v>48</v>
      </c>
      <c r="B97" s="658" t="s">
        <v>458</v>
      </c>
      <c r="C97" s="658" t="s">
        <v>3780</v>
      </c>
      <c r="D97" s="658" t="s">
        <v>2517</v>
      </c>
      <c r="E97" s="657">
        <v>295</v>
      </c>
      <c r="F97" s="657">
        <f t="shared" ref="F97" si="35">E97</f>
        <v>295</v>
      </c>
      <c r="G97" s="683"/>
      <c r="H97" s="13"/>
    </row>
    <row r="98" spans="1:8">
      <c r="A98" s="680"/>
      <c r="B98" s="658"/>
      <c r="C98" s="658"/>
      <c r="D98" s="658"/>
      <c r="E98" s="657"/>
      <c r="F98" s="657"/>
      <c r="G98" s="684"/>
      <c r="H98" s="13"/>
    </row>
    <row r="99" spans="1:8">
      <c r="A99" s="679">
        <v>49</v>
      </c>
      <c r="B99" s="658" t="s">
        <v>460</v>
      </c>
      <c r="C99" s="658" t="s">
        <v>3780</v>
      </c>
      <c r="D99" s="658" t="s">
        <v>2780</v>
      </c>
      <c r="E99" s="657">
        <v>550</v>
      </c>
      <c r="F99" s="657">
        <f t="shared" ref="F99" si="36">E99</f>
        <v>550</v>
      </c>
      <c r="G99" s="683"/>
      <c r="H99" s="13"/>
    </row>
    <row r="100" spans="1:8">
      <c r="A100" s="680"/>
      <c r="B100" s="658"/>
      <c r="C100" s="658"/>
      <c r="D100" s="658"/>
      <c r="E100" s="657"/>
      <c r="F100" s="657"/>
      <c r="G100" s="684"/>
      <c r="H100" s="13"/>
    </row>
    <row r="101" spans="1:8">
      <c r="A101" s="679">
        <v>50</v>
      </c>
      <c r="B101" s="658" t="s">
        <v>3794</v>
      </c>
      <c r="C101" s="658" t="s">
        <v>3780</v>
      </c>
      <c r="D101" s="658" t="s">
        <v>239</v>
      </c>
      <c r="E101" s="657">
        <v>40475</v>
      </c>
      <c r="F101" s="657">
        <v>1350</v>
      </c>
      <c r="G101" s="683">
        <v>3.3353999999999999</v>
      </c>
      <c r="H101" s="13"/>
    </row>
    <row r="102" spans="1:8">
      <c r="A102" s="680"/>
      <c r="B102" s="658"/>
      <c r="C102" s="658"/>
      <c r="D102" s="658"/>
      <c r="E102" s="657"/>
      <c r="F102" s="657"/>
      <c r="G102" s="684"/>
      <c r="H102" s="13"/>
    </row>
    <row r="103" spans="1:8">
      <c r="A103" s="679">
        <v>51</v>
      </c>
      <c r="B103" s="658" t="s">
        <v>3796</v>
      </c>
      <c r="C103" s="658" t="s">
        <v>3795</v>
      </c>
      <c r="D103" s="658" t="s">
        <v>239</v>
      </c>
      <c r="E103" s="657">
        <v>1350</v>
      </c>
      <c r="F103" s="657">
        <f t="shared" ref="F103" si="37">E103</f>
        <v>1350</v>
      </c>
      <c r="G103" s="683"/>
      <c r="H103" s="13"/>
    </row>
    <row r="104" spans="1:8">
      <c r="A104" s="680"/>
      <c r="B104" s="658"/>
      <c r="C104" s="658"/>
      <c r="D104" s="658"/>
      <c r="E104" s="657"/>
      <c r="F104" s="657"/>
      <c r="G104" s="684"/>
      <c r="H104" s="13"/>
    </row>
    <row r="105" spans="1:8">
      <c r="A105" s="679">
        <v>52</v>
      </c>
      <c r="B105" s="735"/>
      <c r="C105" s="735"/>
      <c r="D105" s="735"/>
      <c r="E105" s="709"/>
      <c r="F105" s="709"/>
      <c r="G105" s="683"/>
    </row>
    <row r="106" spans="1:8">
      <c r="A106" s="680"/>
      <c r="B106" s="735"/>
      <c r="C106" s="735"/>
      <c r="D106" s="735"/>
      <c r="E106" s="709"/>
      <c r="F106" s="709"/>
      <c r="G106" s="684"/>
    </row>
    <row r="107" spans="1:8">
      <c r="A107" s="679">
        <v>53</v>
      </c>
      <c r="B107" s="735"/>
      <c r="C107" s="735"/>
      <c r="D107" s="735"/>
      <c r="E107" s="709"/>
      <c r="F107" s="709"/>
      <c r="G107" s="683"/>
    </row>
    <row r="108" spans="1:8">
      <c r="A108" s="680"/>
      <c r="B108" s="735"/>
      <c r="C108" s="735"/>
      <c r="D108" s="735"/>
      <c r="E108" s="709"/>
      <c r="F108" s="709"/>
      <c r="G108" s="684"/>
    </row>
    <row r="109" spans="1:8">
      <c r="A109" s="679">
        <v>54</v>
      </c>
      <c r="B109" s="735"/>
      <c r="C109" s="735"/>
      <c r="D109" s="735"/>
      <c r="E109" s="709"/>
      <c r="F109" s="709"/>
      <c r="G109" s="683"/>
    </row>
    <row r="110" spans="1:8">
      <c r="A110" s="680"/>
      <c r="B110" s="735"/>
      <c r="C110" s="735"/>
      <c r="D110" s="735"/>
      <c r="E110" s="709"/>
      <c r="F110" s="709"/>
      <c r="G110" s="684"/>
    </row>
    <row r="111" spans="1:8">
      <c r="A111" s="679">
        <v>55</v>
      </c>
      <c r="B111" s="735"/>
      <c r="C111" s="735"/>
      <c r="D111" s="735"/>
      <c r="E111" s="709"/>
      <c r="F111" s="709"/>
      <c r="G111" s="683"/>
    </row>
    <row r="112" spans="1:8">
      <c r="A112" s="680"/>
      <c r="B112" s="735"/>
      <c r="C112" s="735"/>
      <c r="D112" s="735"/>
      <c r="E112" s="709"/>
      <c r="F112" s="709"/>
      <c r="G112" s="684"/>
    </row>
    <row r="113" spans="1:7">
      <c r="A113" s="679">
        <v>56</v>
      </c>
      <c r="B113" s="735"/>
      <c r="C113" s="735"/>
      <c r="D113" s="735"/>
      <c r="E113" s="709"/>
      <c r="F113" s="709"/>
      <c r="G113" s="683"/>
    </row>
    <row r="114" spans="1:7">
      <c r="A114" s="680"/>
      <c r="B114" s="735"/>
      <c r="C114" s="735"/>
      <c r="D114" s="735"/>
      <c r="E114" s="709"/>
      <c r="F114" s="709"/>
      <c r="G114" s="684"/>
    </row>
    <row r="115" spans="1:7">
      <c r="A115" s="679">
        <v>57</v>
      </c>
      <c r="B115" s="735"/>
      <c r="C115" s="735"/>
      <c r="D115" s="735"/>
      <c r="E115" s="709"/>
      <c r="F115" s="709"/>
      <c r="G115" s="683"/>
    </row>
    <row r="116" spans="1:7">
      <c r="A116" s="680"/>
      <c r="B116" s="735"/>
      <c r="C116" s="735"/>
      <c r="D116" s="735"/>
      <c r="E116" s="709"/>
      <c r="F116" s="709"/>
      <c r="G116" s="684"/>
    </row>
    <row r="117" spans="1:7">
      <c r="A117" s="687">
        <v>58</v>
      </c>
      <c r="B117" s="658"/>
      <c r="C117" s="658"/>
      <c r="D117" s="658"/>
      <c r="E117" s="657"/>
      <c r="F117" s="657"/>
      <c r="G117" s="685"/>
    </row>
    <row r="118" spans="1:7">
      <c r="A118" s="688"/>
      <c r="B118" s="658"/>
      <c r="C118" s="658"/>
      <c r="D118" s="658"/>
      <c r="E118" s="657"/>
      <c r="F118" s="657"/>
      <c r="G118" s="686"/>
    </row>
    <row r="119" spans="1:7">
      <c r="A119" s="687">
        <v>59</v>
      </c>
      <c r="B119" s="658"/>
      <c r="C119" s="659"/>
      <c r="D119" s="658"/>
      <c r="E119" s="657"/>
      <c r="F119" s="657"/>
      <c r="G119" s="685"/>
    </row>
    <row r="120" spans="1:7">
      <c r="A120" s="688"/>
      <c r="B120" s="658"/>
      <c r="C120" s="660"/>
      <c r="D120" s="658"/>
      <c r="E120" s="657"/>
      <c r="F120" s="657"/>
      <c r="G120" s="686"/>
    </row>
    <row r="121" spans="1:7">
      <c r="A121" s="687"/>
      <c r="B121" s="689"/>
      <c r="C121" s="689"/>
      <c r="D121" s="689"/>
      <c r="E121" s="689"/>
      <c r="F121" s="689"/>
      <c r="G121" s="685"/>
    </row>
    <row r="122" spans="1:7">
      <c r="A122" s="688"/>
      <c r="B122" s="689"/>
      <c r="C122" s="689"/>
      <c r="D122" s="689"/>
      <c r="E122" s="689"/>
      <c r="F122" s="689"/>
      <c r="G122" s="686"/>
    </row>
    <row r="123" spans="1:7">
      <c r="A123" s="687"/>
      <c r="B123" s="689"/>
      <c r="C123" s="689"/>
      <c r="D123" s="689"/>
      <c r="E123" s="689"/>
      <c r="F123" s="689"/>
      <c r="G123" s="685"/>
    </row>
    <row r="124" spans="1:7">
      <c r="A124" s="688"/>
      <c r="B124" s="689"/>
      <c r="C124" s="689"/>
      <c r="D124" s="689"/>
      <c r="E124" s="689"/>
      <c r="F124" s="689"/>
      <c r="G124" s="686"/>
    </row>
    <row r="125" spans="1:7">
      <c r="A125" s="687"/>
      <c r="B125" s="689"/>
      <c r="C125" s="689"/>
      <c r="D125" s="689"/>
      <c r="E125" s="689"/>
      <c r="F125" s="689"/>
      <c r="G125" s="685"/>
    </row>
    <row r="126" spans="1:7">
      <c r="A126" s="688"/>
      <c r="B126" s="689"/>
      <c r="C126" s="689"/>
      <c r="D126" s="689"/>
      <c r="E126" s="689"/>
      <c r="F126" s="689"/>
      <c r="G126" s="686"/>
    </row>
    <row r="127" spans="1:7">
      <c r="A127" s="687"/>
      <c r="B127" s="689"/>
      <c r="C127" s="689"/>
      <c r="D127" s="689"/>
      <c r="E127" s="689"/>
      <c r="F127" s="689"/>
      <c r="G127" s="685"/>
    </row>
    <row r="128" spans="1:7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  <row r="131" spans="1:7">
      <c r="A131" s="687"/>
      <c r="B131" s="689"/>
      <c r="C131" s="689"/>
      <c r="D131" s="689"/>
      <c r="E131" s="689"/>
      <c r="F131" s="689"/>
      <c r="G131" s="685"/>
    </row>
    <row r="132" spans="1:7">
      <c r="A132" s="688"/>
      <c r="B132" s="689"/>
      <c r="C132" s="689"/>
      <c r="D132" s="689"/>
      <c r="E132" s="689"/>
      <c r="F132" s="689"/>
      <c r="G132" s="686"/>
    </row>
    <row r="133" spans="1:7">
      <c r="A133" s="687"/>
      <c r="B133" s="689"/>
      <c r="C133" s="689"/>
      <c r="D133" s="689"/>
      <c r="E133" s="689"/>
      <c r="F133" s="689"/>
      <c r="G133" s="685"/>
    </row>
    <row r="134" spans="1:7">
      <c r="A134" s="688"/>
      <c r="B134" s="689"/>
      <c r="C134" s="689"/>
      <c r="D134" s="689"/>
      <c r="E134" s="689"/>
      <c r="F134" s="689"/>
      <c r="G134" s="686"/>
    </row>
  </sheetData>
  <mergeCells count="463">
    <mergeCell ref="G133:G134"/>
    <mergeCell ref="A133:A134"/>
    <mergeCell ref="B133:B134"/>
    <mergeCell ref="C133:C134"/>
    <mergeCell ref="D133:D134"/>
    <mergeCell ref="E133:E134"/>
    <mergeCell ref="F133:F134"/>
    <mergeCell ref="G129:G130"/>
    <mergeCell ref="A131:A132"/>
    <mergeCell ref="B131:B132"/>
    <mergeCell ref="C131:C132"/>
    <mergeCell ref="D131:D132"/>
    <mergeCell ref="E131:E132"/>
    <mergeCell ref="F131:F132"/>
    <mergeCell ref="G131:G132"/>
    <mergeCell ref="A129:A130"/>
    <mergeCell ref="B129:B130"/>
    <mergeCell ref="C129:C130"/>
    <mergeCell ref="D129:D130"/>
    <mergeCell ref="E129:E130"/>
    <mergeCell ref="F129:F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"/>
  <sheetViews>
    <sheetView topLeftCell="B1" workbookViewId="0">
      <selection activeCell="B1" sqref="A1:H120"/>
    </sheetView>
  </sheetViews>
  <sheetFormatPr defaultRowHeight="12.75"/>
  <cols>
    <col min="1" max="1" width="13.85546875" customWidth="1"/>
    <col min="2" max="2" width="12.7109375" customWidth="1"/>
    <col min="4" max="4" width="26.85546875" customWidth="1"/>
    <col min="8" max="8" width="19.28515625" customWidth="1"/>
  </cols>
  <sheetData>
    <row r="1" spans="1:15" ht="15">
      <c r="A1" s="617" t="s">
        <v>2925</v>
      </c>
      <c r="B1" s="617"/>
      <c r="C1" s="617"/>
      <c r="D1" s="617"/>
      <c r="E1" s="617"/>
      <c r="F1" s="617"/>
      <c r="G1" s="618"/>
    </row>
    <row r="2" spans="1:15" ht="15">
      <c r="A2" s="678" t="s">
        <v>3735</v>
      </c>
      <c r="B2" s="678"/>
      <c r="C2" s="678"/>
      <c r="D2" s="678"/>
      <c r="E2" s="678"/>
      <c r="F2" s="678"/>
      <c r="G2" s="678"/>
      <c r="H2" s="111">
        <v>31795</v>
      </c>
    </row>
    <row r="3" spans="1:15" ht="12.75" customHeight="1">
      <c r="A3" s="679">
        <v>1</v>
      </c>
      <c r="B3" s="735" t="s">
        <v>201</v>
      </c>
      <c r="C3" s="735" t="s">
        <v>3673</v>
      </c>
      <c r="D3" s="711" t="s">
        <v>2780</v>
      </c>
      <c r="E3" s="720">
        <v>320</v>
      </c>
      <c r="F3" s="727">
        <v>320</v>
      </c>
      <c r="G3" s="683"/>
      <c r="H3" s="619">
        <v>31015</v>
      </c>
    </row>
    <row r="4" spans="1:15">
      <c r="A4" s="680"/>
      <c r="B4" s="735"/>
      <c r="C4" s="735"/>
      <c r="D4" s="712"/>
      <c r="E4" s="689"/>
      <c r="F4" s="727"/>
      <c r="G4" s="684"/>
    </row>
    <row r="5" spans="1:15" ht="12.75" customHeight="1">
      <c r="A5" s="679">
        <v>2</v>
      </c>
      <c r="B5" s="735" t="s">
        <v>202</v>
      </c>
      <c r="C5" s="735" t="s">
        <v>3673</v>
      </c>
      <c r="D5" s="711" t="s">
        <v>3670</v>
      </c>
      <c r="E5" s="720">
        <v>250</v>
      </c>
      <c r="F5" s="689">
        <f t="shared" ref="F5" si="0">E5</f>
        <v>250</v>
      </c>
      <c r="G5" s="683"/>
    </row>
    <row r="6" spans="1:15">
      <c r="A6" s="680"/>
      <c r="B6" s="735"/>
      <c r="C6" s="735"/>
      <c r="D6" s="712"/>
      <c r="E6" s="689"/>
      <c r="F6" s="689"/>
      <c r="G6" s="684"/>
    </row>
    <row r="7" spans="1:15" ht="12.75" customHeight="1">
      <c r="A7" s="679">
        <v>3</v>
      </c>
      <c r="B7" s="735" t="s">
        <v>212</v>
      </c>
      <c r="C7" s="735" t="s">
        <v>3674</v>
      </c>
      <c r="D7" s="711" t="s">
        <v>3671</v>
      </c>
      <c r="E7" s="720">
        <v>550</v>
      </c>
      <c r="F7" s="689">
        <f t="shared" ref="F7" si="1">E7</f>
        <v>550</v>
      </c>
      <c r="G7" s="683"/>
    </row>
    <row r="8" spans="1:15">
      <c r="A8" s="680"/>
      <c r="B8" s="735"/>
      <c r="C8" s="735"/>
      <c r="D8" s="712"/>
      <c r="E8" s="689"/>
      <c r="F8" s="689"/>
      <c r="G8" s="684"/>
    </row>
    <row r="9" spans="1:15">
      <c r="A9" s="679">
        <v>4</v>
      </c>
      <c r="B9" s="689" t="s">
        <v>214</v>
      </c>
      <c r="C9" s="689" t="s">
        <v>3674</v>
      </c>
      <c r="D9" s="689" t="s">
        <v>2723</v>
      </c>
      <c r="E9" s="720">
        <v>200</v>
      </c>
      <c r="F9" s="689">
        <f t="shared" ref="F9" si="2">E9</f>
        <v>200</v>
      </c>
      <c r="G9" s="683"/>
    </row>
    <row r="10" spans="1:15">
      <c r="A10" s="680"/>
      <c r="B10" s="689"/>
      <c r="C10" s="689"/>
      <c r="D10" s="689"/>
      <c r="E10" s="689"/>
      <c r="F10" s="689"/>
      <c r="G10" s="684"/>
    </row>
    <row r="11" spans="1:15">
      <c r="A11" s="679">
        <v>5</v>
      </c>
      <c r="B11" s="689" t="s">
        <v>215</v>
      </c>
      <c r="C11" s="689" t="s">
        <v>3674</v>
      </c>
      <c r="D11" s="689" t="s">
        <v>2723</v>
      </c>
      <c r="E11" s="720">
        <v>450</v>
      </c>
      <c r="F11" s="689">
        <f t="shared" ref="F11" si="3">E11</f>
        <v>450</v>
      </c>
      <c r="G11" s="683"/>
    </row>
    <row r="12" spans="1:15">
      <c r="A12" s="680"/>
      <c r="B12" s="689"/>
      <c r="C12" s="689"/>
      <c r="D12" s="689"/>
      <c r="E12" s="689"/>
      <c r="F12" s="689"/>
      <c r="G12" s="684"/>
    </row>
    <row r="13" spans="1:15">
      <c r="A13" s="679">
        <v>6</v>
      </c>
      <c r="B13" s="689" t="s">
        <v>221</v>
      </c>
      <c r="C13" s="689" t="s">
        <v>3674</v>
      </c>
      <c r="D13" s="689" t="s">
        <v>1601</v>
      </c>
      <c r="E13" s="689" t="s">
        <v>735</v>
      </c>
      <c r="F13" s="689" t="str">
        <f t="shared" ref="F13" si="4">E13</f>
        <v>200</v>
      </c>
      <c r="G13" s="683"/>
    </row>
    <row r="14" spans="1:15">
      <c r="A14" s="680"/>
      <c r="B14" s="689"/>
      <c r="C14" s="689"/>
      <c r="D14" s="689"/>
      <c r="E14" s="689"/>
      <c r="F14" s="689"/>
      <c r="G14" s="684"/>
    </row>
    <row r="15" spans="1:15">
      <c r="A15" s="679">
        <v>7</v>
      </c>
      <c r="B15" s="689" t="s">
        <v>222</v>
      </c>
      <c r="C15" s="689" t="s">
        <v>3674</v>
      </c>
      <c r="D15" s="689" t="s">
        <v>2348</v>
      </c>
      <c r="E15" s="689">
        <v>50</v>
      </c>
      <c r="F15" s="689">
        <f t="shared" ref="F15" si="5">E15</f>
        <v>50</v>
      </c>
      <c r="G15" s="683"/>
      <c r="O15" t="s">
        <v>3751</v>
      </c>
    </row>
    <row r="16" spans="1:15">
      <c r="A16" s="680"/>
      <c r="B16" s="689"/>
      <c r="C16" s="689"/>
      <c r="D16" s="689"/>
      <c r="E16" s="689"/>
      <c r="F16" s="689"/>
      <c r="G16" s="684"/>
    </row>
    <row r="17" spans="1:7">
      <c r="A17" s="679">
        <v>8</v>
      </c>
      <c r="B17" s="689" t="s">
        <v>3678</v>
      </c>
      <c r="C17" s="689" t="s">
        <v>3677</v>
      </c>
      <c r="D17" s="689" t="s">
        <v>239</v>
      </c>
      <c r="E17" s="689" t="s">
        <v>3593</v>
      </c>
      <c r="F17" s="689" t="str">
        <f t="shared" ref="F17" si="6">E17</f>
        <v>1350</v>
      </c>
      <c r="G17" s="683"/>
    </row>
    <row r="18" spans="1:7">
      <c r="A18" s="680"/>
      <c r="B18" s="689"/>
      <c r="C18" s="689"/>
      <c r="D18" s="689"/>
      <c r="E18" s="689"/>
      <c r="F18" s="689"/>
      <c r="G18" s="684"/>
    </row>
    <row r="19" spans="1:7">
      <c r="A19" s="679">
        <v>9</v>
      </c>
      <c r="B19" s="689" t="s">
        <v>230</v>
      </c>
      <c r="C19" s="689" t="s">
        <v>3676</v>
      </c>
      <c r="D19" s="689" t="s">
        <v>3025</v>
      </c>
      <c r="E19" s="689" t="s">
        <v>358</v>
      </c>
      <c r="F19" s="689" t="str">
        <f t="shared" ref="F19" si="7">E19</f>
        <v>96</v>
      </c>
      <c r="G19" s="683"/>
    </row>
    <row r="20" spans="1:7">
      <c r="A20" s="680"/>
      <c r="B20" s="689"/>
      <c r="C20" s="689"/>
      <c r="D20" s="689"/>
      <c r="E20" s="689"/>
      <c r="F20" s="689"/>
      <c r="G20" s="684"/>
    </row>
    <row r="21" spans="1:7">
      <c r="A21" s="679">
        <v>10</v>
      </c>
      <c r="B21" s="689" t="s">
        <v>231</v>
      </c>
      <c r="C21" s="689" t="s">
        <v>3676</v>
      </c>
      <c r="D21" s="689" t="s">
        <v>1601</v>
      </c>
      <c r="E21" s="689" t="s">
        <v>1084</v>
      </c>
      <c r="F21" s="689" t="str">
        <f t="shared" ref="F21" si="8">E21</f>
        <v>300</v>
      </c>
      <c r="G21" s="683"/>
    </row>
    <row r="22" spans="1:7">
      <c r="A22" s="680"/>
      <c r="B22" s="689"/>
      <c r="C22" s="689"/>
      <c r="D22" s="689"/>
      <c r="E22" s="689"/>
      <c r="F22" s="689"/>
      <c r="G22" s="684"/>
    </row>
    <row r="23" spans="1:7">
      <c r="A23" s="679">
        <v>11</v>
      </c>
      <c r="B23" s="689" t="s">
        <v>232</v>
      </c>
      <c r="C23" s="689" t="s">
        <v>3676</v>
      </c>
      <c r="D23" s="689" t="s">
        <v>3309</v>
      </c>
      <c r="E23" s="689" t="s">
        <v>3592</v>
      </c>
      <c r="F23" s="689" t="str">
        <f t="shared" ref="F23" si="9">E23</f>
        <v>450</v>
      </c>
      <c r="G23" s="683"/>
    </row>
    <row r="24" spans="1:7">
      <c r="A24" s="680"/>
      <c r="B24" s="689"/>
      <c r="C24" s="689"/>
      <c r="D24" s="689"/>
      <c r="E24" s="689"/>
      <c r="F24" s="689"/>
      <c r="G24" s="684"/>
    </row>
    <row r="25" spans="1:7">
      <c r="A25" s="679">
        <v>12</v>
      </c>
      <c r="B25" s="689" t="s">
        <v>3701</v>
      </c>
      <c r="C25" s="689" t="s">
        <v>3676</v>
      </c>
      <c r="D25" s="689" t="s">
        <v>239</v>
      </c>
      <c r="E25" s="689" t="s">
        <v>3716</v>
      </c>
      <c r="F25" s="720">
        <v>1400</v>
      </c>
      <c r="G25" s="683">
        <v>3.2505000000000002</v>
      </c>
    </row>
    <row r="26" spans="1:7">
      <c r="A26" s="680"/>
      <c r="B26" s="689"/>
      <c r="C26" s="689"/>
      <c r="D26" s="689"/>
      <c r="E26" s="689"/>
      <c r="F26" s="746"/>
      <c r="G26" s="684"/>
    </row>
    <row r="27" spans="1:7">
      <c r="A27" s="679">
        <v>13</v>
      </c>
      <c r="B27" s="735" t="s">
        <v>3704</v>
      </c>
      <c r="C27" s="735" t="s">
        <v>3674</v>
      </c>
      <c r="D27" s="689" t="s">
        <v>239</v>
      </c>
      <c r="E27" s="709">
        <v>150</v>
      </c>
      <c r="F27" s="709">
        <v>180</v>
      </c>
      <c r="G27" s="683" t="s">
        <v>198</v>
      </c>
    </row>
    <row r="28" spans="1:7">
      <c r="A28" s="680"/>
      <c r="B28" s="735"/>
      <c r="C28" s="735"/>
      <c r="D28" s="689"/>
      <c r="E28" s="709"/>
      <c r="F28" s="709"/>
      <c r="G28" s="684"/>
    </row>
    <row r="29" spans="1:7">
      <c r="A29" s="679">
        <v>14</v>
      </c>
      <c r="B29" s="735" t="s">
        <v>233</v>
      </c>
      <c r="C29" s="735" t="s">
        <v>3682</v>
      </c>
      <c r="D29" s="736" t="s">
        <v>2376</v>
      </c>
      <c r="E29" s="709">
        <v>60</v>
      </c>
      <c r="F29" s="709">
        <f t="shared" ref="F29" si="10">E29</f>
        <v>60</v>
      </c>
      <c r="G29" s="683"/>
    </row>
    <row r="30" spans="1:7">
      <c r="A30" s="680"/>
      <c r="B30" s="735"/>
      <c r="C30" s="735"/>
      <c r="D30" s="737"/>
      <c r="E30" s="709"/>
      <c r="F30" s="709"/>
      <c r="G30" s="684"/>
    </row>
    <row r="31" spans="1:7">
      <c r="A31" s="679">
        <v>15</v>
      </c>
      <c r="B31" s="735" t="s">
        <v>234</v>
      </c>
      <c r="C31" s="735" t="s">
        <v>3682</v>
      </c>
      <c r="D31" s="736" t="s">
        <v>3309</v>
      </c>
      <c r="E31" s="709">
        <v>400</v>
      </c>
      <c r="F31" s="709">
        <f t="shared" ref="F31" si="11">E31</f>
        <v>400</v>
      </c>
      <c r="G31" s="683"/>
    </row>
    <row r="32" spans="1:7">
      <c r="A32" s="680"/>
      <c r="B32" s="735"/>
      <c r="C32" s="735"/>
      <c r="D32" s="737"/>
      <c r="E32" s="709"/>
      <c r="F32" s="709"/>
      <c r="G32" s="684"/>
    </row>
    <row r="33" spans="1:7">
      <c r="A33" s="679">
        <v>16</v>
      </c>
      <c r="B33" s="735" t="s">
        <v>3700</v>
      </c>
      <c r="C33" s="735" t="s">
        <v>3699</v>
      </c>
      <c r="D33" s="689" t="s">
        <v>239</v>
      </c>
      <c r="E33" s="709">
        <v>1350</v>
      </c>
      <c r="F33" s="709">
        <f t="shared" ref="F33" si="12">E33</f>
        <v>1350</v>
      </c>
      <c r="G33" s="683"/>
    </row>
    <row r="34" spans="1:7">
      <c r="A34" s="680"/>
      <c r="B34" s="735"/>
      <c r="C34" s="735"/>
      <c r="D34" s="689"/>
      <c r="E34" s="709"/>
      <c r="F34" s="709"/>
      <c r="G34" s="684"/>
    </row>
    <row r="35" spans="1:7">
      <c r="A35" s="679">
        <v>17</v>
      </c>
      <c r="B35" s="735" t="s">
        <v>3705</v>
      </c>
      <c r="C35" s="735" t="s">
        <v>3676</v>
      </c>
      <c r="D35" s="689" t="s">
        <v>239</v>
      </c>
      <c r="E35" s="709">
        <v>50</v>
      </c>
      <c r="F35" s="709">
        <v>60</v>
      </c>
      <c r="G35" s="683" t="s">
        <v>198</v>
      </c>
    </row>
    <row r="36" spans="1:7">
      <c r="A36" s="680"/>
      <c r="B36" s="735"/>
      <c r="C36" s="735"/>
      <c r="D36" s="689"/>
      <c r="E36" s="709"/>
      <c r="F36" s="709"/>
      <c r="G36" s="684"/>
    </row>
    <row r="37" spans="1:7">
      <c r="A37" s="679">
        <v>18</v>
      </c>
      <c r="B37" s="735" t="s">
        <v>254</v>
      </c>
      <c r="C37" s="735" t="s">
        <v>3683</v>
      </c>
      <c r="D37" s="736" t="s">
        <v>3309</v>
      </c>
      <c r="E37" s="709">
        <v>570</v>
      </c>
      <c r="F37" s="709">
        <f t="shared" ref="F37" si="13">E37</f>
        <v>570</v>
      </c>
      <c r="G37" s="683"/>
    </row>
    <row r="38" spans="1:7">
      <c r="A38" s="680"/>
      <c r="B38" s="735"/>
      <c r="C38" s="735"/>
      <c r="D38" s="737"/>
      <c r="E38" s="709"/>
      <c r="F38" s="709"/>
      <c r="G38" s="684"/>
    </row>
    <row r="39" spans="1:7">
      <c r="A39" s="679">
        <v>19</v>
      </c>
      <c r="B39" s="735" t="s">
        <v>255</v>
      </c>
      <c r="C39" s="735" t="s">
        <v>3683</v>
      </c>
      <c r="D39" s="736" t="s">
        <v>3025</v>
      </c>
      <c r="E39" s="709">
        <v>96</v>
      </c>
      <c r="F39" s="709">
        <f t="shared" ref="F39" si="14">E39</f>
        <v>96</v>
      </c>
      <c r="G39" s="683"/>
    </row>
    <row r="40" spans="1:7">
      <c r="A40" s="680"/>
      <c r="B40" s="735"/>
      <c r="C40" s="735"/>
      <c r="D40" s="737"/>
      <c r="E40" s="709"/>
      <c r="F40" s="709"/>
      <c r="G40" s="684"/>
    </row>
    <row r="41" spans="1:7">
      <c r="A41" s="679">
        <v>20</v>
      </c>
      <c r="B41" s="735" t="s">
        <v>3706</v>
      </c>
      <c r="C41" s="735" t="s">
        <v>3683</v>
      </c>
      <c r="D41" s="689" t="s">
        <v>239</v>
      </c>
      <c r="E41" s="709">
        <v>43266</v>
      </c>
      <c r="F41" s="709">
        <v>1400</v>
      </c>
      <c r="G41" s="683">
        <v>3.2357999999999998</v>
      </c>
    </row>
    <row r="42" spans="1:7">
      <c r="A42" s="680"/>
      <c r="B42" s="735"/>
      <c r="C42" s="735"/>
      <c r="D42" s="689"/>
      <c r="E42" s="709"/>
      <c r="F42" s="709"/>
      <c r="G42" s="684"/>
    </row>
    <row r="43" spans="1:7">
      <c r="A43" s="679">
        <v>21</v>
      </c>
      <c r="B43" s="735" t="s">
        <v>272</v>
      </c>
      <c r="C43" s="735" t="s">
        <v>3695</v>
      </c>
      <c r="D43" s="736" t="s">
        <v>2780</v>
      </c>
      <c r="E43" s="709">
        <v>300</v>
      </c>
      <c r="F43" s="709">
        <f t="shared" ref="F43" si="15">E43</f>
        <v>300</v>
      </c>
      <c r="G43" s="683"/>
    </row>
    <row r="44" spans="1:7">
      <c r="A44" s="680"/>
      <c r="B44" s="735"/>
      <c r="C44" s="735"/>
      <c r="D44" s="737"/>
      <c r="E44" s="709"/>
      <c r="F44" s="709"/>
      <c r="G44" s="684"/>
    </row>
    <row r="45" spans="1:7">
      <c r="A45" s="679">
        <v>22</v>
      </c>
      <c r="B45" s="735" t="s">
        <v>273</v>
      </c>
      <c r="C45" s="735" t="s">
        <v>3695</v>
      </c>
      <c r="D45" s="736" t="s">
        <v>2723</v>
      </c>
      <c r="E45" s="709">
        <v>50</v>
      </c>
      <c r="F45" s="709">
        <f t="shared" ref="F45" si="16">E45</f>
        <v>50</v>
      </c>
      <c r="G45" s="683"/>
    </row>
    <row r="46" spans="1:7">
      <c r="A46" s="680"/>
      <c r="B46" s="735"/>
      <c r="C46" s="735"/>
      <c r="D46" s="737"/>
      <c r="E46" s="709"/>
      <c r="F46" s="709"/>
      <c r="G46" s="684"/>
    </row>
    <row r="47" spans="1:7">
      <c r="A47" s="679">
        <v>23</v>
      </c>
      <c r="B47" s="735" t="s">
        <v>274</v>
      </c>
      <c r="C47" s="735" t="s">
        <v>3695</v>
      </c>
      <c r="D47" s="736" t="s">
        <v>2723</v>
      </c>
      <c r="E47" s="709">
        <v>480</v>
      </c>
      <c r="F47" s="709">
        <f t="shared" ref="F47" si="17">E47</f>
        <v>480</v>
      </c>
      <c r="G47" s="683"/>
    </row>
    <row r="48" spans="1:7">
      <c r="A48" s="680"/>
      <c r="B48" s="735"/>
      <c r="C48" s="735"/>
      <c r="D48" s="737"/>
      <c r="E48" s="709"/>
      <c r="F48" s="709"/>
      <c r="G48" s="684"/>
    </row>
    <row r="49" spans="1:7">
      <c r="A49" s="679">
        <v>24</v>
      </c>
      <c r="B49" s="735" t="s">
        <v>290</v>
      </c>
      <c r="C49" s="735" t="s">
        <v>3695</v>
      </c>
      <c r="D49" s="735" t="s">
        <v>3226</v>
      </c>
      <c r="E49" s="709">
        <v>100</v>
      </c>
      <c r="F49" s="709">
        <f t="shared" ref="F49" si="18">E49</f>
        <v>100</v>
      </c>
      <c r="G49" s="683"/>
    </row>
    <row r="50" spans="1:7">
      <c r="A50" s="680"/>
      <c r="B50" s="735"/>
      <c r="C50" s="735"/>
      <c r="D50" s="735"/>
      <c r="E50" s="709"/>
      <c r="F50" s="709"/>
      <c r="G50" s="684"/>
    </row>
    <row r="51" spans="1:7">
      <c r="A51" s="679">
        <v>25</v>
      </c>
      <c r="B51" s="735" t="s">
        <v>276</v>
      </c>
      <c r="C51" s="735" t="s">
        <v>3695</v>
      </c>
      <c r="D51" s="736" t="s">
        <v>1601</v>
      </c>
      <c r="E51" s="709">
        <v>600</v>
      </c>
      <c r="F51" s="709">
        <f t="shared" ref="F51" si="19">E51</f>
        <v>600</v>
      </c>
      <c r="G51" s="683"/>
    </row>
    <row r="52" spans="1:7">
      <c r="A52" s="680"/>
      <c r="B52" s="735"/>
      <c r="C52" s="735"/>
      <c r="D52" s="737"/>
      <c r="E52" s="709"/>
      <c r="F52" s="709"/>
      <c r="G52" s="684"/>
    </row>
    <row r="53" spans="1:7">
      <c r="A53" s="679">
        <v>26</v>
      </c>
      <c r="B53" s="735" t="s">
        <v>3707</v>
      </c>
      <c r="C53" s="735" t="s">
        <v>3683</v>
      </c>
      <c r="D53" s="689" t="s">
        <v>239</v>
      </c>
      <c r="E53" s="709">
        <v>1350</v>
      </c>
      <c r="F53" s="709">
        <f t="shared" ref="F53" si="20">E53</f>
        <v>1350</v>
      </c>
      <c r="G53" s="683"/>
    </row>
    <row r="54" spans="1:7">
      <c r="A54" s="680"/>
      <c r="B54" s="735"/>
      <c r="C54" s="735"/>
      <c r="D54" s="689"/>
      <c r="E54" s="709"/>
      <c r="F54" s="709"/>
      <c r="G54" s="684"/>
    </row>
    <row r="55" spans="1:7">
      <c r="A55" s="679">
        <v>27</v>
      </c>
      <c r="B55" s="735" t="s">
        <v>277</v>
      </c>
      <c r="C55" s="735" t="s">
        <v>3696</v>
      </c>
      <c r="D55" s="735" t="s">
        <v>2723</v>
      </c>
      <c r="E55" s="709">
        <v>350</v>
      </c>
      <c r="F55" s="709">
        <f t="shared" ref="F55" si="21">E55</f>
        <v>350</v>
      </c>
      <c r="G55" s="683"/>
    </row>
    <row r="56" spans="1:7">
      <c r="A56" s="680"/>
      <c r="B56" s="735"/>
      <c r="C56" s="735"/>
      <c r="D56" s="735"/>
      <c r="E56" s="709"/>
      <c r="F56" s="709"/>
      <c r="G56" s="684"/>
    </row>
    <row r="57" spans="1:7">
      <c r="A57" s="679">
        <v>28</v>
      </c>
      <c r="B57" s="735" t="s">
        <v>278</v>
      </c>
      <c r="C57" s="735" t="s">
        <v>3696</v>
      </c>
      <c r="D57" s="735" t="s">
        <v>2723</v>
      </c>
      <c r="E57" s="709">
        <v>500</v>
      </c>
      <c r="F57" s="709">
        <f t="shared" ref="F57" si="22">E57</f>
        <v>500</v>
      </c>
      <c r="G57" s="683"/>
    </row>
    <row r="58" spans="1:7">
      <c r="A58" s="680"/>
      <c r="B58" s="735"/>
      <c r="C58" s="735"/>
      <c r="D58" s="735"/>
      <c r="E58" s="709"/>
      <c r="F58" s="709"/>
      <c r="G58" s="684"/>
    </row>
    <row r="59" spans="1:7">
      <c r="A59" s="679">
        <v>29</v>
      </c>
      <c r="B59" s="735" t="s">
        <v>279</v>
      </c>
      <c r="C59" s="735" t="s">
        <v>3696</v>
      </c>
      <c r="D59" s="735" t="s">
        <v>2723</v>
      </c>
      <c r="E59" s="709">
        <v>50</v>
      </c>
      <c r="F59" s="709">
        <f t="shared" ref="F59" si="23">E59</f>
        <v>50</v>
      </c>
      <c r="G59" s="683"/>
    </row>
    <row r="60" spans="1:7">
      <c r="A60" s="680"/>
      <c r="B60" s="735"/>
      <c r="C60" s="735"/>
      <c r="D60" s="735"/>
      <c r="E60" s="709"/>
      <c r="F60" s="709"/>
      <c r="G60" s="684"/>
    </row>
    <row r="61" spans="1:7">
      <c r="A61" s="679">
        <v>30</v>
      </c>
      <c r="B61" s="735" t="s">
        <v>3708</v>
      </c>
      <c r="C61" s="735" t="s">
        <v>3709</v>
      </c>
      <c r="D61" s="689" t="s">
        <v>239</v>
      </c>
      <c r="E61" s="709">
        <v>41586</v>
      </c>
      <c r="F61" s="709">
        <v>1350</v>
      </c>
      <c r="G61" s="683">
        <v>3.2463000000000002</v>
      </c>
    </row>
    <row r="62" spans="1:7">
      <c r="A62" s="680"/>
      <c r="B62" s="735"/>
      <c r="C62" s="735"/>
      <c r="D62" s="689"/>
      <c r="E62" s="709"/>
      <c r="F62" s="709"/>
      <c r="G62" s="684"/>
    </row>
    <row r="63" spans="1:7">
      <c r="A63" s="679">
        <v>31</v>
      </c>
      <c r="B63" s="735" t="s">
        <v>286</v>
      </c>
      <c r="C63" s="735" t="s">
        <v>3698</v>
      </c>
      <c r="D63" s="735" t="s">
        <v>3025</v>
      </c>
      <c r="E63" s="709">
        <v>95</v>
      </c>
      <c r="F63" s="709">
        <f t="shared" ref="F63" si="24">E63</f>
        <v>95</v>
      </c>
      <c r="G63" s="683"/>
    </row>
    <row r="64" spans="1:7">
      <c r="A64" s="680"/>
      <c r="B64" s="735"/>
      <c r="C64" s="735"/>
      <c r="D64" s="735"/>
      <c r="E64" s="709"/>
      <c r="F64" s="709"/>
      <c r="G64" s="684"/>
    </row>
    <row r="65" spans="1:7">
      <c r="A65" s="679">
        <v>32</v>
      </c>
      <c r="B65" s="735" t="s">
        <v>287</v>
      </c>
      <c r="C65" s="735" t="s">
        <v>3698</v>
      </c>
      <c r="D65" s="735" t="s">
        <v>3309</v>
      </c>
      <c r="E65" s="709">
        <v>400</v>
      </c>
      <c r="F65" s="709">
        <f t="shared" ref="F65" si="25">E65</f>
        <v>400</v>
      </c>
      <c r="G65" s="683"/>
    </row>
    <row r="66" spans="1:7">
      <c r="A66" s="680"/>
      <c r="B66" s="735"/>
      <c r="C66" s="735"/>
      <c r="D66" s="735"/>
      <c r="E66" s="709"/>
      <c r="F66" s="709"/>
      <c r="G66" s="684"/>
    </row>
    <row r="67" spans="1:7">
      <c r="A67" s="679">
        <v>33</v>
      </c>
      <c r="B67" s="735" t="s">
        <v>292</v>
      </c>
      <c r="C67" s="735" t="s">
        <v>3698</v>
      </c>
      <c r="D67" s="735" t="s">
        <v>1601</v>
      </c>
      <c r="E67" s="709">
        <v>270</v>
      </c>
      <c r="F67" s="709">
        <f t="shared" ref="F67" si="26">E67</f>
        <v>270</v>
      </c>
      <c r="G67" s="683"/>
    </row>
    <row r="68" spans="1:7">
      <c r="A68" s="680"/>
      <c r="B68" s="735"/>
      <c r="C68" s="735"/>
      <c r="D68" s="735"/>
      <c r="E68" s="709"/>
      <c r="F68" s="709"/>
      <c r="G68" s="684"/>
    </row>
    <row r="69" spans="1:7">
      <c r="A69" s="679">
        <v>34</v>
      </c>
      <c r="B69" s="735" t="s">
        <v>3719</v>
      </c>
      <c r="C69" s="735" t="s">
        <v>3720</v>
      </c>
      <c r="D69" s="735" t="s">
        <v>239</v>
      </c>
      <c r="E69" s="709">
        <v>42653</v>
      </c>
      <c r="F69" s="709">
        <v>1400</v>
      </c>
      <c r="G69" s="800">
        <v>3.2823000000000002</v>
      </c>
    </row>
    <row r="70" spans="1:7">
      <c r="A70" s="680"/>
      <c r="B70" s="735"/>
      <c r="C70" s="735"/>
      <c r="D70" s="735"/>
      <c r="E70" s="709"/>
      <c r="F70" s="709"/>
      <c r="G70" s="801"/>
    </row>
    <row r="71" spans="1:7">
      <c r="A71" s="679">
        <v>35</v>
      </c>
      <c r="B71" s="735" t="s">
        <v>293</v>
      </c>
      <c r="C71" s="735" t="s">
        <v>3710</v>
      </c>
      <c r="D71" s="735" t="s">
        <v>1140</v>
      </c>
      <c r="E71" s="709">
        <v>350</v>
      </c>
      <c r="F71" s="709">
        <f t="shared" ref="F71" si="27">E71</f>
        <v>350</v>
      </c>
      <c r="G71" s="800"/>
    </row>
    <row r="72" spans="1:7">
      <c r="A72" s="680"/>
      <c r="B72" s="735"/>
      <c r="C72" s="735"/>
      <c r="D72" s="735"/>
      <c r="E72" s="709"/>
      <c r="F72" s="709"/>
      <c r="G72" s="801"/>
    </row>
    <row r="73" spans="1:7">
      <c r="A73" s="679">
        <v>36</v>
      </c>
      <c r="B73" s="735" t="s">
        <v>294</v>
      </c>
      <c r="C73" s="735" t="s">
        <v>3710</v>
      </c>
      <c r="D73" s="735" t="s">
        <v>3388</v>
      </c>
      <c r="E73" s="709">
        <v>500</v>
      </c>
      <c r="F73" s="709">
        <f t="shared" ref="F73" si="28">E73</f>
        <v>500</v>
      </c>
      <c r="G73" s="800"/>
    </row>
    <row r="74" spans="1:7">
      <c r="A74" s="680"/>
      <c r="B74" s="735"/>
      <c r="C74" s="735"/>
      <c r="D74" s="735"/>
      <c r="E74" s="709"/>
      <c r="F74" s="709"/>
      <c r="G74" s="801"/>
    </row>
    <row r="75" spans="1:7">
      <c r="A75" s="679">
        <v>37</v>
      </c>
      <c r="B75" s="735" t="s">
        <v>3722</v>
      </c>
      <c r="C75" s="735" t="s">
        <v>3720</v>
      </c>
      <c r="D75" s="735" t="s">
        <v>239</v>
      </c>
      <c r="E75" s="709">
        <v>1350</v>
      </c>
      <c r="F75" s="709">
        <f t="shared" ref="F75" si="29">E75</f>
        <v>1350</v>
      </c>
      <c r="G75" s="800"/>
    </row>
    <row r="76" spans="1:7">
      <c r="A76" s="680"/>
      <c r="B76" s="735"/>
      <c r="C76" s="735"/>
      <c r="D76" s="735"/>
      <c r="E76" s="709"/>
      <c r="F76" s="709"/>
      <c r="G76" s="801"/>
    </row>
    <row r="77" spans="1:7">
      <c r="A77" s="679">
        <v>38</v>
      </c>
      <c r="B77" s="735" t="s">
        <v>3721</v>
      </c>
      <c r="C77" s="735" t="s">
        <v>3695</v>
      </c>
      <c r="D77" s="735" t="s">
        <v>239</v>
      </c>
      <c r="E77" s="709">
        <v>150</v>
      </c>
      <c r="F77" s="709">
        <v>180</v>
      </c>
      <c r="G77" s="683" t="s">
        <v>198</v>
      </c>
    </row>
    <row r="78" spans="1:7" ht="12.75" customHeight="1">
      <c r="A78" s="680"/>
      <c r="B78" s="735"/>
      <c r="C78" s="735"/>
      <c r="D78" s="735"/>
      <c r="E78" s="709"/>
      <c r="F78" s="709"/>
      <c r="G78" s="684"/>
    </row>
    <row r="79" spans="1:7">
      <c r="A79" s="679">
        <v>39</v>
      </c>
      <c r="B79" s="735" t="s">
        <v>295</v>
      </c>
      <c r="C79" s="735" t="s">
        <v>3713</v>
      </c>
      <c r="D79" s="735" t="s">
        <v>2723</v>
      </c>
      <c r="E79" s="709">
        <v>330</v>
      </c>
      <c r="F79" s="709">
        <f t="shared" ref="F79" si="30">E79</f>
        <v>330</v>
      </c>
      <c r="G79" s="800"/>
    </row>
    <row r="80" spans="1:7">
      <c r="A80" s="680"/>
      <c r="B80" s="735"/>
      <c r="C80" s="735"/>
      <c r="D80" s="735"/>
      <c r="E80" s="709"/>
      <c r="F80" s="709"/>
      <c r="G80" s="801"/>
    </row>
    <row r="81" spans="1:7">
      <c r="A81" s="679">
        <v>40</v>
      </c>
      <c r="B81" s="735" t="s">
        <v>296</v>
      </c>
      <c r="C81" s="735" t="s">
        <v>3713</v>
      </c>
      <c r="D81" s="735" t="s">
        <v>3711</v>
      </c>
      <c r="E81" s="709">
        <v>450</v>
      </c>
      <c r="F81" s="709">
        <f t="shared" ref="F81" si="31">E81</f>
        <v>450</v>
      </c>
      <c r="G81" s="800"/>
    </row>
    <row r="82" spans="1:7">
      <c r="A82" s="680"/>
      <c r="B82" s="735"/>
      <c r="C82" s="735"/>
      <c r="D82" s="735"/>
      <c r="E82" s="709"/>
      <c r="F82" s="709"/>
      <c r="G82" s="801"/>
    </row>
    <row r="83" spans="1:7">
      <c r="A83" s="679">
        <v>41</v>
      </c>
      <c r="B83" s="735" t="s">
        <v>311</v>
      </c>
      <c r="C83" s="735" t="s">
        <v>3713</v>
      </c>
      <c r="D83" s="735" t="s">
        <v>3712</v>
      </c>
      <c r="E83" s="709">
        <v>300</v>
      </c>
      <c r="F83" s="709">
        <f t="shared" ref="F83" si="32">E83</f>
        <v>300</v>
      </c>
      <c r="G83" s="800"/>
    </row>
    <row r="84" spans="1:7">
      <c r="A84" s="680"/>
      <c r="B84" s="735"/>
      <c r="C84" s="735"/>
      <c r="D84" s="735"/>
      <c r="E84" s="709"/>
      <c r="F84" s="709"/>
      <c r="G84" s="801"/>
    </row>
    <row r="85" spans="1:7">
      <c r="A85" s="679">
        <v>42</v>
      </c>
      <c r="B85" s="735" t="s">
        <v>2959</v>
      </c>
      <c r="C85" s="735" t="s">
        <v>2944</v>
      </c>
      <c r="D85" s="735" t="s">
        <v>239</v>
      </c>
      <c r="E85" s="709">
        <v>41102</v>
      </c>
      <c r="F85" s="709">
        <v>1350</v>
      </c>
      <c r="G85" s="800">
        <v>3.2845</v>
      </c>
    </row>
    <row r="86" spans="1:7">
      <c r="A86" s="680"/>
      <c r="B86" s="735"/>
      <c r="C86" s="735"/>
      <c r="D86" s="735"/>
      <c r="E86" s="709"/>
      <c r="F86" s="709"/>
      <c r="G86" s="801"/>
    </row>
    <row r="87" spans="1:7">
      <c r="A87" s="679">
        <v>43</v>
      </c>
      <c r="B87" s="735" t="s">
        <v>312</v>
      </c>
      <c r="C87" s="735" t="s">
        <v>3717</v>
      </c>
      <c r="D87" s="735" t="s">
        <v>2348</v>
      </c>
      <c r="E87" s="709">
        <v>50</v>
      </c>
      <c r="F87" s="709">
        <f t="shared" ref="F87" si="33">E87</f>
        <v>50</v>
      </c>
      <c r="G87" s="800"/>
    </row>
    <row r="88" spans="1:7">
      <c r="A88" s="680"/>
      <c r="B88" s="735"/>
      <c r="C88" s="735"/>
      <c r="D88" s="735"/>
      <c r="E88" s="709"/>
      <c r="F88" s="709"/>
      <c r="G88" s="801"/>
    </row>
    <row r="89" spans="1:7">
      <c r="A89" s="679">
        <v>44</v>
      </c>
      <c r="B89" s="735" t="s">
        <v>316</v>
      </c>
      <c r="C89" s="735" t="s">
        <v>3717</v>
      </c>
      <c r="D89" s="735" t="s">
        <v>3714</v>
      </c>
      <c r="E89" s="709">
        <v>330</v>
      </c>
      <c r="F89" s="709">
        <f t="shared" ref="F89" si="34">E89</f>
        <v>330</v>
      </c>
      <c r="G89" s="800"/>
    </row>
    <row r="90" spans="1:7">
      <c r="A90" s="680"/>
      <c r="B90" s="735"/>
      <c r="C90" s="735"/>
      <c r="D90" s="735"/>
      <c r="E90" s="709"/>
      <c r="F90" s="709"/>
      <c r="G90" s="801"/>
    </row>
    <row r="91" spans="1:7">
      <c r="A91" s="679">
        <v>45</v>
      </c>
      <c r="B91" s="735" t="s">
        <v>315</v>
      </c>
      <c r="C91" s="735" t="s">
        <v>3715</v>
      </c>
      <c r="D91" s="735" t="s">
        <v>3025</v>
      </c>
      <c r="E91" s="709">
        <v>94</v>
      </c>
      <c r="F91" s="709">
        <f t="shared" ref="F91" si="35">E91</f>
        <v>94</v>
      </c>
      <c r="G91" s="683"/>
    </row>
    <row r="92" spans="1:7">
      <c r="A92" s="680"/>
      <c r="B92" s="735"/>
      <c r="C92" s="735"/>
      <c r="D92" s="735"/>
      <c r="E92" s="709"/>
      <c r="F92" s="709"/>
      <c r="G92" s="684"/>
    </row>
    <row r="93" spans="1:7">
      <c r="A93" s="679">
        <v>46</v>
      </c>
      <c r="B93" s="735" t="s">
        <v>3727</v>
      </c>
      <c r="C93" s="735" t="s">
        <v>3715</v>
      </c>
      <c r="D93" s="735" t="s">
        <v>239</v>
      </c>
      <c r="E93" s="709">
        <v>1350</v>
      </c>
      <c r="F93" s="709">
        <f t="shared" ref="F93" si="36">E93</f>
        <v>1350</v>
      </c>
      <c r="G93" s="683"/>
    </row>
    <row r="94" spans="1:7">
      <c r="A94" s="680"/>
      <c r="B94" s="735"/>
      <c r="C94" s="735"/>
      <c r="D94" s="735"/>
      <c r="E94" s="709"/>
      <c r="F94" s="709"/>
      <c r="G94" s="684"/>
    </row>
    <row r="95" spans="1:7">
      <c r="A95" s="679">
        <v>47</v>
      </c>
      <c r="B95" s="735" t="s">
        <v>3726</v>
      </c>
      <c r="C95" s="735" t="s">
        <v>3713</v>
      </c>
      <c r="D95" s="735" t="s">
        <v>239</v>
      </c>
      <c r="E95" s="709">
        <v>150</v>
      </c>
      <c r="F95" s="709">
        <v>180</v>
      </c>
      <c r="G95" s="683" t="s">
        <v>198</v>
      </c>
    </row>
    <row r="96" spans="1:7">
      <c r="A96" s="680"/>
      <c r="B96" s="735"/>
      <c r="C96" s="735"/>
      <c r="D96" s="735"/>
      <c r="E96" s="709"/>
      <c r="F96" s="709"/>
      <c r="G96" s="684"/>
    </row>
    <row r="97" spans="1:7">
      <c r="A97" s="679">
        <v>48</v>
      </c>
      <c r="B97" s="735" t="s">
        <v>334</v>
      </c>
      <c r="C97" s="735" t="s">
        <v>3723</v>
      </c>
      <c r="D97" s="735" t="s">
        <v>2780</v>
      </c>
      <c r="E97" s="709">
        <v>400</v>
      </c>
      <c r="F97" s="709">
        <f t="shared" ref="F97" si="37">E97</f>
        <v>400</v>
      </c>
      <c r="G97" s="683"/>
    </row>
    <row r="98" spans="1:7">
      <c r="A98" s="680"/>
      <c r="B98" s="735"/>
      <c r="C98" s="735"/>
      <c r="D98" s="735"/>
      <c r="E98" s="709"/>
      <c r="F98" s="709"/>
      <c r="G98" s="684"/>
    </row>
    <row r="99" spans="1:7">
      <c r="A99" s="679">
        <v>49</v>
      </c>
      <c r="B99" s="735" t="s">
        <v>332</v>
      </c>
      <c r="C99" s="735" t="s">
        <v>3723</v>
      </c>
      <c r="D99" s="735" t="s">
        <v>2517</v>
      </c>
      <c r="E99" s="709">
        <v>430</v>
      </c>
      <c r="F99" s="709">
        <f t="shared" ref="F99" si="38">E99</f>
        <v>430</v>
      </c>
      <c r="G99" s="683"/>
    </row>
    <row r="100" spans="1:7">
      <c r="A100" s="680"/>
      <c r="B100" s="735"/>
      <c r="C100" s="735"/>
      <c r="D100" s="735"/>
      <c r="E100" s="709"/>
      <c r="F100" s="709"/>
      <c r="G100" s="684"/>
    </row>
    <row r="101" spans="1:7">
      <c r="A101" s="679">
        <v>50</v>
      </c>
      <c r="B101" s="735" t="s">
        <v>333</v>
      </c>
      <c r="C101" s="735" t="s">
        <v>3723</v>
      </c>
      <c r="D101" s="735" t="s">
        <v>2517</v>
      </c>
      <c r="E101" s="709">
        <v>250</v>
      </c>
      <c r="F101" s="709">
        <f t="shared" ref="F101" si="39">E101</f>
        <v>250</v>
      </c>
      <c r="G101" s="683"/>
    </row>
    <row r="102" spans="1:7">
      <c r="A102" s="680"/>
      <c r="B102" s="735"/>
      <c r="C102" s="735"/>
      <c r="D102" s="735"/>
      <c r="E102" s="709"/>
      <c r="F102" s="709"/>
      <c r="G102" s="684"/>
    </row>
    <row r="103" spans="1:7">
      <c r="A103" s="679">
        <v>51</v>
      </c>
      <c r="B103" s="735" t="s">
        <v>3729</v>
      </c>
      <c r="C103" s="735" t="s">
        <v>3728</v>
      </c>
      <c r="D103" s="735" t="s">
        <v>239</v>
      </c>
      <c r="E103" s="709">
        <v>41058</v>
      </c>
      <c r="F103" s="709">
        <v>1350</v>
      </c>
      <c r="G103" s="683">
        <v>3.2879999999999998</v>
      </c>
    </row>
    <row r="104" spans="1:7">
      <c r="A104" s="680"/>
      <c r="B104" s="735"/>
      <c r="C104" s="735"/>
      <c r="D104" s="735"/>
      <c r="E104" s="709"/>
      <c r="F104" s="709"/>
      <c r="G104" s="684"/>
    </row>
    <row r="105" spans="1:7">
      <c r="A105" s="679">
        <v>52</v>
      </c>
      <c r="B105" s="735" t="s">
        <v>335</v>
      </c>
      <c r="C105" s="735" t="s">
        <v>3723</v>
      </c>
      <c r="D105" s="735" t="s">
        <v>2723</v>
      </c>
      <c r="E105" s="709">
        <v>250</v>
      </c>
      <c r="F105" s="709">
        <f t="shared" ref="F105" si="40">E105</f>
        <v>250</v>
      </c>
      <c r="G105" s="683"/>
    </row>
    <row r="106" spans="1:7">
      <c r="A106" s="680"/>
      <c r="B106" s="735"/>
      <c r="C106" s="735"/>
      <c r="D106" s="735"/>
      <c r="E106" s="709"/>
      <c r="F106" s="709"/>
      <c r="G106" s="684"/>
    </row>
    <row r="107" spans="1:7">
      <c r="A107" s="679">
        <v>53</v>
      </c>
      <c r="B107" s="735" t="s">
        <v>336</v>
      </c>
      <c r="C107" s="735" t="s">
        <v>3723</v>
      </c>
      <c r="D107" s="735" t="s">
        <v>2723</v>
      </c>
      <c r="E107" s="709">
        <v>360</v>
      </c>
      <c r="F107" s="709">
        <f t="shared" ref="F107" si="41">E107</f>
        <v>360</v>
      </c>
      <c r="G107" s="683"/>
    </row>
    <row r="108" spans="1:7">
      <c r="A108" s="680"/>
      <c r="B108" s="735"/>
      <c r="C108" s="735"/>
      <c r="D108" s="735"/>
      <c r="E108" s="709"/>
      <c r="F108" s="709"/>
      <c r="G108" s="684"/>
    </row>
    <row r="109" spans="1:7">
      <c r="A109" s="679">
        <v>54</v>
      </c>
      <c r="B109" s="735" t="s">
        <v>317</v>
      </c>
      <c r="C109" s="735" t="s">
        <v>2981</v>
      </c>
      <c r="D109" s="735" t="s">
        <v>2376</v>
      </c>
      <c r="E109" s="709">
        <v>60</v>
      </c>
      <c r="F109" s="709">
        <f t="shared" ref="F109" si="42">E109</f>
        <v>60</v>
      </c>
      <c r="G109" s="683"/>
    </row>
    <row r="110" spans="1:7">
      <c r="A110" s="680"/>
      <c r="B110" s="735"/>
      <c r="C110" s="735"/>
      <c r="D110" s="735"/>
      <c r="E110" s="709"/>
      <c r="F110" s="709"/>
      <c r="G110" s="684"/>
    </row>
    <row r="111" spans="1:7">
      <c r="A111" s="679">
        <v>55</v>
      </c>
      <c r="B111" s="735" t="s">
        <v>3730</v>
      </c>
      <c r="C111" s="735" t="s">
        <v>3723</v>
      </c>
      <c r="D111" s="735" t="s">
        <v>239</v>
      </c>
      <c r="E111" s="709">
        <v>1350</v>
      </c>
      <c r="F111" s="709">
        <f t="shared" ref="F111" si="43">E111</f>
        <v>1350</v>
      </c>
      <c r="G111" s="683"/>
    </row>
    <row r="112" spans="1:7">
      <c r="A112" s="680"/>
      <c r="B112" s="735"/>
      <c r="C112" s="735"/>
      <c r="D112" s="735"/>
      <c r="E112" s="709"/>
      <c r="F112" s="709"/>
      <c r="G112" s="684"/>
    </row>
    <row r="113" spans="1:8">
      <c r="A113" s="679">
        <v>56</v>
      </c>
      <c r="B113" s="735" t="s">
        <v>3734</v>
      </c>
      <c r="C113" s="735" t="s">
        <v>3715</v>
      </c>
      <c r="D113" s="735" t="s">
        <v>239</v>
      </c>
      <c r="E113" s="709">
        <v>150</v>
      </c>
      <c r="F113" s="709">
        <v>180</v>
      </c>
      <c r="G113" s="683" t="s">
        <v>198</v>
      </c>
    </row>
    <row r="114" spans="1:8">
      <c r="A114" s="680"/>
      <c r="B114" s="735"/>
      <c r="C114" s="735"/>
      <c r="D114" s="735"/>
      <c r="E114" s="709"/>
      <c r="F114" s="709"/>
      <c r="G114" s="684"/>
    </row>
    <row r="115" spans="1:8">
      <c r="A115" s="679">
        <v>57</v>
      </c>
      <c r="B115" s="735" t="s">
        <v>3733</v>
      </c>
      <c r="C115" s="735" t="s">
        <v>3732</v>
      </c>
      <c r="D115" s="735" t="s">
        <v>239</v>
      </c>
      <c r="E115" s="709">
        <v>41020</v>
      </c>
      <c r="F115" s="709">
        <v>1350</v>
      </c>
      <c r="G115" s="683">
        <v>3.2911000000000001</v>
      </c>
    </row>
    <row r="116" spans="1:8">
      <c r="A116" s="680"/>
      <c r="B116" s="735"/>
      <c r="C116" s="735"/>
      <c r="D116" s="735"/>
      <c r="E116" s="709"/>
      <c r="F116" s="709"/>
      <c r="G116" s="684"/>
    </row>
    <row r="117" spans="1:8">
      <c r="A117" s="687">
        <v>58</v>
      </c>
      <c r="B117" s="658" t="s">
        <v>358</v>
      </c>
      <c r="C117" s="658" t="s">
        <v>3728</v>
      </c>
      <c r="D117" s="658" t="s">
        <v>3736</v>
      </c>
      <c r="E117" s="657">
        <v>20000</v>
      </c>
      <c r="F117" s="657">
        <v>658</v>
      </c>
      <c r="G117" s="685">
        <v>3.2879999999999998</v>
      </c>
      <c r="H117" t="s">
        <v>3750</v>
      </c>
    </row>
    <row r="118" spans="1:8">
      <c r="A118" s="688"/>
      <c r="B118" s="658"/>
      <c r="C118" s="658"/>
      <c r="D118" s="658"/>
      <c r="E118" s="657"/>
      <c r="F118" s="657"/>
      <c r="G118" s="686"/>
    </row>
    <row r="119" spans="1:8">
      <c r="A119" s="687">
        <v>59</v>
      </c>
      <c r="B119" s="658" t="s">
        <v>1310</v>
      </c>
      <c r="C119" s="659" t="s">
        <v>3732</v>
      </c>
      <c r="D119" s="658" t="s">
        <v>3736</v>
      </c>
      <c r="E119" s="657">
        <v>40000</v>
      </c>
      <c r="F119" s="657">
        <v>1316</v>
      </c>
      <c r="G119" s="685">
        <v>3.2911000000000001</v>
      </c>
      <c r="H119" t="s">
        <v>3750</v>
      </c>
    </row>
    <row r="120" spans="1:8">
      <c r="A120" s="688"/>
      <c r="B120" s="658"/>
      <c r="C120" s="660"/>
      <c r="D120" s="658"/>
      <c r="E120" s="657"/>
      <c r="F120" s="657"/>
      <c r="G120" s="686"/>
    </row>
    <row r="121" spans="1:8">
      <c r="A121" s="687"/>
      <c r="B121" s="689"/>
      <c r="C121" s="689"/>
      <c r="D121" s="689"/>
      <c r="E121" s="689"/>
      <c r="F121" s="689"/>
      <c r="G121" s="685"/>
    </row>
    <row r="122" spans="1:8">
      <c r="A122" s="688"/>
      <c r="B122" s="689"/>
      <c r="C122" s="689"/>
      <c r="D122" s="689"/>
      <c r="E122" s="689"/>
      <c r="F122" s="689"/>
      <c r="G122" s="686"/>
    </row>
    <row r="123" spans="1:8">
      <c r="A123" s="687"/>
      <c r="B123" s="689"/>
      <c r="C123" s="689"/>
      <c r="D123" s="689"/>
      <c r="E123" s="689"/>
      <c r="F123" s="689"/>
      <c r="G123" s="685"/>
    </row>
    <row r="124" spans="1:8">
      <c r="A124" s="688"/>
      <c r="B124" s="689"/>
      <c r="C124" s="689"/>
      <c r="D124" s="689"/>
      <c r="E124" s="689"/>
      <c r="F124" s="689"/>
      <c r="G124" s="686"/>
    </row>
    <row r="125" spans="1:8">
      <c r="A125" s="687"/>
      <c r="B125" s="689"/>
      <c r="C125" s="689"/>
      <c r="D125" s="689"/>
      <c r="E125" s="689"/>
      <c r="F125" s="689"/>
      <c r="G125" s="685"/>
    </row>
    <row r="126" spans="1:8">
      <c r="A126" s="688"/>
      <c r="B126" s="689"/>
      <c r="C126" s="689"/>
      <c r="D126" s="689"/>
      <c r="E126" s="689"/>
      <c r="F126" s="689"/>
      <c r="G126" s="686"/>
    </row>
    <row r="127" spans="1:8">
      <c r="A127" s="687"/>
      <c r="B127" s="689"/>
      <c r="C127" s="689"/>
      <c r="D127" s="689"/>
      <c r="E127" s="689"/>
      <c r="F127" s="689"/>
      <c r="G127" s="685"/>
    </row>
    <row r="128" spans="1:8">
      <c r="A128" s="688"/>
      <c r="B128" s="689"/>
      <c r="C128" s="689"/>
      <c r="D128" s="689"/>
      <c r="E128" s="689"/>
      <c r="F128" s="689"/>
      <c r="G128" s="686"/>
    </row>
    <row r="129" spans="1:7">
      <c r="A129" s="687"/>
      <c r="B129" s="689"/>
      <c r="C129" s="689"/>
      <c r="D129" s="689"/>
      <c r="E129" s="689"/>
      <c r="F129" s="689"/>
      <c r="G129" s="685"/>
    </row>
    <row r="130" spans="1:7">
      <c r="A130" s="688"/>
      <c r="B130" s="689"/>
      <c r="C130" s="689"/>
      <c r="D130" s="689"/>
      <c r="E130" s="689"/>
      <c r="F130" s="689"/>
      <c r="G130" s="686"/>
    </row>
    <row r="131" spans="1:7">
      <c r="A131" s="687"/>
      <c r="B131" s="689"/>
      <c r="C131" s="689"/>
      <c r="D131" s="689"/>
      <c r="E131" s="689"/>
      <c r="F131" s="689"/>
      <c r="G131" s="685"/>
    </row>
    <row r="132" spans="1:7">
      <c r="A132" s="688"/>
      <c r="B132" s="689"/>
      <c r="C132" s="689"/>
      <c r="D132" s="689"/>
      <c r="E132" s="689"/>
      <c r="F132" s="689"/>
      <c r="G132" s="686"/>
    </row>
    <row r="133" spans="1:7">
      <c r="A133" s="687"/>
      <c r="B133" s="689"/>
      <c r="C133" s="689"/>
      <c r="D133" s="689"/>
      <c r="E133" s="689"/>
      <c r="F133" s="689"/>
      <c r="G133" s="685"/>
    </row>
    <row r="134" spans="1:7">
      <c r="A134" s="688"/>
      <c r="B134" s="689"/>
      <c r="C134" s="689"/>
      <c r="D134" s="689"/>
      <c r="E134" s="689"/>
      <c r="F134" s="689"/>
      <c r="G134" s="686"/>
    </row>
    <row r="135" spans="1:7">
      <c r="A135" s="687"/>
      <c r="B135" s="689"/>
      <c r="C135" s="689"/>
      <c r="D135" s="689"/>
      <c r="E135" s="689"/>
      <c r="F135" s="689"/>
      <c r="G135" s="685"/>
    </row>
    <row r="136" spans="1:7">
      <c r="A136" s="688"/>
      <c r="B136" s="689"/>
      <c r="C136" s="689"/>
      <c r="D136" s="689"/>
      <c r="E136" s="689"/>
      <c r="F136" s="689"/>
      <c r="G136" s="686"/>
    </row>
    <row r="137" spans="1:7">
      <c r="A137" s="687"/>
      <c r="B137" s="689"/>
      <c r="C137" s="689"/>
      <c r="D137" s="689"/>
      <c r="E137" s="689"/>
      <c r="F137" s="689"/>
      <c r="G137" s="685"/>
    </row>
    <row r="138" spans="1:7">
      <c r="A138" s="688"/>
      <c r="B138" s="689"/>
      <c r="C138" s="689"/>
      <c r="D138" s="689"/>
      <c r="E138" s="689"/>
      <c r="F138" s="689"/>
      <c r="G138" s="686"/>
    </row>
    <row r="139" spans="1:7">
      <c r="A139" s="687"/>
      <c r="B139" s="689"/>
      <c r="C139" s="689"/>
      <c r="D139" s="689"/>
      <c r="E139" s="689"/>
      <c r="F139" s="689"/>
      <c r="G139" s="685"/>
    </row>
    <row r="140" spans="1:7">
      <c r="A140" s="688"/>
      <c r="B140" s="689"/>
      <c r="C140" s="689"/>
      <c r="D140" s="689"/>
      <c r="E140" s="689"/>
      <c r="F140" s="689"/>
      <c r="G140" s="686"/>
    </row>
    <row r="141" spans="1:7">
      <c r="A141" s="687"/>
      <c r="B141" s="689"/>
      <c r="C141" s="689"/>
      <c r="D141" s="689"/>
      <c r="E141" s="689"/>
      <c r="F141" s="689"/>
      <c r="G141" s="685"/>
    </row>
    <row r="142" spans="1:7">
      <c r="A142" s="688"/>
      <c r="B142" s="689"/>
      <c r="C142" s="689"/>
      <c r="D142" s="689"/>
      <c r="E142" s="689"/>
      <c r="F142" s="689"/>
      <c r="G142" s="686"/>
    </row>
    <row r="143" spans="1:7">
      <c r="A143" s="687"/>
      <c r="B143" s="689"/>
      <c r="C143" s="689"/>
      <c r="D143" s="689"/>
      <c r="E143" s="689"/>
      <c r="F143" s="689"/>
      <c r="G143" s="685"/>
    </row>
    <row r="144" spans="1:7">
      <c r="A144" s="688"/>
      <c r="B144" s="689"/>
      <c r="C144" s="689"/>
      <c r="D144" s="689"/>
      <c r="E144" s="689"/>
      <c r="F144" s="689"/>
      <c r="G144" s="686"/>
    </row>
    <row r="145" spans="1:7">
      <c r="A145" s="687"/>
      <c r="B145" s="689"/>
      <c r="C145" s="689"/>
      <c r="D145" s="689"/>
      <c r="E145" s="689"/>
      <c r="F145" s="689"/>
      <c r="G145" s="685"/>
    </row>
    <row r="146" spans="1:7">
      <c r="A146" s="688"/>
      <c r="B146" s="689"/>
      <c r="C146" s="689"/>
      <c r="D146" s="689"/>
      <c r="E146" s="689"/>
      <c r="F146" s="689"/>
      <c r="G146" s="686"/>
    </row>
    <row r="147" spans="1:7">
      <c r="A147" s="687"/>
      <c r="B147" s="689"/>
      <c r="C147" s="689"/>
      <c r="D147" s="689"/>
      <c r="E147" s="689"/>
      <c r="F147" s="689"/>
      <c r="G147" s="685"/>
    </row>
    <row r="148" spans="1:7">
      <c r="A148" s="688"/>
      <c r="B148" s="689"/>
      <c r="C148" s="689"/>
      <c r="D148" s="689"/>
      <c r="E148" s="689"/>
      <c r="F148" s="689"/>
      <c r="G148" s="686"/>
    </row>
    <row r="149" spans="1:7">
      <c r="A149" s="687"/>
      <c r="B149" s="689"/>
      <c r="C149" s="689"/>
      <c r="D149" s="689"/>
      <c r="E149" s="689"/>
      <c r="F149" s="689"/>
      <c r="G149" s="685"/>
    </row>
    <row r="150" spans="1:7">
      <c r="A150" s="688"/>
      <c r="B150" s="689"/>
      <c r="C150" s="689"/>
      <c r="D150" s="689"/>
      <c r="E150" s="689"/>
      <c r="F150" s="689"/>
      <c r="G150" s="686"/>
    </row>
    <row r="151" spans="1:7">
      <c r="A151" s="687"/>
      <c r="B151" s="689"/>
      <c r="C151" s="689"/>
      <c r="D151" s="689"/>
      <c r="E151" s="689"/>
      <c r="F151" s="689"/>
      <c r="G151" s="685"/>
    </row>
    <row r="152" spans="1:7">
      <c r="A152" s="688"/>
      <c r="B152" s="689"/>
      <c r="C152" s="689"/>
      <c r="D152" s="689"/>
      <c r="E152" s="689"/>
      <c r="F152" s="689"/>
      <c r="G152" s="686"/>
    </row>
    <row r="153" spans="1:7">
      <c r="A153" s="687"/>
      <c r="B153" s="689"/>
      <c r="C153" s="689"/>
      <c r="D153" s="689"/>
      <c r="E153" s="689"/>
      <c r="F153" s="689"/>
      <c r="G153" s="685"/>
    </row>
    <row r="154" spans="1:7">
      <c r="A154" s="688"/>
      <c r="B154" s="689"/>
      <c r="C154" s="689"/>
      <c r="D154" s="689"/>
      <c r="E154" s="689"/>
      <c r="F154" s="689"/>
      <c r="G154" s="686"/>
    </row>
    <row r="155" spans="1:7">
      <c r="A155" s="687"/>
      <c r="B155" s="689"/>
      <c r="C155" s="689"/>
      <c r="D155" s="689"/>
      <c r="E155" s="689"/>
      <c r="F155" s="689"/>
      <c r="G155" s="685"/>
    </row>
    <row r="156" spans="1:7">
      <c r="A156" s="688"/>
      <c r="B156" s="689"/>
      <c r="C156" s="689"/>
      <c r="D156" s="689"/>
      <c r="E156" s="689"/>
      <c r="F156" s="689"/>
      <c r="G156" s="686"/>
    </row>
    <row r="157" spans="1:7">
      <c r="A157" s="687"/>
      <c r="B157" s="689"/>
      <c r="C157" s="689"/>
      <c r="D157" s="689"/>
      <c r="E157" s="689"/>
      <c r="F157" s="689"/>
      <c r="G157" s="685"/>
    </row>
    <row r="158" spans="1:7">
      <c r="A158" s="688"/>
      <c r="B158" s="689"/>
      <c r="C158" s="689"/>
      <c r="D158" s="689"/>
      <c r="E158" s="689"/>
      <c r="F158" s="689"/>
      <c r="G158" s="686"/>
    </row>
    <row r="159" spans="1:7">
      <c r="A159" s="687"/>
      <c r="B159" s="689"/>
      <c r="C159" s="689"/>
      <c r="D159" s="689"/>
      <c r="E159" s="689"/>
      <c r="F159" s="689"/>
      <c r="G159" s="685"/>
    </row>
    <row r="160" spans="1:7">
      <c r="A160" s="688"/>
      <c r="B160" s="689"/>
      <c r="C160" s="689"/>
      <c r="D160" s="689"/>
      <c r="E160" s="689"/>
      <c r="F160" s="689"/>
      <c r="G160" s="686"/>
    </row>
    <row r="161" spans="1:7">
      <c r="A161" s="687"/>
      <c r="B161" s="689"/>
      <c r="C161" s="689"/>
      <c r="D161" s="689"/>
      <c r="E161" s="689"/>
      <c r="F161" s="689"/>
      <c r="G161" s="685"/>
    </row>
    <row r="162" spans="1:7">
      <c r="A162" s="688"/>
      <c r="B162" s="689"/>
      <c r="C162" s="689"/>
      <c r="D162" s="689"/>
      <c r="E162" s="689"/>
      <c r="F162" s="689"/>
      <c r="G162" s="686"/>
    </row>
  </sheetData>
  <mergeCells count="561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A41:A42"/>
    <mergeCell ref="C41:C42"/>
    <mergeCell ref="D41:D42"/>
    <mergeCell ref="E41:E42"/>
    <mergeCell ref="F41:F42"/>
    <mergeCell ref="G41:G42"/>
    <mergeCell ref="B41:B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A45:A46"/>
    <mergeCell ref="C45:C46"/>
    <mergeCell ref="D45:D46"/>
    <mergeCell ref="E45:E46"/>
    <mergeCell ref="F45:F46"/>
    <mergeCell ref="G45:G46"/>
    <mergeCell ref="B45:B46"/>
    <mergeCell ref="A43:A44"/>
    <mergeCell ref="C43:C44"/>
    <mergeCell ref="D43:D44"/>
    <mergeCell ref="E43:E44"/>
    <mergeCell ref="F43:F44"/>
    <mergeCell ref="G43:G44"/>
    <mergeCell ref="B43:B44"/>
    <mergeCell ref="G47:G48"/>
    <mergeCell ref="A49:A50"/>
    <mergeCell ref="B49:B50"/>
    <mergeCell ref="C49:C50"/>
    <mergeCell ref="D49:D50"/>
    <mergeCell ref="E49:E50"/>
    <mergeCell ref="F49:F50"/>
    <mergeCell ref="G49:G50"/>
    <mergeCell ref="A47:A48"/>
    <mergeCell ref="B47:B48"/>
    <mergeCell ref="C47:C48"/>
    <mergeCell ref="D47:D48"/>
    <mergeCell ref="E47:E48"/>
    <mergeCell ref="F47:F48"/>
    <mergeCell ref="G51:G52"/>
    <mergeCell ref="A53:A54"/>
    <mergeCell ref="B53:B54"/>
    <mergeCell ref="C53:C54"/>
    <mergeCell ref="D53:D54"/>
    <mergeCell ref="E53:E54"/>
    <mergeCell ref="F53:F54"/>
    <mergeCell ref="G53:G54"/>
    <mergeCell ref="A51:A52"/>
    <mergeCell ref="B51:B52"/>
    <mergeCell ref="C51:C52"/>
    <mergeCell ref="D51:D52"/>
    <mergeCell ref="E51:E52"/>
    <mergeCell ref="F51:F52"/>
    <mergeCell ref="A59:A60"/>
    <mergeCell ref="C59:C60"/>
    <mergeCell ref="D59:D60"/>
    <mergeCell ref="E59:E60"/>
    <mergeCell ref="F59:F60"/>
    <mergeCell ref="G59:G60"/>
    <mergeCell ref="B59:B60"/>
    <mergeCell ref="G55:G56"/>
    <mergeCell ref="A57:A58"/>
    <mergeCell ref="B57:B58"/>
    <mergeCell ref="C57:C58"/>
    <mergeCell ref="D57:D58"/>
    <mergeCell ref="E57:E58"/>
    <mergeCell ref="F57:F58"/>
    <mergeCell ref="G57:G58"/>
    <mergeCell ref="A55:A56"/>
    <mergeCell ref="B55:B56"/>
    <mergeCell ref="C55:C56"/>
    <mergeCell ref="D55:D56"/>
    <mergeCell ref="E55:E56"/>
    <mergeCell ref="F55:F56"/>
    <mergeCell ref="A63:A64"/>
    <mergeCell ref="C63:C64"/>
    <mergeCell ref="D63:D64"/>
    <mergeCell ref="E63:E64"/>
    <mergeCell ref="F63:F64"/>
    <mergeCell ref="G63:G64"/>
    <mergeCell ref="B63:B64"/>
    <mergeCell ref="A61:A62"/>
    <mergeCell ref="C61:C62"/>
    <mergeCell ref="D61:D62"/>
    <mergeCell ref="E61:E62"/>
    <mergeCell ref="F61:F62"/>
    <mergeCell ref="G61:G62"/>
    <mergeCell ref="B61:B62"/>
    <mergeCell ref="G65:G66"/>
    <mergeCell ref="A67:A68"/>
    <mergeCell ref="C67:C68"/>
    <mergeCell ref="D67:D68"/>
    <mergeCell ref="E67:E68"/>
    <mergeCell ref="F67:F68"/>
    <mergeCell ref="G67:G68"/>
    <mergeCell ref="B67:B68"/>
    <mergeCell ref="A65:A66"/>
    <mergeCell ref="B65:B66"/>
    <mergeCell ref="C65:C66"/>
    <mergeCell ref="D65:D66"/>
    <mergeCell ref="E65:E66"/>
    <mergeCell ref="F65:F66"/>
    <mergeCell ref="A71:A72"/>
    <mergeCell ref="C71:C72"/>
    <mergeCell ref="D71:D72"/>
    <mergeCell ref="E71:E72"/>
    <mergeCell ref="F71:F72"/>
    <mergeCell ref="G71:G72"/>
    <mergeCell ref="B71:B72"/>
    <mergeCell ref="A69:A70"/>
    <mergeCell ref="C69:C70"/>
    <mergeCell ref="D69:D70"/>
    <mergeCell ref="E69:E70"/>
    <mergeCell ref="F69:F70"/>
    <mergeCell ref="G69:G70"/>
    <mergeCell ref="B69:B70"/>
    <mergeCell ref="G73:G74"/>
    <mergeCell ref="A75:A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A79:A80"/>
    <mergeCell ref="C79:C80"/>
    <mergeCell ref="D79:D80"/>
    <mergeCell ref="E79:E80"/>
    <mergeCell ref="F79:F80"/>
    <mergeCell ref="G79:G80"/>
    <mergeCell ref="A77:A78"/>
    <mergeCell ref="C77:C78"/>
    <mergeCell ref="D77:D78"/>
    <mergeCell ref="E77:E78"/>
    <mergeCell ref="F77:F78"/>
    <mergeCell ref="G77:G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9:G130"/>
    <mergeCell ref="A131:A132"/>
    <mergeCell ref="B131:B132"/>
    <mergeCell ref="C131:C132"/>
    <mergeCell ref="D131:D132"/>
    <mergeCell ref="E131:E132"/>
    <mergeCell ref="F131:F132"/>
    <mergeCell ref="G131:G132"/>
    <mergeCell ref="A129:A130"/>
    <mergeCell ref="B129:B130"/>
    <mergeCell ref="C129:C130"/>
    <mergeCell ref="D129:D130"/>
    <mergeCell ref="E129:E130"/>
    <mergeCell ref="F129:F130"/>
    <mergeCell ref="G133:G134"/>
    <mergeCell ref="A135:A136"/>
    <mergeCell ref="B135:B136"/>
    <mergeCell ref="C135:C136"/>
    <mergeCell ref="D135:D136"/>
    <mergeCell ref="E135:E136"/>
    <mergeCell ref="F135:F136"/>
    <mergeCell ref="G135:G136"/>
    <mergeCell ref="A133:A134"/>
    <mergeCell ref="B133:B134"/>
    <mergeCell ref="C133:C134"/>
    <mergeCell ref="D133:D134"/>
    <mergeCell ref="E133:E134"/>
    <mergeCell ref="F133:F134"/>
    <mergeCell ref="G137:G138"/>
    <mergeCell ref="A139:A140"/>
    <mergeCell ref="B139:B140"/>
    <mergeCell ref="C139:C140"/>
    <mergeCell ref="D139:D140"/>
    <mergeCell ref="E139:E140"/>
    <mergeCell ref="F139:F140"/>
    <mergeCell ref="G139:G140"/>
    <mergeCell ref="A137:A138"/>
    <mergeCell ref="B137:B138"/>
    <mergeCell ref="C137:C138"/>
    <mergeCell ref="D137:D138"/>
    <mergeCell ref="E137:E138"/>
    <mergeCell ref="F137:F138"/>
    <mergeCell ref="G141:G142"/>
    <mergeCell ref="A143:A144"/>
    <mergeCell ref="B143:B144"/>
    <mergeCell ref="C143:C144"/>
    <mergeCell ref="D143:D144"/>
    <mergeCell ref="E143:E144"/>
    <mergeCell ref="F143:F144"/>
    <mergeCell ref="G143:G144"/>
    <mergeCell ref="A141:A142"/>
    <mergeCell ref="B141:B142"/>
    <mergeCell ref="C141:C142"/>
    <mergeCell ref="D141:D142"/>
    <mergeCell ref="E141:E142"/>
    <mergeCell ref="F141:F142"/>
    <mergeCell ref="G145:G146"/>
    <mergeCell ref="A147:A148"/>
    <mergeCell ref="B147:B148"/>
    <mergeCell ref="C147:C148"/>
    <mergeCell ref="D147:D148"/>
    <mergeCell ref="E147:E148"/>
    <mergeCell ref="F147:F148"/>
    <mergeCell ref="G147:G148"/>
    <mergeCell ref="A145:A146"/>
    <mergeCell ref="B145:B146"/>
    <mergeCell ref="C145:C146"/>
    <mergeCell ref="D145:D146"/>
    <mergeCell ref="E145:E146"/>
    <mergeCell ref="F145:F146"/>
    <mergeCell ref="G149:G150"/>
    <mergeCell ref="A151:A152"/>
    <mergeCell ref="B151:B152"/>
    <mergeCell ref="C151:C152"/>
    <mergeCell ref="D151:D152"/>
    <mergeCell ref="E151:E152"/>
    <mergeCell ref="F151:F152"/>
    <mergeCell ref="G151:G152"/>
    <mergeCell ref="A149:A150"/>
    <mergeCell ref="B149:B150"/>
    <mergeCell ref="C149:C150"/>
    <mergeCell ref="D149:D150"/>
    <mergeCell ref="E149:E150"/>
    <mergeCell ref="F149:F150"/>
    <mergeCell ref="G153:G154"/>
    <mergeCell ref="A155:A156"/>
    <mergeCell ref="B155:B156"/>
    <mergeCell ref="C155:C156"/>
    <mergeCell ref="D155:D156"/>
    <mergeCell ref="E155:E156"/>
    <mergeCell ref="F155:F156"/>
    <mergeCell ref="G155:G156"/>
    <mergeCell ref="A153:A154"/>
    <mergeCell ref="B153:B154"/>
    <mergeCell ref="C153:C154"/>
    <mergeCell ref="D153:D154"/>
    <mergeCell ref="E153:E154"/>
    <mergeCell ref="F153:F154"/>
    <mergeCell ref="G161:G162"/>
    <mergeCell ref="B75:B76"/>
    <mergeCell ref="B77:B78"/>
    <mergeCell ref="B79:B80"/>
    <mergeCell ref="A161:A162"/>
    <mergeCell ref="B161:B162"/>
    <mergeCell ref="C161:C162"/>
    <mergeCell ref="D161:D162"/>
    <mergeCell ref="E161:E162"/>
    <mergeCell ref="F161:F162"/>
    <mergeCell ref="G157:G158"/>
    <mergeCell ref="A159:A160"/>
    <mergeCell ref="B159:B160"/>
    <mergeCell ref="C159:C160"/>
    <mergeCell ref="D159:D160"/>
    <mergeCell ref="E159:E160"/>
    <mergeCell ref="F159:F160"/>
    <mergeCell ref="G159:G160"/>
    <mergeCell ref="A157:A158"/>
    <mergeCell ref="B157:B158"/>
    <mergeCell ref="C157:C158"/>
    <mergeCell ref="D157:D158"/>
    <mergeCell ref="E157:E158"/>
    <mergeCell ref="F157:F158"/>
  </mergeCells>
  <pageMargins left="1" right="1" top="1" bottom="1" header="0.5" footer="0.5"/>
  <pageSetup paperSize="9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workbookViewId="0">
      <selection sqref="A1:H92"/>
    </sheetView>
  </sheetViews>
  <sheetFormatPr defaultRowHeight="12.75"/>
  <cols>
    <col min="2" max="2" width="12.42578125" customWidth="1"/>
    <col min="3" max="3" width="11.85546875" customWidth="1"/>
    <col min="4" max="4" width="21.85546875" customWidth="1"/>
  </cols>
  <sheetData>
    <row r="1" spans="1:8" ht="15">
      <c r="A1" s="603" t="s">
        <v>2925</v>
      </c>
      <c r="B1" s="603"/>
      <c r="C1" s="603"/>
      <c r="D1" s="603"/>
      <c r="E1" s="603"/>
      <c r="F1" s="603"/>
      <c r="G1" s="604"/>
    </row>
    <row r="2" spans="1:8" ht="15">
      <c r="A2" s="802" t="s">
        <v>3635</v>
      </c>
      <c r="B2" s="802"/>
      <c r="C2" s="802"/>
      <c r="D2" s="802"/>
      <c r="E2" s="802"/>
      <c r="F2" s="802"/>
      <c r="G2" s="802"/>
      <c r="H2" s="111">
        <f>SUM(F3:F92)</f>
        <v>27065</v>
      </c>
    </row>
    <row r="3" spans="1:8">
      <c r="A3" s="687">
        <v>1</v>
      </c>
      <c r="B3" s="689" t="s">
        <v>82</v>
      </c>
      <c r="C3" s="689" t="s">
        <v>3621</v>
      </c>
      <c r="D3" s="689" t="s">
        <v>3388</v>
      </c>
      <c r="E3" s="720">
        <v>650</v>
      </c>
      <c r="F3" s="727">
        <f t="shared" ref="F3" si="0">E3</f>
        <v>650</v>
      </c>
      <c r="G3" s="685"/>
      <c r="H3">
        <v>26705</v>
      </c>
    </row>
    <row r="4" spans="1:8">
      <c r="A4" s="688"/>
      <c r="B4" s="689"/>
      <c r="C4" s="689"/>
      <c r="D4" s="689"/>
      <c r="E4" s="689"/>
      <c r="F4" s="727"/>
      <c r="G4" s="686"/>
    </row>
    <row r="5" spans="1:8">
      <c r="A5" s="687">
        <v>2</v>
      </c>
      <c r="B5" s="689" t="s">
        <v>84</v>
      </c>
      <c r="C5" s="689" t="s">
        <v>3621</v>
      </c>
      <c r="D5" s="689" t="s">
        <v>3427</v>
      </c>
      <c r="E5" s="720">
        <v>350</v>
      </c>
      <c r="F5" s="727">
        <f t="shared" ref="F5" si="1">E5</f>
        <v>350</v>
      </c>
      <c r="G5" s="685"/>
    </row>
    <row r="6" spans="1:8">
      <c r="A6" s="688"/>
      <c r="B6" s="689"/>
      <c r="C6" s="689"/>
      <c r="D6" s="689"/>
      <c r="E6" s="689"/>
      <c r="F6" s="727"/>
      <c r="G6" s="686"/>
    </row>
    <row r="7" spans="1:8">
      <c r="A7" s="687">
        <v>3</v>
      </c>
      <c r="B7" s="689" t="s">
        <v>85</v>
      </c>
      <c r="C7" s="689" t="s">
        <v>3621</v>
      </c>
      <c r="D7" s="689" t="s">
        <v>2723</v>
      </c>
      <c r="E7" s="720">
        <v>480</v>
      </c>
      <c r="F7" s="727">
        <f t="shared" ref="F7" si="2">E7</f>
        <v>480</v>
      </c>
      <c r="G7" s="685"/>
    </row>
    <row r="8" spans="1:8">
      <c r="A8" s="688"/>
      <c r="B8" s="689"/>
      <c r="C8" s="689"/>
      <c r="D8" s="689"/>
      <c r="E8" s="689"/>
      <c r="F8" s="727"/>
      <c r="G8" s="686"/>
    </row>
    <row r="9" spans="1:8">
      <c r="A9" s="687">
        <v>4</v>
      </c>
      <c r="B9" s="689" t="s">
        <v>86</v>
      </c>
      <c r="C9" s="689" t="s">
        <v>3621</v>
      </c>
      <c r="D9" s="689" t="s">
        <v>2723</v>
      </c>
      <c r="E9" s="720">
        <v>20</v>
      </c>
      <c r="F9" s="727">
        <f t="shared" ref="F9" si="3">E9</f>
        <v>20</v>
      </c>
      <c r="G9" s="685"/>
    </row>
    <row r="10" spans="1:8">
      <c r="A10" s="688"/>
      <c r="B10" s="689"/>
      <c r="C10" s="689"/>
      <c r="D10" s="689"/>
      <c r="E10" s="689"/>
      <c r="F10" s="727"/>
      <c r="G10" s="686"/>
    </row>
    <row r="11" spans="1:8">
      <c r="A11" s="687">
        <v>5</v>
      </c>
      <c r="B11" s="689" t="s">
        <v>87</v>
      </c>
      <c r="C11" s="689" t="s">
        <v>3621</v>
      </c>
      <c r="D11" s="689" t="s">
        <v>2723</v>
      </c>
      <c r="E11" s="720">
        <v>50</v>
      </c>
      <c r="F11" s="727">
        <f t="shared" ref="F11" si="4">E11</f>
        <v>50</v>
      </c>
      <c r="G11" s="685"/>
    </row>
    <row r="12" spans="1:8">
      <c r="A12" s="688"/>
      <c r="B12" s="689"/>
      <c r="C12" s="689"/>
      <c r="D12" s="689"/>
      <c r="E12" s="689"/>
      <c r="F12" s="727"/>
      <c r="G12" s="686"/>
    </row>
    <row r="13" spans="1:8">
      <c r="A13" s="687">
        <v>6</v>
      </c>
      <c r="B13" s="689" t="s">
        <v>95</v>
      </c>
      <c r="C13" s="689" t="s">
        <v>3621</v>
      </c>
      <c r="D13" s="689" t="s">
        <v>3623</v>
      </c>
      <c r="E13" s="720">
        <v>120</v>
      </c>
      <c r="F13" s="727">
        <f t="shared" ref="F13" si="5">E13</f>
        <v>120</v>
      </c>
      <c r="G13" s="685"/>
    </row>
    <row r="14" spans="1:8">
      <c r="A14" s="688"/>
      <c r="B14" s="689"/>
      <c r="C14" s="689"/>
      <c r="D14" s="689"/>
      <c r="E14" s="689"/>
      <c r="F14" s="727"/>
      <c r="G14" s="686"/>
    </row>
    <row r="15" spans="1:8">
      <c r="A15" s="687">
        <v>7</v>
      </c>
      <c r="B15" s="689" t="s">
        <v>3629</v>
      </c>
      <c r="C15" s="689" t="s">
        <v>3628</v>
      </c>
      <c r="D15" s="689" t="s">
        <v>239</v>
      </c>
      <c r="E15" s="720">
        <v>1350</v>
      </c>
      <c r="F15" s="727">
        <f t="shared" ref="F15" si="6">E15</f>
        <v>1350</v>
      </c>
      <c r="G15" s="685"/>
    </row>
    <row r="16" spans="1:8">
      <c r="A16" s="688"/>
      <c r="B16" s="689"/>
      <c r="C16" s="689"/>
      <c r="D16" s="689"/>
      <c r="E16" s="689"/>
      <c r="F16" s="727"/>
      <c r="G16" s="686"/>
    </row>
    <row r="17" spans="1:7">
      <c r="A17" s="687">
        <v>8</v>
      </c>
      <c r="B17" s="689" t="s">
        <v>102</v>
      </c>
      <c r="C17" s="689" t="s">
        <v>3627</v>
      </c>
      <c r="D17" s="689" t="s">
        <v>2723</v>
      </c>
      <c r="E17" s="720">
        <v>360</v>
      </c>
      <c r="F17" s="727">
        <f t="shared" ref="F17" si="7">E17</f>
        <v>360</v>
      </c>
      <c r="G17" s="685"/>
    </row>
    <row r="18" spans="1:7">
      <c r="A18" s="688"/>
      <c r="B18" s="689"/>
      <c r="C18" s="689"/>
      <c r="D18" s="689"/>
      <c r="E18" s="689"/>
      <c r="F18" s="727"/>
      <c r="G18" s="686"/>
    </row>
    <row r="19" spans="1:7">
      <c r="A19" s="687">
        <v>9</v>
      </c>
      <c r="B19" s="689" t="s">
        <v>103</v>
      </c>
      <c r="C19" s="689" t="s">
        <v>3627</v>
      </c>
      <c r="D19" s="689" t="s">
        <v>3025</v>
      </c>
      <c r="E19" s="720">
        <v>96</v>
      </c>
      <c r="F19" s="727">
        <f t="shared" ref="F19" si="8">E19</f>
        <v>96</v>
      </c>
      <c r="G19" s="685"/>
    </row>
    <row r="20" spans="1:7">
      <c r="A20" s="688"/>
      <c r="B20" s="689"/>
      <c r="C20" s="689"/>
      <c r="D20" s="689"/>
      <c r="E20" s="689"/>
      <c r="F20" s="727"/>
      <c r="G20" s="686"/>
    </row>
    <row r="21" spans="1:7">
      <c r="A21" s="687">
        <v>10</v>
      </c>
      <c r="B21" s="689" t="s">
        <v>3631</v>
      </c>
      <c r="C21" s="689" t="s">
        <v>3630</v>
      </c>
      <c r="D21" s="689" t="s">
        <v>239</v>
      </c>
      <c r="E21" s="720">
        <v>41894</v>
      </c>
      <c r="F21" s="720">
        <v>1350</v>
      </c>
      <c r="G21" s="685">
        <v>3.2223999999999999</v>
      </c>
    </row>
    <row r="22" spans="1:7">
      <c r="A22" s="688"/>
      <c r="B22" s="689"/>
      <c r="C22" s="689"/>
      <c r="D22" s="689"/>
      <c r="E22" s="689"/>
      <c r="F22" s="727"/>
      <c r="G22" s="686"/>
    </row>
    <row r="23" spans="1:7">
      <c r="A23" s="687">
        <v>11</v>
      </c>
      <c r="B23" s="689" t="s">
        <v>81</v>
      </c>
      <c r="C23" s="689" t="s">
        <v>3627</v>
      </c>
      <c r="D23" s="689" t="s">
        <v>2376</v>
      </c>
      <c r="E23" s="720">
        <v>60</v>
      </c>
      <c r="F23" s="727">
        <f t="shared" ref="F23" si="9">E23</f>
        <v>60</v>
      </c>
      <c r="G23" s="685"/>
    </row>
    <row r="24" spans="1:7">
      <c r="A24" s="688"/>
      <c r="B24" s="689"/>
      <c r="C24" s="689"/>
      <c r="D24" s="689"/>
      <c r="E24" s="689"/>
      <c r="F24" s="727"/>
      <c r="G24" s="686"/>
    </row>
    <row r="25" spans="1:7">
      <c r="A25" s="687">
        <v>12</v>
      </c>
      <c r="B25" s="689" t="s">
        <v>118</v>
      </c>
      <c r="C25" s="689" t="s">
        <v>3627</v>
      </c>
      <c r="D25" s="689" t="s">
        <v>2517</v>
      </c>
      <c r="E25" s="720">
        <v>100</v>
      </c>
      <c r="F25" s="727">
        <f t="shared" ref="F25" si="10">E25</f>
        <v>100</v>
      </c>
      <c r="G25" s="685"/>
    </row>
    <row r="26" spans="1:7">
      <c r="A26" s="688"/>
      <c r="B26" s="689"/>
      <c r="C26" s="689"/>
      <c r="D26" s="689"/>
      <c r="E26" s="689"/>
      <c r="F26" s="727"/>
      <c r="G26" s="686"/>
    </row>
    <row r="27" spans="1:7">
      <c r="A27" s="687">
        <v>13</v>
      </c>
      <c r="B27" s="689" t="s">
        <v>119</v>
      </c>
      <c r="C27" s="689" t="s">
        <v>3627</v>
      </c>
      <c r="D27" s="689" t="s">
        <v>3626</v>
      </c>
      <c r="E27" s="720">
        <v>400</v>
      </c>
      <c r="F27" s="727">
        <f t="shared" ref="F27" si="11">E27</f>
        <v>400</v>
      </c>
      <c r="G27" s="685"/>
    </row>
    <row r="28" spans="1:7">
      <c r="A28" s="688"/>
      <c r="B28" s="689"/>
      <c r="C28" s="689"/>
      <c r="D28" s="689"/>
      <c r="E28" s="689"/>
      <c r="F28" s="727"/>
      <c r="G28" s="686"/>
    </row>
    <row r="29" spans="1:7">
      <c r="A29" s="687">
        <v>14</v>
      </c>
      <c r="B29" s="689" t="s">
        <v>137</v>
      </c>
      <c r="C29" s="689" t="s">
        <v>3627</v>
      </c>
      <c r="D29" s="689" t="s">
        <v>2502</v>
      </c>
      <c r="E29" s="720">
        <v>240</v>
      </c>
      <c r="F29" s="727">
        <f t="shared" ref="F29" si="12">E29</f>
        <v>240</v>
      </c>
      <c r="G29" s="685"/>
    </row>
    <row r="30" spans="1:7">
      <c r="A30" s="688"/>
      <c r="B30" s="689"/>
      <c r="C30" s="689"/>
      <c r="D30" s="689"/>
      <c r="E30" s="689"/>
      <c r="F30" s="727"/>
      <c r="G30" s="686"/>
    </row>
    <row r="31" spans="1:7">
      <c r="A31" s="687">
        <v>15</v>
      </c>
      <c r="B31" s="689" t="s">
        <v>3648</v>
      </c>
      <c r="C31" s="689" t="s">
        <v>3627</v>
      </c>
      <c r="D31" s="689" t="s">
        <v>239</v>
      </c>
      <c r="E31" s="720">
        <v>1350</v>
      </c>
      <c r="F31" s="727">
        <f t="shared" ref="F31" si="13">E31</f>
        <v>1350</v>
      </c>
      <c r="G31" s="685"/>
    </row>
    <row r="32" spans="1:7">
      <c r="A32" s="688"/>
      <c r="B32" s="689"/>
      <c r="C32" s="689"/>
      <c r="D32" s="689"/>
      <c r="E32" s="689"/>
      <c r="F32" s="727"/>
      <c r="G32" s="686"/>
    </row>
    <row r="33" spans="1:7">
      <c r="A33" s="687">
        <v>16</v>
      </c>
      <c r="B33" s="689" t="s">
        <v>140</v>
      </c>
      <c r="C33" s="689" t="s">
        <v>3646</v>
      </c>
      <c r="D33" s="689" t="s">
        <v>3309</v>
      </c>
      <c r="E33" s="720">
        <v>480</v>
      </c>
      <c r="F33" s="727">
        <f t="shared" ref="F33" si="14">E33</f>
        <v>480</v>
      </c>
      <c r="G33" s="685"/>
    </row>
    <row r="34" spans="1:7">
      <c r="A34" s="688"/>
      <c r="B34" s="689"/>
      <c r="C34" s="689"/>
      <c r="D34" s="689"/>
      <c r="E34" s="689"/>
      <c r="F34" s="727"/>
      <c r="G34" s="686"/>
    </row>
    <row r="35" spans="1:7">
      <c r="A35" s="687">
        <v>17</v>
      </c>
      <c r="B35" s="711" t="s">
        <v>141</v>
      </c>
      <c r="C35" s="711" t="s">
        <v>3646</v>
      </c>
      <c r="D35" s="689" t="s">
        <v>2838</v>
      </c>
      <c r="E35" s="720">
        <v>520</v>
      </c>
      <c r="F35" s="727">
        <f t="shared" ref="F35" si="15">E35</f>
        <v>520</v>
      </c>
      <c r="G35" s="685"/>
    </row>
    <row r="36" spans="1:7">
      <c r="A36" s="688"/>
      <c r="B36" s="712"/>
      <c r="C36" s="712"/>
      <c r="D36" s="689"/>
      <c r="E36" s="689"/>
      <c r="F36" s="727"/>
      <c r="G36" s="686"/>
    </row>
    <row r="37" spans="1:7">
      <c r="A37" s="687">
        <v>18</v>
      </c>
      <c r="B37" s="711" t="s">
        <v>3650</v>
      </c>
      <c r="C37" s="711" t="s">
        <v>3649</v>
      </c>
      <c r="D37" s="689" t="s">
        <v>239</v>
      </c>
      <c r="E37" s="720">
        <v>41458</v>
      </c>
      <c r="F37" s="727">
        <v>1350</v>
      </c>
      <c r="G37" s="685">
        <v>3.2563</v>
      </c>
    </row>
    <row r="38" spans="1:7">
      <c r="A38" s="688"/>
      <c r="B38" s="712"/>
      <c r="C38" s="712"/>
      <c r="D38" s="689"/>
      <c r="E38" s="689"/>
      <c r="F38" s="727"/>
      <c r="G38" s="686"/>
    </row>
    <row r="39" spans="1:7">
      <c r="A39" s="687">
        <v>19</v>
      </c>
      <c r="B39" s="711" t="s">
        <v>144</v>
      </c>
      <c r="C39" s="711" t="s">
        <v>3647</v>
      </c>
      <c r="D39" s="689" t="s">
        <v>1601</v>
      </c>
      <c r="E39" s="720">
        <v>1150</v>
      </c>
      <c r="F39" s="689">
        <f t="shared" ref="F39" si="16">E39</f>
        <v>1150</v>
      </c>
      <c r="G39" s="685"/>
    </row>
    <row r="40" spans="1:7">
      <c r="A40" s="688"/>
      <c r="B40" s="712"/>
      <c r="C40" s="712"/>
      <c r="D40" s="689"/>
      <c r="E40" s="689"/>
      <c r="F40" s="689"/>
      <c r="G40" s="686"/>
    </row>
    <row r="41" spans="1:7">
      <c r="A41" s="687">
        <v>20</v>
      </c>
      <c r="B41" s="612" t="s">
        <v>3652</v>
      </c>
      <c r="C41" s="711" t="s">
        <v>3651</v>
      </c>
      <c r="D41" s="689" t="s">
        <v>239</v>
      </c>
      <c r="E41" s="689">
        <v>1350</v>
      </c>
      <c r="F41" s="689">
        <f t="shared" ref="F41" si="17">E41</f>
        <v>1350</v>
      </c>
      <c r="G41" s="685"/>
    </row>
    <row r="42" spans="1:7">
      <c r="A42" s="688"/>
      <c r="B42" s="613"/>
      <c r="C42" s="712"/>
      <c r="D42" s="689"/>
      <c r="E42" s="689"/>
      <c r="F42" s="689"/>
      <c r="G42" s="686"/>
    </row>
    <row r="43" spans="1:7">
      <c r="A43" s="687">
        <v>21</v>
      </c>
      <c r="B43" s="612" t="s">
        <v>145</v>
      </c>
      <c r="C43" s="711" t="s">
        <v>3647</v>
      </c>
      <c r="D43" s="689" t="s">
        <v>3626</v>
      </c>
      <c r="E43" s="689">
        <v>350</v>
      </c>
      <c r="F43" s="689">
        <f t="shared" ref="F43" si="18">E43</f>
        <v>350</v>
      </c>
      <c r="G43" s="685"/>
    </row>
    <row r="44" spans="1:7">
      <c r="A44" s="688"/>
      <c r="B44" s="613"/>
      <c r="C44" s="712"/>
      <c r="D44" s="689"/>
      <c r="E44" s="689"/>
      <c r="F44" s="689"/>
      <c r="G44" s="686"/>
    </row>
    <row r="45" spans="1:7">
      <c r="A45" s="687">
        <v>22</v>
      </c>
      <c r="B45" s="612" t="s">
        <v>146</v>
      </c>
      <c r="C45" s="711" t="s">
        <v>3647</v>
      </c>
      <c r="D45" s="689" t="s">
        <v>3025</v>
      </c>
      <c r="E45" s="689">
        <v>95</v>
      </c>
      <c r="F45" s="689">
        <f t="shared" ref="F45" si="19">E45</f>
        <v>95</v>
      </c>
      <c r="G45" s="685"/>
    </row>
    <row r="46" spans="1:7">
      <c r="A46" s="688"/>
      <c r="B46" s="613"/>
      <c r="C46" s="712"/>
      <c r="D46" s="689"/>
      <c r="E46" s="689"/>
      <c r="F46" s="689"/>
      <c r="G46" s="686"/>
    </row>
    <row r="47" spans="1:7">
      <c r="A47" s="687">
        <v>23</v>
      </c>
      <c r="B47" s="711" t="s">
        <v>3666</v>
      </c>
      <c r="C47" s="711" t="s">
        <v>3654</v>
      </c>
      <c r="D47" s="689" t="s">
        <v>239</v>
      </c>
      <c r="E47" s="720">
        <v>1350</v>
      </c>
      <c r="F47" s="720">
        <v>1350</v>
      </c>
      <c r="G47" s="685"/>
    </row>
    <row r="48" spans="1:7">
      <c r="A48" s="688"/>
      <c r="B48" s="712"/>
      <c r="C48" s="712"/>
      <c r="D48" s="689"/>
      <c r="E48" s="689"/>
      <c r="F48" s="689"/>
      <c r="G48" s="686"/>
    </row>
    <row r="49" spans="1:7">
      <c r="A49" s="687">
        <v>24</v>
      </c>
      <c r="B49" s="711" t="s">
        <v>3665</v>
      </c>
      <c r="C49" s="711" t="s">
        <v>3664</v>
      </c>
      <c r="D49" s="689" t="s">
        <v>239</v>
      </c>
      <c r="E49" s="720">
        <v>150</v>
      </c>
      <c r="F49" s="720">
        <v>180</v>
      </c>
      <c r="G49" s="685" t="s">
        <v>3679</v>
      </c>
    </row>
    <row r="50" spans="1:7">
      <c r="A50" s="688"/>
      <c r="B50" s="712"/>
      <c r="C50" s="712"/>
      <c r="D50" s="689"/>
      <c r="E50" s="689"/>
      <c r="F50" s="689"/>
      <c r="G50" s="686"/>
    </row>
    <row r="51" spans="1:7">
      <c r="A51" s="687">
        <v>25</v>
      </c>
      <c r="B51" s="711" t="s">
        <v>158</v>
      </c>
      <c r="C51" s="711" t="s">
        <v>3653</v>
      </c>
      <c r="D51" s="689" t="s">
        <v>3388</v>
      </c>
      <c r="E51" s="720">
        <v>300</v>
      </c>
      <c r="F51" s="689">
        <f t="shared" ref="F51" si="20">E51</f>
        <v>300</v>
      </c>
      <c r="G51" s="685"/>
    </row>
    <row r="52" spans="1:7">
      <c r="A52" s="688"/>
      <c r="B52" s="712"/>
      <c r="C52" s="712"/>
      <c r="D52" s="689"/>
      <c r="E52" s="689"/>
      <c r="F52" s="689"/>
      <c r="G52" s="686"/>
    </row>
    <row r="53" spans="1:7">
      <c r="A53" s="687">
        <v>26</v>
      </c>
      <c r="B53" s="711" t="s">
        <v>159</v>
      </c>
      <c r="C53" s="711" t="s">
        <v>3653</v>
      </c>
      <c r="D53" s="689" t="s">
        <v>2723</v>
      </c>
      <c r="E53" s="720">
        <v>350</v>
      </c>
      <c r="F53" s="689">
        <f t="shared" ref="F53" si="21">E53</f>
        <v>350</v>
      </c>
      <c r="G53" s="685"/>
    </row>
    <row r="54" spans="1:7">
      <c r="A54" s="688"/>
      <c r="B54" s="712"/>
      <c r="C54" s="712"/>
      <c r="D54" s="689"/>
      <c r="E54" s="689"/>
      <c r="F54" s="689"/>
      <c r="G54" s="686"/>
    </row>
    <row r="55" spans="1:7">
      <c r="A55" s="687">
        <v>27</v>
      </c>
      <c r="B55" s="711" t="s">
        <v>162</v>
      </c>
      <c r="C55" s="711" t="s">
        <v>3653</v>
      </c>
      <c r="D55" s="689" t="s">
        <v>3309</v>
      </c>
      <c r="E55" s="689">
        <v>600</v>
      </c>
      <c r="F55" s="689">
        <f t="shared" ref="F55" si="22">E55</f>
        <v>600</v>
      </c>
      <c r="G55" s="685"/>
    </row>
    <row r="56" spans="1:7">
      <c r="A56" s="688"/>
      <c r="B56" s="712"/>
      <c r="C56" s="712"/>
      <c r="D56" s="689"/>
      <c r="E56" s="689"/>
      <c r="F56" s="689"/>
      <c r="G56" s="686"/>
    </row>
    <row r="57" spans="1:7">
      <c r="A57" s="687">
        <v>28</v>
      </c>
      <c r="B57" s="711" t="s">
        <v>3656</v>
      </c>
      <c r="C57" s="711" t="s">
        <v>3647</v>
      </c>
      <c r="D57" s="689" t="s">
        <v>239</v>
      </c>
      <c r="E57" s="720">
        <v>1350</v>
      </c>
      <c r="F57" s="689">
        <f t="shared" ref="F57" si="23">E57</f>
        <v>1350</v>
      </c>
      <c r="G57" s="685"/>
    </row>
    <row r="58" spans="1:7">
      <c r="A58" s="688"/>
      <c r="B58" s="712"/>
      <c r="C58" s="712"/>
      <c r="D58" s="689"/>
      <c r="E58" s="689"/>
      <c r="F58" s="689"/>
      <c r="G58" s="686"/>
    </row>
    <row r="59" spans="1:7">
      <c r="A59" s="687">
        <v>29</v>
      </c>
      <c r="B59" s="612" t="s">
        <v>163</v>
      </c>
      <c r="C59" s="711" t="s">
        <v>3654</v>
      </c>
      <c r="D59" s="711" t="s">
        <v>2348</v>
      </c>
      <c r="E59" s="689">
        <v>50</v>
      </c>
      <c r="F59" s="689">
        <f t="shared" ref="F59" si="24">E59</f>
        <v>50</v>
      </c>
      <c r="G59" s="685"/>
    </row>
    <row r="60" spans="1:7">
      <c r="A60" s="688"/>
      <c r="B60" s="13"/>
      <c r="C60" s="712"/>
      <c r="D60" s="712"/>
      <c r="E60" s="689"/>
      <c r="F60" s="689"/>
      <c r="G60" s="686"/>
    </row>
    <row r="61" spans="1:7">
      <c r="A61" s="687">
        <v>30</v>
      </c>
      <c r="B61" s="612" t="s">
        <v>23</v>
      </c>
      <c r="C61" s="711" t="s">
        <v>3654</v>
      </c>
      <c r="D61" s="711" t="s">
        <v>3309</v>
      </c>
      <c r="E61" s="689">
        <v>380</v>
      </c>
      <c r="F61" s="689">
        <f t="shared" ref="F61" si="25">E61</f>
        <v>380</v>
      </c>
      <c r="G61" s="685"/>
    </row>
    <row r="62" spans="1:7">
      <c r="A62" s="688"/>
      <c r="B62" s="613"/>
      <c r="C62" s="712"/>
      <c r="D62" s="712"/>
      <c r="E62" s="689"/>
      <c r="F62" s="689"/>
      <c r="G62" s="686"/>
    </row>
    <row r="63" spans="1:7">
      <c r="A63" s="687">
        <v>31</v>
      </c>
      <c r="B63" s="612" t="s">
        <v>164</v>
      </c>
      <c r="C63" s="711" t="s">
        <v>3654</v>
      </c>
      <c r="D63" s="743" t="s">
        <v>1140</v>
      </c>
      <c r="E63" s="689">
        <v>600</v>
      </c>
      <c r="F63" s="689">
        <f t="shared" ref="F63" si="26">E63</f>
        <v>600</v>
      </c>
      <c r="G63" s="685"/>
    </row>
    <row r="64" spans="1:7">
      <c r="A64" s="688"/>
      <c r="B64" s="613"/>
      <c r="C64" s="712"/>
      <c r="D64" s="744"/>
      <c r="E64" s="689"/>
      <c r="F64" s="689"/>
      <c r="G64" s="686"/>
    </row>
    <row r="65" spans="1:7">
      <c r="A65" s="687">
        <v>32</v>
      </c>
      <c r="B65" s="711" t="s">
        <v>3667</v>
      </c>
      <c r="C65" s="711" t="s">
        <v>3654</v>
      </c>
      <c r="D65" s="689" t="s">
        <v>239</v>
      </c>
      <c r="E65" s="720">
        <v>1350</v>
      </c>
      <c r="F65" s="689">
        <f t="shared" ref="F65" si="27">E65</f>
        <v>1350</v>
      </c>
      <c r="G65" s="685"/>
    </row>
    <row r="66" spans="1:7">
      <c r="A66" s="688"/>
      <c r="B66" s="712"/>
      <c r="C66" s="712"/>
      <c r="D66" s="689"/>
      <c r="E66" s="689"/>
      <c r="F66" s="689"/>
      <c r="G66" s="686"/>
    </row>
    <row r="67" spans="1:7">
      <c r="A67" s="687">
        <v>33</v>
      </c>
      <c r="B67" s="612" t="s">
        <v>165</v>
      </c>
      <c r="C67" s="711" t="s">
        <v>3653</v>
      </c>
      <c r="D67" s="689" t="s">
        <v>3655</v>
      </c>
      <c r="E67" s="689">
        <v>100</v>
      </c>
      <c r="F67" s="689">
        <f t="shared" ref="F67" si="28">E67</f>
        <v>100</v>
      </c>
      <c r="G67" s="685"/>
    </row>
    <row r="68" spans="1:7">
      <c r="A68" s="688"/>
      <c r="B68" s="613"/>
      <c r="C68" s="712"/>
      <c r="D68" s="689"/>
      <c r="E68" s="689"/>
      <c r="F68" s="689"/>
      <c r="G68" s="686"/>
    </row>
    <row r="69" spans="1:7">
      <c r="A69" s="687">
        <v>34</v>
      </c>
      <c r="B69" s="612" t="s">
        <v>166</v>
      </c>
      <c r="C69" s="711" t="s">
        <v>3653</v>
      </c>
      <c r="D69" s="689" t="s">
        <v>1601</v>
      </c>
      <c r="E69" s="720">
        <v>420</v>
      </c>
      <c r="F69" s="689">
        <f t="shared" ref="F69" si="29">E69</f>
        <v>420</v>
      </c>
      <c r="G69" s="803"/>
    </row>
    <row r="70" spans="1:7">
      <c r="A70" s="688"/>
      <c r="B70" s="613"/>
      <c r="C70" s="712"/>
      <c r="D70" s="689"/>
      <c r="E70" s="689"/>
      <c r="F70" s="689"/>
      <c r="G70" s="804"/>
    </row>
    <row r="71" spans="1:7">
      <c r="A71" s="687">
        <v>35</v>
      </c>
      <c r="B71" s="612" t="s">
        <v>183</v>
      </c>
      <c r="C71" s="711" t="s">
        <v>3653</v>
      </c>
      <c r="D71" s="689" t="s">
        <v>3025</v>
      </c>
      <c r="E71" s="720">
        <v>94</v>
      </c>
      <c r="F71" s="689">
        <f t="shared" ref="F71" si="30">E71</f>
        <v>94</v>
      </c>
      <c r="G71" s="803"/>
    </row>
    <row r="72" spans="1:7">
      <c r="A72" s="688"/>
      <c r="B72" s="613"/>
      <c r="C72" s="712"/>
      <c r="D72" s="689"/>
      <c r="E72" s="689"/>
      <c r="F72" s="689"/>
      <c r="G72" s="804"/>
    </row>
    <row r="73" spans="1:7">
      <c r="A73" s="687">
        <v>36</v>
      </c>
      <c r="B73" s="711" t="s">
        <v>3661</v>
      </c>
      <c r="C73" s="711" t="s">
        <v>3653</v>
      </c>
      <c r="D73" s="689" t="s">
        <v>239</v>
      </c>
      <c r="E73" s="720">
        <v>41542</v>
      </c>
      <c r="F73" s="720">
        <v>1350</v>
      </c>
      <c r="G73" s="803">
        <v>3.2496999999999998</v>
      </c>
    </row>
    <row r="74" spans="1:7">
      <c r="A74" s="688"/>
      <c r="B74" s="712"/>
      <c r="C74" s="712"/>
      <c r="D74" s="689"/>
      <c r="E74" s="689"/>
      <c r="F74" s="689"/>
      <c r="G74" s="804"/>
    </row>
    <row r="75" spans="1:7">
      <c r="A75" s="687">
        <v>37</v>
      </c>
      <c r="B75" s="612" t="s">
        <v>184</v>
      </c>
      <c r="C75" s="711" t="s">
        <v>3660</v>
      </c>
      <c r="D75" s="689" t="s">
        <v>3226</v>
      </c>
      <c r="E75" s="720">
        <v>450</v>
      </c>
      <c r="F75" s="689">
        <f t="shared" ref="F75" si="31">E75</f>
        <v>450</v>
      </c>
      <c r="G75" s="803"/>
    </row>
    <row r="76" spans="1:7">
      <c r="A76" s="688"/>
      <c r="B76" s="613"/>
      <c r="C76" s="712"/>
      <c r="D76" s="689"/>
      <c r="E76" s="689"/>
      <c r="F76" s="689"/>
      <c r="G76" s="804"/>
    </row>
    <row r="77" spans="1:7">
      <c r="A77" s="687">
        <v>38</v>
      </c>
      <c r="B77" s="612" t="s">
        <v>188</v>
      </c>
      <c r="C77" s="711" t="s">
        <v>3659</v>
      </c>
      <c r="D77" s="689" t="s">
        <v>2376</v>
      </c>
      <c r="E77" s="720">
        <v>60</v>
      </c>
      <c r="F77" s="689">
        <f t="shared" ref="F77" si="32">E77</f>
        <v>60</v>
      </c>
      <c r="G77" s="803"/>
    </row>
    <row r="78" spans="1:7">
      <c r="A78" s="688"/>
      <c r="B78" s="613"/>
      <c r="C78" s="712"/>
      <c r="D78" s="689"/>
      <c r="E78" s="689"/>
      <c r="F78" s="689"/>
      <c r="G78" s="804"/>
    </row>
    <row r="79" spans="1:7">
      <c r="A79" s="687">
        <v>39</v>
      </c>
      <c r="B79" s="612" t="s">
        <v>190</v>
      </c>
      <c r="C79" s="711" t="s">
        <v>3659</v>
      </c>
      <c r="D79" s="689" t="s">
        <v>2517</v>
      </c>
      <c r="E79" s="720">
        <v>430</v>
      </c>
      <c r="F79" s="689">
        <f t="shared" ref="F79" si="33">E79</f>
        <v>430</v>
      </c>
      <c r="G79" s="803"/>
    </row>
    <row r="80" spans="1:7">
      <c r="A80" s="688"/>
      <c r="B80" s="613"/>
      <c r="C80" s="712"/>
      <c r="D80" s="689"/>
      <c r="E80" s="689"/>
      <c r="F80" s="689"/>
      <c r="G80" s="804"/>
    </row>
    <row r="81" spans="1:7">
      <c r="A81" s="687">
        <v>40</v>
      </c>
      <c r="B81" s="711" t="s">
        <v>3663</v>
      </c>
      <c r="C81" s="711" t="s">
        <v>3662</v>
      </c>
      <c r="D81" s="689" t="s">
        <v>239</v>
      </c>
      <c r="E81" s="720">
        <v>41745</v>
      </c>
      <c r="F81" s="720">
        <v>1350</v>
      </c>
      <c r="G81" s="803">
        <v>3.2339000000000002</v>
      </c>
    </row>
    <row r="82" spans="1:7">
      <c r="A82" s="688"/>
      <c r="B82" s="712"/>
      <c r="C82" s="712"/>
      <c r="D82" s="689"/>
      <c r="E82" s="689"/>
      <c r="F82" s="689"/>
      <c r="G82" s="804"/>
    </row>
    <row r="83" spans="1:7">
      <c r="A83" s="687">
        <v>41</v>
      </c>
      <c r="B83" s="711" t="s">
        <v>192</v>
      </c>
      <c r="C83" s="711" t="s">
        <v>3658</v>
      </c>
      <c r="D83" s="689" t="s">
        <v>2517</v>
      </c>
      <c r="E83" s="720">
        <v>250</v>
      </c>
      <c r="F83" s="689">
        <f t="shared" ref="F83" si="34">E83</f>
        <v>250</v>
      </c>
      <c r="G83" s="803"/>
    </row>
    <row r="84" spans="1:7">
      <c r="A84" s="688"/>
      <c r="B84" s="712"/>
      <c r="C84" s="712"/>
      <c r="D84" s="689"/>
      <c r="E84" s="689"/>
      <c r="F84" s="689"/>
      <c r="G84" s="804"/>
    </row>
    <row r="85" spans="1:7">
      <c r="A85" s="687">
        <v>42</v>
      </c>
      <c r="B85" s="711" t="s">
        <v>194</v>
      </c>
      <c r="C85" s="711" t="s">
        <v>3658</v>
      </c>
      <c r="D85" s="711" t="s">
        <v>1601</v>
      </c>
      <c r="E85" s="720">
        <v>900</v>
      </c>
      <c r="F85" s="689">
        <f t="shared" ref="F85" si="35">E85</f>
        <v>900</v>
      </c>
      <c r="G85" s="803"/>
    </row>
    <row r="86" spans="1:7">
      <c r="A86" s="688"/>
      <c r="B86" s="712"/>
      <c r="C86" s="712"/>
      <c r="D86" s="712"/>
      <c r="E86" s="689"/>
      <c r="F86" s="689"/>
      <c r="G86" s="804"/>
    </row>
    <row r="87" spans="1:7">
      <c r="A87" s="687">
        <v>43</v>
      </c>
      <c r="B87" s="711" t="s">
        <v>3669</v>
      </c>
      <c r="C87" s="711" t="s">
        <v>3668</v>
      </c>
      <c r="D87" s="689" t="s">
        <v>239</v>
      </c>
      <c r="E87" s="720">
        <v>1350</v>
      </c>
      <c r="F87" s="720">
        <v>1350</v>
      </c>
      <c r="G87" s="803"/>
    </row>
    <row r="88" spans="1:7">
      <c r="A88" s="688"/>
      <c r="B88" s="712"/>
      <c r="C88" s="712"/>
      <c r="D88" s="689"/>
      <c r="E88" s="689"/>
      <c r="F88" s="689"/>
      <c r="G88" s="804"/>
    </row>
    <row r="89" spans="1:7">
      <c r="A89" s="687">
        <v>44</v>
      </c>
      <c r="B89" s="689" t="s">
        <v>3675</v>
      </c>
      <c r="C89" s="689" t="s">
        <v>3668</v>
      </c>
      <c r="D89" s="689" t="s">
        <v>239</v>
      </c>
      <c r="E89" s="720">
        <v>41644</v>
      </c>
      <c r="F89" s="720">
        <v>1350</v>
      </c>
      <c r="G89" s="803">
        <v>3.2418</v>
      </c>
    </row>
    <row r="90" spans="1:7">
      <c r="A90" s="688"/>
      <c r="B90" s="689"/>
      <c r="C90" s="689"/>
      <c r="D90" s="689"/>
      <c r="E90" s="689"/>
      <c r="F90" s="689"/>
      <c r="G90" s="804"/>
    </row>
    <row r="91" spans="1:7">
      <c r="A91" s="687">
        <v>45</v>
      </c>
      <c r="B91" s="689" t="s">
        <v>3672</v>
      </c>
      <c r="C91" s="689" t="s">
        <v>3658</v>
      </c>
      <c r="D91" s="689" t="s">
        <v>239</v>
      </c>
      <c r="E91" s="689">
        <v>150</v>
      </c>
      <c r="F91" s="689">
        <v>180</v>
      </c>
      <c r="G91" s="685" t="s">
        <v>3679</v>
      </c>
    </row>
    <row r="92" spans="1:7" ht="12.75" customHeight="1">
      <c r="A92" s="688"/>
      <c r="B92" s="689"/>
      <c r="C92" s="689"/>
      <c r="D92" s="689"/>
      <c r="E92" s="689"/>
      <c r="F92" s="689"/>
      <c r="G92" s="686"/>
    </row>
    <row r="93" spans="1:7">
      <c r="A93" s="687">
        <v>46</v>
      </c>
      <c r="B93" s="659"/>
      <c r="C93" s="659"/>
      <c r="D93" s="659"/>
      <c r="E93" s="805"/>
      <c r="F93" s="805"/>
      <c r="G93" s="803"/>
    </row>
    <row r="94" spans="1:7">
      <c r="A94" s="688"/>
      <c r="B94" s="660"/>
      <c r="C94" s="660"/>
      <c r="D94" s="660"/>
      <c r="E94" s="806"/>
      <c r="F94" s="806"/>
      <c r="G94" s="804"/>
    </row>
    <row r="95" spans="1:7">
      <c r="A95" s="687">
        <v>47</v>
      </c>
      <c r="B95" s="659"/>
      <c r="C95" s="659"/>
      <c r="D95" s="659"/>
      <c r="E95" s="805"/>
      <c r="F95" s="805"/>
      <c r="G95" s="803"/>
    </row>
    <row r="96" spans="1:7">
      <c r="A96" s="688"/>
      <c r="B96" s="660"/>
      <c r="C96" s="660"/>
      <c r="D96" s="660"/>
      <c r="E96" s="806"/>
      <c r="F96" s="806"/>
      <c r="G96" s="804"/>
    </row>
    <row r="97" spans="1:7">
      <c r="A97" s="687">
        <v>48</v>
      </c>
      <c r="B97" s="658"/>
      <c r="C97" s="658"/>
      <c r="D97" s="658"/>
      <c r="E97" s="657"/>
      <c r="F97" s="657"/>
      <c r="G97" s="803"/>
    </row>
    <row r="98" spans="1:7">
      <c r="A98" s="688"/>
      <c r="B98" s="658"/>
      <c r="C98" s="658"/>
      <c r="D98" s="658"/>
      <c r="E98" s="657"/>
      <c r="F98" s="657"/>
      <c r="G98" s="804"/>
    </row>
    <row r="99" spans="1:7">
      <c r="A99" s="687">
        <v>49</v>
      </c>
      <c r="B99" s="658"/>
      <c r="C99" s="658"/>
      <c r="D99" s="658"/>
      <c r="E99" s="657"/>
      <c r="F99" s="657"/>
      <c r="G99" s="803"/>
    </row>
    <row r="100" spans="1:7">
      <c r="A100" s="688"/>
      <c r="B100" s="658"/>
      <c r="C100" s="658"/>
      <c r="D100" s="658"/>
      <c r="E100" s="657"/>
      <c r="F100" s="657"/>
      <c r="G100" s="804"/>
    </row>
    <row r="101" spans="1:7">
      <c r="A101" s="687">
        <v>50</v>
      </c>
      <c r="B101" s="658"/>
      <c r="C101" s="658"/>
      <c r="D101" s="658"/>
      <c r="E101" s="657"/>
      <c r="F101" s="657"/>
      <c r="G101" s="803"/>
    </row>
    <row r="102" spans="1:7">
      <c r="A102" s="688"/>
      <c r="B102" s="658"/>
      <c r="C102" s="658"/>
      <c r="D102" s="658"/>
      <c r="E102" s="657"/>
      <c r="F102" s="657"/>
      <c r="G102" s="804"/>
    </row>
    <row r="103" spans="1:7">
      <c r="A103" s="687">
        <v>51</v>
      </c>
      <c r="B103" s="658"/>
      <c r="C103" s="658"/>
      <c r="D103" s="658"/>
      <c r="E103" s="657"/>
      <c r="F103" s="657"/>
      <c r="G103" s="803"/>
    </row>
    <row r="104" spans="1:7">
      <c r="A104" s="688"/>
      <c r="B104" s="658"/>
      <c r="C104" s="658"/>
      <c r="D104" s="658"/>
      <c r="E104" s="657"/>
      <c r="F104" s="657"/>
      <c r="G104" s="804"/>
    </row>
    <row r="105" spans="1:7">
      <c r="A105" s="687">
        <v>52</v>
      </c>
      <c r="B105" s="658"/>
      <c r="C105" s="658"/>
      <c r="D105" s="658"/>
      <c r="E105" s="657"/>
      <c r="F105" s="657"/>
      <c r="G105" s="803"/>
    </row>
    <row r="106" spans="1:7">
      <c r="A106" s="688"/>
      <c r="B106" s="658"/>
      <c r="C106" s="658"/>
      <c r="D106" s="658"/>
      <c r="E106" s="657"/>
      <c r="F106" s="657"/>
      <c r="G106" s="804"/>
    </row>
    <row r="107" spans="1:7">
      <c r="A107" s="687">
        <v>53</v>
      </c>
      <c r="B107" s="658"/>
      <c r="C107" s="658"/>
      <c r="D107" s="658"/>
      <c r="E107" s="657"/>
      <c r="F107" s="657"/>
      <c r="G107" s="803"/>
    </row>
    <row r="108" spans="1:7">
      <c r="A108" s="688"/>
      <c r="B108" s="658"/>
      <c r="C108" s="658"/>
      <c r="D108" s="658"/>
      <c r="E108" s="657"/>
      <c r="F108" s="657"/>
      <c r="G108" s="804"/>
    </row>
    <row r="109" spans="1:7">
      <c r="A109" s="687">
        <v>54</v>
      </c>
      <c r="B109" s="658"/>
      <c r="C109" s="658"/>
      <c r="D109" s="658"/>
      <c r="E109" s="657"/>
      <c r="F109" s="657"/>
      <c r="G109" s="803"/>
    </row>
    <row r="110" spans="1:7">
      <c r="A110" s="688"/>
      <c r="B110" s="658"/>
      <c r="C110" s="658"/>
      <c r="D110" s="658"/>
      <c r="E110" s="657"/>
      <c r="F110" s="657"/>
      <c r="G110" s="804"/>
    </row>
    <row r="111" spans="1:7">
      <c r="A111" s="687">
        <v>55</v>
      </c>
      <c r="B111" s="658"/>
      <c r="C111" s="658"/>
      <c r="D111" s="658"/>
      <c r="E111" s="657"/>
      <c r="F111" s="657"/>
      <c r="G111" s="803"/>
    </row>
    <row r="112" spans="1:7">
      <c r="A112" s="688"/>
      <c r="B112" s="658"/>
      <c r="C112" s="658"/>
      <c r="D112" s="658"/>
      <c r="E112" s="657"/>
      <c r="F112" s="657"/>
      <c r="G112" s="804"/>
    </row>
    <row r="113" spans="1:7">
      <c r="A113" s="687">
        <v>56</v>
      </c>
      <c r="B113" s="658"/>
      <c r="C113" s="658"/>
      <c r="D113" s="658"/>
      <c r="E113" s="657"/>
      <c r="F113" s="657"/>
      <c r="G113" s="803"/>
    </row>
    <row r="114" spans="1:7">
      <c r="A114" s="688"/>
      <c r="B114" s="658"/>
      <c r="C114" s="658"/>
      <c r="D114" s="658"/>
      <c r="E114" s="657"/>
      <c r="F114" s="657"/>
      <c r="G114" s="804"/>
    </row>
    <row r="115" spans="1:7">
      <c r="A115" s="687">
        <v>57</v>
      </c>
      <c r="B115" s="658"/>
      <c r="C115" s="658"/>
      <c r="D115" s="658"/>
      <c r="E115" s="657"/>
      <c r="F115" s="657"/>
      <c r="G115" s="803"/>
    </row>
    <row r="116" spans="1:7">
      <c r="A116" s="688"/>
      <c r="B116" s="658"/>
      <c r="C116" s="658"/>
      <c r="D116" s="658"/>
      <c r="E116" s="657"/>
      <c r="F116" s="657"/>
      <c r="G116" s="804"/>
    </row>
    <row r="117" spans="1:7">
      <c r="A117" s="687">
        <v>58</v>
      </c>
      <c r="B117" s="658"/>
      <c r="C117" s="658"/>
      <c r="D117" s="658"/>
      <c r="E117" s="657"/>
      <c r="F117" s="657"/>
      <c r="G117" s="807"/>
    </row>
    <row r="118" spans="1:7">
      <c r="A118" s="688"/>
      <c r="B118" s="658"/>
      <c r="C118" s="658"/>
      <c r="D118" s="658"/>
      <c r="E118" s="657"/>
      <c r="F118" s="657"/>
      <c r="G118" s="808"/>
    </row>
    <row r="119" spans="1:7">
      <c r="A119" s="687">
        <v>59</v>
      </c>
      <c r="B119" s="658"/>
      <c r="C119" s="658"/>
      <c r="D119" s="658"/>
      <c r="E119" s="657"/>
      <c r="F119" s="657"/>
      <c r="G119" s="807"/>
    </row>
    <row r="120" spans="1:7">
      <c r="A120" s="688"/>
      <c r="B120" s="658"/>
      <c r="C120" s="658"/>
      <c r="D120" s="658"/>
      <c r="E120" s="657"/>
      <c r="F120" s="657"/>
      <c r="G120" s="808"/>
    </row>
    <row r="121" spans="1:7">
      <c r="A121" s="687">
        <v>60</v>
      </c>
      <c r="B121" s="658"/>
      <c r="C121" s="658"/>
      <c r="D121" s="658"/>
      <c r="E121" s="657"/>
      <c r="F121" s="657"/>
      <c r="G121" s="807"/>
    </row>
    <row r="122" spans="1:7">
      <c r="A122" s="688"/>
      <c r="B122" s="658"/>
      <c r="C122" s="658"/>
      <c r="D122" s="658"/>
      <c r="E122" s="657"/>
      <c r="F122" s="657"/>
      <c r="G122" s="808"/>
    </row>
  </sheetData>
  <mergeCells count="409">
    <mergeCell ref="G121:G122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F89:F90"/>
    <mergeCell ref="G85:G86"/>
    <mergeCell ref="A87:A88"/>
    <mergeCell ref="B87:B88"/>
    <mergeCell ref="C87:C88"/>
    <mergeCell ref="D87:D88"/>
    <mergeCell ref="E89:E90"/>
    <mergeCell ref="F87:F88"/>
    <mergeCell ref="G87:G88"/>
    <mergeCell ref="A85:A86"/>
    <mergeCell ref="B85:B86"/>
    <mergeCell ref="C85:C86"/>
    <mergeCell ref="D85:D86"/>
    <mergeCell ref="E85:E86"/>
    <mergeCell ref="F85:F86"/>
    <mergeCell ref="E87:E88"/>
    <mergeCell ref="G89:G90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C79:C80"/>
    <mergeCell ref="D79:D80"/>
    <mergeCell ref="E79:E80"/>
    <mergeCell ref="F79:F80"/>
    <mergeCell ref="G79:G80"/>
    <mergeCell ref="A77:A78"/>
    <mergeCell ref="C77:C78"/>
    <mergeCell ref="D77:D78"/>
    <mergeCell ref="E77:E78"/>
    <mergeCell ref="F77:F78"/>
    <mergeCell ref="G73:G74"/>
    <mergeCell ref="A75:A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C71:C72"/>
    <mergeCell ref="D71:D72"/>
    <mergeCell ref="E71:E72"/>
    <mergeCell ref="F71:F72"/>
    <mergeCell ref="G71:G72"/>
    <mergeCell ref="A69:A70"/>
    <mergeCell ref="C69:C70"/>
    <mergeCell ref="D69:D70"/>
    <mergeCell ref="E69:E70"/>
    <mergeCell ref="F69:F70"/>
    <mergeCell ref="G65:G66"/>
    <mergeCell ref="A67:A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C63:C64"/>
    <mergeCell ref="D63:D64"/>
    <mergeCell ref="E63:E64"/>
    <mergeCell ref="F63:F64"/>
    <mergeCell ref="G63:G64"/>
    <mergeCell ref="A61:A62"/>
    <mergeCell ref="C61:C62"/>
    <mergeCell ref="D61:D62"/>
    <mergeCell ref="E61:E62"/>
    <mergeCell ref="F61:F62"/>
    <mergeCell ref="G57:G58"/>
    <mergeCell ref="A59:A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C45:C46"/>
    <mergeCell ref="D45:D46"/>
    <mergeCell ref="E45:E46"/>
    <mergeCell ref="F45:F46"/>
    <mergeCell ref="G41:G42"/>
    <mergeCell ref="A43:A44"/>
    <mergeCell ref="C43:C44"/>
    <mergeCell ref="D43:D44"/>
    <mergeCell ref="E43:E44"/>
    <mergeCell ref="F43:F44"/>
    <mergeCell ref="G43:G44"/>
    <mergeCell ref="A41:A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8"/>
  <sheetViews>
    <sheetView view="pageBreakPreview" topLeftCell="A200" zoomScale="70" zoomScaleNormal="100" zoomScaleSheetLayoutView="70" workbookViewId="0">
      <selection activeCell="E223" sqref="A89:M1162"/>
    </sheetView>
  </sheetViews>
  <sheetFormatPr defaultRowHeight="12.75"/>
  <cols>
    <col min="1" max="1" width="6" customWidth="1"/>
    <col min="2" max="2" width="13.5703125" customWidth="1"/>
    <col min="3" max="3" width="12.140625" customWidth="1"/>
    <col min="5" max="5" width="40.85546875" customWidth="1"/>
    <col min="7" max="7" width="13" customWidth="1"/>
    <col min="8" max="8" width="22.140625" customWidth="1"/>
    <col min="9" max="9" width="19.140625" customWidth="1"/>
    <col min="11" max="11" width="18" customWidth="1"/>
    <col min="12" max="12" width="21.140625" customWidth="1"/>
    <col min="13" max="13" width="13.42578125" bestFit="1" customWidth="1"/>
    <col min="14" max="14" width="37.85546875" customWidth="1"/>
  </cols>
  <sheetData>
    <row r="1" spans="1:13">
      <c r="A1" s="830" t="s">
        <v>2807</v>
      </c>
      <c r="B1" s="831"/>
      <c r="C1" s="831"/>
      <c r="D1" s="831"/>
      <c r="E1" s="831"/>
      <c r="F1" s="831"/>
      <c r="G1" s="831"/>
      <c r="H1" s="831"/>
      <c r="I1" s="831"/>
      <c r="J1" s="831"/>
      <c r="K1" s="831"/>
      <c r="L1" s="832"/>
    </row>
    <row r="2" spans="1:13">
      <c r="A2" s="833"/>
      <c r="B2" s="834"/>
      <c r="C2" s="834"/>
      <c r="D2" s="834"/>
      <c r="E2" s="834"/>
      <c r="F2" s="834"/>
      <c r="G2" s="834"/>
      <c r="H2" s="834"/>
      <c r="I2" s="834"/>
      <c r="J2" s="834"/>
      <c r="K2" s="834"/>
      <c r="L2" s="835"/>
    </row>
    <row r="3" spans="1:13">
      <c r="A3" s="658" t="s">
        <v>39</v>
      </c>
      <c r="B3" s="658" t="s">
        <v>2808</v>
      </c>
      <c r="C3" s="658" t="s">
        <v>2833</v>
      </c>
      <c r="D3" s="658" t="s">
        <v>2836</v>
      </c>
      <c r="E3" s="658" t="s">
        <v>239</v>
      </c>
      <c r="F3" s="653" t="s">
        <v>2809</v>
      </c>
      <c r="G3" s="654"/>
      <c r="H3" s="657">
        <v>46998</v>
      </c>
      <c r="I3" s="657">
        <v>12000000</v>
      </c>
      <c r="J3" s="657"/>
      <c r="K3" s="657">
        <v>12000000</v>
      </c>
      <c r="L3" s="657">
        <f t="shared" ref="L3" si="0">K3-I3</f>
        <v>0</v>
      </c>
      <c r="M3" s="818">
        <v>1</v>
      </c>
    </row>
    <row r="4" spans="1:13">
      <c r="A4" s="658"/>
      <c r="B4" s="658"/>
      <c r="C4" s="658"/>
      <c r="D4" s="658"/>
      <c r="E4" s="658"/>
      <c r="F4" s="655"/>
      <c r="G4" s="656"/>
      <c r="H4" s="657"/>
      <c r="I4" s="657"/>
      <c r="J4" s="657"/>
      <c r="K4" s="657"/>
      <c r="L4" s="657"/>
      <c r="M4" s="819"/>
    </row>
    <row r="5" spans="1:13">
      <c r="A5" s="658"/>
      <c r="B5" s="658"/>
      <c r="C5" s="658" t="s">
        <v>39</v>
      </c>
      <c r="D5" s="658" t="s">
        <v>2830</v>
      </c>
      <c r="E5" s="658" t="s">
        <v>2829</v>
      </c>
      <c r="F5" s="653"/>
      <c r="G5" s="654"/>
      <c r="H5" s="657">
        <v>3200000</v>
      </c>
      <c r="I5" s="657">
        <f t="shared" ref="I5" si="1">H5</f>
        <v>3200000</v>
      </c>
      <c r="J5" s="657"/>
      <c r="K5" s="657">
        <v>3200000</v>
      </c>
      <c r="L5" s="657">
        <f t="shared" ref="L5" si="2">K5-I5</f>
        <v>0</v>
      </c>
      <c r="M5" s="818">
        <v>2</v>
      </c>
    </row>
    <row r="6" spans="1:13">
      <c r="A6" s="658"/>
      <c r="B6" s="658"/>
      <c r="C6" s="658"/>
      <c r="D6" s="658"/>
      <c r="E6" s="658"/>
      <c r="F6" s="655"/>
      <c r="G6" s="656"/>
      <c r="H6" s="657"/>
      <c r="I6" s="657"/>
      <c r="J6" s="657"/>
      <c r="K6" s="657"/>
      <c r="L6" s="657"/>
      <c r="M6" s="819"/>
    </row>
    <row r="7" spans="1:13">
      <c r="A7" s="658"/>
      <c r="B7" s="658"/>
      <c r="C7" s="658" t="s">
        <v>43</v>
      </c>
      <c r="D7" s="658" t="s">
        <v>2830</v>
      </c>
      <c r="E7" s="658" t="s">
        <v>2831</v>
      </c>
      <c r="F7" s="653"/>
      <c r="G7" s="654"/>
      <c r="H7" s="657">
        <v>3600000</v>
      </c>
      <c r="I7" s="657">
        <f t="shared" ref="I7" si="3">H7</f>
        <v>3600000</v>
      </c>
      <c r="J7" s="657"/>
      <c r="K7" s="657">
        <v>3600000</v>
      </c>
      <c r="L7" s="657">
        <f t="shared" ref="L7" si="4">K7-I7</f>
        <v>0</v>
      </c>
      <c r="M7" s="818">
        <v>3</v>
      </c>
    </row>
    <row r="8" spans="1:13">
      <c r="A8" s="658"/>
      <c r="B8" s="658"/>
      <c r="C8" s="658"/>
      <c r="D8" s="658"/>
      <c r="E8" s="658"/>
      <c r="F8" s="655"/>
      <c r="G8" s="656"/>
      <c r="H8" s="657"/>
      <c r="I8" s="657"/>
      <c r="J8" s="657"/>
      <c r="K8" s="657"/>
      <c r="L8" s="657"/>
      <c r="M8" s="819"/>
    </row>
    <row r="9" spans="1:13">
      <c r="A9" s="658" t="s">
        <v>43</v>
      </c>
      <c r="B9" s="658" t="s">
        <v>2818</v>
      </c>
      <c r="C9" s="658" t="s">
        <v>2834</v>
      </c>
      <c r="D9" s="658" t="s">
        <v>2835</v>
      </c>
      <c r="E9" s="658" t="s">
        <v>239</v>
      </c>
      <c r="F9" s="653" t="s">
        <v>2233</v>
      </c>
      <c r="G9" s="654"/>
      <c r="H9" s="657">
        <v>46998</v>
      </c>
      <c r="I9" s="657">
        <v>12000000</v>
      </c>
      <c r="J9" s="657"/>
      <c r="K9" s="657">
        <v>12000000</v>
      </c>
      <c r="L9" s="657">
        <f t="shared" ref="L9" si="5">K9-I9</f>
        <v>0</v>
      </c>
      <c r="M9" s="818">
        <v>4</v>
      </c>
    </row>
    <row r="10" spans="1:13">
      <c r="A10" s="658"/>
      <c r="B10" s="658"/>
      <c r="C10" s="658"/>
      <c r="D10" s="658"/>
      <c r="E10" s="658"/>
      <c r="F10" s="655"/>
      <c r="G10" s="656"/>
      <c r="H10" s="657"/>
      <c r="I10" s="657"/>
      <c r="J10" s="657"/>
      <c r="K10" s="657"/>
      <c r="L10" s="657"/>
      <c r="M10" s="819"/>
    </row>
    <row r="11" spans="1:13">
      <c r="A11" s="658"/>
      <c r="B11" s="658"/>
      <c r="C11" s="658" t="s">
        <v>44</v>
      </c>
      <c r="D11" s="658" t="s">
        <v>2832</v>
      </c>
      <c r="E11" s="729" t="s">
        <v>117</v>
      </c>
      <c r="F11" s="653"/>
      <c r="G11" s="654"/>
      <c r="H11" s="657">
        <v>1000000</v>
      </c>
      <c r="I11" s="657">
        <f t="shared" ref="I11" si="6">H11</f>
        <v>1000000</v>
      </c>
      <c r="J11" s="657"/>
      <c r="K11" s="657">
        <v>1000000</v>
      </c>
      <c r="L11" s="657">
        <f t="shared" ref="L11" si="7">K11-I11</f>
        <v>0</v>
      </c>
      <c r="M11" s="818">
        <v>5</v>
      </c>
    </row>
    <row r="12" spans="1:13">
      <c r="A12" s="658"/>
      <c r="B12" s="658"/>
      <c r="C12" s="658"/>
      <c r="D12" s="658"/>
      <c r="E12" s="729"/>
      <c r="F12" s="655"/>
      <c r="G12" s="656"/>
      <c r="H12" s="657"/>
      <c r="I12" s="657"/>
      <c r="J12" s="657"/>
      <c r="K12" s="657"/>
      <c r="L12" s="657"/>
      <c r="M12" s="819"/>
    </row>
    <row r="13" spans="1:13">
      <c r="A13" s="658" t="s">
        <v>44</v>
      </c>
      <c r="B13" s="658" t="s">
        <v>2823</v>
      </c>
      <c r="C13" s="658" t="s">
        <v>2837</v>
      </c>
      <c r="D13" s="658" t="s">
        <v>2832</v>
      </c>
      <c r="E13" s="658" t="s">
        <v>239</v>
      </c>
      <c r="F13" s="653" t="s">
        <v>2233</v>
      </c>
      <c r="G13" s="654"/>
      <c r="H13" s="657">
        <v>47478</v>
      </c>
      <c r="I13" s="657">
        <v>12000000</v>
      </c>
      <c r="J13" s="657"/>
      <c r="K13" s="657">
        <v>12000000</v>
      </c>
      <c r="L13" s="657">
        <f t="shared" ref="L13" si="8">K13-I13</f>
        <v>0</v>
      </c>
      <c r="M13" s="818">
        <v>6</v>
      </c>
    </row>
    <row r="14" spans="1:13">
      <c r="A14" s="658"/>
      <c r="B14" s="658"/>
      <c r="C14" s="658"/>
      <c r="D14" s="658"/>
      <c r="E14" s="658"/>
      <c r="F14" s="655"/>
      <c r="G14" s="656"/>
      <c r="H14" s="657"/>
      <c r="I14" s="657"/>
      <c r="J14" s="657"/>
      <c r="K14" s="657"/>
      <c r="L14" s="657"/>
      <c r="M14" s="819"/>
    </row>
    <row r="15" spans="1:13">
      <c r="A15" s="658"/>
      <c r="B15" s="658"/>
      <c r="C15" s="658" t="s">
        <v>45</v>
      </c>
      <c r="D15" s="658" t="s">
        <v>2840</v>
      </c>
      <c r="E15" s="658" t="s">
        <v>2838</v>
      </c>
      <c r="F15" s="653"/>
      <c r="G15" s="654"/>
      <c r="H15" s="657">
        <v>2500000</v>
      </c>
      <c r="I15" s="657">
        <f t="shared" ref="I15" si="9">H15</f>
        <v>2500000</v>
      </c>
      <c r="J15" s="657"/>
      <c r="K15" s="657">
        <v>2500000</v>
      </c>
      <c r="L15" s="657">
        <f t="shared" ref="L15" si="10">K15-I15</f>
        <v>0</v>
      </c>
      <c r="M15" s="818">
        <v>7</v>
      </c>
    </row>
    <row r="16" spans="1:13">
      <c r="A16" s="658"/>
      <c r="B16" s="658"/>
      <c r="C16" s="658"/>
      <c r="D16" s="658"/>
      <c r="E16" s="658"/>
      <c r="F16" s="655"/>
      <c r="G16" s="656"/>
      <c r="H16" s="657"/>
      <c r="I16" s="657"/>
      <c r="J16" s="657"/>
      <c r="K16" s="657"/>
      <c r="L16" s="657"/>
      <c r="M16" s="819"/>
    </row>
    <row r="17" spans="1:13">
      <c r="A17" s="658"/>
      <c r="B17" s="658"/>
      <c r="C17" s="658" t="s">
        <v>46</v>
      </c>
      <c r="D17" s="658" t="s">
        <v>2840</v>
      </c>
      <c r="E17" s="658" t="s">
        <v>2772</v>
      </c>
      <c r="F17" s="653"/>
      <c r="G17" s="654"/>
      <c r="H17" s="657">
        <v>2800000</v>
      </c>
      <c r="I17" s="657">
        <f t="shared" ref="I17" si="11">H17</f>
        <v>2800000</v>
      </c>
      <c r="J17" s="657"/>
      <c r="K17" s="657">
        <v>2800000</v>
      </c>
      <c r="L17" s="657">
        <f t="shared" ref="L17" si="12">K17-I17</f>
        <v>0</v>
      </c>
      <c r="M17" s="818">
        <v>8</v>
      </c>
    </row>
    <row r="18" spans="1:13">
      <c r="A18" s="658"/>
      <c r="B18" s="658"/>
      <c r="C18" s="658"/>
      <c r="D18" s="658"/>
      <c r="E18" s="658"/>
      <c r="F18" s="655"/>
      <c r="G18" s="656"/>
      <c r="H18" s="657"/>
      <c r="I18" s="657"/>
      <c r="J18" s="657"/>
      <c r="K18" s="657"/>
      <c r="L18" s="657"/>
      <c r="M18" s="819"/>
    </row>
    <row r="19" spans="1:13">
      <c r="A19" s="658" t="s">
        <v>45</v>
      </c>
      <c r="B19" s="658" t="s">
        <v>2824</v>
      </c>
      <c r="C19" s="658" t="s">
        <v>2850</v>
      </c>
      <c r="D19" s="658" t="s">
        <v>2846</v>
      </c>
      <c r="E19" s="658" t="s">
        <v>239</v>
      </c>
      <c r="F19" s="653" t="s">
        <v>2827</v>
      </c>
      <c r="G19" s="654"/>
      <c r="H19" s="657">
        <v>49460</v>
      </c>
      <c r="I19" s="657">
        <v>12500000</v>
      </c>
      <c r="J19" s="657"/>
      <c r="K19" s="657">
        <v>12500000</v>
      </c>
      <c r="L19" s="657">
        <f t="shared" ref="L19" si="13">K19-I19</f>
        <v>0</v>
      </c>
      <c r="M19" s="818">
        <v>9</v>
      </c>
    </row>
    <row r="20" spans="1:13">
      <c r="A20" s="658"/>
      <c r="B20" s="658"/>
      <c r="C20" s="658"/>
      <c r="D20" s="658"/>
      <c r="E20" s="658"/>
      <c r="F20" s="655"/>
      <c r="G20" s="656"/>
      <c r="H20" s="657"/>
      <c r="I20" s="657"/>
      <c r="J20" s="657"/>
      <c r="K20" s="657"/>
      <c r="L20" s="657"/>
      <c r="M20" s="819"/>
    </row>
    <row r="21" spans="1:13">
      <c r="A21" s="658"/>
      <c r="B21" s="658"/>
      <c r="C21" s="658" t="s">
        <v>51</v>
      </c>
      <c r="D21" s="658" t="s">
        <v>2842</v>
      </c>
      <c r="E21" s="729" t="s">
        <v>2517</v>
      </c>
      <c r="F21" s="653"/>
      <c r="G21" s="654"/>
      <c r="H21" s="657">
        <v>2000000</v>
      </c>
      <c r="I21" s="657">
        <f t="shared" ref="I21" si="14">H21</f>
        <v>2000000</v>
      </c>
      <c r="J21" s="657"/>
      <c r="K21" s="657">
        <v>2000000</v>
      </c>
      <c r="L21" s="657">
        <f t="shared" ref="L21" si="15">K21-I21</f>
        <v>0</v>
      </c>
      <c r="M21" s="818">
        <v>10</v>
      </c>
    </row>
    <row r="22" spans="1:13">
      <c r="A22" s="658"/>
      <c r="B22" s="658"/>
      <c r="C22" s="658"/>
      <c r="D22" s="658"/>
      <c r="E22" s="729"/>
      <c r="F22" s="655"/>
      <c r="G22" s="656"/>
      <c r="H22" s="657"/>
      <c r="I22" s="657"/>
      <c r="J22" s="657"/>
      <c r="K22" s="657"/>
      <c r="L22" s="657"/>
      <c r="M22" s="819"/>
    </row>
    <row r="23" spans="1:13">
      <c r="A23" s="658" t="s">
        <v>46</v>
      </c>
      <c r="B23" s="658" t="s">
        <v>2825</v>
      </c>
      <c r="C23" s="658" t="s">
        <v>2847</v>
      </c>
      <c r="D23" s="658" t="s">
        <v>2846</v>
      </c>
      <c r="E23" s="658" t="s">
        <v>239</v>
      </c>
      <c r="F23" s="653" t="s">
        <v>2233</v>
      </c>
      <c r="G23" s="654"/>
      <c r="H23" s="657">
        <v>47135</v>
      </c>
      <c r="I23" s="657">
        <v>12000000</v>
      </c>
      <c r="J23" s="657"/>
      <c r="K23" s="657">
        <v>12000000</v>
      </c>
      <c r="L23" s="657">
        <f t="shared" ref="L23" si="16">K23-I23</f>
        <v>0</v>
      </c>
      <c r="M23" s="818">
        <v>11</v>
      </c>
    </row>
    <row r="24" spans="1:13">
      <c r="A24" s="658"/>
      <c r="B24" s="658"/>
      <c r="C24" s="658"/>
      <c r="D24" s="658"/>
      <c r="E24" s="658"/>
      <c r="F24" s="655"/>
      <c r="G24" s="656"/>
      <c r="H24" s="657"/>
      <c r="I24" s="657"/>
      <c r="J24" s="657"/>
      <c r="K24" s="657"/>
      <c r="L24" s="657"/>
      <c r="M24" s="819"/>
    </row>
    <row r="25" spans="1:13">
      <c r="A25" s="658"/>
      <c r="B25" s="658"/>
      <c r="C25" s="658" t="s">
        <v>50</v>
      </c>
      <c r="D25" s="658" t="s">
        <v>2841</v>
      </c>
      <c r="E25" s="658" t="s">
        <v>2839</v>
      </c>
      <c r="F25" s="653"/>
      <c r="G25" s="654"/>
      <c r="H25" s="657">
        <v>7500000</v>
      </c>
      <c r="I25" s="657">
        <f t="shared" ref="I25" si="17">H25</f>
        <v>7500000</v>
      </c>
      <c r="J25" s="657"/>
      <c r="K25" s="657">
        <v>7500000</v>
      </c>
      <c r="L25" s="657">
        <f t="shared" ref="L25" si="18">K25-I25</f>
        <v>0</v>
      </c>
      <c r="M25" s="818">
        <v>12</v>
      </c>
    </row>
    <row r="26" spans="1:13">
      <c r="A26" s="658"/>
      <c r="B26" s="658"/>
      <c r="C26" s="658"/>
      <c r="D26" s="658"/>
      <c r="E26" s="658"/>
      <c r="F26" s="655"/>
      <c r="G26" s="656"/>
      <c r="H26" s="657"/>
      <c r="I26" s="657"/>
      <c r="J26" s="657"/>
      <c r="K26" s="657"/>
      <c r="L26" s="657"/>
      <c r="M26" s="819"/>
    </row>
    <row r="27" spans="1:13">
      <c r="A27" s="658"/>
      <c r="B27" s="658"/>
      <c r="C27" s="658" t="s">
        <v>53</v>
      </c>
      <c r="D27" s="658" t="s">
        <v>2841</v>
      </c>
      <c r="E27" s="658" t="s">
        <v>2556</v>
      </c>
      <c r="F27" s="653"/>
      <c r="G27" s="654"/>
      <c r="H27" s="657">
        <v>4000000</v>
      </c>
      <c r="I27" s="657">
        <f t="shared" ref="I27" si="19">H27</f>
        <v>4000000</v>
      </c>
      <c r="J27" s="657"/>
      <c r="K27" s="657">
        <v>4000000</v>
      </c>
      <c r="L27" s="657">
        <f t="shared" ref="L27" si="20">K27-I27</f>
        <v>0</v>
      </c>
      <c r="M27" s="818">
        <v>13</v>
      </c>
    </row>
    <row r="28" spans="1:13">
      <c r="A28" s="658"/>
      <c r="B28" s="658"/>
      <c r="C28" s="658"/>
      <c r="D28" s="658"/>
      <c r="E28" s="658"/>
      <c r="F28" s="655"/>
      <c r="G28" s="656"/>
      <c r="H28" s="657"/>
      <c r="I28" s="657"/>
      <c r="J28" s="657"/>
      <c r="K28" s="657"/>
      <c r="L28" s="657"/>
      <c r="M28" s="819"/>
    </row>
    <row r="29" spans="1:13">
      <c r="A29" s="658" t="s">
        <v>50</v>
      </c>
      <c r="B29" s="658" t="s">
        <v>2826</v>
      </c>
      <c r="C29" s="658" t="s">
        <v>2849</v>
      </c>
      <c r="D29" s="658" t="s">
        <v>2848</v>
      </c>
      <c r="E29" s="658" t="s">
        <v>239</v>
      </c>
      <c r="F29" s="653" t="s">
        <v>2828</v>
      </c>
      <c r="G29" s="654"/>
      <c r="H29" s="657">
        <v>46337</v>
      </c>
      <c r="I29" s="657">
        <v>12000000</v>
      </c>
      <c r="J29" s="657"/>
      <c r="K29" s="657">
        <v>12000000</v>
      </c>
      <c r="L29" s="657">
        <f t="shared" ref="L29" si="21">K29-I29</f>
        <v>0</v>
      </c>
      <c r="M29" s="818">
        <v>14</v>
      </c>
    </row>
    <row r="30" spans="1:13">
      <c r="A30" s="658"/>
      <c r="B30" s="658"/>
      <c r="C30" s="658"/>
      <c r="D30" s="658"/>
      <c r="E30" s="658"/>
      <c r="F30" s="655"/>
      <c r="G30" s="656"/>
      <c r="H30" s="657"/>
      <c r="I30" s="657"/>
      <c r="J30" s="657"/>
      <c r="K30" s="657"/>
      <c r="L30" s="657"/>
      <c r="M30" s="819"/>
    </row>
    <row r="31" spans="1:13">
      <c r="A31" s="658"/>
      <c r="B31" s="658"/>
      <c r="C31" s="658" t="s">
        <v>54</v>
      </c>
      <c r="D31" s="658" t="s">
        <v>2842</v>
      </c>
      <c r="E31" s="658" t="s">
        <v>2843</v>
      </c>
      <c r="F31" s="653"/>
      <c r="G31" s="654"/>
      <c r="H31" s="657">
        <v>4000000</v>
      </c>
      <c r="I31" s="657">
        <f t="shared" ref="I31" si="22">H31</f>
        <v>4000000</v>
      </c>
      <c r="J31" s="657"/>
      <c r="K31" s="657">
        <v>4000000</v>
      </c>
      <c r="L31" s="657">
        <f t="shared" ref="L31" si="23">K31-I31</f>
        <v>0</v>
      </c>
      <c r="M31" s="818">
        <v>15</v>
      </c>
    </row>
    <row r="32" spans="1:13">
      <c r="A32" s="658"/>
      <c r="B32" s="658"/>
      <c r="C32" s="658"/>
      <c r="D32" s="658"/>
      <c r="E32" s="658"/>
      <c r="F32" s="655"/>
      <c r="G32" s="656"/>
      <c r="H32" s="657"/>
      <c r="I32" s="657"/>
      <c r="J32" s="657"/>
      <c r="K32" s="657"/>
      <c r="L32" s="657"/>
      <c r="M32" s="819"/>
    </row>
    <row r="33" spans="1:13">
      <c r="A33" s="658"/>
      <c r="B33" s="658"/>
      <c r="C33" s="658" t="s">
        <v>70</v>
      </c>
      <c r="D33" s="658" t="s">
        <v>2842</v>
      </c>
      <c r="E33" s="729" t="s">
        <v>117</v>
      </c>
      <c r="F33" s="653"/>
      <c r="G33" s="654"/>
      <c r="H33" s="657">
        <v>1100000</v>
      </c>
      <c r="I33" s="657">
        <f t="shared" ref="I33" si="24">H33</f>
        <v>1100000</v>
      </c>
      <c r="J33" s="657"/>
      <c r="K33" s="657">
        <v>1100000</v>
      </c>
      <c r="L33" s="657">
        <f t="shared" ref="L33" si="25">K33-I33</f>
        <v>0</v>
      </c>
      <c r="M33" s="818">
        <v>16</v>
      </c>
    </row>
    <row r="34" spans="1:13">
      <c r="A34" s="658"/>
      <c r="B34" s="658"/>
      <c r="C34" s="658"/>
      <c r="D34" s="658"/>
      <c r="E34" s="729"/>
      <c r="F34" s="655"/>
      <c r="G34" s="656"/>
      <c r="H34" s="657"/>
      <c r="I34" s="657"/>
      <c r="J34" s="657"/>
      <c r="K34" s="657"/>
      <c r="L34" s="657"/>
      <c r="M34" s="819"/>
    </row>
    <row r="35" spans="1:13">
      <c r="A35" s="658"/>
      <c r="B35" s="658" t="s">
        <v>2427</v>
      </c>
      <c r="C35" s="658" t="s">
        <v>50</v>
      </c>
      <c r="D35" s="658" t="s">
        <v>2857</v>
      </c>
      <c r="E35" s="658" t="s">
        <v>2935</v>
      </c>
      <c r="F35" s="653"/>
      <c r="G35" s="654"/>
      <c r="H35" s="657">
        <v>4000000</v>
      </c>
      <c r="I35" s="657">
        <v>2200000</v>
      </c>
      <c r="J35" s="657"/>
      <c r="K35" s="657">
        <v>4000000</v>
      </c>
      <c r="L35" s="657">
        <f t="shared" ref="L35" si="26">K35-I35</f>
        <v>1800000</v>
      </c>
      <c r="M35" s="818">
        <v>17</v>
      </c>
    </row>
    <row r="36" spans="1:13">
      <c r="A36" s="658"/>
      <c r="B36" s="658"/>
      <c r="C36" s="658"/>
      <c r="D36" s="658"/>
      <c r="E36" s="658"/>
      <c r="F36" s="655"/>
      <c r="G36" s="656"/>
      <c r="H36" s="657"/>
      <c r="I36" s="657"/>
      <c r="J36" s="657"/>
      <c r="K36" s="657"/>
      <c r="L36" s="657"/>
      <c r="M36" s="819"/>
    </row>
    <row r="37" spans="1:13">
      <c r="A37" s="658" t="s">
        <v>53</v>
      </c>
      <c r="B37" s="658" t="s">
        <v>2845</v>
      </c>
      <c r="C37" s="658" t="s">
        <v>2864</v>
      </c>
      <c r="D37" s="658" t="s">
        <v>2861</v>
      </c>
      <c r="E37" s="658" t="s">
        <v>239</v>
      </c>
      <c r="F37" s="653" t="s">
        <v>1804</v>
      </c>
      <c r="G37" s="654"/>
      <c r="H37" s="657">
        <v>46111</v>
      </c>
      <c r="I37" s="657">
        <f t="shared" ref="I37" si="27">H37</f>
        <v>46111</v>
      </c>
      <c r="J37" s="657"/>
      <c r="K37" s="657">
        <v>46111</v>
      </c>
      <c r="L37" s="657">
        <f t="shared" ref="L37" si="28">K37-I37</f>
        <v>0</v>
      </c>
      <c r="M37" s="818">
        <v>18</v>
      </c>
    </row>
    <row r="38" spans="1:13">
      <c r="A38" s="658"/>
      <c r="B38" s="658"/>
      <c r="C38" s="658"/>
      <c r="D38" s="658"/>
      <c r="E38" s="658"/>
      <c r="F38" s="655"/>
      <c r="G38" s="656"/>
      <c r="H38" s="657"/>
      <c r="I38" s="657"/>
      <c r="J38" s="657"/>
      <c r="K38" s="657"/>
      <c r="L38" s="657"/>
      <c r="M38" s="819"/>
    </row>
    <row r="39" spans="1:13">
      <c r="A39" s="658"/>
      <c r="B39" s="658"/>
      <c r="C39" s="658" t="s">
        <v>67</v>
      </c>
      <c r="D39" s="674" t="s">
        <v>2858</v>
      </c>
      <c r="E39" s="658" t="s">
        <v>1601</v>
      </c>
      <c r="F39" s="653" t="s">
        <v>2854</v>
      </c>
      <c r="G39" s="654"/>
      <c r="H39" s="657">
        <v>3000000</v>
      </c>
      <c r="I39" s="657">
        <f t="shared" ref="I39" si="29">H39</f>
        <v>3000000</v>
      </c>
      <c r="J39" s="657"/>
      <c r="K39" s="657">
        <v>3000000</v>
      </c>
      <c r="L39" s="657">
        <f t="shared" ref="L39" si="30">K39-I39</f>
        <v>0</v>
      </c>
      <c r="M39" s="818">
        <v>44</v>
      </c>
    </row>
    <row r="40" spans="1:13">
      <c r="A40" s="658"/>
      <c r="B40" s="658"/>
      <c r="C40" s="658"/>
      <c r="D40" s="674"/>
      <c r="E40" s="658"/>
      <c r="F40" s="655"/>
      <c r="G40" s="656"/>
      <c r="H40" s="657"/>
      <c r="I40" s="657"/>
      <c r="J40" s="657"/>
      <c r="K40" s="657"/>
      <c r="L40" s="657"/>
      <c r="M40" s="819"/>
    </row>
    <row r="41" spans="1:13">
      <c r="A41" s="658"/>
      <c r="B41" s="658"/>
      <c r="C41" s="658" t="s">
        <v>78</v>
      </c>
      <c r="D41" s="674" t="s">
        <v>2858</v>
      </c>
      <c r="E41" s="729" t="s">
        <v>2376</v>
      </c>
      <c r="F41" s="653"/>
      <c r="G41" s="654"/>
      <c r="H41" s="657">
        <v>660000</v>
      </c>
      <c r="I41" s="657">
        <f t="shared" ref="I41:I43" si="31">H41</f>
        <v>660000</v>
      </c>
      <c r="J41" s="657"/>
      <c r="K41" s="657">
        <v>660000</v>
      </c>
      <c r="L41" s="657">
        <f t="shared" ref="L41:L43" si="32">K41-I41</f>
        <v>0</v>
      </c>
      <c r="M41" s="818">
        <v>45</v>
      </c>
    </row>
    <row r="42" spans="1:13">
      <c r="A42" s="658"/>
      <c r="B42" s="658"/>
      <c r="C42" s="658"/>
      <c r="D42" s="674"/>
      <c r="E42" s="729"/>
      <c r="F42" s="655"/>
      <c r="G42" s="656"/>
      <c r="H42" s="657"/>
      <c r="I42" s="657"/>
      <c r="J42" s="657"/>
      <c r="K42" s="657"/>
      <c r="L42" s="657"/>
      <c r="M42" s="819"/>
    </row>
    <row r="43" spans="1:13">
      <c r="A43" s="658" t="s">
        <v>51</v>
      </c>
      <c r="B43" s="658" t="s">
        <v>2912</v>
      </c>
      <c r="C43" s="658" t="s">
        <v>66</v>
      </c>
      <c r="D43" s="674" t="s">
        <v>2858</v>
      </c>
      <c r="E43" s="658" t="s">
        <v>2913</v>
      </c>
      <c r="F43" s="653"/>
      <c r="G43" s="654"/>
      <c r="H43" s="657">
        <v>95000000</v>
      </c>
      <c r="I43" s="657">
        <f t="shared" si="31"/>
        <v>95000000</v>
      </c>
      <c r="J43" s="657"/>
      <c r="K43" s="657">
        <v>95000000</v>
      </c>
      <c r="L43" s="657">
        <f t="shared" si="32"/>
        <v>0</v>
      </c>
      <c r="M43" s="818">
        <v>46</v>
      </c>
    </row>
    <row r="44" spans="1:13">
      <c r="A44" s="658"/>
      <c r="B44" s="658"/>
      <c r="C44" s="658"/>
      <c r="D44" s="674"/>
      <c r="E44" s="658"/>
      <c r="F44" s="655"/>
      <c r="G44" s="656"/>
      <c r="H44" s="657"/>
      <c r="I44" s="657"/>
      <c r="J44" s="657"/>
      <c r="K44" s="657"/>
      <c r="L44" s="657"/>
      <c r="M44" s="819"/>
    </row>
    <row r="45" spans="1:13">
      <c r="A45" s="658" t="s">
        <v>54</v>
      </c>
      <c r="B45" s="658" t="s">
        <v>2851</v>
      </c>
      <c r="C45" s="658" t="s">
        <v>2862</v>
      </c>
      <c r="D45" s="658" t="s">
        <v>2863</v>
      </c>
      <c r="E45" s="729" t="s">
        <v>239</v>
      </c>
      <c r="F45" s="653" t="s">
        <v>2828</v>
      </c>
      <c r="G45" s="654"/>
      <c r="H45" s="657">
        <v>45802</v>
      </c>
      <c r="I45" s="657">
        <v>12000000</v>
      </c>
      <c r="J45" s="657"/>
      <c r="K45" s="657">
        <v>12000000</v>
      </c>
      <c r="L45" s="657">
        <f t="shared" ref="L45" si="33">K45-I45</f>
        <v>0</v>
      </c>
      <c r="M45" s="818">
        <v>19</v>
      </c>
    </row>
    <row r="46" spans="1:13">
      <c r="A46" s="658"/>
      <c r="B46" s="658"/>
      <c r="C46" s="658"/>
      <c r="D46" s="658"/>
      <c r="E46" s="729"/>
      <c r="F46" s="655"/>
      <c r="G46" s="656"/>
      <c r="H46" s="657"/>
      <c r="I46" s="657"/>
      <c r="J46" s="657"/>
      <c r="K46" s="657"/>
      <c r="L46" s="657"/>
      <c r="M46" s="819"/>
    </row>
    <row r="47" spans="1:13">
      <c r="A47" s="658"/>
      <c r="B47" s="658"/>
      <c r="C47" s="658" t="s">
        <v>77</v>
      </c>
      <c r="D47" s="658" t="s">
        <v>2856</v>
      </c>
      <c r="E47" s="658" t="s">
        <v>2723</v>
      </c>
      <c r="F47" s="653"/>
      <c r="G47" s="654"/>
      <c r="H47" s="657">
        <v>4000000</v>
      </c>
      <c r="I47" s="657">
        <f t="shared" ref="I47" si="34">H47</f>
        <v>4000000</v>
      </c>
      <c r="J47" s="657"/>
      <c r="K47" s="657">
        <v>4000000</v>
      </c>
      <c r="L47" s="657">
        <f t="shared" ref="L47" si="35">K47-I47</f>
        <v>0</v>
      </c>
      <c r="M47" s="818">
        <v>20</v>
      </c>
    </row>
    <row r="48" spans="1:13">
      <c r="A48" s="658"/>
      <c r="B48" s="658"/>
      <c r="C48" s="658"/>
      <c r="D48" s="658"/>
      <c r="E48" s="658"/>
      <c r="F48" s="655"/>
      <c r="G48" s="656"/>
      <c r="H48" s="657"/>
      <c r="I48" s="657"/>
      <c r="J48" s="657"/>
      <c r="K48" s="657"/>
      <c r="L48" s="657"/>
      <c r="M48" s="819"/>
    </row>
    <row r="49" spans="1:14">
      <c r="A49" s="658"/>
      <c r="B49" s="658"/>
      <c r="C49" s="658" t="s">
        <v>71</v>
      </c>
      <c r="D49" s="658" t="s">
        <v>2856</v>
      </c>
      <c r="E49" s="658" t="s">
        <v>2853</v>
      </c>
      <c r="F49" s="653"/>
      <c r="G49" s="654"/>
      <c r="H49" s="657">
        <v>3500000</v>
      </c>
      <c r="I49" s="657">
        <f t="shared" ref="I49" si="36">H49</f>
        <v>3500000</v>
      </c>
      <c r="J49" s="657"/>
      <c r="K49" s="657">
        <v>3500000</v>
      </c>
      <c r="L49" s="657">
        <f t="shared" ref="L49" si="37">K49-I49</f>
        <v>0</v>
      </c>
      <c r="M49" s="818">
        <v>21</v>
      </c>
      <c r="N49" s="572">
        <f>SUM(H59:H132,H135:H144,H153,H39:H44)</f>
        <v>199303355</v>
      </c>
    </row>
    <row r="50" spans="1:14">
      <c r="A50" s="658"/>
      <c r="B50" s="658"/>
      <c r="C50" s="658"/>
      <c r="D50" s="658"/>
      <c r="E50" s="658"/>
      <c r="F50" s="655"/>
      <c r="G50" s="656"/>
      <c r="H50" s="657"/>
      <c r="I50" s="657"/>
      <c r="J50" s="657"/>
      <c r="K50" s="657"/>
      <c r="L50" s="657"/>
      <c r="M50" s="819"/>
    </row>
    <row r="51" spans="1:14">
      <c r="A51" s="658"/>
      <c r="B51" s="658"/>
      <c r="C51" s="658" t="s">
        <v>56</v>
      </c>
      <c r="D51" s="658" t="s">
        <v>2856</v>
      </c>
      <c r="E51" s="658" t="s">
        <v>1601</v>
      </c>
      <c r="F51" s="653" t="s">
        <v>2855</v>
      </c>
      <c r="G51" s="654"/>
      <c r="H51" s="657">
        <v>2000000</v>
      </c>
      <c r="I51" s="657">
        <f t="shared" ref="I51" si="38">H51</f>
        <v>2000000</v>
      </c>
      <c r="J51" s="657"/>
      <c r="K51" s="657">
        <v>2000000</v>
      </c>
      <c r="L51" s="657">
        <f t="shared" ref="L51" si="39">K51-I51</f>
        <v>0</v>
      </c>
      <c r="M51" s="818">
        <v>22</v>
      </c>
    </row>
    <row r="52" spans="1:14">
      <c r="A52" s="658"/>
      <c r="B52" s="658"/>
      <c r="C52" s="658"/>
      <c r="D52" s="658"/>
      <c r="E52" s="658"/>
      <c r="F52" s="655"/>
      <c r="G52" s="656"/>
      <c r="H52" s="657"/>
      <c r="I52" s="657"/>
      <c r="J52" s="657"/>
      <c r="K52" s="657"/>
      <c r="L52" s="657"/>
      <c r="M52" s="819"/>
    </row>
    <row r="53" spans="1:14">
      <c r="A53" s="658"/>
      <c r="B53" s="658"/>
      <c r="C53" s="658" t="s">
        <v>75</v>
      </c>
      <c r="D53" s="658" t="s">
        <v>2856</v>
      </c>
      <c r="E53" s="729" t="s">
        <v>2838</v>
      </c>
      <c r="F53" s="653"/>
      <c r="G53" s="654"/>
      <c r="H53" s="657">
        <v>3000000</v>
      </c>
      <c r="I53" s="657">
        <f t="shared" ref="I53" si="40">H53</f>
        <v>3000000</v>
      </c>
      <c r="J53" s="657"/>
      <c r="K53" s="657">
        <v>3000000</v>
      </c>
      <c r="L53" s="657">
        <f t="shared" ref="L53" si="41">K53-I53</f>
        <v>0</v>
      </c>
      <c r="M53" s="818">
        <v>23</v>
      </c>
    </row>
    <row r="54" spans="1:14">
      <c r="A54" s="658"/>
      <c r="B54" s="658"/>
      <c r="C54" s="658"/>
      <c r="D54" s="658"/>
      <c r="E54" s="729"/>
      <c r="F54" s="655"/>
      <c r="G54" s="656"/>
      <c r="H54" s="657"/>
      <c r="I54" s="657"/>
      <c r="J54" s="657"/>
      <c r="K54" s="657"/>
      <c r="L54" s="657"/>
      <c r="M54" s="819"/>
    </row>
    <row r="55" spans="1:14">
      <c r="A55" s="658" t="s">
        <v>56</v>
      </c>
      <c r="B55" s="658" t="s">
        <v>2852</v>
      </c>
      <c r="C55" s="658" t="s">
        <v>2860</v>
      </c>
      <c r="D55" s="658" t="s">
        <v>2861</v>
      </c>
      <c r="E55" s="658" t="s">
        <v>239</v>
      </c>
      <c r="F55" s="653" t="s">
        <v>2859</v>
      </c>
      <c r="G55" s="654"/>
      <c r="H55" s="657">
        <v>46887</v>
      </c>
      <c r="I55" s="657">
        <v>12500000</v>
      </c>
      <c r="J55" s="657"/>
      <c r="K55" s="657">
        <v>12500000</v>
      </c>
      <c r="L55" s="657">
        <f t="shared" ref="L55" si="42">K55-I55</f>
        <v>0</v>
      </c>
      <c r="M55" s="818">
        <v>24</v>
      </c>
    </row>
    <row r="56" spans="1:14">
      <c r="A56" s="659"/>
      <c r="B56" s="659"/>
      <c r="C56" s="659"/>
      <c r="D56" s="659"/>
      <c r="E56" s="659"/>
      <c r="F56" s="828"/>
      <c r="G56" s="829"/>
      <c r="H56" s="805"/>
      <c r="I56" s="805"/>
      <c r="J56" s="805"/>
      <c r="K56" s="805"/>
      <c r="L56" s="805"/>
      <c r="M56" s="819"/>
    </row>
    <row r="57" spans="1:14">
      <c r="A57" s="826" t="s">
        <v>90</v>
      </c>
      <c r="B57" s="827"/>
      <c r="C57" s="827"/>
      <c r="D57" s="827"/>
      <c r="E57" s="827"/>
      <c r="F57" s="827"/>
      <c r="G57" s="827"/>
      <c r="H57" s="827"/>
      <c r="I57" s="827"/>
      <c r="J57" s="827"/>
      <c r="K57" s="827"/>
      <c r="L57" s="827"/>
      <c r="M57" s="818"/>
    </row>
    <row r="58" spans="1:14">
      <c r="A58" s="827"/>
      <c r="B58" s="827"/>
      <c r="C58" s="827"/>
      <c r="D58" s="827"/>
      <c r="E58" s="827"/>
      <c r="F58" s="827"/>
      <c r="G58" s="827"/>
      <c r="H58" s="827"/>
      <c r="I58" s="827"/>
      <c r="J58" s="827"/>
      <c r="K58" s="827"/>
      <c r="L58" s="827"/>
      <c r="M58" s="819"/>
    </row>
    <row r="59" spans="1:14">
      <c r="A59" s="660"/>
      <c r="B59" s="660"/>
      <c r="C59" s="660" t="s">
        <v>76</v>
      </c>
      <c r="D59" s="660" t="s">
        <v>2858</v>
      </c>
      <c r="E59" s="825" t="s">
        <v>117</v>
      </c>
      <c r="F59" s="828"/>
      <c r="G59" s="829"/>
      <c r="H59" s="806">
        <v>1100000</v>
      </c>
      <c r="I59" s="806">
        <f t="shared" ref="I59" si="43">H59</f>
        <v>1100000</v>
      </c>
      <c r="J59" s="806"/>
      <c r="K59" s="806">
        <v>1100000</v>
      </c>
      <c r="L59" s="806">
        <f t="shared" ref="L59" si="44">K59-I59</f>
        <v>0</v>
      </c>
      <c r="M59" s="818">
        <v>1</v>
      </c>
    </row>
    <row r="60" spans="1:14">
      <c r="A60" s="658"/>
      <c r="B60" s="658"/>
      <c r="C60" s="658"/>
      <c r="D60" s="658"/>
      <c r="E60" s="729"/>
      <c r="F60" s="655"/>
      <c r="G60" s="656"/>
      <c r="H60" s="657"/>
      <c r="I60" s="657"/>
      <c r="J60" s="657"/>
      <c r="K60" s="657"/>
      <c r="L60" s="657"/>
      <c r="M60" s="819"/>
    </row>
    <row r="61" spans="1:14">
      <c r="A61" s="658"/>
      <c r="B61" s="658"/>
      <c r="C61" s="658" t="s">
        <v>79</v>
      </c>
      <c r="D61" s="658" t="s">
        <v>2858</v>
      </c>
      <c r="E61" s="658" t="s">
        <v>2582</v>
      </c>
      <c r="F61" s="653"/>
      <c r="G61" s="654"/>
      <c r="H61" s="657">
        <v>5000000</v>
      </c>
      <c r="I61" s="657">
        <f t="shared" ref="I61" si="45">H61</f>
        <v>5000000</v>
      </c>
      <c r="J61" s="657"/>
      <c r="K61" s="657">
        <v>5000000</v>
      </c>
      <c r="L61" s="657">
        <f t="shared" ref="L61" si="46">K61-I61</f>
        <v>0</v>
      </c>
      <c r="M61" s="818">
        <v>2</v>
      </c>
    </row>
    <row r="62" spans="1:14">
      <c r="A62" s="658"/>
      <c r="B62" s="658"/>
      <c r="C62" s="658"/>
      <c r="D62" s="658"/>
      <c r="E62" s="658"/>
      <c r="F62" s="655"/>
      <c r="G62" s="656"/>
      <c r="H62" s="657"/>
      <c r="I62" s="657"/>
      <c r="J62" s="657"/>
      <c r="K62" s="657"/>
      <c r="L62" s="657"/>
      <c r="M62" s="819"/>
    </row>
    <row r="63" spans="1:14">
      <c r="A63" s="658" t="s">
        <v>66</v>
      </c>
      <c r="B63" s="658" t="s">
        <v>2865</v>
      </c>
      <c r="C63" s="658" t="s">
        <v>2878</v>
      </c>
      <c r="D63" s="658" t="s">
        <v>2877</v>
      </c>
      <c r="E63" s="658" t="s">
        <v>239</v>
      </c>
      <c r="F63" s="653"/>
      <c r="G63" s="654"/>
      <c r="H63" s="657">
        <v>43417</v>
      </c>
      <c r="I63" s="657">
        <f t="shared" ref="I63" si="47">H63</f>
        <v>43417</v>
      </c>
      <c r="J63" s="657"/>
      <c r="K63" s="657">
        <v>43417</v>
      </c>
      <c r="L63" s="657">
        <f t="shared" ref="L63" si="48">K63-I63</f>
        <v>0</v>
      </c>
      <c r="M63" s="818">
        <v>3</v>
      </c>
    </row>
    <row r="64" spans="1:14">
      <c r="A64" s="658"/>
      <c r="B64" s="658"/>
      <c r="C64" s="658"/>
      <c r="D64" s="658"/>
      <c r="E64" s="658"/>
      <c r="F64" s="655"/>
      <c r="G64" s="656"/>
      <c r="H64" s="657"/>
      <c r="I64" s="657"/>
      <c r="J64" s="657"/>
      <c r="K64" s="657"/>
      <c r="L64" s="657"/>
      <c r="M64" s="819"/>
    </row>
    <row r="65" spans="1:13">
      <c r="A65" s="658"/>
      <c r="B65" s="658"/>
      <c r="C65" s="658" t="s">
        <v>82</v>
      </c>
      <c r="D65" s="658" t="s">
        <v>2871</v>
      </c>
      <c r="E65" s="658" t="s">
        <v>2866</v>
      </c>
      <c r="F65" s="653"/>
      <c r="G65" s="654"/>
      <c r="H65" s="657">
        <v>5000000</v>
      </c>
      <c r="I65" s="657">
        <f t="shared" ref="I65" si="49">H65</f>
        <v>5000000</v>
      </c>
      <c r="J65" s="657"/>
      <c r="K65" s="657">
        <v>5000000</v>
      </c>
      <c r="L65" s="657">
        <f t="shared" ref="L65" si="50">K65-I65</f>
        <v>0</v>
      </c>
      <c r="M65" s="818">
        <v>4</v>
      </c>
    </row>
    <row r="66" spans="1:13">
      <c r="A66" s="658"/>
      <c r="B66" s="658"/>
      <c r="C66" s="658"/>
      <c r="D66" s="658"/>
      <c r="E66" s="658"/>
      <c r="F66" s="655"/>
      <c r="G66" s="656"/>
      <c r="H66" s="657"/>
      <c r="I66" s="657"/>
      <c r="J66" s="657"/>
      <c r="K66" s="657"/>
      <c r="L66" s="657"/>
      <c r="M66" s="819"/>
    </row>
    <row r="67" spans="1:13">
      <c r="A67" s="658" t="s">
        <v>67</v>
      </c>
      <c r="B67" s="658" t="s">
        <v>2867</v>
      </c>
      <c r="C67" s="658" t="s">
        <v>2876</v>
      </c>
      <c r="D67" s="658" t="s">
        <v>2875</v>
      </c>
      <c r="E67" s="658" t="s">
        <v>239</v>
      </c>
      <c r="F67" s="653"/>
      <c r="G67" s="654"/>
      <c r="H67" s="657">
        <v>43417</v>
      </c>
      <c r="I67" s="657">
        <f t="shared" ref="I67" si="51">H67</f>
        <v>43417</v>
      </c>
      <c r="J67" s="657"/>
      <c r="K67" s="657"/>
      <c r="L67" s="657">
        <f t="shared" ref="L67" si="52">K67-I67</f>
        <v>-43417</v>
      </c>
      <c r="M67" s="818">
        <v>5</v>
      </c>
    </row>
    <row r="68" spans="1:13">
      <c r="A68" s="658"/>
      <c r="B68" s="658"/>
      <c r="C68" s="658"/>
      <c r="D68" s="658"/>
      <c r="E68" s="658"/>
      <c r="F68" s="655"/>
      <c r="G68" s="656"/>
      <c r="H68" s="657"/>
      <c r="I68" s="657"/>
      <c r="J68" s="657"/>
      <c r="K68" s="657"/>
      <c r="L68" s="657"/>
      <c r="M68" s="819"/>
    </row>
    <row r="69" spans="1:13">
      <c r="A69" s="658"/>
      <c r="B69" s="658"/>
      <c r="C69" s="658" t="s">
        <v>84</v>
      </c>
      <c r="D69" s="658" t="s">
        <v>2870</v>
      </c>
      <c r="E69" s="658" t="s">
        <v>2376</v>
      </c>
      <c r="F69" s="653"/>
      <c r="G69" s="654"/>
      <c r="H69" s="657">
        <v>690000</v>
      </c>
      <c r="I69" s="657">
        <f t="shared" ref="I69" si="53">H69</f>
        <v>690000</v>
      </c>
      <c r="J69" s="657"/>
      <c r="K69" s="657">
        <v>690000</v>
      </c>
      <c r="L69" s="657">
        <f t="shared" ref="L69" si="54">K69-I69</f>
        <v>0</v>
      </c>
      <c r="M69" s="818">
        <v>6</v>
      </c>
    </row>
    <row r="70" spans="1:13">
      <c r="A70" s="658"/>
      <c r="B70" s="658"/>
      <c r="C70" s="658"/>
      <c r="D70" s="658"/>
      <c r="E70" s="658"/>
      <c r="F70" s="655"/>
      <c r="G70" s="656"/>
      <c r="H70" s="657"/>
      <c r="I70" s="657"/>
      <c r="J70" s="657"/>
      <c r="K70" s="657"/>
      <c r="L70" s="657"/>
      <c r="M70" s="819"/>
    </row>
    <row r="71" spans="1:13">
      <c r="A71" s="658"/>
      <c r="B71" s="658"/>
      <c r="C71" s="658" t="s">
        <v>85</v>
      </c>
      <c r="D71" s="658" t="s">
        <v>2870</v>
      </c>
      <c r="E71" s="658" t="s">
        <v>2375</v>
      </c>
      <c r="F71" s="653"/>
      <c r="G71" s="654"/>
      <c r="H71" s="657">
        <v>1150000</v>
      </c>
      <c r="I71" s="657">
        <f t="shared" ref="I71" si="55">H71</f>
        <v>1150000</v>
      </c>
      <c r="J71" s="657"/>
      <c r="K71" s="657">
        <v>1150000</v>
      </c>
      <c r="L71" s="657">
        <f t="shared" ref="L71" si="56">K71-I71</f>
        <v>0</v>
      </c>
      <c r="M71" s="818">
        <v>7</v>
      </c>
    </row>
    <row r="72" spans="1:13">
      <c r="A72" s="658"/>
      <c r="B72" s="658"/>
      <c r="C72" s="658"/>
      <c r="D72" s="658"/>
      <c r="E72" s="658"/>
      <c r="F72" s="655"/>
      <c r="G72" s="656"/>
      <c r="H72" s="657"/>
      <c r="I72" s="657"/>
      <c r="J72" s="657"/>
      <c r="K72" s="657"/>
      <c r="L72" s="657"/>
      <c r="M72" s="819"/>
    </row>
    <row r="73" spans="1:13">
      <c r="A73" s="658"/>
      <c r="B73" s="658"/>
      <c r="C73" s="658" t="s">
        <v>80</v>
      </c>
      <c r="D73" s="658" t="s">
        <v>2870</v>
      </c>
      <c r="E73" s="658" t="s">
        <v>1601</v>
      </c>
      <c r="F73" s="653"/>
      <c r="G73" s="654"/>
      <c r="H73" s="657">
        <v>8700000</v>
      </c>
      <c r="I73" s="657">
        <f t="shared" ref="I73" si="57">H73</f>
        <v>8700000</v>
      </c>
      <c r="J73" s="657"/>
      <c r="K73" s="657">
        <v>8700000</v>
      </c>
      <c r="L73" s="657">
        <f t="shared" ref="L73" si="58">K73-I73</f>
        <v>0</v>
      </c>
      <c r="M73" s="818">
        <v>8</v>
      </c>
    </row>
    <row r="74" spans="1:13">
      <c r="A74" s="658"/>
      <c r="B74" s="658"/>
      <c r="C74" s="658"/>
      <c r="D74" s="658"/>
      <c r="E74" s="658"/>
      <c r="F74" s="655"/>
      <c r="G74" s="656"/>
      <c r="H74" s="657"/>
      <c r="I74" s="657"/>
      <c r="J74" s="657"/>
      <c r="K74" s="657"/>
      <c r="L74" s="657"/>
      <c r="M74" s="819"/>
    </row>
    <row r="75" spans="1:13">
      <c r="A75" s="658" t="s">
        <v>70</v>
      </c>
      <c r="B75" s="658" t="s">
        <v>2868</v>
      </c>
      <c r="C75" s="658" t="s">
        <v>2874</v>
      </c>
      <c r="D75" s="658" t="s">
        <v>2873</v>
      </c>
      <c r="E75" s="658" t="s">
        <v>239</v>
      </c>
      <c r="F75" s="653" t="s">
        <v>2872</v>
      </c>
      <c r="G75" s="654"/>
      <c r="H75" s="657">
        <v>45425</v>
      </c>
      <c r="I75" s="657">
        <v>12500000</v>
      </c>
      <c r="J75" s="657"/>
      <c r="K75" s="657">
        <v>12500000</v>
      </c>
      <c r="L75" s="657">
        <f t="shared" ref="L75" si="59">K75-I75</f>
        <v>0</v>
      </c>
      <c r="M75" s="818">
        <v>9</v>
      </c>
    </row>
    <row r="76" spans="1:13">
      <c r="A76" s="658"/>
      <c r="B76" s="658"/>
      <c r="C76" s="658"/>
      <c r="D76" s="658"/>
      <c r="E76" s="658"/>
      <c r="F76" s="655"/>
      <c r="G76" s="656"/>
      <c r="H76" s="657"/>
      <c r="I76" s="657"/>
      <c r="J76" s="657"/>
      <c r="K76" s="657"/>
      <c r="L76" s="657"/>
      <c r="M76" s="819"/>
    </row>
    <row r="77" spans="1:13">
      <c r="A77" s="658"/>
      <c r="B77" s="658"/>
      <c r="C77" s="658" t="s">
        <v>81</v>
      </c>
      <c r="D77" s="658" t="s">
        <v>2870</v>
      </c>
      <c r="E77" s="658" t="s">
        <v>2723</v>
      </c>
      <c r="F77" s="653"/>
      <c r="G77" s="654"/>
      <c r="H77" s="657">
        <v>4800000</v>
      </c>
      <c r="I77" s="657">
        <f t="shared" ref="I77" si="60">H77</f>
        <v>4800000</v>
      </c>
      <c r="J77" s="657"/>
      <c r="K77" s="657">
        <v>4800000</v>
      </c>
      <c r="L77" s="657">
        <f t="shared" ref="L77" si="61">K77-I77</f>
        <v>0</v>
      </c>
      <c r="M77" s="818">
        <v>10</v>
      </c>
    </row>
    <row r="78" spans="1:13">
      <c r="A78" s="658"/>
      <c r="B78" s="658"/>
      <c r="C78" s="658"/>
      <c r="D78" s="658"/>
      <c r="E78" s="658"/>
      <c r="F78" s="655"/>
      <c r="G78" s="656"/>
      <c r="H78" s="657"/>
      <c r="I78" s="657"/>
      <c r="J78" s="657"/>
      <c r="K78" s="657"/>
      <c r="L78" s="657"/>
      <c r="M78" s="819"/>
    </row>
    <row r="79" spans="1:13">
      <c r="A79" s="658"/>
      <c r="B79" s="658"/>
      <c r="C79" s="658" t="s">
        <v>159</v>
      </c>
      <c r="D79" s="658" t="s">
        <v>2870</v>
      </c>
      <c r="E79" s="729" t="s">
        <v>117</v>
      </c>
      <c r="F79" s="653"/>
      <c r="G79" s="654"/>
      <c r="H79" s="657">
        <v>1100000</v>
      </c>
      <c r="I79" s="657">
        <f t="shared" ref="I79" si="62">H79</f>
        <v>1100000</v>
      </c>
      <c r="J79" s="657"/>
      <c r="K79" s="657">
        <v>1100000</v>
      </c>
      <c r="L79" s="657">
        <f t="shared" ref="L79" si="63">K79-I79</f>
        <v>0</v>
      </c>
      <c r="M79" s="818">
        <v>11</v>
      </c>
    </row>
    <row r="80" spans="1:13">
      <c r="A80" s="658"/>
      <c r="B80" s="658"/>
      <c r="C80" s="658"/>
      <c r="D80" s="658"/>
      <c r="E80" s="729"/>
      <c r="F80" s="655"/>
      <c r="G80" s="656"/>
      <c r="H80" s="657"/>
      <c r="I80" s="657"/>
      <c r="J80" s="657"/>
      <c r="K80" s="657"/>
      <c r="L80" s="657"/>
      <c r="M80" s="819"/>
    </row>
    <row r="81" spans="1:13">
      <c r="A81" s="658" t="s">
        <v>71</v>
      </c>
      <c r="B81" s="658" t="s">
        <v>2869</v>
      </c>
      <c r="C81" s="658" t="s">
        <v>2882</v>
      </c>
      <c r="D81" s="658" t="s">
        <v>2881</v>
      </c>
      <c r="E81" s="658" t="s">
        <v>239</v>
      </c>
      <c r="F81" s="653"/>
      <c r="G81" s="654"/>
      <c r="H81" s="657">
        <v>44582</v>
      </c>
      <c r="I81" s="657">
        <v>12500000</v>
      </c>
      <c r="J81" s="657"/>
      <c r="K81" s="657">
        <v>12500000</v>
      </c>
      <c r="L81" s="657">
        <f t="shared" ref="L81" si="64">K81-I81</f>
        <v>0</v>
      </c>
      <c r="M81" s="818">
        <v>12</v>
      </c>
    </row>
    <row r="82" spans="1:13">
      <c r="A82" s="658"/>
      <c r="B82" s="658"/>
      <c r="C82" s="658"/>
      <c r="D82" s="658"/>
      <c r="E82" s="658"/>
      <c r="F82" s="655"/>
      <c r="G82" s="656"/>
      <c r="H82" s="657"/>
      <c r="I82" s="657"/>
      <c r="J82" s="657"/>
      <c r="K82" s="657"/>
      <c r="L82" s="657"/>
      <c r="M82" s="819"/>
    </row>
    <row r="83" spans="1:13">
      <c r="A83" s="658"/>
      <c r="B83" s="658"/>
      <c r="C83" s="658" t="s">
        <v>82</v>
      </c>
      <c r="D83" s="658" t="s">
        <v>2879</v>
      </c>
      <c r="E83" s="658" t="s">
        <v>283</v>
      </c>
      <c r="F83" s="653"/>
      <c r="G83" s="654"/>
      <c r="H83" s="657">
        <v>7000000</v>
      </c>
      <c r="I83" s="657">
        <f t="shared" ref="I83" si="65">H83</f>
        <v>7000000</v>
      </c>
      <c r="J83" s="657"/>
      <c r="K83" s="657">
        <v>7000000</v>
      </c>
      <c r="L83" s="657">
        <f t="shared" ref="L83" si="66">K83-I83</f>
        <v>0</v>
      </c>
      <c r="M83" s="818">
        <v>13</v>
      </c>
    </row>
    <row r="84" spans="1:13">
      <c r="A84" s="658"/>
      <c r="B84" s="658"/>
      <c r="C84" s="658"/>
      <c r="D84" s="658"/>
      <c r="E84" s="658"/>
      <c r="F84" s="655"/>
      <c r="G84" s="656"/>
      <c r="H84" s="657"/>
      <c r="I84" s="657"/>
      <c r="J84" s="657"/>
      <c r="K84" s="657"/>
      <c r="L84" s="657"/>
      <c r="M84" s="819"/>
    </row>
    <row r="85" spans="1:13">
      <c r="A85" s="658"/>
      <c r="B85" s="658"/>
      <c r="C85" s="658" t="s">
        <v>84</v>
      </c>
      <c r="D85" s="658" t="s">
        <v>2879</v>
      </c>
      <c r="E85" s="658" t="s">
        <v>2838</v>
      </c>
      <c r="F85" s="653"/>
      <c r="G85" s="654"/>
      <c r="H85" s="657">
        <v>3000000</v>
      </c>
      <c r="I85" s="657">
        <f t="shared" ref="I85" si="67">H85</f>
        <v>3000000</v>
      </c>
      <c r="J85" s="657"/>
      <c r="K85" s="657">
        <v>3000000</v>
      </c>
      <c r="L85" s="657">
        <f t="shared" ref="L85" si="68">K85-I85</f>
        <v>0</v>
      </c>
      <c r="M85" s="818">
        <v>14</v>
      </c>
    </row>
    <row r="86" spans="1:13">
      <c r="A86" s="658"/>
      <c r="B86" s="658"/>
      <c r="C86" s="658"/>
      <c r="D86" s="658"/>
      <c r="E86" s="658"/>
      <c r="F86" s="655"/>
      <c r="G86" s="656"/>
      <c r="H86" s="657"/>
      <c r="I86" s="657"/>
      <c r="J86" s="657"/>
      <c r="K86" s="657"/>
      <c r="L86" s="657"/>
      <c r="M86" s="819"/>
    </row>
    <row r="87" spans="1:13">
      <c r="A87" s="658" t="s">
        <v>75</v>
      </c>
      <c r="B87" s="658" t="s">
        <v>2880</v>
      </c>
      <c r="C87" s="658" t="s">
        <v>2890</v>
      </c>
      <c r="D87" s="658" t="s">
        <v>2881</v>
      </c>
      <c r="E87" s="658" t="s">
        <v>239</v>
      </c>
      <c r="F87" s="653" t="s">
        <v>2233</v>
      </c>
      <c r="G87" s="654"/>
      <c r="H87" s="657">
        <v>42799</v>
      </c>
      <c r="I87" s="657">
        <v>12000000</v>
      </c>
      <c r="J87" s="657"/>
      <c r="K87" s="657"/>
      <c r="L87" s="657">
        <f t="shared" ref="L87" si="69">K87-I87</f>
        <v>-12000000</v>
      </c>
      <c r="M87" s="818">
        <v>15</v>
      </c>
    </row>
    <row r="88" spans="1:13">
      <c r="A88" s="658"/>
      <c r="B88" s="658"/>
      <c r="C88" s="658"/>
      <c r="D88" s="658"/>
      <c r="E88" s="658"/>
      <c r="F88" s="655"/>
      <c r="G88" s="656"/>
      <c r="H88" s="657"/>
      <c r="I88" s="657"/>
      <c r="J88" s="657"/>
      <c r="K88" s="657"/>
      <c r="L88" s="657"/>
      <c r="M88" s="819"/>
    </row>
    <row r="89" spans="1:13">
      <c r="A89" s="658"/>
      <c r="B89" s="658"/>
      <c r="C89" s="658" t="s">
        <v>85</v>
      </c>
      <c r="D89" s="658" t="s">
        <v>2883</v>
      </c>
      <c r="E89" s="658" t="s">
        <v>283</v>
      </c>
      <c r="F89" s="653"/>
      <c r="G89" s="654"/>
      <c r="H89" s="657">
        <v>3700000</v>
      </c>
      <c r="I89" s="657">
        <f t="shared" ref="I89" si="70">H89</f>
        <v>3700000</v>
      </c>
      <c r="J89" s="657"/>
      <c r="K89" s="657">
        <v>3700000</v>
      </c>
      <c r="L89" s="657">
        <f t="shared" ref="L89" si="71">K89-I89</f>
        <v>0</v>
      </c>
      <c r="M89" s="816">
        <v>16</v>
      </c>
    </row>
    <row r="90" spans="1:13">
      <c r="A90" s="658"/>
      <c r="B90" s="658"/>
      <c r="C90" s="658"/>
      <c r="D90" s="658"/>
      <c r="E90" s="658"/>
      <c r="F90" s="655"/>
      <c r="G90" s="656"/>
      <c r="H90" s="657"/>
      <c r="I90" s="657"/>
      <c r="J90" s="657"/>
      <c r="K90" s="657"/>
      <c r="L90" s="657"/>
      <c r="M90" s="817"/>
    </row>
    <row r="91" spans="1:13">
      <c r="A91" s="658"/>
      <c r="B91" s="658"/>
      <c r="C91" s="658" t="s">
        <v>86</v>
      </c>
      <c r="D91" s="658" t="s">
        <v>2884</v>
      </c>
      <c r="E91" s="658" t="s">
        <v>2866</v>
      </c>
      <c r="F91" s="653"/>
      <c r="G91" s="654"/>
      <c r="H91" s="657">
        <v>3500000</v>
      </c>
      <c r="I91" s="657">
        <f t="shared" ref="I91" si="72">H91</f>
        <v>3500000</v>
      </c>
      <c r="J91" s="657"/>
      <c r="K91" s="657">
        <v>3500000</v>
      </c>
      <c r="L91" s="657">
        <f t="shared" ref="L91" si="73">K91-I91</f>
        <v>0</v>
      </c>
      <c r="M91" s="816">
        <v>17</v>
      </c>
    </row>
    <row r="92" spans="1:13">
      <c r="A92" s="658"/>
      <c r="B92" s="658"/>
      <c r="C92" s="658"/>
      <c r="D92" s="658"/>
      <c r="E92" s="658"/>
      <c r="F92" s="655"/>
      <c r="G92" s="656"/>
      <c r="H92" s="657"/>
      <c r="I92" s="657"/>
      <c r="J92" s="657"/>
      <c r="K92" s="657"/>
      <c r="L92" s="657"/>
      <c r="M92" s="817"/>
    </row>
    <row r="93" spans="1:13">
      <c r="A93" s="658" t="s">
        <v>76</v>
      </c>
      <c r="B93" s="658" t="s">
        <v>2885</v>
      </c>
      <c r="C93" s="658" t="s">
        <v>2888</v>
      </c>
      <c r="D93" s="658" t="s">
        <v>2889</v>
      </c>
      <c r="E93" s="658" t="s">
        <v>239</v>
      </c>
      <c r="F93" s="653" t="s">
        <v>2641</v>
      </c>
      <c r="G93" s="654"/>
      <c r="H93" s="657">
        <v>42799</v>
      </c>
      <c r="I93" s="657">
        <v>12000000</v>
      </c>
      <c r="J93" s="657"/>
      <c r="K93" s="657"/>
      <c r="L93" s="657">
        <f t="shared" ref="L93" si="74">K93-I93</f>
        <v>-12000000</v>
      </c>
      <c r="M93" s="816">
        <v>18</v>
      </c>
    </row>
    <row r="94" spans="1:13">
      <c r="A94" s="658"/>
      <c r="B94" s="658"/>
      <c r="C94" s="658"/>
      <c r="D94" s="658"/>
      <c r="E94" s="658"/>
      <c r="F94" s="655"/>
      <c r="G94" s="656"/>
      <c r="H94" s="657"/>
      <c r="I94" s="657"/>
      <c r="J94" s="657"/>
      <c r="K94" s="657"/>
      <c r="L94" s="657"/>
      <c r="M94" s="817"/>
    </row>
    <row r="95" spans="1:13">
      <c r="A95" s="658"/>
      <c r="B95" s="658"/>
      <c r="C95" s="658" t="s">
        <v>87</v>
      </c>
      <c r="D95" s="658" t="s">
        <v>2883</v>
      </c>
      <c r="E95" s="658" t="s">
        <v>1144</v>
      </c>
      <c r="F95" s="653"/>
      <c r="G95" s="654"/>
      <c r="H95" s="657">
        <v>3536000</v>
      </c>
      <c r="I95" s="657">
        <f t="shared" ref="I95" si="75">H95</f>
        <v>3536000</v>
      </c>
      <c r="J95" s="657"/>
      <c r="K95" s="657">
        <v>3536000</v>
      </c>
      <c r="L95" s="657">
        <f t="shared" ref="L95" si="76">K95-I95</f>
        <v>0</v>
      </c>
      <c r="M95" s="816">
        <v>19</v>
      </c>
    </row>
    <row r="96" spans="1:13">
      <c r="A96" s="658"/>
      <c r="B96" s="658"/>
      <c r="C96" s="658"/>
      <c r="D96" s="658"/>
      <c r="E96" s="658"/>
      <c r="F96" s="655"/>
      <c r="G96" s="656"/>
      <c r="H96" s="657"/>
      <c r="I96" s="657"/>
      <c r="J96" s="657"/>
      <c r="K96" s="657"/>
      <c r="L96" s="657"/>
      <c r="M96" s="817"/>
    </row>
    <row r="97" spans="1:13">
      <c r="A97" s="658"/>
      <c r="B97" s="658"/>
      <c r="C97" s="658" t="s">
        <v>95</v>
      </c>
      <c r="D97" s="658" t="s">
        <v>2884</v>
      </c>
      <c r="E97" s="658" t="s">
        <v>2386</v>
      </c>
      <c r="F97" s="653"/>
      <c r="G97" s="654"/>
      <c r="H97" s="657">
        <v>3000000</v>
      </c>
      <c r="I97" s="657">
        <f t="shared" ref="I97" si="77">H97</f>
        <v>3000000</v>
      </c>
      <c r="J97" s="657"/>
      <c r="K97" s="657">
        <v>3000000</v>
      </c>
      <c r="L97" s="657">
        <f t="shared" ref="L97" si="78">K97-I97</f>
        <v>0</v>
      </c>
      <c r="M97" s="816">
        <v>20</v>
      </c>
    </row>
    <row r="98" spans="1:13">
      <c r="A98" s="658"/>
      <c r="B98" s="658"/>
      <c r="C98" s="658"/>
      <c r="D98" s="658"/>
      <c r="E98" s="658"/>
      <c r="F98" s="655"/>
      <c r="G98" s="656"/>
      <c r="H98" s="657"/>
      <c r="I98" s="657"/>
      <c r="J98" s="657"/>
      <c r="K98" s="657"/>
      <c r="L98" s="657"/>
      <c r="M98" s="817"/>
    </row>
    <row r="99" spans="1:13">
      <c r="A99" s="658" t="s">
        <v>77</v>
      </c>
      <c r="B99" s="658" t="s">
        <v>2886</v>
      </c>
      <c r="C99" s="658" t="s">
        <v>2891</v>
      </c>
      <c r="D99" s="658" t="s">
        <v>2889</v>
      </c>
      <c r="E99" s="658" t="s">
        <v>239</v>
      </c>
      <c r="F99" s="653" t="s">
        <v>2233</v>
      </c>
      <c r="G99" s="654"/>
      <c r="H99" s="657">
        <v>42588</v>
      </c>
      <c r="I99" s="657">
        <v>12000000</v>
      </c>
      <c r="J99" s="657"/>
      <c r="K99" s="657"/>
      <c r="L99" s="657">
        <f t="shared" ref="L99" si="79">K99-I99</f>
        <v>-12000000</v>
      </c>
      <c r="M99" s="816">
        <v>21</v>
      </c>
    </row>
    <row r="100" spans="1:13">
      <c r="A100" s="658"/>
      <c r="B100" s="658"/>
      <c r="C100" s="658"/>
      <c r="D100" s="658"/>
      <c r="E100" s="658"/>
      <c r="F100" s="655"/>
      <c r="G100" s="656"/>
      <c r="H100" s="657"/>
      <c r="I100" s="657"/>
      <c r="J100" s="657"/>
      <c r="K100" s="657"/>
      <c r="L100" s="657"/>
      <c r="M100" s="817"/>
    </row>
    <row r="101" spans="1:13">
      <c r="A101" s="658"/>
      <c r="B101" s="658"/>
      <c r="C101" s="658" t="s">
        <v>102</v>
      </c>
      <c r="D101" s="658" t="s">
        <v>2883</v>
      </c>
      <c r="E101" s="658" t="s">
        <v>117</v>
      </c>
      <c r="F101" s="653"/>
      <c r="G101" s="654"/>
      <c r="H101" s="657">
        <v>1150000</v>
      </c>
      <c r="I101" s="657">
        <f t="shared" ref="I101" si="80">H101</f>
        <v>1150000</v>
      </c>
      <c r="J101" s="657"/>
      <c r="K101" s="657">
        <v>1150000</v>
      </c>
      <c r="L101" s="657">
        <f t="shared" ref="L101" si="81">K101-I101</f>
        <v>0</v>
      </c>
      <c r="M101" s="816">
        <v>22</v>
      </c>
    </row>
    <row r="102" spans="1:13">
      <c r="A102" s="658"/>
      <c r="B102" s="658"/>
      <c r="C102" s="658"/>
      <c r="D102" s="658"/>
      <c r="E102" s="658"/>
      <c r="F102" s="655"/>
      <c r="G102" s="656"/>
      <c r="H102" s="657"/>
      <c r="I102" s="657"/>
      <c r="J102" s="657"/>
      <c r="K102" s="657"/>
      <c r="L102" s="657"/>
      <c r="M102" s="817"/>
    </row>
    <row r="103" spans="1:13">
      <c r="A103" s="658"/>
      <c r="B103" s="658"/>
      <c r="C103" s="658" t="s">
        <v>103</v>
      </c>
      <c r="D103" s="658" t="s">
        <v>2883</v>
      </c>
      <c r="E103" s="658" t="s">
        <v>2222</v>
      </c>
      <c r="F103" s="653"/>
      <c r="G103" s="654"/>
      <c r="H103" s="657">
        <v>3500000</v>
      </c>
      <c r="I103" s="657">
        <f t="shared" ref="I103" si="82">H103</f>
        <v>3500000</v>
      </c>
      <c r="J103" s="657"/>
      <c r="K103" s="657">
        <v>3500000</v>
      </c>
      <c r="L103" s="657">
        <f t="shared" ref="L103" si="83">K103-I103</f>
        <v>0</v>
      </c>
      <c r="M103" s="816">
        <v>23</v>
      </c>
    </row>
    <row r="104" spans="1:13">
      <c r="A104" s="658"/>
      <c r="B104" s="658"/>
      <c r="C104" s="658"/>
      <c r="D104" s="658"/>
      <c r="E104" s="658"/>
      <c r="F104" s="655"/>
      <c r="G104" s="656"/>
      <c r="H104" s="657"/>
      <c r="I104" s="657"/>
      <c r="J104" s="657"/>
      <c r="K104" s="657"/>
      <c r="L104" s="657"/>
      <c r="M104" s="817"/>
    </row>
    <row r="105" spans="1:13">
      <c r="A105" s="658" t="s">
        <v>78</v>
      </c>
      <c r="B105" s="658" t="s">
        <v>2887</v>
      </c>
      <c r="C105" s="658" t="s">
        <v>2897</v>
      </c>
      <c r="D105" s="658" t="s">
        <v>2896</v>
      </c>
      <c r="E105" s="658" t="s">
        <v>239</v>
      </c>
      <c r="F105" s="653" t="s">
        <v>2233</v>
      </c>
      <c r="G105" s="654"/>
      <c r="H105" s="657">
        <v>43093</v>
      </c>
      <c r="I105" s="657">
        <v>12000000</v>
      </c>
      <c r="J105" s="657"/>
      <c r="K105" s="657">
        <v>12000000</v>
      </c>
      <c r="L105" s="657">
        <f t="shared" ref="L105" si="84">K105-I105</f>
        <v>0</v>
      </c>
      <c r="M105" s="816">
        <v>24</v>
      </c>
    </row>
    <row r="106" spans="1:13">
      <c r="A106" s="658"/>
      <c r="B106" s="658"/>
      <c r="C106" s="658"/>
      <c r="D106" s="658"/>
      <c r="E106" s="658"/>
      <c r="F106" s="655"/>
      <c r="G106" s="656"/>
      <c r="H106" s="657"/>
      <c r="I106" s="657"/>
      <c r="J106" s="657"/>
      <c r="K106" s="657"/>
      <c r="L106" s="657"/>
      <c r="M106" s="817"/>
    </row>
    <row r="107" spans="1:13">
      <c r="A107" s="658"/>
      <c r="B107" s="658"/>
      <c r="C107" s="658" t="s">
        <v>119</v>
      </c>
      <c r="D107" s="658" t="s">
        <v>2893</v>
      </c>
      <c r="E107" s="658" t="s">
        <v>1144</v>
      </c>
      <c r="F107" s="653"/>
      <c r="G107" s="654"/>
      <c r="H107" s="657">
        <v>2170000</v>
      </c>
      <c r="I107" s="657">
        <f t="shared" ref="I107" si="85">H107</f>
        <v>2170000</v>
      </c>
      <c r="J107" s="657"/>
      <c r="K107" s="657">
        <v>2170000</v>
      </c>
      <c r="L107" s="657">
        <f t="shared" ref="L107" si="86">K107-I107</f>
        <v>0</v>
      </c>
      <c r="M107" s="816">
        <v>25</v>
      </c>
    </row>
    <row r="108" spans="1:13">
      <c r="A108" s="658"/>
      <c r="B108" s="658"/>
      <c r="C108" s="658"/>
      <c r="D108" s="658"/>
      <c r="E108" s="658"/>
      <c r="F108" s="655"/>
      <c r="G108" s="656"/>
      <c r="H108" s="657"/>
      <c r="I108" s="657"/>
      <c r="J108" s="657"/>
      <c r="K108" s="657"/>
      <c r="L108" s="657"/>
      <c r="M108" s="817"/>
    </row>
    <row r="109" spans="1:13">
      <c r="A109" s="658"/>
      <c r="B109" s="658"/>
      <c r="C109" s="658" t="s">
        <v>137</v>
      </c>
      <c r="D109" s="658" t="s">
        <v>2893</v>
      </c>
      <c r="E109" s="658" t="s">
        <v>2892</v>
      </c>
      <c r="F109" s="653"/>
      <c r="G109" s="654"/>
      <c r="H109" s="657">
        <v>3255000</v>
      </c>
      <c r="I109" s="657">
        <f t="shared" ref="I109" si="87">H109</f>
        <v>3255000</v>
      </c>
      <c r="J109" s="657"/>
      <c r="K109" s="657">
        <v>3255000</v>
      </c>
      <c r="L109" s="657">
        <f t="shared" ref="L109" si="88">K109-I109</f>
        <v>0</v>
      </c>
      <c r="M109" s="816">
        <v>26</v>
      </c>
    </row>
    <row r="110" spans="1:13">
      <c r="A110" s="658"/>
      <c r="B110" s="658"/>
      <c r="C110" s="658"/>
      <c r="D110" s="658"/>
      <c r="E110" s="658"/>
      <c r="F110" s="655"/>
      <c r="G110" s="656"/>
      <c r="H110" s="657"/>
      <c r="I110" s="657"/>
      <c r="J110" s="657"/>
      <c r="K110" s="657"/>
      <c r="L110" s="657"/>
      <c r="M110" s="817"/>
    </row>
    <row r="111" spans="1:13">
      <c r="A111" s="658"/>
      <c r="B111" s="658"/>
      <c r="C111" s="658" t="s">
        <v>140</v>
      </c>
      <c r="D111" s="658" t="s">
        <v>2893</v>
      </c>
      <c r="E111" s="658" t="s">
        <v>1140</v>
      </c>
      <c r="F111" s="653"/>
      <c r="G111" s="654"/>
      <c r="H111" s="657">
        <v>7000000</v>
      </c>
      <c r="I111" s="657">
        <f t="shared" ref="I111" si="89">H111</f>
        <v>7000000</v>
      </c>
      <c r="J111" s="657"/>
      <c r="K111" s="657">
        <v>7000000</v>
      </c>
      <c r="L111" s="657">
        <f t="shared" ref="L111" si="90">K111-I111</f>
        <v>0</v>
      </c>
      <c r="M111" s="816">
        <v>27</v>
      </c>
    </row>
    <row r="112" spans="1:13">
      <c r="A112" s="658"/>
      <c r="B112" s="658"/>
      <c r="C112" s="658"/>
      <c r="D112" s="658"/>
      <c r="E112" s="658"/>
      <c r="F112" s="655"/>
      <c r="G112" s="656"/>
      <c r="H112" s="657"/>
      <c r="I112" s="657"/>
      <c r="J112" s="657"/>
      <c r="K112" s="657"/>
      <c r="L112" s="657"/>
      <c r="M112" s="817"/>
    </row>
    <row r="113" spans="1:13">
      <c r="A113" s="658" t="s">
        <v>79</v>
      </c>
      <c r="B113" s="658" t="s">
        <v>2894</v>
      </c>
      <c r="C113" s="658" t="s">
        <v>2900</v>
      </c>
      <c r="D113" s="658" t="s">
        <v>2898</v>
      </c>
      <c r="E113" s="658" t="s">
        <v>239</v>
      </c>
      <c r="F113" s="653" t="s">
        <v>2233</v>
      </c>
      <c r="G113" s="654"/>
      <c r="H113" s="657">
        <v>43197</v>
      </c>
      <c r="I113" s="657">
        <v>12000000</v>
      </c>
      <c r="J113" s="657"/>
      <c r="K113" s="657">
        <v>12000000</v>
      </c>
      <c r="L113" s="657">
        <f t="shared" ref="L113" si="91">K113-I113</f>
        <v>0</v>
      </c>
      <c r="M113" s="816">
        <v>28</v>
      </c>
    </row>
    <row r="114" spans="1:13">
      <c r="A114" s="658"/>
      <c r="B114" s="658"/>
      <c r="C114" s="658"/>
      <c r="D114" s="658"/>
      <c r="E114" s="658"/>
      <c r="F114" s="655"/>
      <c r="G114" s="656"/>
      <c r="H114" s="657"/>
      <c r="I114" s="657"/>
      <c r="J114" s="657"/>
      <c r="K114" s="657"/>
      <c r="L114" s="657"/>
      <c r="M114" s="817"/>
    </row>
    <row r="115" spans="1:13">
      <c r="A115" s="658"/>
      <c r="B115" s="658"/>
      <c r="C115" s="658" t="s">
        <v>141</v>
      </c>
      <c r="D115" s="658" t="s">
        <v>2893</v>
      </c>
      <c r="E115" s="658" t="s">
        <v>1601</v>
      </c>
      <c r="F115" s="653"/>
      <c r="G115" s="654"/>
      <c r="H115" s="657">
        <v>8700000</v>
      </c>
      <c r="I115" s="657">
        <f t="shared" ref="I115" si="92">H115</f>
        <v>8700000</v>
      </c>
      <c r="J115" s="657"/>
      <c r="K115" s="657">
        <v>8700000</v>
      </c>
      <c r="L115" s="657">
        <f t="shared" ref="L115" si="93">K115-I115</f>
        <v>0</v>
      </c>
      <c r="M115" s="816">
        <v>29</v>
      </c>
    </row>
    <row r="116" spans="1:13">
      <c r="A116" s="658"/>
      <c r="B116" s="658"/>
      <c r="C116" s="658"/>
      <c r="D116" s="658"/>
      <c r="E116" s="658"/>
      <c r="F116" s="655"/>
      <c r="G116" s="656"/>
      <c r="H116" s="657"/>
      <c r="I116" s="657"/>
      <c r="J116" s="657"/>
      <c r="K116" s="657"/>
      <c r="L116" s="657"/>
      <c r="M116" s="817"/>
    </row>
    <row r="117" spans="1:13">
      <c r="A117" s="658"/>
      <c r="B117" s="658"/>
      <c r="C117" s="658" t="s">
        <v>144</v>
      </c>
      <c r="D117" s="658" t="s">
        <v>2893</v>
      </c>
      <c r="E117" s="658" t="s">
        <v>2376</v>
      </c>
      <c r="F117" s="653"/>
      <c r="G117" s="654"/>
      <c r="H117" s="657">
        <v>920000</v>
      </c>
      <c r="I117" s="657">
        <f t="shared" ref="I117" si="94">H117</f>
        <v>920000</v>
      </c>
      <c r="J117" s="657"/>
      <c r="K117" s="657">
        <v>920000</v>
      </c>
      <c r="L117" s="657">
        <f t="shared" ref="L117" si="95">K117-I117</f>
        <v>0</v>
      </c>
      <c r="M117" s="816">
        <v>30</v>
      </c>
    </row>
    <row r="118" spans="1:13">
      <c r="A118" s="658"/>
      <c r="B118" s="658"/>
      <c r="C118" s="658"/>
      <c r="D118" s="658"/>
      <c r="E118" s="658"/>
      <c r="F118" s="655"/>
      <c r="G118" s="656"/>
      <c r="H118" s="657"/>
      <c r="I118" s="657"/>
      <c r="J118" s="657"/>
      <c r="K118" s="657"/>
      <c r="L118" s="657"/>
      <c r="M118" s="817"/>
    </row>
    <row r="119" spans="1:13">
      <c r="A119" s="658"/>
      <c r="B119" s="658"/>
      <c r="C119" s="658" t="s">
        <v>145</v>
      </c>
      <c r="D119" s="658" t="s">
        <v>2893</v>
      </c>
      <c r="E119" s="658" t="s">
        <v>2375</v>
      </c>
      <c r="F119" s="653"/>
      <c r="G119" s="654"/>
      <c r="H119" s="657">
        <v>1380000</v>
      </c>
      <c r="I119" s="657">
        <f t="shared" ref="I119" si="96">H119</f>
        <v>1380000</v>
      </c>
      <c r="J119" s="657"/>
      <c r="K119" s="657">
        <v>1380000</v>
      </c>
      <c r="L119" s="657">
        <f t="shared" ref="L119" si="97">K119-I119</f>
        <v>0</v>
      </c>
      <c r="M119" s="816">
        <v>31</v>
      </c>
    </row>
    <row r="120" spans="1:13">
      <c r="A120" s="658"/>
      <c r="B120" s="658"/>
      <c r="C120" s="658"/>
      <c r="D120" s="658"/>
      <c r="E120" s="658"/>
      <c r="F120" s="655"/>
      <c r="G120" s="656"/>
      <c r="H120" s="657"/>
      <c r="I120" s="657"/>
      <c r="J120" s="657"/>
      <c r="K120" s="657"/>
      <c r="L120" s="657"/>
      <c r="M120" s="817"/>
    </row>
    <row r="121" spans="1:13">
      <c r="A121" s="658" t="s">
        <v>80</v>
      </c>
      <c r="B121" s="658" t="s">
        <v>2895</v>
      </c>
      <c r="C121" s="658" t="s">
        <v>2899</v>
      </c>
      <c r="D121" s="658" t="s">
        <v>2898</v>
      </c>
      <c r="E121" s="658" t="s">
        <v>239</v>
      </c>
      <c r="F121" s="653" t="s">
        <v>2901</v>
      </c>
      <c r="G121" s="654"/>
      <c r="H121" s="657">
        <v>44996</v>
      </c>
      <c r="I121" s="657">
        <v>12500000</v>
      </c>
      <c r="J121" s="657"/>
      <c r="K121" s="657">
        <v>12500000</v>
      </c>
      <c r="L121" s="657">
        <f t="shared" ref="L121" si="98">K121-I121</f>
        <v>0</v>
      </c>
      <c r="M121" s="816">
        <v>32</v>
      </c>
    </row>
    <row r="122" spans="1:13">
      <c r="A122" s="658"/>
      <c r="B122" s="658"/>
      <c r="C122" s="658"/>
      <c r="D122" s="658"/>
      <c r="E122" s="658"/>
      <c r="F122" s="655"/>
      <c r="G122" s="656"/>
      <c r="H122" s="657"/>
      <c r="I122" s="657"/>
      <c r="J122" s="657"/>
      <c r="K122" s="657"/>
      <c r="L122" s="657"/>
      <c r="M122" s="817"/>
    </row>
    <row r="123" spans="1:13">
      <c r="A123" s="658"/>
      <c r="B123" s="658"/>
      <c r="C123" s="658" t="s">
        <v>118</v>
      </c>
      <c r="D123" s="658" t="s">
        <v>2893</v>
      </c>
      <c r="E123" s="658" t="s">
        <v>2517</v>
      </c>
      <c r="F123" s="653"/>
      <c r="G123" s="654"/>
      <c r="H123" s="657">
        <v>1000000</v>
      </c>
      <c r="I123" s="657">
        <f t="shared" ref="I123" si="99">H123</f>
        <v>1000000</v>
      </c>
      <c r="J123" s="657"/>
      <c r="K123" s="657">
        <v>1000000</v>
      </c>
      <c r="L123" s="657">
        <f t="shared" ref="L123" si="100">K123-I123</f>
        <v>0</v>
      </c>
      <c r="M123" s="816">
        <v>33</v>
      </c>
    </row>
    <row r="124" spans="1:13">
      <c r="A124" s="658"/>
      <c r="B124" s="658"/>
      <c r="C124" s="658"/>
      <c r="D124" s="658"/>
      <c r="E124" s="658"/>
      <c r="F124" s="655"/>
      <c r="G124" s="656"/>
      <c r="H124" s="657"/>
      <c r="I124" s="657"/>
      <c r="J124" s="657"/>
      <c r="K124" s="657"/>
      <c r="L124" s="657"/>
      <c r="M124" s="817"/>
    </row>
    <row r="125" spans="1:13">
      <c r="A125" s="658"/>
      <c r="B125" s="658"/>
      <c r="C125" s="658" t="s">
        <v>146</v>
      </c>
      <c r="D125" s="658" t="s">
        <v>2893</v>
      </c>
      <c r="E125" s="658" t="s">
        <v>2562</v>
      </c>
      <c r="F125" s="653"/>
      <c r="G125" s="654"/>
      <c r="H125" s="657">
        <v>7700000</v>
      </c>
      <c r="I125" s="657">
        <f t="shared" ref="I125" si="101">H125</f>
        <v>7700000</v>
      </c>
      <c r="J125" s="657"/>
      <c r="K125" s="657">
        <v>7700000</v>
      </c>
      <c r="L125" s="657">
        <f t="shared" ref="L125" si="102">K125-I125</f>
        <v>0</v>
      </c>
      <c r="M125" s="816">
        <v>34</v>
      </c>
    </row>
    <row r="126" spans="1:13">
      <c r="A126" s="658"/>
      <c r="B126" s="658"/>
      <c r="C126" s="658"/>
      <c r="D126" s="658"/>
      <c r="E126" s="658"/>
      <c r="F126" s="655"/>
      <c r="G126" s="656"/>
      <c r="H126" s="657"/>
      <c r="I126" s="657"/>
      <c r="J126" s="657"/>
      <c r="K126" s="657"/>
      <c r="L126" s="657"/>
      <c r="M126" s="817"/>
    </row>
    <row r="127" spans="1:13">
      <c r="A127" s="658"/>
      <c r="B127" s="658"/>
      <c r="C127" s="658" t="s">
        <v>158</v>
      </c>
      <c r="D127" s="658" t="s">
        <v>2893</v>
      </c>
      <c r="E127" s="658" t="s">
        <v>117</v>
      </c>
      <c r="F127" s="653"/>
      <c r="G127" s="654"/>
      <c r="H127" s="657">
        <v>1150000</v>
      </c>
      <c r="I127" s="657">
        <f t="shared" ref="I127" si="103">H127</f>
        <v>1150000</v>
      </c>
      <c r="J127" s="657"/>
      <c r="K127" s="657">
        <v>1150000</v>
      </c>
      <c r="L127" s="657">
        <f t="shared" ref="L127" si="104">K127-I127</f>
        <v>0</v>
      </c>
      <c r="M127" s="816">
        <v>35</v>
      </c>
    </row>
    <row r="128" spans="1:13">
      <c r="A128" s="658"/>
      <c r="B128" s="658"/>
      <c r="C128" s="658"/>
      <c r="D128" s="658"/>
      <c r="E128" s="658"/>
      <c r="F128" s="655"/>
      <c r="G128" s="656"/>
      <c r="H128" s="657"/>
      <c r="I128" s="657"/>
      <c r="J128" s="657"/>
      <c r="K128" s="657"/>
      <c r="L128" s="657"/>
      <c r="M128" s="817"/>
    </row>
    <row r="129" spans="1:14">
      <c r="A129" s="658" t="s">
        <v>81</v>
      </c>
      <c r="B129" s="658" t="s">
        <v>2902</v>
      </c>
      <c r="C129" s="658" t="s">
        <v>2904</v>
      </c>
      <c r="D129" s="658" t="s">
        <v>2903</v>
      </c>
      <c r="E129" s="658" t="s">
        <v>239</v>
      </c>
      <c r="F129" s="653" t="s">
        <v>2233</v>
      </c>
      <c r="G129" s="654"/>
      <c r="H129" s="657">
        <v>41920</v>
      </c>
      <c r="I129" s="657">
        <v>12000000</v>
      </c>
      <c r="J129" s="657"/>
      <c r="K129" s="657">
        <v>12000000</v>
      </c>
      <c r="L129" s="657">
        <f t="shared" ref="L129" si="105">K129-I129</f>
        <v>0</v>
      </c>
      <c r="M129" s="816">
        <v>36</v>
      </c>
    </row>
    <row r="130" spans="1:14">
      <c r="A130" s="658"/>
      <c r="B130" s="658"/>
      <c r="C130" s="658"/>
      <c r="D130" s="658"/>
      <c r="E130" s="658"/>
      <c r="F130" s="655"/>
      <c r="G130" s="656"/>
      <c r="H130" s="657"/>
      <c r="I130" s="657"/>
      <c r="J130" s="657"/>
      <c r="K130" s="657"/>
      <c r="L130" s="657"/>
      <c r="M130" s="817"/>
    </row>
    <row r="131" spans="1:14">
      <c r="A131" s="658"/>
      <c r="B131" s="658"/>
      <c r="C131" s="658" t="s">
        <v>159</v>
      </c>
      <c r="D131" s="658" t="s">
        <v>2906</v>
      </c>
      <c r="E131" s="658" t="s">
        <v>2376</v>
      </c>
      <c r="F131" s="653"/>
      <c r="G131" s="654"/>
      <c r="H131" s="657">
        <v>690000</v>
      </c>
      <c r="I131" s="657">
        <f t="shared" ref="I131" si="106">H131</f>
        <v>690000</v>
      </c>
      <c r="J131" s="657"/>
      <c r="K131" s="657">
        <v>690000</v>
      </c>
      <c r="L131" s="657">
        <f t="shared" ref="L131" si="107">K131-I131</f>
        <v>0</v>
      </c>
      <c r="M131" s="816">
        <v>37</v>
      </c>
    </row>
    <row r="132" spans="1:14">
      <c r="A132" s="658"/>
      <c r="B132" s="658"/>
      <c r="C132" s="658"/>
      <c r="D132" s="658"/>
      <c r="E132" s="658"/>
      <c r="F132" s="655"/>
      <c r="G132" s="656"/>
      <c r="H132" s="657"/>
      <c r="I132" s="657"/>
      <c r="J132" s="657"/>
      <c r="K132" s="657"/>
      <c r="L132" s="657"/>
      <c r="M132" s="817"/>
    </row>
    <row r="133" spans="1:14">
      <c r="A133" s="658"/>
      <c r="B133" s="658"/>
      <c r="C133" s="658" t="s">
        <v>162</v>
      </c>
      <c r="D133" s="658" t="s">
        <v>2909</v>
      </c>
      <c r="E133" s="658" t="s">
        <v>2375</v>
      </c>
      <c r="F133" s="653"/>
      <c r="G133" s="654"/>
      <c r="H133" s="657">
        <v>805000</v>
      </c>
      <c r="I133" s="657">
        <f t="shared" ref="I133" si="108">H133</f>
        <v>805000</v>
      </c>
      <c r="J133" s="657"/>
      <c r="K133" s="657">
        <v>805000</v>
      </c>
      <c r="L133" s="657">
        <f t="shared" ref="L133" si="109">K133-I133</f>
        <v>0</v>
      </c>
      <c r="M133" s="816">
        <v>1</v>
      </c>
    </row>
    <row r="134" spans="1:14">
      <c r="A134" s="658"/>
      <c r="B134" s="658"/>
      <c r="C134" s="658"/>
      <c r="D134" s="658"/>
      <c r="E134" s="658"/>
      <c r="F134" s="655"/>
      <c r="G134" s="656"/>
      <c r="H134" s="657"/>
      <c r="I134" s="657"/>
      <c r="J134" s="657"/>
      <c r="K134" s="657"/>
      <c r="L134" s="657"/>
      <c r="M134" s="817"/>
    </row>
    <row r="135" spans="1:14">
      <c r="A135" s="658"/>
      <c r="B135" s="658"/>
      <c r="C135" s="658" t="s">
        <v>163</v>
      </c>
      <c r="D135" s="658" t="s">
        <v>2906</v>
      </c>
      <c r="E135" s="658" t="s">
        <v>2386</v>
      </c>
      <c r="F135" s="653"/>
      <c r="G135" s="654"/>
      <c r="H135" s="657">
        <v>5000000</v>
      </c>
      <c r="I135" s="657">
        <f t="shared" ref="I135" si="110">H135</f>
        <v>5000000</v>
      </c>
      <c r="J135" s="657"/>
      <c r="K135" s="657">
        <v>5000000</v>
      </c>
      <c r="L135" s="657">
        <f t="shared" ref="L135" si="111">K135-I135</f>
        <v>0</v>
      </c>
      <c r="M135" s="816">
        <v>38</v>
      </c>
    </row>
    <row r="136" spans="1:14">
      <c r="A136" s="658"/>
      <c r="B136" s="658"/>
      <c r="C136" s="658"/>
      <c r="D136" s="658"/>
      <c r="E136" s="658"/>
      <c r="F136" s="655"/>
      <c r="G136" s="656"/>
      <c r="H136" s="657"/>
      <c r="I136" s="657"/>
      <c r="J136" s="657"/>
      <c r="K136" s="657"/>
      <c r="L136" s="657"/>
      <c r="M136" s="817"/>
      <c r="N136" s="6" t="s">
        <v>2503</v>
      </c>
    </row>
    <row r="137" spans="1:14">
      <c r="A137" s="658" t="s">
        <v>82</v>
      </c>
      <c r="B137" s="658" t="s">
        <v>2905</v>
      </c>
      <c r="C137" s="658" t="s">
        <v>2908</v>
      </c>
      <c r="D137" s="658" t="s">
        <v>2907</v>
      </c>
      <c r="E137" s="658" t="s">
        <v>239</v>
      </c>
      <c r="F137" s="653" t="s">
        <v>2911</v>
      </c>
      <c r="G137" s="654"/>
      <c r="H137" s="657">
        <v>44061</v>
      </c>
      <c r="I137" s="657">
        <v>12500000</v>
      </c>
      <c r="J137" s="657"/>
      <c r="K137" s="657">
        <v>12500000</v>
      </c>
      <c r="L137" s="657">
        <f t="shared" ref="L137" si="112">K137-I137</f>
        <v>0</v>
      </c>
      <c r="M137" s="816">
        <v>39</v>
      </c>
      <c r="N137" s="6" t="s">
        <v>2934</v>
      </c>
    </row>
    <row r="138" spans="1:14">
      <c r="A138" s="658"/>
      <c r="B138" s="658"/>
      <c r="C138" s="658"/>
      <c r="D138" s="658"/>
      <c r="E138" s="658"/>
      <c r="F138" s="655"/>
      <c r="G138" s="656"/>
      <c r="H138" s="657"/>
      <c r="I138" s="657"/>
      <c r="J138" s="657"/>
      <c r="K138" s="657"/>
      <c r="L138" s="657"/>
      <c r="M138" s="817"/>
    </row>
    <row r="139" spans="1:14">
      <c r="A139" s="658"/>
      <c r="B139" s="658"/>
      <c r="C139" s="658" t="s">
        <v>23</v>
      </c>
      <c r="D139" s="658" t="s">
        <v>2906</v>
      </c>
      <c r="E139" s="658" t="s">
        <v>1745</v>
      </c>
      <c r="F139" s="653"/>
      <c r="G139" s="654"/>
      <c r="H139" s="657">
        <v>1150000</v>
      </c>
      <c r="I139" s="657">
        <f t="shared" ref="I139" si="113">H139</f>
        <v>1150000</v>
      </c>
      <c r="J139" s="657"/>
      <c r="K139" s="657">
        <v>1150000</v>
      </c>
      <c r="L139" s="657">
        <f t="shared" ref="L139" si="114">K139-I139</f>
        <v>0</v>
      </c>
      <c r="M139" s="816">
        <v>40</v>
      </c>
    </row>
    <row r="140" spans="1:14">
      <c r="A140" s="658"/>
      <c r="B140" s="658"/>
      <c r="C140" s="658"/>
      <c r="D140" s="658"/>
      <c r="E140" s="658"/>
      <c r="F140" s="655"/>
      <c r="G140" s="656"/>
      <c r="H140" s="657"/>
      <c r="I140" s="657"/>
      <c r="J140" s="657"/>
      <c r="K140" s="657"/>
      <c r="L140" s="657"/>
      <c r="M140" s="817"/>
    </row>
    <row r="141" spans="1:14">
      <c r="A141" s="658"/>
      <c r="B141" s="658"/>
      <c r="C141" s="658" t="s">
        <v>164</v>
      </c>
      <c r="D141" s="658" t="s">
        <v>2906</v>
      </c>
      <c r="E141" s="658" t="s">
        <v>2910</v>
      </c>
      <c r="F141" s="653"/>
      <c r="G141" s="654"/>
      <c r="H141" s="657">
        <v>4000000</v>
      </c>
      <c r="I141" s="657">
        <f t="shared" ref="I141" si="115">H141</f>
        <v>4000000</v>
      </c>
      <c r="J141" s="657"/>
      <c r="K141" s="657">
        <v>4000000</v>
      </c>
      <c r="L141" s="657">
        <f t="shared" ref="L141" si="116">K141-I141</f>
        <v>0</v>
      </c>
      <c r="M141" s="816">
        <v>41</v>
      </c>
    </row>
    <row r="142" spans="1:14">
      <c r="A142" s="658"/>
      <c r="B142" s="658"/>
      <c r="C142" s="658"/>
      <c r="D142" s="658"/>
      <c r="E142" s="658"/>
      <c r="F142" s="655"/>
      <c r="G142" s="656"/>
      <c r="H142" s="657"/>
      <c r="I142" s="657"/>
      <c r="J142" s="657"/>
      <c r="K142" s="657"/>
      <c r="L142" s="657"/>
      <c r="M142" s="817"/>
    </row>
    <row r="143" spans="1:14">
      <c r="A143" s="658" t="s">
        <v>85</v>
      </c>
      <c r="B143" s="658" t="s">
        <v>2919</v>
      </c>
      <c r="C143" s="658" t="s">
        <v>2914</v>
      </c>
      <c r="D143" s="658" t="s">
        <v>2906</v>
      </c>
      <c r="E143" s="658" t="s">
        <v>239</v>
      </c>
      <c r="F143" s="653" t="s">
        <v>2233</v>
      </c>
      <c r="G143" s="654"/>
      <c r="H143" s="657">
        <v>37736</v>
      </c>
      <c r="I143" s="657">
        <v>10700000</v>
      </c>
      <c r="J143" s="657"/>
      <c r="K143" s="657">
        <v>10700000</v>
      </c>
      <c r="L143" s="657">
        <f t="shared" ref="L143" si="117">K143-I143</f>
        <v>0</v>
      </c>
      <c r="M143" s="816">
        <v>42</v>
      </c>
    </row>
    <row r="144" spans="1:14">
      <c r="A144" s="658"/>
      <c r="B144" s="658"/>
      <c r="C144" s="658"/>
      <c r="D144" s="658"/>
      <c r="E144" s="658"/>
      <c r="F144" s="655"/>
      <c r="G144" s="656"/>
      <c r="H144" s="657"/>
      <c r="I144" s="657"/>
      <c r="J144" s="657"/>
      <c r="K144" s="657"/>
      <c r="L144" s="657"/>
      <c r="M144" s="817"/>
    </row>
    <row r="145" spans="1:14">
      <c r="A145" s="809" t="s">
        <v>2928</v>
      </c>
      <c r="B145" s="810"/>
      <c r="C145" s="810"/>
      <c r="D145" s="810"/>
      <c r="E145" s="810"/>
      <c r="F145" s="810"/>
      <c r="G145" s="810"/>
      <c r="H145" s="810"/>
      <c r="I145" s="810"/>
      <c r="J145" s="810"/>
      <c r="K145" s="810"/>
      <c r="L145" s="811"/>
      <c r="M145" s="816"/>
    </row>
    <row r="146" spans="1:14">
      <c r="A146" s="812"/>
      <c r="B146" s="813"/>
      <c r="C146" s="813"/>
      <c r="D146" s="813"/>
      <c r="E146" s="813"/>
      <c r="F146" s="813"/>
      <c r="G146" s="813"/>
      <c r="H146" s="813"/>
      <c r="I146" s="813"/>
      <c r="J146" s="813"/>
      <c r="K146" s="813"/>
      <c r="L146" s="814"/>
      <c r="M146" s="817"/>
    </row>
    <row r="147" spans="1:14">
      <c r="A147" s="658"/>
      <c r="B147" s="658"/>
      <c r="C147" s="658" t="s">
        <v>165</v>
      </c>
      <c r="D147" s="658" t="s">
        <v>2918</v>
      </c>
      <c r="E147" s="658" t="s">
        <v>2915</v>
      </c>
      <c r="F147" s="653"/>
      <c r="G147" s="654"/>
      <c r="H147" s="657">
        <v>2500000</v>
      </c>
      <c r="I147" s="657">
        <f t="shared" ref="I147" si="118">H147</f>
        <v>2500000</v>
      </c>
      <c r="J147" s="657"/>
      <c r="K147" s="657">
        <v>2500000</v>
      </c>
      <c r="L147" s="657">
        <f t="shared" ref="L147" si="119">K147-I147</f>
        <v>0</v>
      </c>
      <c r="M147" s="816">
        <v>2</v>
      </c>
    </row>
    <row r="148" spans="1:14">
      <c r="A148" s="658"/>
      <c r="B148" s="658"/>
      <c r="C148" s="658"/>
      <c r="D148" s="658"/>
      <c r="E148" s="658"/>
      <c r="F148" s="655"/>
      <c r="G148" s="656"/>
      <c r="H148" s="657"/>
      <c r="I148" s="657"/>
      <c r="J148" s="657"/>
      <c r="K148" s="657"/>
      <c r="L148" s="657"/>
      <c r="M148" s="817"/>
      <c r="N148" t="s">
        <v>2503</v>
      </c>
    </row>
    <row r="149" spans="1:14">
      <c r="A149" s="658"/>
      <c r="B149" s="658"/>
      <c r="C149" s="658" t="s">
        <v>166</v>
      </c>
      <c r="D149" s="658" t="s">
        <v>2918</v>
      </c>
      <c r="E149" s="658" t="s">
        <v>2916</v>
      </c>
      <c r="F149" s="653"/>
      <c r="G149" s="654"/>
      <c r="H149" s="657">
        <v>2700000</v>
      </c>
      <c r="I149" s="657">
        <f t="shared" ref="I149" si="120">H149</f>
        <v>2700000</v>
      </c>
      <c r="J149" s="657"/>
      <c r="K149" s="657">
        <v>2700000</v>
      </c>
      <c r="L149" s="657">
        <f t="shared" ref="L149" si="121">K149-I149</f>
        <v>0</v>
      </c>
      <c r="M149" s="816">
        <v>3</v>
      </c>
      <c r="N149" t="s">
        <v>2976</v>
      </c>
    </row>
    <row r="150" spans="1:14">
      <c r="A150" s="658"/>
      <c r="B150" s="658"/>
      <c r="C150" s="658"/>
      <c r="D150" s="658"/>
      <c r="E150" s="658"/>
      <c r="F150" s="655"/>
      <c r="G150" s="656"/>
      <c r="H150" s="657"/>
      <c r="I150" s="657"/>
      <c r="J150" s="657"/>
      <c r="K150" s="657"/>
      <c r="L150" s="657"/>
      <c r="M150" s="817"/>
    </row>
    <row r="151" spans="1:14">
      <c r="A151" s="658"/>
      <c r="B151" s="658"/>
      <c r="C151" s="658" t="s">
        <v>183</v>
      </c>
      <c r="D151" s="658" t="s">
        <v>2918</v>
      </c>
      <c r="E151" s="658" t="s">
        <v>2917</v>
      </c>
      <c r="F151" s="653"/>
      <c r="G151" s="654"/>
      <c r="H151" s="657">
        <v>3500000</v>
      </c>
      <c r="I151" s="657">
        <f t="shared" ref="I151" si="122">H151</f>
        <v>3500000</v>
      </c>
      <c r="J151" s="657"/>
      <c r="K151" s="657">
        <v>3500000</v>
      </c>
      <c r="L151" s="657">
        <f t="shared" ref="L151" si="123">K151-I151</f>
        <v>0</v>
      </c>
      <c r="M151" s="816">
        <v>4</v>
      </c>
    </row>
    <row r="152" spans="1:14">
      <c r="A152" s="658"/>
      <c r="B152" s="658"/>
      <c r="C152" s="658"/>
      <c r="D152" s="658"/>
      <c r="E152" s="658"/>
      <c r="F152" s="655"/>
      <c r="G152" s="656"/>
      <c r="H152" s="657"/>
      <c r="I152" s="657"/>
      <c r="J152" s="657"/>
      <c r="K152" s="657"/>
      <c r="L152" s="657"/>
      <c r="M152" s="817"/>
      <c r="N152" s="572">
        <f>SUM(H133,H147,H149:H152,H155:H236,H241,H253)</f>
        <v>108947589</v>
      </c>
    </row>
    <row r="153" spans="1:14">
      <c r="A153" s="658" t="s">
        <v>84</v>
      </c>
      <c r="B153" s="658" t="s">
        <v>2920</v>
      </c>
      <c r="C153" s="658" t="s">
        <v>2922</v>
      </c>
      <c r="D153" s="658" t="s">
        <v>2906</v>
      </c>
      <c r="E153" s="658" t="s">
        <v>239</v>
      </c>
      <c r="F153" s="653" t="s">
        <v>2233</v>
      </c>
      <c r="G153" s="654"/>
      <c r="H153" s="657">
        <v>42325</v>
      </c>
      <c r="I153" s="657">
        <v>12000000</v>
      </c>
      <c r="J153" s="657"/>
      <c r="K153" s="657">
        <v>12000000</v>
      </c>
      <c r="L153" s="657">
        <f t="shared" ref="L153" si="124">K153-I153</f>
        <v>0</v>
      </c>
      <c r="M153" s="816">
        <v>43</v>
      </c>
      <c r="N153" s="572">
        <f>SUM(I133,I147,I149,I151,I155:I236,I241,I253)</f>
        <v>275374000</v>
      </c>
    </row>
    <row r="154" spans="1:14">
      <c r="A154" s="658"/>
      <c r="B154" s="658"/>
      <c r="C154" s="658"/>
      <c r="D154" s="658"/>
      <c r="E154" s="658"/>
      <c r="F154" s="655"/>
      <c r="G154" s="656"/>
      <c r="H154" s="657"/>
      <c r="I154" s="657"/>
      <c r="J154" s="657"/>
      <c r="K154" s="657"/>
      <c r="L154" s="657"/>
      <c r="M154" s="817"/>
    </row>
    <row r="155" spans="1:14">
      <c r="A155" s="658"/>
      <c r="B155" s="658"/>
      <c r="C155" s="658" t="s">
        <v>188</v>
      </c>
      <c r="D155" s="658" t="s">
        <v>2918</v>
      </c>
      <c r="E155" s="658" t="s">
        <v>1601</v>
      </c>
      <c r="F155" s="653"/>
      <c r="G155" s="654"/>
      <c r="H155" s="657">
        <v>7900000</v>
      </c>
      <c r="I155" s="657">
        <f t="shared" ref="I155" si="125">H155</f>
        <v>7900000</v>
      </c>
      <c r="J155" s="657"/>
      <c r="K155" s="657">
        <v>7900000</v>
      </c>
      <c r="L155" s="657">
        <f t="shared" ref="L155" si="126">K155-I155</f>
        <v>0</v>
      </c>
      <c r="M155" s="816">
        <v>5</v>
      </c>
    </row>
    <row r="156" spans="1:14">
      <c r="A156" s="658"/>
      <c r="B156" s="658"/>
      <c r="C156" s="658"/>
      <c r="D156" s="658"/>
      <c r="E156" s="658"/>
      <c r="F156" s="655"/>
      <c r="G156" s="656"/>
      <c r="H156" s="657"/>
      <c r="I156" s="657"/>
      <c r="J156" s="657"/>
      <c r="K156" s="657"/>
      <c r="L156" s="657"/>
      <c r="M156" s="817"/>
    </row>
    <row r="157" spans="1:14">
      <c r="A157" s="658"/>
      <c r="B157" s="658"/>
      <c r="C157" s="658" t="s">
        <v>190</v>
      </c>
      <c r="D157" s="658" t="s">
        <v>2918</v>
      </c>
      <c r="E157" s="658" t="s">
        <v>117</v>
      </c>
      <c r="F157" s="653"/>
      <c r="G157" s="654"/>
      <c r="H157" s="657">
        <v>1150000</v>
      </c>
      <c r="I157" s="657">
        <f t="shared" ref="I157" si="127">H157</f>
        <v>1150000</v>
      </c>
      <c r="J157" s="657"/>
      <c r="K157" s="657">
        <v>1150000</v>
      </c>
      <c r="L157" s="657">
        <f t="shared" ref="L157" si="128">K157-I157</f>
        <v>0</v>
      </c>
      <c r="M157" s="816">
        <v>6</v>
      </c>
    </row>
    <row r="158" spans="1:14">
      <c r="A158" s="658"/>
      <c r="B158" s="658"/>
      <c r="C158" s="658"/>
      <c r="D158" s="658"/>
      <c r="E158" s="658"/>
      <c r="F158" s="655"/>
      <c r="G158" s="656"/>
      <c r="H158" s="657"/>
      <c r="I158" s="657"/>
      <c r="J158" s="657"/>
      <c r="K158" s="657"/>
      <c r="L158" s="657"/>
      <c r="M158" s="817"/>
    </row>
    <row r="159" spans="1:14">
      <c r="A159" s="658" t="s">
        <v>86</v>
      </c>
      <c r="B159" s="658" t="s">
        <v>2921</v>
      </c>
      <c r="C159" s="658" t="s">
        <v>2923</v>
      </c>
      <c r="D159" s="658" t="s">
        <v>2909</v>
      </c>
      <c r="E159" s="658" t="s">
        <v>239</v>
      </c>
      <c r="F159" s="653" t="s">
        <v>2233</v>
      </c>
      <c r="G159" s="654"/>
      <c r="H159" s="657">
        <v>41951</v>
      </c>
      <c r="I159" s="657">
        <v>12000000</v>
      </c>
      <c r="J159" s="657"/>
      <c r="K159" s="657">
        <v>12000000</v>
      </c>
      <c r="L159" s="657">
        <f t="shared" ref="L159" si="129">K159-I159</f>
        <v>0</v>
      </c>
      <c r="M159" s="816">
        <v>7</v>
      </c>
    </row>
    <row r="160" spans="1:14">
      <c r="A160" s="658"/>
      <c r="B160" s="658"/>
      <c r="C160" s="658"/>
      <c r="D160" s="658"/>
      <c r="E160" s="658"/>
      <c r="F160" s="655"/>
      <c r="G160" s="656"/>
      <c r="H160" s="657"/>
      <c r="I160" s="657"/>
      <c r="J160" s="657"/>
      <c r="K160" s="657"/>
      <c r="L160" s="657"/>
      <c r="M160" s="817"/>
    </row>
    <row r="161" spans="1:13">
      <c r="A161" s="658"/>
      <c r="B161" s="658"/>
      <c r="C161" s="658" t="s">
        <v>184</v>
      </c>
      <c r="D161" s="658" t="s">
        <v>2924</v>
      </c>
      <c r="E161" s="658" t="s">
        <v>2723</v>
      </c>
      <c r="F161" s="653"/>
      <c r="G161" s="654"/>
      <c r="H161" s="657">
        <v>3900000</v>
      </c>
      <c r="I161" s="657">
        <f t="shared" ref="I161" si="130">H161</f>
        <v>3900000</v>
      </c>
      <c r="J161" s="657"/>
      <c r="K161" s="657">
        <v>3900000</v>
      </c>
      <c r="L161" s="657">
        <f t="shared" ref="L161" si="131">K161-I161</f>
        <v>0</v>
      </c>
      <c r="M161" s="816">
        <v>8</v>
      </c>
    </row>
    <row r="162" spans="1:13">
      <c r="A162" s="658"/>
      <c r="B162" s="658"/>
      <c r="C162" s="658"/>
      <c r="D162" s="658"/>
      <c r="E162" s="658"/>
      <c r="F162" s="655"/>
      <c r="G162" s="656"/>
      <c r="H162" s="657"/>
      <c r="I162" s="657"/>
      <c r="J162" s="657"/>
      <c r="K162" s="657"/>
      <c r="L162" s="657"/>
      <c r="M162" s="817"/>
    </row>
    <row r="163" spans="1:13">
      <c r="A163" s="658" t="s">
        <v>87</v>
      </c>
      <c r="B163" s="658" t="s">
        <v>2929</v>
      </c>
      <c r="C163" s="658" t="s">
        <v>2933</v>
      </c>
      <c r="D163" s="658" t="s">
        <v>2924</v>
      </c>
      <c r="E163" s="658" t="s">
        <v>239</v>
      </c>
      <c r="F163" s="653" t="s">
        <v>2233</v>
      </c>
      <c r="G163" s="654"/>
      <c r="H163" s="657">
        <v>41430</v>
      </c>
      <c r="I163" s="657">
        <v>12000000</v>
      </c>
      <c r="J163" s="657"/>
      <c r="K163" s="657">
        <v>12000000</v>
      </c>
      <c r="L163" s="657">
        <f t="shared" ref="L163" si="132">K163-I163</f>
        <v>0</v>
      </c>
      <c r="M163" s="816">
        <v>9</v>
      </c>
    </row>
    <row r="164" spans="1:13">
      <c r="A164" s="658"/>
      <c r="B164" s="658"/>
      <c r="C164" s="658"/>
      <c r="D164" s="658"/>
      <c r="E164" s="658"/>
      <c r="F164" s="655"/>
      <c r="G164" s="656"/>
      <c r="H164" s="657"/>
      <c r="I164" s="657"/>
      <c r="J164" s="657"/>
      <c r="K164" s="657"/>
      <c r="L164" s="657"/>
      <c r="M164" s="817"/>
    </row>
    <row r="165" spans="1:13">
      <c r="A165" s="658"/>
      <c r="B165" s="658"/>
      <c r="C165" s="658" t="s">
        <v>201</v>
      </c>
      <c r="D165" s="658" t="s">
        <v>2931</v>
      </c>
      <c r="E165" s="658" t="s">
        <v>2517</v>
      </c>
      <c r="F165" s="653"/>
      <c r="G165" s="654"/>
      <c r="H165" s="657">
        <v>1500000</v>
      </c>
      <c r="I165" s="657">
        <v>1500000</v>
      </c>
      <c r="J165" s="657"/>
      <c r="K165" s="657">
        <v>1500000</v>
      </c>
      <c r="L165" s="657">
        <f t="shared" ref="L165" si="133">K165-I165</f>
        <v>0</v>
      </c>
      <c r="M165" s="816">
        <v>10</v>
      </c>
    </row>
    <row r="166" spans="1:13">
      <c r="A166" s="658"/>
      <c r="B166" s="658"/>
      <c r="C166" s="658"/>
      <c r="D166" s="658"/>
      <c r="E166" s="658"/>
      <c r="F166" s="655"/>
      <c r="G166" s="656"/>
      <c r="H166" s="657"/>
      <c r="I166" s="657"/>
      <c r="J166" s="657"/>
      <c r="K166" s="657"/>
      <c r="L166" s="657"/>
      <c r="M166" s="817"/>
    </row>
    <row r="167" spans="1:13">
      <c r="A167" s="658"/>
      <c r="B167" s="658"/>
      <c r="C167" s="658" t="s">
        <v>202</v>
      </c>
      <c r="D167" s="658" t="s">
        <v>2931</v>
      </c>
      <c r="E167" s="658" t="s">
        <v>2517</v>
      </c>
      <c r="F167" s="653"/>
      <c r="G167" s="654"/>
      <c r="H167" s="657">
        <v>1500000</v>
      </c>
      <c r="I167" s="657">
        <f t="shared" ref="I167" si="134">H167</f>
        <v>1500000</v>
      </c>
      <c r="J167" s="657"/>
      <c r="K167" s="657">
        <v>1500000</v>
      </c>
      <c r="L167" s="657">
        <f t="shared" ref="L167" si="135">K167-I167</f>
        <v>0</v>
      </c>
      <c r="M167" s="816">
        <v>11</v>
      </c>
    </row>
    <row r="168" spans="1:13">
      <c r="A168" s="658"/>
      <c r="B168" s="658"/>
      <c r="C168" s="658"/>
      <c r="D168" s="658"/>
      <c r="E168" s="658"/>
      <c r="F168" s="655"/>
      <c r="G168" s="656"/>
      <c r="H168" s="657"/>
      <c r="I168" s="657"/>
      <c r="J168" s="657"/>
      <c r="K168" s="657"/>
      <c r="L168" s="657"/>
      <c r="M168" s="817"/>
    </row>
    <row r="169" spans="1:13">
      <c r="A169" s="658" t="s">
        <v>95</v>
      </c>
      <c r="B169" s="658" t="s">
        <v>2930</v>
      </c>
      <c r="C169" s="658" t="s">
        <v>2932</v>
      </c>
      <c r="D169" s="658" t="s">
        <v>2924</v>
      </c>
      <c r="E169" s="658" t="s">
        <v>239</v>
      </c>
      <c r="F169" s="653" t="s">
        <v>2233</v>
      </c>
      <c r="G169" s="654"/>
      <c r="H169" s="657">
        <v>41372</v>
      </c>
      <c r="I169" s="657">
        <v>12000000</v>
      </c>
      <c r="J169" s="657"/>
      <c r="K169" s="657">
        <v>12000000</v>
      </c>
      <c r="L169" s="657">
        <f t="shared" ref="L169" si="136">K169-I169</f>
        <v>0</v>
      </c>
      <c r="M169" s="816">
        <v>12</v>
      </c>
    </row>
    <row r="170" spans="1:13">
      <c r="A170" s="658"/>
      <c r="B170" s="658"/>
      <c r="C170" s="658"/>
      <c r="D170" s="658"/>
      <c r="E170" s="658"/>
      <c r="F170" s="655"/>
      <c r="G170" s="656"/>
      <c r="H170" s="657"/>
      <c r="I170" s="657"/>
      <c r="J170" s="657"/>
      <c r="K170" s="657"/>
      <c r="L170" s="657"/>
      <c r="M170" s="817"/>
    </row>
    <row r="171" spans="1:13">
      <c r="A171" s="658"/>
      <c r="B171" s="658"/>
      <c r="C171" s="658" t="s">
        <v>212</v>
      </c>
      <c r="D171" s="658" t="s">
        <v>2931</v>
      </c>
      <c r="E171" s="658" t="s">
        <v>2723</v>
      </c>
      <c r="F171" s="653"/>
      <c r="G171" s="654"/>
      <c r="H171" s="657">
        <v>3700000</v>
      </c>
      <c r="I171" s="657">
        <f t="shared" ref="I171" si="137">H171</f>
        <v>3700000</v>
      </c>
      <c r="J171" s="657"/>
      <c r="K171" s="657">
        <v>3700000</v>
      </c>
      <c r="L171" s="657">
        <f t="shared" ref="L171" si="138">K171-I171</f>
        <v>0</v>
      </c>
      <c r="M171" s="816">
        <v>13</v>
      </c>
    </row>
    <row r="172" spans="1:13">
      <c r="A172" s="658"/>
      <c r="B172" s="658"/>
      <c r="C172" s="658"/>
      <c r="D172" s="658"/>
      <c r="E172" s="658"/>
      <c r="F172" s="655"/>
      <c r="G172" s="656"/>
      <c r="H172" s="657"/>
      <c r="I172" s="657"/>
      <c r="J172" s="657"/>
      <c r="K172" s="657"/>
      <c r="L172" s="657"/>
      <c r="M172" s="817"/>
    </row>
    <row r="173" spans="1:13">
      <c r="A173" s="658"/>
      <c r="B173" s="658"/>
      <c r="C173" s="658" t="s">
        <v>192</v>
      </c>
      <c r="D173" s="658" t="s">
        <v>2931</v>
      </c>
      <c r="E173" s="658" t="s">
        <v>1144</v>
      </c>
      <c r="F173" s="653"/>
      <c r="G173" s="654"/>
      <c r="H173" s="657">
        <v>2070000</v>
      </c>
      <c r="I173" s="657">
        <f t="shared" ref="I173" si="139">H173</f>
        <v>2070000</v>
      </c>
      <c r="J173" s="657"/>
      <c r="K173" s="657">
        <v>2070000</v>
      </c>
      <c r="L173" s="657">
        <f t="shared" ref="L173" si="140">K173-I173</f>
        <v>0</v>
      </c>
      <c r="M173" s="816">
        <v>14</v>
      </c>
    </row>
    <row r="174" spans="1:13">
      <c r="A174" s="658"/>
      <c r="B174" s="658"/>
      <c r="C174" s="658"/>
      <c r="D174" s="658"/>
      <c r="E174" s="658"/>
      <c r="F174" s="655"/>
      <c r="G174" s="656"/>
      <c r="H174" s="657"/>
      <c r="I174" s="657"/>
      <c r="J174" s="657"/>
      <c r="K174" s="657"/>
      <c r="L174" s="657"/>
      <c r="M174" s="817"/>
    </row>
    <row r="175" spans="1:13">
      <c r="A175" s="658"/>
      <c r="B175" s="658"/>
      <c r="C175" s="658" t="s">
        <v>194</v>
      </c>
      <c r="D175" s="658" t="s">
        <v>2931</v>
      </c>
      <c r="E175" s="658" t="s">
        <v>2892</v>
      </c>
      <c r="F175" s="653"/>
      <c r="G175" s="654"/>
      <c r="H175" s="657">
        <v>414000</v>
      </c>
      <c r="I175" s="657">
        <f t="shared" ref="I175" si="141">H175</f>
        <v>414000</v>
      </c>
      <c r="J175" s="657"/>
      <c r="K175" s="657">
        <v>414000</v>
      </c>
      <c r="L175" s="657">
        <f t="shared" ref="L175" si="142">K175-I175</f>
        <v>0</v>
      </c>
      <c r="M175" s="816">
        <v>15</v>
      </c>
    </row>
    <row r="176" spans="1:13">
      <c r="A176" s="658"/>
      <c r="B176" s="658"/>
      <c r="C176" s="658"/>
      <c r="D176" s="658"/>
      <c r="E176" s="658"/>
      <c r="F176" s="655"/>
      <c r="G176" s="656"/>
      <c r="H176" s="657"/>
      <c r="I176" s="657"/>
      <c r="J176" s="657"/>
      <c r="K176" s="657"/>
      <c r="L176" s="657"/>
      <c r="M176" s="817"/>
    </row>
    <row r="177" spans="1:13">
      <c r="A177" s="658" t="s">
        <v>102</v>
      </c>
      <c r="B177" s="658" t="s">
        <v>2936</v>
      </c>
      <c r="C177" s="658" t="s">
        <v>2958</v>
      </c>
      <c r="D177" s="658" t="s">
        <v>2957</v>
      </c>
      <c r="E177" s="658" t="s">
        <v>239</v>
      </c>
      <c r="F177" s="653"/>
      <c r="G177" s="654"/>
      <c r="H177" s="657">
        <v>40960</v>
      </c>
      <c r="I177" s="657">
        <v>12000000</v>
      </c>
      <c r="J177" s="657"/>
      <c r="K177" s="657">
        <v>12000000</v>
      </c>
      <c r="L177" s="657">
        <f t="shared" ref="L177" si="143">K177-I177</f>
        <v>0</v>
      </c>
      <c r="M177" s="816">
        <v>16</v>
      </c>
    </row>
    <row r="178" spans="1:13">
      <c r="A178" s="658"/>
      <c r="B178" s="658"/>
      <c r="C178" s="658"/>
      <c r="D178" s="658"/>
      <c r="E178" s="658"/>
      <c r="F178" s="655"/>
      <c r="G178" s="656"/>
      <c r="H178" s="657"/>
      <c r="I178" s="657"/>
      <c r="J178" s="657"/>
      <c r="K178" s="657"/>
      <c r="L178" s="657"/>
      <c r="M178" s="817"/>
    </row>
    <row r="179" spans="1:13">
      <c r="A179" s="658"/>
      <c r="B179" s="658"/>
      <c r="C179" s="658" t="s">
        <v>214</v>
      </c>
      <c r="D179" s="658" t="s">
        <v>2937</v>
      </c>
      <c r="E179" s="658" t="s">
        <v>1140</v>
      </c>
      <c r="F179" s="653"/>
      <c r="G179" s="654"/>
      <c r="H179" s="657">
        <v>3000000</v>
      </c>
      <c r="I179" s="657">
        <f t="shared" ref="I179" si="144">H179</f>
        <v>3000000</v>
      </c>
      <c r="J179" s="657"/>
      <c r="K179" s="657">
        <v>3000000</v>
      </c>
      <c r="L179" s="657">
        <f t="shared" ref="L179" si="145">K179-I179</f>
        <v>0</v>
      </c>
      <c r="M179" s="816">
        <v>17</v>
      </c>
    </row>
    <row r="180" spans="1:13">
      <c r="A180" s="658"/>
      <c r="B180" s="658"/>
      <c r="C180" s="658"/>
      <c r="D180" s="658"/>
      <c r="E180" s="658"/>
      <c r="F180" s="655"/>
      <c r="G180" s="656"/>
      <c r="H180" s="657"/>
      <c r="I180" s="657"/>
      <c r="J180" s="657"/>
      <c r="K180" s="657"/>
      <c r="L180" s="657"/>
      <c r="M180" s="817"/>
    </row>
    <row r="181" spans="1:13">
      <c r="A181" s="658"/>
      <c r="B181" s="658"/>
      <c r="C181" s="658" t="s">
        <v>215</v>
      </c>
      <c r="D181" s="658" t="s">
        <v>2937</v>
      </c>
      <c r="E181" s="658" t="s">
        <v>2348</v>
      </c>
      <c r="F181" s="653"/>
      <c r="G181" s="654"/>
      <c r="H181" s="657">
        <v>1800000</v>
      </c>
      <c r="I181" s="657">
        <f t="shared" ref="I181" si="146">H181</f>
        <v>1800000</v>
      </c>
      <c r="J181" s="657"/>
      <c r="K181" s="657">
        <v>1800000</v>
      </c>
      <c r="L181" s="657">
        <f t="shared" ref="L181" si="147">K181-I181</f>
        <v>0</v>
      </c>
      <c r="M181" s="816">
        <v>18</v>
      </c>
    </row>
    <row r="182" spans="1:13">
      <c r="A182" s="658"/>
      <c r="B182" s="658"/>
      <c r="C182" s="658"/>
      <c r="D182" s="658"/>
      <c r="E182" s="658"/>
      <c r="F182" s="655"/>
      <c r="G182" s="656"/>
      <c r="H182" s="657"/>
      <c r="I182" s="657"/>
      <c r="J182" s="657"/>
      <c r="K182" s="657"/>
      <c r="L182" s="657"/>
      <c r="M182" s="817"/>
    </row>
    <row r="183" spans="1:13">
      <c r="A183" s="658"/>
      <c r="B183" s="658"/>
      <c r="C183" s="658" t="s">
        <v>221</v>
      </c>
      <c r="D183" s="658" t="s">
        <v>2937</v>
      </c>
      <c r="E183" s="658" t="s">
        <v>1926</v>
      </c>
      <c r="F183" s="653"/>
      <c r="G183" s="654"/>
      <c r="H183" s="657">
        <v>5000000</v>
      </c>
      <c r="I183" s="657">
        <f t="shared" ref="I183" si="148">H183</f>
        <v>5000000</v>
      </c>
      <c r="J183" s="657"/>
      <c r="K183" s="657">
        <v>5000000</v>
      </c>
      <c r="L183" s="657">
        <f t="shared" ref="L183" si="149">K183-I183</f>
        <v>0</v>
      </c>
      <c r="M183" s="816">
        <v>19</v>
      </c>
    </row>
    <row r="184" spans="1:13">
      <c r="A184" s="658"/>
      <c r="B184" s="658"/>
      <c r="C184" s="658"/>
      <c r="D184" s="658"/>
      <c r="E184" s="658"/>
      <c r="F184" s="655"/>
      <c r="G184" s="656"/>
      <c r="H184" s="657"/>
      <c r="I184" s="657"/>
      <c r="J184" s="657"/>
      <c r="K184" s="657"/>
      <c r="L184" s="657"/>
      <c r="M184" s="817"/>
    </row>
    <row r="185" spans="1:13">
      <c r="A185" s="658" t="s">
        <v>103</v>
      </c>
      <c r="B185" s="658" t="s">
        <v>2938</v>
      </c>
      <c r="C185" s="658" t="s">
        <v>2962</v>
      </c>
      <c r="D185" s="658" t="s">
        <v>2957</v>
      </c>
      <c r="E185" s="658" t="s">
        <v>239</v>
      </c>
      <c r="F185" s="653"/>
      <c r="G185" s="654"/>
      <c r="H185" s="657">
        <v>40811</v>
      </c>
      <c r="I185" s="657">
        <v>12000000</v>
      </c>
      <c r="J185" s="657"/>
      <c r="K185" s="657"/>
      <c r="L185" s="657">
        <f t="shared" ref="L185" si="150">K185-I185</f>
        <v>-12000000</v>
      </c>
      <c r="M185" s="816">
        <v>20</v>
      </c>
    </row>
    <row r="186" spans="1:13">
      <c r="A186" s="658"/>
      <c r="B186" s="658"/>
      <c r="C186" s="658"/>
      <c r="D186" s="658"/>
      <c r="E186" s="658"/>
      <c r="F186" s="655"/>
      <c r="G186" s="656"/>
      <c r="H186" s="657"/>
      <c r="I186" s="657"/>
      <c r="J186" s="657"/>
      <c r="K186" s="657"/>
      <c r="L186" s="657"/>
      <c r="M186" s="817"/>
    </row>
    <row r="187" spans="1:13">
      <c r="A187" s="658"/>
      <c r="B187" s="658"/>
      <c r="C187" s="658" t="s">
        <v>222</v>
      </c>
      <c r="D187" s="658" t="s">
        <v>2941</v>
      </c>
      <c r="E187" s="658" t="s">
        <v>1601</v>
      </c>
      <c r="F187" s="653"/>
      <c r="G187" s="654"/>
      <c r="H187" s="657">
        <v>9000000</v>
      </c>
      <c r="I187" s="657">
        <f t="shared" ref="I187" si="151">H187</f>
        <v>9000000</v>
      </c>
      <c r="J187" s="657"/>
      <c r="K187" s="657">
        <v>9000000</v>
      </c>
      <c r="L187" s="657">
        <f t="shared" ref="L187" si="152">K187-I187</f>
        <v>0</v>
      </c>
      <c r="M187" s="816">
        <v>21</v>
      </c>
    </row>
    <row r="188" spans="1:13">
      <c r="A188" s="658"/>
      <c r="B188" s="658"/>
      <c r="C188" s="658"/>
      <c r="D188" s="658"/>
      <c r="E188" s="658"/>
      <c r="F188" s="655"/>
      <c r="G188" s="656"/>
      <c r="H188" s="657"/>
      <c r="I188" s="657"/>
      <c r="J188" s="657"/>
      <c r="K188" s="657"/>
      <c r="L188" s="657"/>
      <c r="M188" s="817"/>
    </row>
    <row r="189" spans="1:13">
      <c r="A189" s="658"/>
      <c r="B189" s="658"/>
      <c r="C189" s="658" t="s">
        <v>230</v>
      </c>
      <c r="D189" s="658" t="s">
        <v>2941</v>
      </c>
      <c r="E189" s="658" t="s">
        <v>2723</v>
      </c>
      <c r="F189" s="653"/>
      <c r="G189" s="654"/>
      <c r="H189" s="657">
        <v>3000000</v>
      </c>
      <c r="I189" s="657">
        <f t="shared" ref="I189" si="153">H189</f>
        <v>3000000</v>
      </c>
      <c r="J189" s="657"/>
      <c r="K189" s="657">
        <v>3000000</v>
      </c>
      <c r="L189" s="657">
        <f t="shared" ref="L189" si="154">K189-I189</f>
        <v>0</v>
      </c>
      <c r="M189" s="816">
        <v>22</v>
      </c>
    </row>
    <row r="190" spans="1:13">
      <c r="A190" s="658"/>
      <c r="B190" s="658"/>
      <c r="C190" s="658"/>
      <c r="D190" s="658"/>
      <c r="E190" s="658"/>
      <c r="F190" s="655"/>
      <c r="G190" s="656"/>
      <c r="H190" s="657"/>
      <c r="I190" s="657"/>
      <c r="J190" s="657"/>
      <c r="K190" s="657"/>
      <c r="L190" s="657"/>
      <c r="M190" s="817"/>
    </row>
    <row r="191" spans="1:13">
      <c r="A191" s="658" t="s">
        <v>2939</v>
      </c>
      <c r="B191" s="658" t="s">
        <v>2940</v>
      </c>
      <c r="C191" s="658" t="s">
        <v>2965</v>
      </c>
      <c r="D191" s="658" t="s">
        <v>2964</v>
      </c>
      <c r="E191" s="658" t="s">
        <v>239</v>
      </c>
      <c r="F191" s="653"/>
      <c r="G191" s="654"/>
      <c r="H191" s="657">
        <v>42511</v>
      </c>
      <c r="I191" s="657">
        <v>12500000</v>
      </c>
      <c r="J191" s="657"/>
      <c r="K191" s="657">
        <v>12500000</v>
      </c>
      <c r="L191" s="657">
        <f t="shared" ref="L191" si="155">K191-I191</f>
        <v>0</v>
      </c>
      <c r="M191" s="816">
        <v>23</v>
      </c>
    </row>
    <row r="192" spans="1:13">
      <c r="A192" s="658"/>
      <c r="B192" s="658"/>
      <c r="C192" s="658"/>
      <c r="D192" s="658"/>
      <c r="E192" s="658"/>
      <c r="F192" s="655"/>
      <c r="G192" s="656"/>
      <c r="H192" s="657"/>
      <c r="I192" s="657"/>
      <c r="J192" s="657"/>
      <c r="K192" s="657"/>
      <c r="L192" s="657"/>
      <c r="M192" s="817"/>
    </row>
    <row r="193" spans="1:13">
      <c r="A193" s="658"/>
      <c r="B193" s="658"/>
      <c r="C193" s="658" t="s">
        <v>231</v>
      </c>
      <c r="D193" s="658" t="s">
        <v>2941</v>
      </c>
      <c r="E193" s="658" t="s">
        <v>117</v>
      </c>
      <c r="F193" s="653"/>
      <c r="G193" s="654"/>
      <c r="H193" s="657">
        <v>1150000</v>
      </c>
      <c r="I193" s="657">
        <f t="shared" ref="I193" si="156">H193</f>
        <v>1150000</v>
      </c>
      <c r="J193" s="657"/>
      <c r="K193" s="657">
        <v>1150000</v>
      </c>
      <c r="L193" s="657">
        <f t="shared" ref="L193" si="157">K193-I193</f>
        <v>0</v>
      </c>
      <c r="M193" s="816">
        <v>24</v>
      </c>
    </row>
    <row r="194" spans="1:13">
      <c r="A194" s="658"/>
      <c r="B194" s="658"/>
      <c r="C194" s="658"/>
      <c r="D194" s="658"/>
      <c r="E194" s="658"/>
      <c r="F194" s="655"/>
      <c r="G194" s="656"/>
      <c r="H194" s="657"/>
      <c r="I194" s="657"/>
      <c r="J194" s="657"/>
      <c r="K194" s="657"/>
      <c r="L194" s="657"/>
      <c r="M194" s="817"/>
    </row>
    <row r="195" spans="1:13">
      <c r="A195" s="658"/>
      <c r="B195" s="658"/>
      <c r="C195" s="658" t="s">
        <v>232</v>
      </c>
      <c r="D195" s="658" t="s">
        <v>2943</v>
      </c>
      <c r="E195" s="658" t="s">
        <v>2942</v>
      </c>
      <c r="F195" s="653"/>
      <c r="G195" s="654"/>
      <c r="H195" s="657">
        <v>4700000</v>
      </c>
      <c r="I195" s="657">
        <f t="shared" ref="I195" si="158">H195</f>
        <v>4700000</v>
      </c>
      <c r="J195" s="657"/>
      <c r="K195" s="657">
        <v>4700000</v>
      </c>
      <c r="L195" s="657">
        <f t="shared" ref="L195" si="159">K195-I195</f>
        <v>0</v>
      </c>
      <c r="M195" s="816">
        <v>25</v>
      </c>
    </row>
    <row r="196" spans="1:13">
      <c r="A196" s="658"/>
      <c r="B196" s="658"/>
      <c r="C196" s="658"/>
      <c r="D196" s="658"/>
      <c r="E196" s="658"/>
      <c r="F196" s="655"/>
      <c r="G196" s="656"/>
      <c r="H196" s="657"/>
      <c r="I196" s="657"/>
      <c r="J196" s="657"/>
      <c r="K196" s="657"/>
      <c r="L196" s="657"/>
      <c r="M196" s="817"/>
    </row>
    <row r="197" spans="1:13">
      <c r="A197" s="658"/>
      <c r="B197" s="658" t="s">
        <v>1470</v>
      </c>
      <c r="C197" s="658" t="s">
        <v>233</v>
      </c>
      <c r="D197" s="658" t="s">
        <v>2944</v>
      </c>
      <c r="E197" s="658" t="s">
        <v>2935</v>
      </c>
      <c r="F197" s="653"/>
      <c r="G197" s="654"/>
      <c r="H197" s="657">
        <v>4000000</v>
      </c>
      <c r="I197" s="657">
        <v>2500000</v>
      </c>
      <c r="J197" s="657"/>
      <c r="K197" s="657"/>
      <c r="L197" s="657">
        <f t="shared" ref="L197" si="160">K197-I197</f>
        <v>-2500000</v>
      </c>
      <c r="M197" s="816">
        <v>26</v>
      </c>
    </row>
    <row r="198" spans="1:13">
      <c r="A198" s="658"/>
      <c r="B198" s="658"/>
      <c r="C198" s="658"/>
      <c r="D198" s="658"/>
      <c r="E198" s="658"/>
      <c r="F198" s="655"/>
      <c r="G198" s="656"/>
      <c r="H198" s="657"/>
      <c r="I198" s="657"/>
      <c r="J198" s="657"/>
      <c r="K198" s="657"/>
      <c r="L198" s="657"/>
      <c r="M198" s="817"/>
    </row>
    <row r="199" spans="1:13">
      <c r="A199" s="658" t="s">
        <v>119</v>
      </c>
      <c r="B199" s="658" t="s">
        <v>2947</v>
      </c>
      <c r="C199" s="658"/>
      <c r="D199" s="658"/>
      <c r="E199" s="658"/>
      <c r="F199" s="653"/>
      <c r="G199" s="654"/>
      <c r="H199" s="657"/>
      <c r="I199" s="657">
        <f t="shared" ref="I199" si="161">H199</f>
        <v>0</v>
      </c>
      <c r="J199" s="657"/>
      <c r="K199" s="657"/>
      <c r="L199" s="657">
        <f t="shared" ref="L199" si="162">K199-I199</f>
        <v>0</v>
      </c>
      <c r="M199" s="816"/>
    </row>
    <row r="200" spans="1:13">
      <c r="A200" s="658"/>
      <c r="B200" s="658"/>
      <c r="C200" s="658"/>
      <c r="D200" s="658"/>
      <c r="E200" s="658"/>
      <c r="F200" s="655"/>
      <c r="G200" s="656"/>
      <c r="H200" s="657"/>
      <c r="I200" s="657"/>
      <c r="J200" s="657"/>
      <c r="K200" s="657"/>
      <c r="L200" s="657"/>
      <c r="M200" s="817"/>
    </row>
    <row r="201" spans="1:13">
      <c r="A201" s="658" t="s">
        <v>137</v>
      </c>
      <c r="B201" s="658" t="s">
        <v>2955</v>
      </c>
      <c r="C201" s="658" t="s">
        <v>2963</v>
      </c>
      <c r="D201" s="658" t="s">
        <v>2941</v>
      </c>
      <c r="E201" s="658" t="s">
        <v>239</v>
      </c>
      <c r="F201" s="653"/>
      <c r="G201" s="654"/>
      <c r="H201" s="657">
        <v>41131</v>
      </c>
      <c r="I201" s="657">
        <v>12000000</v>
      </c>
      <c r="J201" s="657"/>
      <c r="K201" s="657">
        <v>12000000</v>
      </c>
      <c r="L201" s="657">
        <f t="shared" ref="L201" si="163">K201-I201</f>
        <v>0</v>
      </c>
      <c r="M201" s="816">
        <v>27</v>
      </c>
    </row>
    <row r="202" spans="1:13">
      <c r="A202" s="658"/>
      <c r="B202" s="658"/>
      <c r="C202" s="658"/>
      <c r="D202" s="658"/>
      <c r="E202" s="658"/>
      <c r="F202" s="655"/>
      <c r="G202" s="656"/>
      <c r="H202" s="657"/>
      <c r="I202" s="657"/>
      <c r="J202" s="657"/>
      <c r="K202" s="657"/>
      <c r="L202" s="657"/>
      <c r="M202" s="817"/>
    </row>
    <row r="203" spans="1:13">
      <c r="A203" s="658"/>
      <c r="B203" s="658"/>
      <c r="C203" s="658" t="s">
        <v>254</v>
      </c>
      <c r="D203" s="658" t="s">
        <v>2945</v>
      </c>
      <c r="E203" s="658" t="s">
        <v>2409</v>
      </c>
      <c r="F203" s="653"/>
      <c r="G203" s="654"/>
      <c r="H203" s="657">
        <v>4600000</v>
      </c>
      <c r="I203" s="657">
        <f t="shared" ref="I203" si="164">H203</f>
        <v>4600000</v>
      </c>
      <c r="J203" s="657"/>
      <c r="K203" s="657">
        <v>4600000</v>
      </c>
      <c r="L203" s="657">
        <f t="shared" ref="L203" si="165">K203-I203</f>
        <v>0</v>
      </c>
      <c r="M203" s="816">
        <v>28</v>
      </c>
    </row>
    <row r="204" spans="1:13">
      <c r="A204" s="658"/>
      <c r="B204" s="658"/>
      <c r="C204" s="658"/>
      <c r="D204" s="658"/>
      <c r="E204" s="658"/>
      <c r="F204" s="655"/>
      <c r="G204" s="656"/>
      <c r="H204" s="657"/>
      <c r="I204" s="657"/>
      <c r="J204" s="657"/>
      <c r="K204" s="657"/>
      <c r="L204" s="657"/>
      <c r="M204" s="817"/>
    </row>
    <row r="205" spans="1:13">
      <c r="A205" s="658"/>
      <c r="B205" s="658"/>
      <c r="C205" s="658" t="s">
        <v>255</v>
      </c>
      <c r="D205" s="658" t="s">
        <v>2945</v>
      </c>
      <c r="E205" s="658" t="s">
        <v>2946</v>
      </c>
      <c r="F205" s="653"/>
      <c r="G205" s="654"/>
      <c r="H205" s="657">
        <v>5000000</v>
      </c>
      <c r="I205" s="657">
        <f t="shared" ref="I205" si="166">H205</f>
        <v>5000000</v>
      </c>
      <c r="J205" s="657"/>
      <c r="K205" s="657">
        <v>5000000</v>
      </c>
      <c r="L205" s="657">
        <f t="shared" ref="L205" si="167">K205-I205</f>
        <v>0</v>
      </c>
      <c r="M205" s="816">
        <v>29</v>
      </c>
    </row>
    <row r="206" spans="1:13">
      <c r="A206" s="658"/>
      <c r="B206" s="658"/>
      <c r="C206" s="658"/>
      <c r="D206" s="658"/>
      <c r="E206" s="658"/>
      <c r="F206" s="655"/>
      <c r="G206" s="656"/>
      <c r="H206" s="657"/>
      <c r="I206" s="657"/>
      <c r="J206" s="657"/>
      <c r="K206" s="657"/>
      <c r="L206" s="657"/>
      <c r="M206" s="817"/>
    </row>
    <row r="207" spans="1:13">
      <c r="A207" s="658" t="s">
        <v>140</v>
      </c>
      <c r="B207" s="658" t="s">
        <v>2949</v>
      </c>
      <c r="C207" s="658" t="s">
        <v>2959</v>
      </c>
      <c r="D207" s="658" t="s">
        <v>2944</v>
      </c>
      <c r="E207" s="658" t="s">
        <v>239</v>
      </c>
      <c r="F207" s="653"/>
      <c r="G207" s="654"/>
      <c r="H207" s="657">
        <v>40552</v>
      </c>
      <c r="I207" s="657">
        <v>12000000</v>
      </c>
      <c r="J207" s="657"/>
      <c r="K207" s="657">
        <v>12000000</v>
      </c>
      <c r="L207" s="657">
        <f t="shared" ref="L207" si="168">K207-I207</f>
        <v>0</v>
      </c>
      <c r="M207" s="816">
        <v>30</v>
      </c>
    </row>
    <row r="208" spans="1:13">
      <c r="A208" s="658"/>
      <c r="B208" s="658"/>
      <c r="C208" s="658"/>
      <c r="D208" s="658"/>
      <c r="E208" s="658"/>
      <c r="F208" s="655"/>
      <c r="G208" s="656"/>
      <c r="H208" s="657"/>
      <c r="I208" s="657"/>
      <c r="J208" s="657"/>
      <c r="K208" s="657"/>
      <c r="L208" s="657"/>
      <c r="M208" s="817"/>
    </row>
    <row r="209" spans="1:13">
      <c r="A209" s="658"/>
      <c r="B209" s="658"/>
      <c r="C209" s="658" t="s">
        <v>272</v>
      </c>
      <c r="D209" s="658" t="s">
        <v>2954</v>
      </c>
      <c r="E209" s="658" t="s">
        <v>2948</v>
      </c>
      <c r="F209" s="653"/>
      <c r="G209" s="654"/>
      <c r="H209" s="657">
        <v>5000000</v>
      </c>
      <c r="I209" s="657">
        <f t="shared" ref="I209" si="169">H209</f>
        <v>5000000</v>
      </c>
      <c r="J209" s="657"/>
      <c r="K209" s="657">
        <v>5000000</v>
      </c>
      <c r="L209" s="657">
        <f t="shared" ref="L209" si="170">K209-I209</f>
        <v>0</v>
      </c>
      <c r="M209" s="816">
        <v>31</v>
      </c>
    </row>
    <row r="210" spans="1:13">
      <c r="A210" s="658"/>
      <c r="B210" s="658"/>
      <c r="C210" s="658"/>
      <c r="D210" s="658"/>
      <c r="E210" s="658"/>
      <c r="F210" s="655"/>
      <c r="G210" s="656"/>
      <c r="H210" s="657"/>
      <c r="I210" s="657"/>
      <c r="J210" s="657"/>
      <c r="K210" s="657"/>
      <c r="L210" s="657"/>
      <c r="M210" s="817"/>
    </row>
    <row r="211" spans="1:13">
      <c r="A211" s="658"/>
      <c r="B211" s="658"/>
      <c r="C211" s="658" t="s">
        <v>273</v>
      </c>
      <c r="D211" s="658" t="s">
        <v>2954</v>
      </c>
      <c r="E211" s="658" t="s">
        <v>2592</v>
      </c>
      <c r="F211" s="653"/>
      <c r="G211" s="654"/>
      <c r="H211" s="657">
        <v>5100000</v>
      </c>
      <c r="I211" s="657">
        <f t="shared" ref="I211" si="171">H211</f>
        <v>5100000</v>
      </c>
      <c r="J211" s="657"/>
      <c r="K211" s="657">
        <v>5100000</v>
      </c>
      <c r="L211" s="657">
        <f t="shared" ref="L211" si="172">K211-I211</f>
        <v>0</v>
      </c>
      <c r="M211" s="816">
        <v>32</v>
      </c>
    </row>
    <row r="212" spans="1:13">
      <c r="A212" s="658"/>
      <c r="B212" s="658"/>
      <c r="C212" s="658"/>
      <c r="D212" s="658"/>
      <c r="E212" s="658"/>
      <c r="F212" s="655"/>
      <c r="G212" s="656"/>
      <c r="H212" s="657"/>
      <c r="I212" s="657"/>
      <c r="J212" s="657"/>
      <c r="K212" s="657"/>
      <c r="L212" s="657"/>
      <c r="M212" s="817"/>
    </row>
    <row r="213" spans="1:13">
      <c r="A213" s="658" t="s">
        <v>141</v>
      </c>
      <c r="B213" s="658" t="s">
        <v>2950</v>
      </c>
      <c r="C213" s="658" t="s">
        <v>2966</v>
      </c>
      <c r="D213" s="658" t="s">
        <v>2945</v>
      </c>
      <c r="E213" s="658" t="s">
        <v>239</v>
      </c>
      <c r="F213" s="653"/>
      <c r="G213" s="654"/>
      <c r="H213" s="657">
        <v>40335</v>
      </c>
      <c r="I213" s="657">
        <v>12000000</v>
      </c>
      <c r="J213" s="657"/>
      <c r="K213" s="657">
        <v>12000000</v>
      </c>
      <c r="L213" s="657">
        <f t="shared" ref="L213" si="173">K213-I213</f>
        <v>0</v>
      </c>
      <c r="M213" s="816">
        <v>33</v>
      </c>
    </row>
    <row r="214" spans="1:13">
      <c r="A214" s="658"/>
      <c r="B214" s="658"/>
      <c r="C214" s="658"/>
      <c r="D214" s="658"/>
      <c r="E214" s="658"/>
      <c r="F214" s="655"/>
      <c r="G214" s="656"/>
      <c r="H214" s="657"/>
      <c r="I214" s="657"/>
      <c r="J214" s="657"/>
      <c r="K214" s="657"/>
      <c r="L214" s="657"/>
      <c r="M214" s="817"/>
    </row>
    <row r="215" spans="1:13">
      <c r="A215" s="658"/>
      <c r="B215" s="658"/>
      <c r="C215" s="658" t="s">
        <v>234</v>
      </c>
      <c r="D215" s="658" t="s">
        <v>2951</v>
      </c>
      <c r="E215" s="658" t="s">
        <v>2376</v>
      </c>
      <c r="F215" s="653"/>
      <c r="G215" s="654"/>
      <c r="H215" s="657">
        <v>735000</v>
      </c>
      <c r="I215" s="657">
        <f t="shared" ref="I215" si="174">H215</f>
        <v>735000</v>
      </c>
      <c r="J215" s="657"/>
      <c r="K215" s="657">
        <v>735000</v>
      </c>
      <c r="L215" s="657">
        <f t="shared" ref="L215" si="175">K215-I215</f>
        <v>0</v>
      </c>
      <c r="M215" s="816">
        <v>34</v>
      </c>
    </row>
    <row r="216" spans="1:13">
      <c r="A216" s="658"/>
      <c r="B216" s="658"/>
      <c r="C216" s="658"/>
      <c r="D216" s="658"/>
      <c r="E216" s="658"/>
      <c r="F216" s="655"/>
      <c r="G216" s="656"/>
      <c r="H216" s="657"/>
      <c r="I216" s="657"/>
      <c r="J216" s="657"/>
      <c r="K216" s="657"/>
      <c r="L216" s="657"/>
      <c r="M216" s="817"/>
    </row>
    <row r="217" spans="1:13">
      <c r="A217" s="658"/>
      <c r="B217" s="658"/>
      <c r="C217" s="658" t="s">
        <v>274</v>
      </c>
      <c r="D217" s="658" t="s">
        <v>2951</v>
      </c>
      <c r="E217" s="658" t="s">
        <v>117</v>
      </c>
      <c r="F217" s="653"/>
      <c r="G217" s="654"/>
      <c r="H217" s="657">
        <v>1150000</v>
      </c>
      <c r="I217" s="657">
        <f t="shared" ref="I217" si="176">H217</f>
        <v>1150000</v>
      </c>
      <c r="J217" s="657"/>
      <c r="K217" s="657">
        <v>1150000</v>
      </c>
      <c r="L217" s="657">
        <f t="shared" ref="L217" si="177">K217-I217</f>
        <v>0</v>
      </c>
      <c r="M217" s="816">
        <v>35</v>
      </c>
    </row>
    <row r="218" spans="1:13">
      <c r="A218" s="658"/>
      <c r="B218" s="658"/>
      <c r="C218" s="658"/>
      <c r="D218" s="658"/>
      <c r="E218" s="658"/>
      <c r="F218" s="655"/>
      <c r="G218" s="656"/>
      <c r="H218" s="657"/>
      <c r="I218" s="657"/>
      <c r="J218" s="657"/>
      <c r="K218" s="657"/>
      <c r="L218" s="657"/>
      <c r="M218" s="817"/>
    </row>
    <row r="219" spans="1:13">
      <c r="A219" s="658" t="s">
        <v>144</v>
      </c>
      <c r="B219" s="658" t="s">
        <v>2952</v>
      </c>
      <c r="C219" s="658" t="s">
        <v>2961</v>
      </c>
      <c r="D219" s="658" t="s">
        <v>2960</v>
      </c>
      <c r="E219" s="658" t="s">
        <v>239</v>
      </c>
      <c r="F219" s="653"/>
      <c r="G219" s="654"/>
      <c r="H219" s="657">
        <v>40552</v>
      </c>
      <c r="I219" s="657">
        <v>12000000</v>
      </c>
      <c r="J219" s="657"/>
      <c r="K219" s="657">
        <v>12000000</v>
      </c>
      <c r="L219" s="657">
        <f t="shared" ref="L219" si="178">K219-I219</f>
        <v>0</v>
      </c>
      <c r="M219" s="816">
        <v>36</v>
      </c>
    </row>
    <row r="220" spans="1:13">
      <c r="A220" s="658"/>
      <c r="B220" s="658"/>
      <c r="C220" s="658"/>
      <c r="D220" s="658"/>
      <c r="E220" s="658"/>
      <c r="F220" s="655"/>
      <c r="G220" s="656"/>
      <c r="H220" s="657"/>
      <c r="I220" s="657"/>
      <c r="J220" s="657"/>
      <c r="K220" s="657"/>
      <c r="L220" s="657"/>
      <c r="M220" s="817"/>
    </row>
    <row r="221" spans="1:13">
      <c r="A221" s="658"/>
      <c r="B221" s="658"/>
      <c r="C221" s="658" t="s">
        <v>276</v>
      </c>
      <c r="D221" s="658" t="s">
        <v>2954</v>
      </c>
      <c r="E221" s="658" t="s">
        <v>1601</v>
      </c>
      <c r="F221" s="653"/>
      <c r="G221" s="654"/>
      <c r="H221" s="657">
        <v>3500000</v>
      </c>
      <c r="I221" s="657">
        <f t="shared" ref="I221" si="179">H221</f>
        <v>3500000</v>
      </c>
      <c r="J221" s="657"/>
      <c r="K221" s="657">
        <v>3500000</v>
      </c>
      <c r="L221" s="657">
        <f t="shared" ref="L221" si="180">K221-I221</f>
        <v>0</v>
      </c>
      <c r="M221" s="816">
        <v>37</v>
      </c>
    </row>
    <row r="222" spans="1:13">
      <c r="A222" s="658"/>
      <c r="B222" s="658"/>
      <c r="C222" s="658"/>
      <c r="D222" s="658"/>
      <c r="E222" s="658"/>
      <c r="F222" s="655"/>
      <c r="G222" s="656"/>
      <c r="H222" s="657"/>
      <c r="I222" s="657"/>
      <c r="J222" s="657"/>
      <c r="K222" s="657"/>
      <c r="L222" s="657"/>
      <c r="M222" s="817"/>
    </row>
    <row r="223" spans="1:13">
      <c r="A223" s="658"/>
      <c r="B223" s="658"/>
      <c r="C223" s="658" t="s">
        <v>277</v>
      </c>
      <c r="D223" s="658" t="s">
        <v>2954</v>
      </c>
      <c r="E223" s="658" t="s">
        <v>2953</v>
      </c>
      <c r="F223" s="653"/>
      <c r="G223" s="654"/>
      <c r="H223" s="657">
        <v>4500000</v>
      </c>
      <c r="I223" s="657">
        <f t="shared" ref="I223" si="181">H223</f>
        <v>4500000</v>
      </c>
      <c r="J223" s="657"/>
      <c r="K223" s="657">
        <v>4500000</v>
      </c>
      <c r="L223" s="657">
        <f t="shared" ref="L223" si="182">K223-I223</f>
        <v>0</v>
      </c>
      <c r="M223" s="816">
        <v>38</v>
      </c>
    </row>
    <row r="224" spans="1:13">
      <c r="A224" s="658"/>
      <c r="B224" s="658"/>
      <c r="C224" s="658"/>
      <c r="D224" s="658"/>
      <c r="E224" s="658"/>
      <c r="F224" s="655"/>
      <c r="G224" s="656"/>
      <c r="H224" s="657"/>
      <c r="I224" s="657"/>
      <c r="J224" s="657"/>
      <c r="K224" s="657"/>
      <c r="L224" s="657"/>
      <c r="M224" s="817"/>
    </row>
    <row r="225" spans="1:13">
      <c r="A225" s="658"/>
      <c r="B225" s="658"/>
      <c r="C225" s="658" t="s">
        <v>278</v>
      </c>
      <c r="D225" s="658" t="s">
        <v>2954</v>
      </c>
      <c r="E225" s="658" t="s">
        <v>2723</v>
      </c>
      <c r="F225" s="653"/>
      <c r="G225" s="654"/>
      <c r="H225" s="657">
        <v>4500000</v>
      </c>
      <c r="I225" s="657">
        <f t="shared" ref="I225" si="183">H225</f>
        <v>4500000</v>
      </c>
      <c r="J225" s="657"/>
      <c r="K225" s="657">
        <v>4500000</v>
      </c>
      <c r="L225" s="657">
        <f t="shared" ref="L225" si="184">K225-I225</f>
        <v>0</v>
      </c>
      <c r="M225" s="816">
        <v>39</v>
      </c>
    </row>
    <row r="226" spans="1:13">
      <c r="A226" s="658"/>
      <c r="B226" s="658"/>
      <c r="C226" s="658"/>
      <c r="D226" s="658"/>
      <c r="E226" s="658"/>
      <c r="F226" s="655"/>
      <c r="G226" s="656"/>
      <c r="H226" s="657"/>
      <c r="I226" s="657"/>
      <c r="J226" s="657"/>
      <c r="K226" s="657"/>
      <c r="L226" s="657"/>
      <c r="M226" s="817"/>
    </row>
    <row r="227" spans="1:13">
      <c r="A227" s="658" t="s">
        <v>145</v>
      </c>
      <c r="B227" s="658" t="s">
        <v>2956</v>
      </c>
      <c r="C227" s="658"/>
      <c r="D227" s="658"/>
      <c r="E227" s="658"/>
      <c r="F227" s="653"/>
      <c r="G227" s="654"/>
      <c r="H227" s="657"/>
      <c r="I227" s="657">
        <f t="shared" ref="I227" si="185">H227</f>
        <v>0</v>
      </c>
      <c r="J227" s="657"/>
      <c r="K227" s="657"/>
      <c r="L227" s="657">
        <f t="shared" ref="L227" si="186">K227-I227</f>
        <v>0</v>
      </c>
      <c r="M227" s="13"/>
    </row>
    <row r="228" spans="1:13">
      <c r="A228" s="658"/>
      <c r="B228" s="658"/>
      <c r="C228" s="658"/>
      <c r="D228" s="658"/>
      <c r="E228" s="658"/>
      <c r="F228" s="655"/>
      <c r="G228" s="656"/>
      <c r="H228" s="657"/>
      <c r="I228" s="657"/>
      <c r="J228" s="657"/>
      <c r="K228" s="657"/>
      <c r="L228" s="657"/>
      <c r="M228" s="13"/>
    </row>
    <row r="229" spans="1:13">
      <c r="A229" s="658" t="s">
        <v>146</v>
      </c>
      <c r="B229" s="658" t="s">
        <v>1975</v>
      </c>
      <c r="C229" s="658" t="s">
        <v>2977</v>
      </c>
      <c r="D229" s="658" t="s">
        <v>2951</v>
      </c>
      <c r="E229" s="658" t="s">
        <v>239</v>
      </c>
      <c r="F229" s="653"/>
      <c r="G229" s="654"/>
      <c r="H229" s="657">
        <v>40283</v>
      </c>
      <c r="I229" s="657">
        <v>12000000</v>
      </c>
      <c r="J229" s="657"/>
      <c r="K229" s="657">
        <v>12000000</v>
      </c>
      <c r="L229" s="657">
        <f t="shared" ref="L229" si="187">K229-I229</f>
        <v>0</v>
      </c>
      <c r="M229" s="816">
        <v>40</v>
      </c>
    </row>
    <row r="230" spans="1:13">
      <c r="A230" s="658"/>
      <c r="B230" s="658"/>
      <c r="C230" s="658"/>
      <c r="D230" s="658"/>
      <c r="E230" s="658"/>
      <c r="F230" s="655"/>
      <c r="G230" s="656"/>
      <c r="H230" s="657"/>
      <c r="I230" s="657"/>
      <c r="J230" s="657"/>
      <c r="K230" s="657"/>
      <c r="L230" s="657"/>
      <c r="M230" s="817"/>
    </row>
    <row r="231" spans="1:13">
      <c r="A231" s="658"/>
      <c r="B231" s="658"/>
      <c r="C231" s="658" t="s">
        <v>286</v>
      </c>
      <c r="D231" s="658" t="s">
        <v>2967</v>
      </c>
      <c r="E231" s="658" t="s">
        <v>1601</v>
      </c>
      <c r="F231" s="653"/>
      <c r="G231" s="654"/>
      <c r="H231" s="657">
        <v>8000000</v>
      </c>
      <c r="I231" s="657">
        <f t="shared" ref="I231" si="188">H231</f>
        <v>8000000</v>
      </c>
      <c r="J231" s="657"/>
      <c r="K231" s="657">
        <v>8000000</v>
      </c>
      <c r="L231" s="657">
        <f t="shared" ref="L231" si="189">K231-I231</f>
        <v>0</v>
      </c>
      <c r="M231" s="816">
        <v>41</v>
      </c>
    </row>
    <row r="232" spans="1:13">
      <c r="A232" s="658"/>
      <c r="B232" s="658"/>
      <c r="C232" s="658"/>
      <c r="D232" s="658"/>
      <c r="E232" s="658"/>
      <c r="F232" s="655"/>
      <c r="G232" s="656"/>
      <c r="H232" s="657"/>
      <c r="I232" s="657"/>
      <c r="J232" s="657"/>
      <c r="K232" s="657"/>
      <c r="L232" s="657"/>
      <c r="M232" s="817"/>
    </row>
    <row r="233" spans="1:13">
      <c r="A233" s="658"/>
      <c r="B233" s="658"/>
      <c r="C233" s="658" t="s">
        <v>287</v>
      </c>
      <c r="D233" s="658" t="s">
        <v>2967</v>
      </c>
      <c r="E233" s="658" t="s">
        <v>2968</v>
      </c>
      <c r="F233" s="653"/>
      <c r="G233" s="654"/>
      <c r="H233" s="657">
        <v>3000000</v>
      </c>
      <c r="I233" s="657">
        <f t="shared" ref="I233" si="190">H233</f>
        <v>3000000</v>
      </c>
      <c r="J233" s="657"/>
      <c r="K233" s="657">
        <v>3000000</v>
      </c>
      <c r="L233" s="657">
        <f t="shared" ref="L233" si="191">K233-I233</f>
        <v>0</v>
      </c>
      <c r="M233" s="816">
        <v>42</v>
      </c>
    </row>
    <row r="234" spans="1:13">
      <c r="A234" s="658"/>
      <c r="B234" s="658"/>
      <c r="C234" s="658"/>
      <c r="D234" s="658"/>
      <c r="E234" s="658"/>
      <c r="F234" s="655"/>
      <c r="G234" s="656"/>
      <c r="H234" s="657"/>
      <c r="I234" s="657"/>
      <c r="J234" s="657"/>
      <c r="K234" s="657"/>
      <c r="L234" s="657"/>
      <c r="M234" s="817"/>
    </row>
    <row r="235" spans="1:13">
      <c r="A235" s="658" t="s">
        <v>158</v>
      </c>
      <c r="B235" s="658" t="s">
        <v>2969</v>
      </c>
      <c r="C235" s="658" t="s">
        <v>2979</v>
      </c>
      <c r="D235" s="658" t="s">
        <v>2978</v>
      </c>
      <c r="E235" s="658" t="s">
        <v>239</v>
      </c>
      <c r="F235" s="653"/>
      <c r="G235" s="654"/>
      <c r="H235" s="657">
        <v>40645</v>
      </c>
      <c r="I235" s="657">
        <v>12000000</v>
      </c>
      <c r="J235" s="657"/>
      <c r="K235" s="657">
        <v>12000000</v>
      </c>
      <c r="L235" s="657">
        <f t="shared" ref="L235" si="192">K235-I235</f>
        <v>0</v>
      </c>
      <c r="M235" s="816">
        <v>43</v>
      </c>
    </row>
    <row r="236" spans="1:13">
      <c r="A236" s="658"/>
      <c r="B236" s="658"/>
      <c r="C236" s="658"/>
      <c r="D236" s="658"/>
      <c r="E236" s="658"/>
      <c r="F236" s="655"/>
      <c r="G236" s="656"/>
      <c r="H236" s="657"/>
      <c r="I236" s="657"/>
      <c r="J236" s="657"/>
      <c r="K236" s="657"/>
      <c r="L236" s="657"/>
      <c r="M236" s="817"/>
    </row>
    <row r="237" spans="1:13">
      <c r="A237" s="658"/>
      <c r="B237" s="658"/>
      <c r="C237" s="658" t="s">
        <v>290</v>
      </c>
      <c r="D237" s="658" t="s">
        <v>2970</v>
      </c>
      <c r="E237" s="658" t="s">
        <v>2409</v>
      </c>
      <c r="F237" s="653"/>
      <c r="G237" s="654"/>
      <c r="H237" s="657">
        <v>4200000</v>
      </c>
      <c r="I237" s="657">
        <f t="shared" ref="I237" si="193">H237</f>
        <v>4200000</v>
      </c>
      <c r="J237" s="657"/>
      <c r="K237" s="657">
        <v>4200000</v>
      </c>
      <c r="L237" s="657">
        <f t="shared" ref="L237" si="194">K237-I237</f>
        <v>0</v>
      </c>
      <c r="M237" s="816"/>
    </row>
    <row r="238" spans="1:13">
      <c r="A238" s="658"/>
      <c r="B238" s="658"/>
      <c r="C238" s="658"/>
      <c r="D238" s="658"/>
      <c r="E238" s="658"/>
      <c r="F238" s="655"/>
      <c r="G238" s="656"/>
      <c r="H238" s="657"/>
      <c r="I238" s="657"/>
      <c r="J238" s="657"/>
      <c r="K238" s="657"/>
      <c r="L238" s="657"/>
      <c r="M238" s="817"/>
    </row>
    <row r="239" spans="1:13">
      <c r="A239" s="658"/>
      <c r="B239" s="658"/>
      <c r="C239" s="658" t="s">
        <v>279</v>
      </c>
      <c r="D239" s="658" t="s">
        <v>2970</v>
      </c>
      <c r="E239" s="658" t="s">
        <v>1144</v>
      </c>
      <c r="F239" s="653"/>
      <c r="G239" s="654"/>
      <c r="H239" s="657">
        <v>4430600</v>
      </c>
      <c r="I239" s="657">
        <f t="shared" ref="I239" si="195">H239</f>
        <v>4430600</v>
      </c>
      <c r="J239" s="657"/>
      <c r="K239" s="657">
        <v>4430600</v>
      </c>
      <c r="L239" s="657">
        <f t="shared" ref="L239" si="196">K239-I239</f>
        <v>0</v>
      </c>
      <c r="M239" s="816"/>
    </row>
    <row r="240" spans="1:13">
      <c r="A240" s="658"/>
      <c r="B240" s="658"/>
      <c r="C240" s="658"/>
      <c r="D240" s="658"/>
      <c r="E240" s="658"/>
      <c r="F240" s="655"/>
      <c r="G240" s="656"/>
      <c r="H240" s="657"/>
      <c r="I240" s="657"/>
      <c r="J240" s="657"/>
      <c r="K240" s="657"/>
      <c r="L240" s="657"/>
      <c r="M240" s="817"/>
    </row>
    <row r="241" spans="1:14">
      <c r="A241" s="658" t="s">
        <v>159</v>
      </c>
      <c r="B241" s="658" t="s">
        <v>2971</v>
      </c>
      <c r="C241" s="658" t="s">
        <v>2980</v>
      </c>
      <c r="D241" s="658" t="s">
        <v>2978</v>
      </c>
      <c r="E241" s="658" t="s">
        <v>239</v>
      </c>
      <c r="F241" s="653"/>
      <c r="G241" s="654"/>
      <c r="H241" s="657">
        <v>40645</v>
      </c>
      <c r="I241" s="657">
        <v>12000000</v>
      </c>
      <c r="J241" s="657"/>
      <c r="K241" s="657">
        <v>12000000</v>
      </c>
      <c r="L241" s="657">
        <f t="shared" ref="L241" si="197">K241-I241</f>
        <v>0</v>
      </c>
      <c r="M241" s="816">
        <v>44</v>
      </c>
      <c r="N241" s="572">
        <f>H237+H239+SUM(H245:H252)+SUM(H255:H264)+SUM(H267:H330)+H331+H339+H349+H357</f>
        <v>193939458</v>
      </c>
    </row>
    <row r="242" spans="1:14">
      <c r="A242" s="658"/>
      <c r="B242" s="658"/>
      <c r="C242" s="658"/>
      <c r="D242" s="658"/>
      <c r="E242" s="658"/>
      <c r="F242" s="655"/>
      <c r="G242" s="656"/>
      <c r="H242" s="657"/>
      <c r="I242" s="657"/>
      <c r="J242" s="657"/>
      <c r="K242" s="657"/>
      <c r="L242" s="657"/>
      <c r="M242" s="817"/>
    </row>
    <row r="243" spans="1:14">
      <c r="A243" s="703" t="s">
        <v>210</v>
      </c>
      <c r="B243" s="820"/>
      <c r="C243" s="820"/>
      <c r="D243" s="820"/>
      <c r="E243" s="820"/>
      <c r="F243" s="820"/>
      <c r="G243" s="820"/>
      <c r="H243" s="820"/>
      <c r="I243" s="820"/>
      <c r="J243" s="820"/>
      <c r="K243" s="820"/>
      <c r="L243" s="820"/>
      <c r="M243" s="821"/>
    </row>
    <row r="244" spans="1:14">
      <c r="A244" s="822"/>
      <c r="B244" s="823"/>
      <c r="C244" s="823"/>
      <c r="D244" s="823"/>
      <c r="E244" s="823"/>
      <c r="F244" s="823"/>
      <c r="G244" s="823"/>
      <c r="H244" s="823"/>
      <c r="I244" s="823"/>
      <c r="J244" s="823"/>
      <c r="K244" s="823"/>
      <c r="L244" s="823"/>
      <c r="M244" s="824"/>
    </row>
    <row r="245" spans="1:14">
      <c r="A245" s="658"/>
      <c r="B245" s="658"/>
      <c r="C245" s="658" t="s">
        <v>292</v>
      </c>
      <c r="D245" s="658" t="s">
        <v>2970</v>
      </c>
      <c r="E245" s="658" t="s">
        <v>2972</v>
      </c>
      <c r="F245" s="653"/>
      <c r="G245" s="654"/>
      <c r="H245" s="657">
        <v>3400000</v>
      </c>
      <c r="I245" s="657">
        <f t="shared" ref="I245" si="198">H245</f>
        <v>3400000</v>
      </c>
      <c r="J245" s="657"/>
      <c r="K245" s="657">
        <v>3400000</v>
      </c>
      <c r="L245" s="657">
        <f t="shared" ref="L245" si="199">K245-I245</f>
        <v>0</v>
      </c>
      <c r="M245" s="816"/>
    </row>
    <row r="246" spans="1:14">
      <c r="A246" s="658"/>
      <c r="B246" s="658"/>
      <c r="C246" s="658"/>
      <c r="D246" s="658"/>
      <c r="E246" s="658"/>
      <c r="F246" s="655"/>
      <c r="G246" s="656"/>
      <c r="H246" s="657"/>
      <c r="I246" s="657"/>
      <c r="J246" s="657"/>
      <c r="K246" s="657"/>
      <c r="L246" s="657"/>
      <c r="M246" s="817"/>
      <c r="N246" t="s">
        <v>2503</v>
      </c>
    </row>
    <row r="247" spans="1:14">
      <c r="A247" s="658"/>
      <c r="B247" s="658"/>
      <c r="C247" s="658" t="s">
        <v>293</v>
      </c>
      <c r="D247" s="658" t="s">
        <v>2970</v>
      </c>
      <c r="E247" s="658" t="s">
        <v>2723</v>
      </c>
      <c r="F247" s="653"/>
      <c r="G247" s="654"/>
      <c r="H247" s="657">
        <v>4200000</v>
      </c>
      <c r="I247" s="657">
        <f t="shared" ref="I247" si="200">H247</f>
        <v>4200000</v>
      </c>
      <c r="J247" s="657"/>
      <c r="K247" s="657">
        <v>4200000</v>
      </c>
      <c r="L247" s="657">
        <f t="shared" ref="L247" si="201">K247-I247</f>
        <v>0</v>
      </c>
      <c r="M247" s="816"/>
      <c r="N247" s="6" t="s">
        <v>3065</v>
      </c>
    </row>
    <row r="248" spans="1:14">
      <c r="A248" s="658"/>
      <c r="B248" s="658"/>
      <c r="C248" s="658"/>
      <c r="D248" s="658"/>
      <c r="E248" s="658"/>
      <c r="F248" s="655"/>
      <c r="G248" s="656"/>
      <c r="H248" s="657"/>
      <c r="I248" s="657"/>
      <c r="J248" s="657"/>
      <c r="K248" s="657"/>
      <c r="L248" s="657"/>
      <c r="M248" s="817"/>
    </row>
    <row r="249" spans="1:14">
      <c r="A249" s="658"/>
      <c r="B249" s="658"/>
      <c r="C249" s="658" t="s">
        <v>294</v>
      </c>
      <c r="D249" s="658" t="s">
        <v>2970</v>
      </c>
      <c r="E249" s="658" t="s">
        <v>2973</v>
      </c>
      <c r="F249" s="653"/>
      <c r="G249" s="654"/>
      <c r="H249" s="657">
        <v>200000</v>
      </c>
      <c r="I249" s="657">
        <f t="shared" ref="I249" si="202">H249</f>
        <v>200000</v>
      </c>
      <c r="J249" s="657"/>
      <c r="K249" s="657">
        <v>200000</v>
      </c>
      <c r="L249" s="657">
        <f t="shared" ref="L249" si="203">K249-I249</f>
        <v>0</v>
      </c>
      <c r="M249" s="816"/>
    </row>
    <row r="250" spans="1:14">
      <c r="A250" s="658"/>
      <c r="B250" s="658"/>
      <c r="C250" s="658"/>
      <c r="D250" s="658"/>
      <c r="E250" s="658"/>
      <c r="F250" s="655"/>
      <c r="G250" s="656"/>
      <c r="H250" s="657"/>
      <c r="I250" s="657"/>
      <c r="J250" s="657"/>
      <c r="K250" s="657"/>
      <c r="L250" s="657"/>
      <c r="M250" s="817"/>
    </row>
    <row r="251" spans="1:14">
      <c r="A251" s="658"/>
      <c r="B251" s="658"/>
      <c r="C251" s="658" t="s">
        <v>295</v>
      </c>
      <c r="D251" s="658" t="s">
        <v>2970</v>
      </c>
      <c r="E251" s="658" t="s">
        <v>2973</v>
      </c>
      <c r="F251" s="653"/>
      <c r="G251" s="654"/>
      <c r="H251" s="657">
        <v>3800000</v>
      </c>
      <c r="I251" s="657">
        <f t="shared" ref="I251" si="204">H251</f>
        <v>3800000</v>
      </c>
      <c r="J251" s="657"/>
      <c r="K251" s="657">
        <v>3800000</v>
      </c>
      <c r="L251" s="657">
        <f t="shared" ref="L251" si="205">K251-I251</f>
        <v>0</v>
      </c>
      <c r="M251" s="816"/>
    </row>
    <row r="252" spans="1:14">
      <c r="A252" s="658"/>
      <c r="B252" s="658"/>
      <c r="C252" s="658"/>
      <c r="D252" s="658"/>
      <c r="E252" s="658"/>
      <c r="F252" s="655"/>
      <c r="G252" s="656"/>
      <c r="H252" s="657"/>
      <c r="I252" s="657"/>
      <c r="J252" s="657"/>
      <c r="K252" s="657"/>
      <c r="L252" s="657"/>
      <c r="M252" s="817"/>
    </row>
    <row r="253" spans="1:14">
      <c r="A253" s="658" t="s">
        <v>162</v>
      </c>
      <c r="B253" s="658" t="s">
        <v>2974</v>
      </c>
      <c r="C253" s="658" t="s">
        <v>2982</v>
      </c>
      <c r="D253" s="658" t="s">
        <v>2981</v>
      </c>
      <c r="E253" s="658" t="s">
        <v>239</v>
      </c>
      <c r="F253" s="653"/>
      <c r="G253" s="654"/>
      <c r="H253" s="657">
        <v>40411</v>
      </c>
      <c r="I253" s="657">
        <v>12000000</v>
      </c>
      <c r="J253" s="657"/>
      <c r="K253" s="657">
        <v>12000000</v>
      </c>
      <c r="L253" s="657">
        <f t="shared" ref="L253" si="206">K253-I253</f>
        <v>0</v>
      </c>
      <c r="M253" s="816">
        <v>45</v>
      </c>
    </row>
    <row r="254" spans="1:14">
      <c r="A254" s="658"/>
      <c r="B254" s="658"/>
      <c r="C254" s="658"/>
      <c r="D254" s="658"/>
      <c r="E254" s="658"/>
      <c r="F254" s="655"/>
      <c r="G254" s="656"/>
      <c r="H254" s="657"/>
      <c r="I254" s="657"/>
      <c r="J254" s="657"/>
      <c r="K254" s="657"/>
      <c r="L254" s="657"/>
      <c r="M254" s="817"/>
    </row>
    <row r="255" spans="1:14">
      <c r="A255" s="658"/>
      <c r="B255" s="658"/>
      <c r="C255" s="658" t="s">
        <v>296</v>
      </c>
      <c r="D255" s="658" t="s">
        <v>2975</v>
      </c>
      <c r="E255" s="658" t="s">
        <v>117</v>
      </c>
      <c r="F255" s="653"/>
      <c r="G255" s="654"/>
      <c r="H255" s="657">
        <v>1150000</v>
      </c>
      <c r="I255" s="657">
        <f t="shared" ref="I255" si="207">H255</f>
        <v>1150000</v>
      </c>
      <c r="J255" s="657"/>
      <c r="K255" s="657">
        <v>1150000</v>
      </c>
      <c r="L255" s="657">
        <f t="shared" ref="L255" si="208">K255-I255</f>
        <v>0</v>
      </c>
      <c r="M255" s="816"/>
    </row>
    <row r="256" spans="1:14">
      <c r="A256" s="658"/>
      <c r="B256" s="658"/>
      <c r="C256" s="658"/>
      <c r="D256" s="658"/>
      <c r="E256" s="658"/>
      <c r="F256" s="655"/>
      <c r="G256" s="656"/>
      <c r="H256" s="657"/>
      <c r="I256" s="657"/>
      <c r="J256" s="657"/>
      <c r="K256" s="657"/>
      <c r="L256" s="657"/>
      <c r="M256" s="817"/>
    </row>
    <row r="257" spans="1:13">
      <c r="A257" s="658"/>
      <c r="B257" s="658"/>
      <c r="C257" s="658" t="s">
        <v>311</v>
      </c>
      <c r="D257" s="658" t="s">
        <v>2975</v>
      </c>
      <c r="E257" s="658" t="s">
        <v>2535</v>
      </c>
      <c r="F257" s="653"/>
      <c r="G257" s="654"/>
      <c r="H257" s="657">
        <v>4900000</v>
      </c>
      <c r="I257" s="657">
        <f t="shared" ref="I257" si="209">H257</f>
        <v>4900000</v>
      </c>
      <c r="J257" s="657"/>
      <c r="K257" s="657">
        <v>4900000</v>
      </c>
      <c r="L257" s="657">
        <f t="shared" ref="L257" si="210">K257-I257</f>
        <v>0</v>
      </c>
      <c r="M257" s="816"/>
    </row>
    <row r="258" spans="1:13">
      <c r="A258" s="658"/>
      <c r="B258" s="658"/>
      <c r="C258" s="658"/>
      <c r="D258" s="658"/>
      <c r="E258" s="658"/>
      <c r="F258" s="655"/>
      <c r="G258" s="656"/>
      <c r="H258" s="657"/>
      <c r="I258" s="657"/>
      <c r="J258" s="657"/>
      <c r="K258" s="657"/>
      <c r="L258" s="657"/>
      <c r="M258" s="817"/>
    </row>
    <row r="259" spans="1:13">
      <c r="A259" s="658" t="s">
        <v>163</v>
      </c>
      <c r="B259" s="658" t="s">
        <v>2983</v>
      </c>
      <c r="C259" s="658" t="s">
        <v>3002</v>
      </c>
      <c r="D259" s="658" t="s">
        <v>2975</v>
      </c>
      <c r="E259" s="658" t="s">
        <v>239</v>
      </c>
      <c r="F259" s="653"/>
      <c r="G259" s="654"/>
      <c r="H259" s="657">
        <v>12000000</v>
      </c>
      <c r="I259" s="657">
        <f t="shared" ref="I259" si="211">H259</f>
        <v>12000000</v>
      </c>
      <c r="J259" s="657"/>
      <c r="K259" s="657">
        <v>12000000</v>
      </c>
      <c r="L259" s="657">
        <f t="shared" ref="L259" si="212">K259-I259</f>
        <v>0</v>
      </c>
      <c r="M259" s="816"/>
    </row>
    <row r="260" spans="1:13">
      <c r="A260" s="658"/>
      <c r="B260" s="658"/>
      <c r="C260" s="658"/>
      <c r="D260" s="658"/>
      <c r="E260" s="658"/>
      <c r="F260" s="655"/>
      <c r="G260" s="656"/>
      <c r="H260" s="657"/>
      <c r="I260" s="657"/>
      <c r="J260" s="657"/>
      <c r="K260" s="657"/>
      <c r="L260" s="657"/>
      <c r="M260" s="817"/>
    </row>
    <row r="261" spans="1:13">
      <c r="A261" s="658"/>
      <c r="B261" s="658"/>
      <c r="C261" s="658" t="s">
        <v>315</v>
      </c>
      <c r="D261" s="658" t="s">
        <v>2985</v>
      </c>
      <c r="E261" s="658" t="s">
        <v>2984</v>
      </c>
      <c r="F261" s="653"/>
      <c r="G261" s="654"/>
      <c r="H261" s="657">
        <v>4000000</v>
      </c>
      <c r="I261" s="657">
        <f t="shared" ref="I261" si="213">H261</f>
        <v>4000000</v>
      </c>
      <c r="J261" s="657"/>
      <c r="K261" s="657">
        <v>4000000</v>
      </c>
      <c r="L261" s="657">
        <f t="shared" ref="L261" si="214">K261-I261</f>
        <v>0</v>
      </c>
      <c r="M261" s="816"/>
    </row>
    <row r="262" spans="1:13">
      <c r="A262" s="658"/>
      <c r="B262" s="658"/>
      <c r="C262" s="658"/>
      <c r="D262" s="658"/>
      <c r="E262" s="658"/>
      <c r="F262" s="655"/>
      <c r="G262" s="656"/>
      <c r="H262" s="657"/>
      <c r="I262" s="657"/>
      <c r="J262" s="657"/>
      <c r="K262" s="657"/>
      <c r="L262" s="657"/>
      <c r="M262" s="817"/>
    </row>
    <row r="263" spans="1:13">
      <c r="A263" s="658"/>
      <c r="B263" s="658"/>
      <c r="C263" s="658" t="s">
        <v>316</v>
      </c>
      <c r="D263" s="658" t="s">
        <v>2985</v>
      </c>
      <c r="E263" s="658" t="s">
        <v>2986</v>
      </c>
      <c r="F263" s="653"/>
      <c r="G263" s="654"/>
      <c r="H263" s="657">
        <v>6000000</v>
      </c>
      <c r="I263" s="657">
        <f t="shared" ref="I263" si="215">H263</f>
        <v>6000000</v>
      </c>
      <c r="J263" s="657"/>
      <c r="K263" s="657">
        <v>6000000</v>
      </c>
      <c r="L263" s="657">
        <f t="shared" ref="L263" si="216">K263-I263</f>
        <v>0</v>
      </c>
      <c r="M263" s="816"/>
    </row>
    <row r="264" spans="1:13">
      <c r="A264" s="658"/>
      <c r="B264" s="658"/>
      <c r="C264" s="658"/>
      <c r="D264" s="658"/>
      <c r="E264" s="658"/>
      <c r="F264" s="655"/>
      <c r="G264" s="656"/>
      <c r="H264" s="657"/>
      <c r="I264" s="657"/>
      <c r="J264" s="657"/>
      <c r="K264" s="657"/>
      <c r="L264" s="657"/>
      <c r="M264" s="817"/>
    </row>
    <row r="265" spans="1:13">
      <c r="A265" s="658" t="s">
        <v>23</v>
      </c>
      <c r="B265" s="658" t="s">
        <v>2956</v>
      </c>
      <c r="C265" s="658"/>
      <c r="D265" s="658"/>
      <c r="E265" s="658"/>
      <c r="F265" s="653"/>
      <c r="G265" s="654"/>
      <c r="H265" s="657"/>
      <c r="I265" s="657">
        <f t="shared" ref="I265" si="217">H265</f>
        <v>0</v>
      </c>
      <c r="J265" s="657"/>
      <c r="K265" s="657"/>
      <c r="L265" s="657">
        <f t="shared" ref="L265" si="218">K265-I265</f>
        <v>0</v>
      </c>
      <c r="M265" s="816"/>
    </row>
    <row r="266" spans="1:13">
      <c r="A266" s="658"/>
      <c r="B266" s="658"/>
      <c r="C266" s="658"/>
      <c r="D266" s="658"/>
      <c r="E266" s="658"/>
      <c r="F266" s="655"/>
      <c r="G266" s="656"/>
      <c r="H266" s="657"/>
      <c r="I266" s="657"/>
      <c r="J266" s="657"/>
      <c r="K266" s="657"/>
      <c r="L266" s="657"/>
      <c r="M266" s="817"/>
    </row>
    <row r="267" spans="1:13">
      <c r="A267" s="658" t="s">
        <v>164</v>
      </c>
      <c r="B267" s="658" t="s">
        <v>2969</v>
      </c>
      <c r="C267" s="658" t="s">
        <v>3004</v>
      </c>
      <c r="D267" s="658" t="s">
        <v>3003</v>
      </c>
      <c r="E267" s="658" t="s">
        <v>239</v>
      </c>
      <c r="F267" s="653"/>
      <c r="G267" s="654"/>
      <c r="H267" s="657">
        <v>40401</v>
      </c>
      <c r="I267" s="657">
        <v>12000000</v>
      </c>
      <c r="J267" s="657"/>
      <c r="K267" s="657">
        <v>12000000</v>
      </c>
      <c r="L267" s="657">
        <f t="shared" ref="L267" si="219">K267-I267</f>
        <v>0</v>
      </c>
      <c r="M267" s="816"/>
    </row>
    <row r="268" spans="1:13">
      <c r="A268" s="658"/>
      <c r="B268" s="658"/>
      <c r="C268" s="658"/>
      <c r="D268" s="658"/>
      <c r="E268" s="658"/>
      <c r="F268" s="655"/>
      <c r="G268" s="656"/>
      <c r="H268" s="657"/>
      <c r="I268" s="657"/>
      <c r="J268" s="657"/>
      <c r="K268" s="657"/>
      <c r="L268" s="657"/>
      <c r="M268" s="817"/>
    </row>
    <row r="269" spans="1:13">
      <c r="A269" s="658"/>
      <c r="B269" s="658"/>
      <c r="C269" s="658" t="s">
        <v>317</v>
      </c>
      <c r="D269" s="658" t="s">
        <v>2987</v>
      </c>
      <c r="E269" s="658" t="s">
        <v>2652</v>
      </c>
      <c r="F269" s="653"/>
      <c r="G269" s="654"/>
      <c r="H269" s="657">
        <v>3000000</v>
      </c>
      <c r="I269" s="657">
        <f t="shared" ref="I269" si="220">H269</f>
        <v>3000000</v>
      </c>
      <c r="J269" s="657"/>
      <c r="K269" s="657">
        <v>3000000</v>
      </c>
      <c r="L269" s="657">
        <f t="shared" ref="L269" si="221">K269-I269</f>
        <v>0</v>
      </c>
      <c r="M269" s="816"/>
    </row>
    <row r="270" spans="1:13">
      <c r="A270" s="658"/>
      <c r="B270" s="658"/>
      <c r="C270" s="658"/>
      <c r="D270" s="658"/>
      <c r="E270" s="658"/>
      <c r="F270" s="655"/>
      <c r="G270" s="656"/>
      <c r="H270" s="657"/>
      <c r="I270" s="657"/>
      <c r="J270" s="657"/>
      <c r="K270" s="657"/>
      <c r="L270" s="657"/>
      <c r="M270" s="817"/>
    </row>
    <row r="271" spans="1:13">
      <c r="A271" s="658" t="s">
        <v>165</v>
      </c>
      <c r="B271" s="658" t="s">
        <v>2971</v>
      </c>
      <c r="C271" s="658" t="s">
        <v>3006</v>
      </c>
      <c r="D271" s="658" t="s">
        <v>3005</v>
      </c>
      <c r="E271" s="658" t="s">
        <v>239</v>
      </c>
      <c r="F271" s="653"/>
      <c r="G271" s="654"/>
      <c r="H271" s="657">
        <v>12000000</v>
      </c>
      <c r="I271" s="657">
        <f t="shared" ref="I271" si="222">H271</f>
        <v>12000000</v>
      </c>
      <c r="J271" s="657"/>
      <c r="K271" s="657">
        <v>12000000</v>
      </c>
      <c r="L271" s="657">
        <f t="shared" ref="L271" si="223">K271-I271</f>
        <v>0</v>
      </c>
      <c r="M271" s="816"/>
    </row>
    <row r="272" spans="1:13">
      <c r="A272" s="658"/>
      <c r="B272" s="658"/>
      <c r="C272" s="658"/>
      <c r="D272" s="658"/>
      <c r="E272" s="658"/>
      <c r="F272" s="655"/>
      <c r="G272" s="656"/>
      <c r="H272" s="657"/>
      <c r="I272" s="657"/>
      <c r="J272" s="657"/>
      <c r="K272" s="657"/>
      <c r="L272" s="657"/>
      <c r="M272" s="817"/>
    </row>
    <row r="273" spans="1:13">
      <c r="A273" s="658"/>
      <c r="B273" s="658"/>
      <c r="C273" s="658" t="s">
        <v>312</v>
      </c>
      <c r="D273" s="658" t="s">
        <v>2988</v>
      </c>
      <c r="E273" s="658" t="s">
        <v>1140</v>
      </c>
      <c r="F273" s="653"/>
      <c r="G273" s="654"/>
      <c r="H273" s="657">
        <v>7000000</v>
      </c>
      <c r="I273" s="657">
        <f t="shared" ref="I273" si="224">H273</f>
        <v>7000000</v>
      </c>
      <c r="J273" s="657"/>
      <c r="K273" s="657">
        <v>7000000</v>
      </c>
      <c r="L273" s="657">
        <f t="shared" ref="L273" si="225">K273-I273</f>
        <v>0</v>
      </c>
      <c r="M273" s="816"/>
    </row>
    <row r="274" spans="1:13">
      <c r="A274" s="658"/>
      <c r="B274" s="658"/>
      <c r="C274" s="658"/>
      <c r="D274" s="658"/>
      <c r="E274" s="658"/>
      <c r="F274" s="655"/>
      <c r="G274" s="656"/>
      <c r="H274" s="657"/>
      <c r="I274" s="657"/>
      <c r="J274" s="657"/>
      <c r="K274" s="657"/>
      <c r="L274" s="657"/>
      <c r="M274" s="817"/>
    </row>
    <row r="275" spans="1:13">
      <c r="A275" s="658"/>
      <c r="B275" s="658"/>
      <c r="C275" s="658" t="s">
        <v>318</v>
      </c>
      <c r="D275" s="658" t="s">
        <v>2985</v>
      </c>
      <c r="E275" s="658" t="s">
        <v>2989</v>
      </c>
      <c r="F275" s="653"/>
      <c r="G275" s="654"/>
      <c r="H275" s="657">
        <v>1400000</v>
      </c>
      <c r="I275" s="657">
        <f t="shared" ref="I275" si="226">H275</f>
        <v>1400000</v>
      </c>
      <c r="J275" s="657"/>
      <c r="K275" s="657">
        <v>1400000</v>
      </c>
      <c r="L275" s="657">
        <f t="shared" ref="L275" si="227">K275-I275</f>
        <v>0</v>
      </c>
      <c r="M275" s="837">
        <v>42494</v>
      </c>
    </row>
    <row r="276" spans="1:13">
      <c r="A276" s="658"/>
      <c r="B276" s="658"/>
      <c r="C276" s="658"/>
      <c r="D276" s="658"/>
      <c r="E276" s="658"/>
      <c r="F276" s="655"/>
      <c r="G276" s="656"/>
      <c r="H276" s="657"/>
      <c r="I276" s="657"/>
      <c r="J276" s="657"/>
      <c r="K276" s="657"/>
      <c r="L276" s="657"/>
      <c r="M276" s="817"/>
    </row>
    <row r="277" spans="1:13">
      <c r="A277" s="658" t="s">
        <v>166</v>
      </c>
      <c r="B277" s="658" t="s">
        <v>2974</v>
      </c>
      <c r="C277" s="658" t="s">
        <v>3007</v>
      </c>
      <c r="D277" s="658" t="s">
        <v>2985</v>
      </c>
      <c r="E277" s="658" t="s">
        <v>239</v>
      </c>
      <c r="F277" s="653"/>
      <c r="G277" s="654"/>
      <c r="H277" s="657">
        <v>41996</v>
      </c>
      <c r="I277" s="657">
        <v>12500000</v>
      </c>
      <c r="J277" s="657"/>
      <c r="K277" s="657">
        <v>12500000</v>
      </c>
      <c r="L277" s="657">
        <f t="shared" ref="L277" si="228">K277-I277</f>
        <v>0</v>
      </c>
      <c r="M277" s="816"/>
    </row>
    <row r="278" spans="1:13">
      <c r="A278" s="658"/>
      <c r="B278" s="658"/>
      <c r="C278" s="658"/>
      <c r="D278" s="658"/>
      <c r="E278" s="658"/>
      <c r="F278" s="655"/>
      <c r="G278" s="656"/>
      <c r="H278" s="657"/>
      <c r="I278" s="657"/>
      <c r="J278" s="657"/>
      <c r="K278" s="657"/>
      <c r="L278" s="657"/>
      <c r="M278" s="817"/>
    </row>
    <row r="279" spans="1:13">
      <c r="A279" s="658"/>
      <c r="B279" s="658"/>
      <c r="C279" s="658" t="s">
        <v>332</v>
      </c>
      <c r="D279" s="658" t="s">
        <v>2987</v>
      </c>
      <c r="E279" s="658" t="s">
        <v>2249</v>
      </c>
      <c r="F279" s="653"/>
      <c r="G279" s="654"/>
      <c r="H279" s="657">
        <v>4000000</v>
      </c>
      <c r="I279" s="657">
        <f t="shared" ref="I279" si="229">H279</f>
        <v>4000000</v>
      </c>
      <c r="J279" s="657"/>
      <c r="K279" s="657">
        <v>4000000</v>
      </c>
      <c r="L279" s="657">
        <f t="shared" ref="L279" si="230">K279-I279</f>
        <v>0</v>
      </c>
      <c r="M279" s="816"/>
    </row>
    <row r="280" spans="1:13">
      <c r="A280" s="658"/>
      <c r="B280" s="658"/>
      <c r="C280" s="658"/>
      <c r="D280" s="658"/>
      <c r="E280" s="658"/>
      <c r="F280" s="655"/>
      <c r="G280" s="656"/>
      <c r="H280" s="657"/>
      <c r="I280" s="657"/>
      <c r="J280" s="657"/>
      <c r="K280" s="657"/>
      <c r="L280" s="657"/>
      <c r="M280" s="817"/>
    </row>
    <row r="281" spans="1:13">
      <c r="A281" s="658"/>
      <c r="B281" s="658"/>
      <c r="C281" s="658" t="s">
        <v>333</v>
      </c>
      <c r="D281" s="658" t="s">
        <v>2987</v>
      </c>
      <c r="E281" s="658" t="s">
        <v>117</v>
      </c>
      <c r="F281" s="653"/>
      <c r="G281" s="654"/>
      <c r="H281" s="657">
        <v>1150000</v>
      </c>
      <c r="I281" s="657">
        <f t="shared" ref="I281" si="231">H281</f>
        <v>1150000</v>
      </c>
      <c r="J281" s="657"/>
      <c r="K281" s="657">
        <v>1150000</v>
      </c>
      <c r="L281" s="657">
        <f t="shared" ref="L281" si="232">K281-I281</f>
        <v>0</v>
      </c>
      <c r="M281" s="816"/>
    </row>
    <row r="282" spans="1:13">
      <c r="A282" s="658"/>
      <c r="B282" s="658"/>
      <c r="C282" s="658"/>
      <c r="D282" s="658"/>
      <c r="E282" s="658"/>
      <c r="F282" s="655"/>
      <c r="G282" s="656"/>
      <c r="H282" s="657"/>
      <c r="I282" s="657"/>
      <c r="J282" s="657"/>
      <c r="K282" s="657"/>
      <c r="L282" s="657"/>
      <c r="M282" s="817"/>
    </row>
    <row r="283" spans="1:13">
      <c r="A283" s="658" t="s">
        <v>183</v>
      </c>
      <c r="B283" s="658" t="s">
        <v>3008</v>
      </c>
      <c r="C283" s="658" t="s">
        <v>3010</v>
      </c>
      <c r="D283" s="658" t="s">
        <v>2987</v>
      </c>
      <c r="E283" s="658" t="s">
        <v>239</v>
      </c>
      <c r="F283" s="653"/>
      <c r="G283" s="654"/>
      <c r="H283" s="657">
        <v>12000000</v>
      </c>
      <c r="I283" s="657">
        <f t="shared" ref="I283" si="233">H283</f>
        <v>12000000</v>
      </c>
      <c r="J283" s="657"/>
      <c r="K283" s="657">
        <v>12000000</v>
      </c>
      <c r="L283" s="657">
        <f t="shared" ref="L283" si="234">K283-I283</f>
        <v>0</v>
      </c>
      <c r="M283" s="13"/>
    </row>
    <row r="284" spans="1:13">
      <c r="A284" s="658"/>
      <c r="B284" s="658"/>
      <c r="C284" s="658"/>
      <c r="D284" s="658"/>
      <c r="E284" s="658"/>
      <c r="F284" s="655"/>
      <c r="G284" s="656"/>
      <c r="H284" s="657"/>
      <c r="I284" s="657"/>
      <c r="J284" s="657"/>
      <c r="K284" s="657"/>
      <c r="L284" s="657"/>
      <c r="M284" s="13"/>
    </row>
    <row r="285" spans="1:13">
      <c r="A285" s="658"/>
      <c r="B285" s="658"/>
      <c r="C285" s="658" t="s">
        <v>336</v>
      </c>
      <c r="D285" s="658" t="s">
        <v>3011</v>
      </c>
      <c r="E285" s="658" t="s">
        <v>2723</v>
      </c>
      <c r="F285" s="653"/>
      <c r="G285" s="654"/>
      <c r="H285" s="657">
        <v>4000000</v>
      </c>
      <c r="I285" s="657">
        <f t="shared" ref="I285" si="235">H285</f>
        <v>4000000</v>
      </c>
      <c r="J285" s="657"/>
      <c r="K285" s="657">
        <v>4000000</v>
      </c>
      <c r="L285" s="657">
        <f t="shared" ref="L285" si="236">K285-I285</f>
        <v>0</v>
      </c>
      <c r="M285" s="13"/>
    </row>
    <row r="286" spans="1:13">
      <c r="A286" s="658"/>
      <c r="B286" s="658"/>
      <c r="C286" s="658"/>
      <c r="D286" s="658"/>
      <c r="E286" s="658"/>
      <c r="F286" s="655"/>
      <c r="G286" s="656"/>
      <c r="H286" s="657"/>
      <c r="I286" s="657"/>
      <c r="J286" s="657"/>
      <c r="K286" s="657"/>
      <c r="L286" s="657"/>
      <c r="M286" s="13"/>
    </row>
    <row r="287" spans="1:13">
      <c r="A287" s="658"/>
      <c r="B287" s="658"/>
      <c r="C287" s="658" t="s">
        <v>337</v>
      </c>
      <c r="D287" s="658" t="s">
        <v>3011</v>
      </c>
      <c r="E287" s="658" t="s">
        <v>2723</v>
      </c>
      <c r="F287" s="653"/>
      <c r="G287" s="654"/>
      <c r="H287" s="657">
        <v>3800000</v>
      </c>
      <c r="I287" s="657">
        <f t="shared" ref="I287" si="237">H287</f>
        <v>3800000</v>
      </c>
      <c r="J287" s="657"/>
      <c r="K287" s="657">
        <v>3800000</v>
      </c>
      <c r="L287" s="657">
        <f t="shared" ref="L287" si="238">K287-I287</f>
        <v>0</v>
      </c>
      <c r="M287" s="13"/>
    </row>
    <row r="288" spans="1:13">
      <c r="A288" s="658"/>
      <c r="B288" s="658"/>
      <c r="C288" s="658"/>
      <c r="D288" s="658"/>
      <c r="E288" s="658"/>
      <c r="F288" s="655"/>
      <c r="G288" s="656"/>
      <c r="H288" s="657"/>
      <c r="I288" s="657"/>
      <c r="J288" s="657"/>
      <c r="K288" s="657"/>
      <c r="L288" s="657"/>
      <c r="M288" s="13"/>
    </row>
    <row r="289" spans="1:13">
      <c r="A289" s="658"/>
      <c r="B289" s="658"/>
      <c r="C289" s="658" t="s">
        <v>338</v>
      </c>
      <c r="D289" s="658" t="s">
        <v>3011</v>
      </c>
      <c r="E289" s="658" t="s">
        <v>3009</v>
      </c>
      <c r="F289" s="653"/>
      <c r="G289" s="654"/>
      <c r="H289" s="657">
        <v>3800000</v>
      </c>
      <c r="I289" s="657">
        <f t="shared" ref="I289" si="239">H289</f>
        <v>3800000</v>
      </c>
      <c r="J289" s="657"/>
      <c r="K289" s="657">
        <v>3800000</v>
      </c>
      <c r="L289" s="657">
        <f t="shared" ref="L289" si="240">K289-I289</f>
        <v>0</v>
      </c>
      <c r="M289" s="13"/>
    </row>
    <row r="290" spans="1:13">
      <c r="A290" s="658"/>
      <c r="B290" s="658"/>
      <c r="C290" s="658"/>
      <c r="D290" s="658"/>
      <c r="E290" s="658"/>
      <c r="F290" s="655"/>
      <c r="G290" s="656"/>
      <c r="H290" s="657"/>
      <c r="I290" s="657"/>
      <c r="J290" s="657"/>
      <c r="K290" s="657"/>
      <c r="L290" s="657"/>
      <c r="M290" s="13"/>
    </row>
    <row r="291" spans="1:13">
      <c r="A291" s="658" t="s">
        <v>184</v>
      </c>
      <c r="B291" s="658" t="s">
        <v>2974</v>
      </c>
      <c r="C291" s="658" t="s">
        <v>3013</v>
      </c>
      <c r="D291" s="658" t="s">
        <v>3012</v>
      </c>
      <c r="E291" s="658" t="s">
        <v>239</v>
      </c>
      <c r="F291" s="653"/>
      <c r="G291" s="654"/>
      <c r="H291" s="657">
        <v>12000000</v>
      </c>
      <c r="I291" s="657">
        <f t="shared" ref="I291" si="241">H291</f>
        <v>12000000</v>
      </c>
      <c r="J291" s="657"/>
      <c r="K291" s="657">
        <v>12000000</v>
      </c>
      <c r="L291" s="657">
        <f t="shared" ref="L291" si="242">K291-I291</f>
        <v>0</v>
      </c>
      <c r="M291" s="13"/>
    </row>
    <row r="292" spans="1:13">
      <c r="A292" s="658"/>
      <c r="B292" s="658"/>
      <c r="C292" s="658"/>
      <c r="D292" s="658"/>
      <c r="E292" s="658"/>
      <c r="F292" s="655"/>
      <c r="G292" s="656"/>
      <c r="H292" s="657"/>
      <c r="I292" s="657"/>
      <c r="J292" s="657"/>
      <c r="K292" s="657"/>
      <c r="L292" s="657"/>
      <c r="M292" s="13"/>
    </row>
    <row r="293" spans="1:13">
      <c r="A293" s="658"/>
      <c r="B293" s="658"/>
      <c r="C293" s="658" t="s">
        <v>3018</v>
      </c>
      <c r="D293" s="658" t="s">
        <v>3014</v>
      </c>
      <c r="E293" s="658" t="s">
        <v>239</v>
      </c>
      <c r="F293" s="653"/>
      <c r="G293" s="654"/>
      <c r="H293" s="657">
        <v>500000</v>
      </c>
      <c r="I293" s="657">
        <f t="shared" ref="I293" si="243">H293</f>
        <v>500000</v>
      </c>
      <c r="J293" s="657"/>
      <c r="K293" s="657">
        <v>500000</v>
      </c>
      <c r="L293" s="657">
        <f t="shared" ref="L293" si="244">K293-I293</f>
        <v>0</v>
      </c>
      <c r="M293" s="13"/>
    </row>
    <row r="294" spans="1:13">
      <c r="A294" s="658"/>
      <c r="B294" s="658"/>
      <c r="C294" s="658"/>
      <c r="D294" s="658"/>
      <c r="E294" s="658"/>
      <c r="F294" s="655"/>
      <c r="G294" s="656"/>
      <c r="H294" s="657"/>
      <c r="I294" s="657"/>
      <c r="J294" s="657"/>
      <c r="K294" s="657"/>
      <c r="L294" s="657"/>
      <c r="M294" s="13"/>
    </row>
    <row r="295" spans="1:13">
      <c r="A295" s="658"/>
      <c r="B295" s="658"/>
      <c r="C295" s="658" t="s">
        <v>335</v>
      </c>
      <c r="D295" s="658" t="s">
        <v>3014</v>
      </c>
      <c r="E295" s="658" t="s">
        <v>1601</v>
      </c>
      <c r="F295" s="653"/>
      <c r="G295" s="654"/>
      <c r="H295" s="657">
        <v>8400000</v>
      </c>
      <c r="I295" s="657">
        <f t="shared" ref="I295" si="245">H295</f>
        <v>8400000</v>
      </c>
      <c r="J295" s="657"/>
      <c r="K295" s="657">
        <v>8400000</v>
      </c>
      <c r="L295" s="657">
        <f t="shared" ref="L295" si="246">K295-I295</f>
        <v>0</v>
      </c>
      <c r="M295" s="13"/>
    </row>
    <row r="296" spans="1:13">
      <c r="A296" s="658"/>
      <c r="B296" s="658"/>
      <c r="C296" s="658"/>
      <c r="D296" s="658"/>
      <c r="E296" s="658"/>
      <c r="F296" s="655"/>
      <c r="G296" s="656"/>
      <c r="H296" s="657"/>
      <c r="I296" s="657"/>
      <c r="J296" s="657"/>
      <c r="K296" s="657"/>
      <c r="L296" s="657"/>
      <c r="M296" s="13"/>
    </row>
    <row r="297" spans="1:13">
      <c r="A297" s="658"/>
      <c r="B297" s="658"/>
      <c r="C297" s="658" t="s">
        <v>348</v>
      </c>
      <c r="D297" s="658" t="s">
        <v>3014</v>
      </c>
      <c r="E297" s="658" t="s">
        <v>117</v>
      </c>
      <c r="F297" s="653"/>
      <c r="G297" s="654"/>
      <c r="H297" s="657">
        <v>1150000</v>
      </c>
      <c r="I297" s="657">
        <f t="shared" ref="I297" si="247">H297</f>
        <v>1150000</v>
      </c>
      <c r="J297" s="657"/>
      <c r="K297" s="657">
        <v>1150000</v>
      </c>
      <c r="L297" s="657">
        <f t="shared" ref="L297" si="248">K297-I297</f>
        <v>0</v>
      </c>
      <c r="M297" s="13"/>
    </row>
    <row r="298" spans="1:13">
      <c r="A298" s="658"/>
      <c r="B298" s="658"/>
      <c r="C298" s="658"/>
      <c r="D298" s="658"/>
      <c r="E298" s="658"/>
      <c r="F298" s="655"/>
      <c r="G298" s="656"/>
      <c r="H298" s="657"/>
      <c r="I298" s="657"/>
      <c r="J298" s="657"/>
      <c r="K298" s="657"/>
      <c r="L298" s="657"/>
      <c r="M298" s="13"/>
    </row>
    <row r="299" spans="1:13">
      <c r="A299" s="658" t="s">
        <v>188</v>
      </c>
      <c r="B299" s="658" t="s">
        <v>3015</v>
      </c>
      <c r="C299" s="658" t="s">
        <v>3016</v>
      </c>
      <c r="D299" s="658" t="s">
        <v>3012</v>
      </c>
      <c r="E299" s="658" t="s">
        <v>239</v>
      </c>
      <c r="F299" s="653"/>
      <c r="G299" s="654"/>
      <c r="H299" s="657">
        <v>40426</v>
      </c>
      <c r="I299" s="657">
        <v>12000000</v>
      </c>
      <c r="J299" s="657"/>
      <c r="K299" s="657">
        <v>12000000</v>
      </c>
      <c r="L299" s="657">
        <f t="shared" ref="L299" si="249">K299-I299</f>
        <v>0</v>
      </c>
      <c r="M299" s="13"/>
    </row>
    <row r="300" spans="1:13">
      <c r="A300" s="658"/>
      <c r="B300" s="658"/>
      <c r="C300" s="658"/>
      <c r="D300" s="658"/>
      <c r="E300" s="658"/>
      <c r="F300" s="655"/>
      <c r="G300" s="656"/>
      <c r="H300" s="657"/>
      <c r="I300" s="657"/>
      <c r="J300" s="657"/>
      <c r="K300" s="657"/>
      <c r="L300" s="657"/>
      <c r="M300" s="13"/>
    </row>
    <row r="301" spans="1:13">
      <c r="A301" s="658"/>
      <c r="B301" s="658"/>
      <c r="C301" s="658" t="s">
        <v>334</v>
      </c>
      <c r="D301" s="658" t="s">
        <v>3014</v>
      </c>
      <c r="E301" s="658" t="s">
        <v>1144</v>
      </c>
      <c r="F301" s="653"/>
      <c r="G301" s="654"/>
      <c r="H301" s="657">
        <v>2390000</v>
      </c>
      <c r="I301" s="657">
        <f t="shared" ref="I301" si="250">H301</f>
        <v>2390000</v>
      </c>
      <c r="J301" s="657"/>
      <c r="K301" s="657">
        <v>2390000</v>
      </c>
      <c r="L301" s="657">
        <f t="shared" ref="L301" si="251">K301-I301</f>
        <v>0</v>
      </c>
      <c r="M301" s="13"/>
    </row>
    <row r="302" spans="1:13">
      <c r="A302" s="658"/>
      <c r="B302" s="658"/>
      <c r="C302" s="658"/>
      <c r="D302" s="658"/>
      <c r="E302" s="658"/>
      <c r="F302" s="655"/>
      <c r="G302" s="656"/>
      <c r="H302" s="657"/>
      <c r="I302" s="657"/>
      <c r="J302" s="657"/>
      <c r="K302" s="657"/>
      <c r="L302" s="657"/>
      <c r="M302" s="13"/>
    </row>
    <row r="303" spans="1:13">
      <c r="A303" s="658"/>
      <c r="B303" s="658"/>
      <c r="C303" s="658" t="s">
        <v>350</v>
      </c>
      <c r="D303" s="658" t="s">
        <v>3014</v>
      </c>
      <c r="E303" s="658" t="s">
        <v>3017</v>
      </c>
      <c r="F303" s="653"/>
      <c r="G303" s="654"/>
      <c r="H303" s="657">
        <v>4000000</v>
      </c>
      <c r="I303" s="657">
        <f t="shared" ref="I303" si="252">H303</f>
        <v>4000000</v>
      </c>
      <c r="J303" s="657"/>
      <c r="K303" s="657">
        <v>4000000</v>
      </c>
      <c r="L303" s="657">
        <f t="shared" ref="L303" si="253">K303-I303</f>
        <v>0</v>
      </c>
      <c r="M303" s="13"/>
    </row>
    <row r="304" spans="1:13">
      <c r="A304" s="658"/>
      <c r="B304" s="658"/>
      <c r="C304" s="658"/>
      <c r="D304" s="658"/>
      <c r="E304" s="658"/>
      <c r="F304" s="655"/>
      <c r="G304" s="656"/>
      <c r="H304" s="657"/>
      <c r="I304" s="657"/>
      <c r="J304" s="657"/>
      <c r="K304" s="657"/>
      <c r="L304" s="657"/>
      <c r="M304" s="13"/>
    </row>
    <row r="305" spans="1:13">
      <c r="A305" s="658" t="s">
        <v>190</v>
      </c>
      <c r="B305" s="658" t="s">
        <v>3008</v>
      </c>
      <c r="C305" s="658" t="s">
        <v>3026</v>
      </c>
      <c r="D305" s="658" t="s">
        <v>3014</v>
      </c>
      <c r="E305" s="658" t="s">
        <v>239</v>
      </c>
      <c r="F305" s="653"/>
      <c r="G305" s="654"/>
      <c r="H305" s="657">
        <v>12000000</v>
      </c>
      <c r="I305" s="657">
        <f t="shared" ref="I305" si="254">H305</f>
        <v>12000000</v>
      </c>
      <c r="J305" s="657"/>
      <c r="K305" s="657">
        <v>12000000</v>
      </c>
      <c r="L305" s="657">
        <f t="shared" ref="L305" si="255">K305-I305</f>
        <v>0</v>
      </c>
      <c r="M305" s="13"/>
    </row>
    <row r="306" spans="1:13">
      <c r="A306" s="658"/>
      <c r="B306" s="658"/>
      <c r="C306" s="658"/>
      <c r="D306" s="658"/>
      <c r="E306" s="658"/>
      <c r="F306" s="655"/>
      <c r="G306" s="656"/>
      <c r="H306" s="657"/>
      <c r="I306" s="657"/>
      <c r="J306" s="657"/>
      <c r="K306" s="657"/>
      <c r="L306" s="657"/>
      <c r="M306" s="13"/>
    </row>
    <row r="307" spans="1:13">
      <c r="A307" s="658"/>
      <c r="B307" s="658"/>
      <c r="C307" s="658" t="s">
        <v>1310</v>
      </c>
      <c r="D307" s="658" t="s">
        <v>3024</v>
      </c>
      <c r="E307" s="658" t="s">
        <v>3019</v>
      </c>
      <c r="F307" s="653"/>
      <c r="G307" s="654"/>
      <c r="H307" s="657">
        <v>7600000</v>
      </c>
      <c r="I307" s="657">
        <f t="shared" ref="I307" si="256">H307</f>
        <v>7600000</v>
      </c>
      <c r="J307" s="657"/>
      <c r="K307" s="657">
        <v>7600000</v>
      </c>
      <c r="L307" s="657">
        <f t="shared" ref="L307" si="257">K307-I307</f>
        <v>0</v>
      </c>
      <c r="M307" s="13"/>
    </row>
    <row r="308" spans="1:13">
      <c r="A308" s="658"/>
      <c r="B308" s="658"/>
      <c r="C308" s="658"/>
      <c r="D308" s="658"/>
      <c r="E308" s="658"/>
      <c r="F308" s="655"/>
      <c r="G308" s="656"/>
      <c r="H308" s="657"/>
      <c r="I308" s="657"/>
      <c r="J308" s="657"/>
      <c r="K308" s="657"/>
      <c r="L308" s="657"/>
      <c r="M308" s="13"/>
    </row>
    <row r="309" spans="1:13">
      <c r="A309" s="658"/>
      <c r="B309" s="658"/>
      <c r="C309" s="658" t="s">
        <v>359</v>
      </c>
      <c r="D309" s="658" t="s">
        <v>3024</v>
      </c>
      <c r="E309" s="658" t="s">
        <v>3020</v>
      </c>
      <c r="F309" s="653"/>
      <c r="G309" s="654"/>
      <c r="H309" s="657">
        <v>3000000</v>
      </c>
      <c r="I309" s="657">
        <f t="shared" ref="I309" si="258">H309</f>
        <v>3000000</v>
      </c>
      <c r="J309" s="657"/>
      <c r="K309" s="657">
        <v>3000000</v>
      </c>
      <c r="L309" s="657">
        <f t="shared" ref="L309" si="259">K309-I309</f>
        <v>0</v>
      </c>
      <c r="M309" s="13"/>
    </row>
    <row r="310" spans="1:13">
      <c r="A310" s="658"/>
      <c r="B310" s="658"/>
      <c r="C310" s="658"/>
      <c r="D310" s="658"/>
      <c r="E310" s="658"/>
      <c r="F310" s="655"/>
      <c r="G310" s="656"/>
      <c r="H310" s="657"/>
      <c r="I310" s="657"/>
      <c r="J310" s="657"/>
      <c r="K310" s="657"/>
      <c r="L310" s="657"/>
      <c r="M310" s="13"/>
    </row>
    <row r="311" spans="1:13">
      <c r="A311" s="658" t="s">
        <v>192</v>
      </c>
      <c r="B311" s="658" t="s">
        <v>3021</v>
      </c>
      <c r="C311" s="658" t="s">
        <v>3027</v>
      </c>
      <c r="D311" s="658" t="s">
        <v>3024</v>
      </c>
      <c r="E311" s="658" t="s">
        <v>239</v>
      </c>
      <c r="F311" s="653"/>
      <c r="G311" s="654"/>
      <c r="H311" s="657">
        <v>39788</v>
      </c>
      <c r="I311" s="657">
        <v>12000000</v>
      </c>
      <c r="J311" s="657"/>
      <c r="K311" s="657">
        <v>12000000</v>
      </c>
      <c r="L311" s="657">
        <f t="shared" ref="L311" si="260">K311-I311</f>
        <v>0</v>
      </c>
      <c r="M311" s="13"/>
    </row>
    <row r="312" spans="1:13">
      <c r="A312" s="658"/>
      <c r="B312" s="658"/>
      <c r="C312" s="658"/>
      <c r="D312" s="658"/>
      <c r="E312" s="658"/>
      <c r="F312" s="655"/>
      <c r="G312" s="656"/>
      <c r="H312" s="657"/>
      <c r="I312" s="657"/>
      <c r="J312" s="657"/>
      <c r="K312" s="657"/>
      <c r="L312" s="657"/>
      <c r="M312" s="13"/>
    </row>
    <row r="313" spans="1:13">
      <c r="A313" s="658"/>
      <c r="B313" s="658"/>
      <c r="C313" s="658" t="s">
        <v>358</v>
      </c>
      <c r="D313" s="658" t="s">
        <v>3023</v>
      </c>
      <c r="E313" s="658" t="s">
        <v>1140</v>
      </c>
      <c r="F313" s="653"/>
      <c r="G313" s="654"/>
      <c r="H313" s="657">
        <v>3000000</v>
      </c>
      <c r="I313" s="657">
        <f t="shared" ref="I313" si="261">H313</f>
        <v>3000000</v>
      </c>
      <c r="J313" s="657"/>
      <c r="K313" s="657">
        <v>3000000</v>
      </c>
      <c r="L313" s="657">
        <f t="shared" ref="L313" si="262">K313-I313</f>
        <v>0</v>
      </c>
      <c r="M313" s="13"/>
    </row>
    <row r="314" spans="1:13">
      <c r="A314" s="658"/>
      <c r="B314" s="658"/>
      <c r="C314" s="658"/>
      <c r="D314" s="658"/>
      <c r="E314" s="658"/>
      <c r="F314" s="655"/>
      <c r="G314" s="656"/>
      <c r="H314" s="657"/>
      <c r="I314" s="657"/>
      <c r="J314" s="657"/>
      <c r="K314" s="657"/>
      <c r="L314" s="657"/>
      <c r="M314" s="13"/>
    </row>
    <row r="315" spans="1:13">
      <c r="A315" s="658"/>
      <c r="B315" s="658"/>
      <c r="C315" s="658" t="s">
        <v>360</v>
      </c>
      <c r="D315" s="658" t="s">
        <v>3023</v>
      </c>
      <c r="E315" s="658" t="s">
        <v>2723</v>
      </c>
      <c r="F315" s="653"/>
      <c r="G315" s="654"/>
      <c r="H315" s="657">
        <v>5500000</v>
      </c>
      <c r="I315" s="657">
        <f t="shared" ref="I315" si="263">H315</f>
        <v>5500000</v>
      </c>
      <c r="J315" s="657"/>
      <c r="K315" s="657">
        <v>550000</v>
      </c>
      <c r="L315" s="657">
        <f t="shared" ref="L315" si="264">K315-I315</f>
        <v>-4950000</v>
      </c>
      <c r="M315" s="13"/>
    </row>
    <row r="316" spans="1:13">
      <c r="A316" s="658"/>
      <c r="B316" s="658"/>
      <c r="C316" s="658"/>
      <c r="D316" s="658"/>
      <c r="E316" s="658"/>
      <c r="F316" s="655"/>
      <c r="G316" s="656"/>
      <c r="H316" s="657"/>
      <c r="I316" s="657"/>
      <c r="J316" s="657"/>
      <c r="K316" s="657"/>
      <c r="L316" s="657"/>
      <c r="M316" s="13"/>
    </row>
    <row r="317" spans="1:13">
      <c r="A317" s="658"/>
      <c r="B317" s="658"/>
      <c r="C317" s="658" t="s">
        <v>361</v>
      </c>
      <c r="D317" s="658" t="s">
        <v>3022</v>
      </c>
      <c r="E317" s="658" t="s">
        <v>2376</v>
      </c>
      <c r="F317" s="653"/>
      <c r="G317" s="654"/>
      <c r="H317" s="657">
        <v>1400000</v>
      </c>
      <c r="I317" s="657">
        <f t="shared" ref="I317" si="265">H317</f>
        <v>1400000</v>
      </c>
      <c r="J317" s="657"/>
      <c r="K317" s="657">
        <v>1400000</v>
      </c>
      <c r="L317" s="657">
        <f t="shared" ref="L317" si="266">K317-I317</f>
        <v>0</v>
      </c>
      <c r="M317" s="13"/>
    </row>
    <row r="318" spans="1:13">
      <c r="A318" s="658"/>
      <c r="B318" s="658"/>
      <c r="C318" s="658"/>
      <c r="D318" s="658"/>
      <c r="E318" s="658"/>
      <c r="F318" s="655"/>
      <c r="G318" s="656"/>
      <c r="H318" s="657"/>
      <c r="I318" s="657"/>
      <c r="J318" s="657"/>
      <c r="K318" s="657"/>
      <c r="L318" s="657"/>
      <c r="M318" s="13"/>
    </row>
    <row r="319" spans="1:13">
      <c r="A319" s="658"/>
      <c r="B319" s="658"/>
      <c r="C319" s="658" t="s">
        <v>363</v>
      </c>
      <c r="D319" s="658" t="s">
        <v>3022</v>
      </c>
      <c r="E319" s="658" t="s">
        <v>2375</v>
      </c>
      <c r="F319" s="653"/>
      <c r="G319" s="654"/>
      <c r="H319" s="657">
        <v>600000</v>
      </c>
      <c r="I319" s="657">
        <f t="shared" ref="I319" si="267">H319</f>
        <v>600000</v>
      </c>
      <c r="J319" s="657"/>
      <c r="K319" s="657">
        <v>600000</v>
      </c>
      <c r="L319" s="657">
        <f t="shared" ref="L319" si="268">K319-I319</f>
        <v>0</v>
      </c>
      <c r="M319" s="13"/>
    </row>
    <row r="320" spans="1:13">
      <c r="A320" s="658"/>
      <c r="B320" s="658"/>
      <c r="C320" s="658"/>
      <c r="D320" s="658"/>
      <c r="E320" s="658"/>
      <c r="F320" s="655"/>
      <c r="G320" s="656"/>
      <c r="H320" s="657"/>
      <c r="I320" s="657"/>
      <c r="J320" s="657"/>
      <c r="K320" s="657"/>
      <c r="L320" s="657"/>
      <c r="M320" s="13"/>
    </row>
    <row r="321" spans="1:13">
      <c r="A321" s="658" t="s">
        <v>194</v>
      </c>
      <c r="B321" s="658" t="s">
        <v>2969</v>
      </c>
      <c r="C321" s="658" t="s">
        <v>3029</v>
      </c>
      <c r="D321" s="658" t="s">
        <v>3028</v>
      </c>
      <c r="E321" s="658" t="s">
        <v>239</v>
      </c>
      <c r="F321" s="653"/>
      <c r="G321" s="654"/>
      <c r="H321" s="657">
        <v>12000000</v>
      </c>
      <c r="I321" s="657">
        <f t="shared" ref="I321" si="269">H321</f>
        <v>12000000</v>
      </c>
      <c r="J321" s="657"/>
      <c r="K321" s="657">
        <v>12000000</v>
      </c>
      <c r="L321" s="657">
        <f t="shared" ref="L321" si="270">K321-I321</f>
        <v>0</v>
      </c>
      <c r="M321" s="13"/>
    </row>
    <row r="322" spans="1:13">
      <c r="A322" s="658"/>
      <c r="B322" s="658"/>
      <c r="C322" s="658"/>
      <c r="D322" s="658"/>
      <c r="E322" s="658"/>
      <c r="F322" s="655"/>
      <c r="G322" s="656"/>
      <c r="H322" s="657"/>
      <c r="I322" s="657"/>
      <c r="J322" s="657"/>
      <c r="K322" s="657"/>
      <c r="L322" s="657"/>
      <c r="M322" s="13"/>
    </row>
    <row r="323" spans="1:13">
      <c r="A323" s="658"/>
      <c r="B323" s="658"/>
      <c r="C323" s="658" t="s">
        <v>382</v>
      </c>
      <c r="D323" s="658" t="s">
        <v>3022</v>
      </c>
      <c r="E323" s="658" t="s">
        <v>2517</v>
      </c>
      <c r="F323" s="653"/>
      <c r="G323" s="654"/>
      <c r="H323" s="657">
        <v>1500000</v>
      </c>
      <c r="I323" s="657">
        <f t="shared" ref="I323" si="271">H323</f>
        <v>1500000</v>
      </c>
      <c r="J323" s="657"/>
      <c r="K323" s="657">
        <v>1500000</v>
      </c>
      <c r="L323" s="657">
        <f t="shared" ref="L323" si="272">K323-I323</f>
        <v>0</v>
      </c>
      <c r="M323" s="13"/>
    </row>
    <row r="324" spans="1:13">
      <c r="A324" s="658"/>
      <c r="B324" s="658"/>
      <c r="C324" s="658"/>
      <c r="D324" s="658"/>
      <c r="E324" s="658"/>
      <c r="F324" s="655"/>
      <c r="G324" s="656"/>
      <c r="H324" s="657"/>
      <c r="I324" s="657"/>
      <c r="J324" s="657"/>
      <c r="K324" s="657"/>
      <c r="L324" s="657"/>
      <c r="M324" s="13"/>
    </row>
    <row r="325" spans="1:13">
      <c r="A325" s="658"/>
      <c r="B325" s="658"/>
      <c r="C325" s="658" t="s">
        <v>366</v>
      </c>
      <c r="D325" s="658" t="s">
        <v>3022</v>
      </c>
      <c r="E325" s="658" t="s">
        <v>2517</v>
      </c>
      <c r="F325" s="653"/>
      <c r="G325" s="654"/>
      <c r="H325" s="657">
        <v>1500000</v>
      </c>
      <c r="I325" s="657">
        <f t="shared" ref="I325" si="273">H325</f>
        <v>1500000</v>
      </c>
      <c r="J325" s="657"/>
      <c r="K325" s="657">
        <v>1500000</v>
      </c>
      <c r="L325" s="657">
        <f t="shared" ref="L325" si="274">K325-I325</f>
        <v>0</v>
      </c>
      <c r="M325" s="13"/>
    </row>
    <row r="326" spans="1:13">
      <c r="A326" s="658"/>
      <c r="B326" s="658"/>
      <c r="C326" s="658"/>
      <c r="D326" s="658"/>
      <c r="E326" s="658"/>
      <c r="F326" s="655"/>
      <c r="G326" s="656"/>
      <c r="H326" s="657"/>
      <c r="I326" s="657"/>
      <c r="J326" s="657"/>
      <c r="K326" s="657"/>
      <c r="L326" s="657"/>
      <c r="M326" s="13"/>
    </row>
    <row r="327" spans="1:13">
      <c r="A327" s="658"/>
      <c r="B327" s="658"/>
      <c r="C327" s="658" t="s">
        <v>367</v>
      </c>
      <c r="D327" s="658" t="s">
        <v>3022</v>
      </c>
      <c r="E327" s="658" t="s">
        <v>1601</v>
      </c>
      <c r="F327" s="653"/>
      <c r="G327" s="654"/>
      <c r="H327" s="657">
        <v>3700000</v>
      </c>
      <c r="I327" s="657">
        <f t="shared" ref="I327" si="275">H327</f>
        <v>3700000</v>
      </c>
      <c r="J327" s="657"/>
      <c r="K327" s="657">
        <v>3700000</v>
      </c>
      <c r="L327" s="657">
        <f t="shared" ref="L327" si="276">K327-I327</f>
        <v>0</v>
      </c>
      <c r="M327" s="13"/>
    </row>
    <row r="328" spans="1:13">
      <c r="A328" s="658"/>
      <c r="B328" s="658"/>
      <c r="C328" s="658"/>
      <c r="D328" s="658"/>
      <c r="E328" s="658"/>
      <c r="F328" s="655"/>
      <c r="G328" s="656"/>
      <c r="H328" s="657"/>
      <c r="I328" s="657"/>
      <c r="J328" s="657"/>
      <c r="K328" s="657"/>
      <c r="L328" s="657"/>
      <c r="M328" s="13"/>
    </row>
    <row r="329" spans="1:13">
      <c r="A329" s="658"/>
      <c r="B329" s="658"/>
      <c r="C329" s="658" t="s">
        <v>368</v>
      </c>
      <c r="D329" s="658" t="s">
        <v>3022</v>
      </c>
      <c r="E329" s="658" t="s">
        <v>3025</v>
      </c>
      <c r="F329" s="653"/>
      <c r="G329" s="654"/>
      <c r="H329" s="657">
        <v>984350</v>
      </c>
      <c r="I329" s="657">
        <f t="shared" ref="I329" si="277">H329</f>
        <v>984350</v>
      </c>
      <c r="J329" s="657"/>
      <c r="K329" s="657">
        <v>984350</v>
      </c>
      <c r="L329" s="657">
        <f t="shared" ref="L329" si="278">K329-I329</f>
        <v>0</v>
      </c>
      <c r="M329" s="13"/>
    </row>
    <row r="330" spans="1:13">
      <c r="A330" s="658"/>
      <c r="B330" s="658"/>
      <c r="C330" s="658"/>
      <c r="D330" s="658"/>
      <c r="E330" s="658"/>
      <c r="F330" s="655"/>
      <c r="G330" s="656"/>
      <c r="H330" s="657"/>
      <c r="I330" s="657"/>
      <c r="J330" s="657"/>
      <c r="K330" s="657"/>
      <c r="L330" s="657"/>
      <c r="M330" s="13"/>
    </row>
    <row r="331" spans="1:13">
      <c r="A331" s="658" t="s">
        <v>201</v>
      </c>
      <c r="B331" s="658" t="s">
        <v>3008</v>
      </c>
      <c r="C331" s="658" t="s">
        <v>3037</v>
      </c>
      <c r="D331" s="658" t="s">
        <v>3022</v>
      </c>
      <c r="E331" s="658" t="s">
        <v>239</v>
      </c>
      <c r="F331" s="653"/>
      <c r="G331" s="654"/>
      <c r="H331" s="657">
        <v>39910</v>
      </c>
      <c r="I331" s="657">
        <v>12000000</v>
      </c>
      <c r="J331" s="657"/>
      <c r="K331" s="657">
        <v>12000000</v>
      </c>
      <c r="L331" s="657">
        <f t="shared" ref="L331" si="279">K331-I331</f>
        <v>0</v>
      </c>
      <c r="M331" s="13"/>
    </row>
    <row r="332" spans="1:13">
      <c r="A332" s="658"/>
      <c r="B332" s="658"/>
      <c r="C332" s="658"/>
      <c r="D332" s="658"/>
      <c r="E332" s="658"/>
      <c r="F332" s="655"/>
      <c r="G332" s="656"/>
      <c r="H332" s="657"/>
      <c r="I332" s="657"/>
      <c r="J332" s="657"/>
      <c r="K332" s="657"/>
      <c r="L332" s="657"/>
      <c r="M332" s="13"/>
    </row>
    <row r="333" spans="1:13">
      <c r="A333" s="658"/>
      <c r="B333" s="658"/>
      <c r="C333" s="658" t="s">
        <v>1321</v>
      </c>
      <c r="D333" s="658" t="s">
        <v>3062</v>
      </c>
      <c r="E333" s="658" t="s">
        <v>2723</v>
      </c>
      <c r="F333" s="653"/>
      <c r="G333" s="654"/>
      <c r="H333" s="657">
        <v>3900000</v>
      </c>
      <c r="I333" s="657">
        <f t="shared" ref="I333" si="280">H333</f>
        <v>3900000</v>
      </c>
      <c r="J333" s="657"/>
      <c r="K333" s="657">
        <v>3900000</v>
      </c>
      <c r="L333" s="657">
        <f t="shared" ref="L333" si="281">K333-I333</f>
        <v>0</v>
      </c>
      <c r="M333" s="13"/>
    </row>
    <row r="334" spans="1:13">
      <c r="A334" s="658"/>
      <c r="B334" s="658"/>
      <c r="C334" s="658"/>
      <c r="D334" s="658"/>
      <c r="E334" s="658"/>
      <c r="F334" s="655"/>
      <c r="G334" s="656"/>
      <c r="H334" s="657"/>
      <c r="I334" s="657"/>
      <c r="J334" s="657"/>
      <c r="K334" s="657"/>
      <c r="L334" s="657"/>
      <c r="M334" s="13"/>
    </row>
    <row r="335" spans="1:13">
      <c r="A335" s="658"/>
      <c r="B335" s="658"/>
      <c r="C335" s="658" t="s">
        <v>371</v>
      </c>
      <c r="D335" s="658" t="s">
        <v>3062</v>
      </c>
      <c r="E335" s="658" t="s">
        <v>3030</v>
      </c>
      <c r="F335" s="653"/>
      <c r="G335" s="654"/>
      <c r="H335" s="657">
        <v>3800000</v>
      </c>
      <c r="I335" s="657">
        <f t="shared" ref="I335" si="282">H335</f>
        <v>3800000</v>
      </c>
      <c r="J335" s="657"/>
      <c r="K335" s="657">
        <v>3800000</v>
      </c>
      <c r="L335" s="657">
        <f t="shared" ref="L335" si="283">K335-I335</f>
        <v>0</v>
      </c>
      <c r="M335" s="13"/>
    </row>
    <row r="336" spans="1:13">
      <c r="A336" s="658"/>
      <c r="B336" s="658"/>
      <c r="C336" s="658"/>
      <c r="D336" s="658"/>
      <c r="E336" s="658"/>
      <c r="F336" s="655"/>
      <c r="G336" s="656"/>
      <c r="H336" s="657"/>
      <c r="I336" s="657"/>
      <c r="J336" s="657"/>
      <c r="K336" s="657"/>
      <c r="L336" s="657"/>
      <c r="M336" s="13"/>
    </row>
    <row r="337" spans="1:13">
      <c r="A337" s="658"/>
      <c r="B337" s="658"/>
      <c r="C337" s="658" t="s">
        <v>369</v>
      </c>
      <c r="D337" s="658" t="s">
        <v>3062</v>
      </c>
      <c r="E337" s="658" t="s">
        <v>2723</v>
      </c>
      <c r="F337" s="653"/>
      <c r="G337" s="654"/>
      <c r="H337" s="657">
        <v>3250000</v>
      </c>
      <c r="I337" s="657">
        <f t="shared" ref="I337" si="284">H337</f>
        <v>3250000</v>
      </c>
      <c r="J337" s="657"/>
      <c r="K337" s="657">
        <v>3250000</v>
      </c>
      <c r="L337" s="657">
        <f t="shared" ref="L337" si="285">K337-I337</f>
        <v>0</v>
      </c>
      <c r="M337" s="13"/>
    </row>
    <row r="338" spans="1:13">
      <c r="A338" s="658"/>
      <c r="B338" s="658"/>
      <c r="C338" s="658"/>
      <c r="D338" s="658"/>
      <c r="E338" s="658"/>
      <c r="F338" s="655"/>
      <c r="G338" s="656"/>
      <c r="H338" s="657"/>
      <c r="I338" s="657"/>
      <c r="J338" s="657"/>
      <c r="K338" s="657"/>
      <c r="L338" s="657"/>
      <c r="M338" s="13"/>
    </row>
    <row r="339" spans="1:13">
      <c r="A339" s="658" t="s">
        <v>202</v>
      </c>
      <c r="B339" s="658" t="s">
        <v>2974</v>
      </c>
      <c r="C339" s="658" t="s">
        <v>3039</v>
      </c>
      <c r="D339" s="658" t="s">
        <v>3038</v>
      </c>
      <c r="E339" s="658" t="s">
        <v>239</v>
      </c>
      <c r="F339" s="653"/>
      <c r="G339" s="654"/>
      <c r="H339" s="657">
        <v>12000000</v>
      </c>
      <c r="I339" s="657">
        <v>12000000</v>
      </c>
      <c r="J339" s="657"/>
      <c r="K339" s="657">
        <v>12000000</v>
      </c>
      <c r="L339" s="657">
        <f t="shared" ref="L339" si="286">K339-I339</f>
        <v>0</v>
      </c>
      <c r="M339" s="13"/>
    </row>
    <row r="340" spans="1:13">
      <c r="A340" s="658"/>
      <c r="B340" s="658"/>
      <c r="C340" s="658"/>
      <c r="D340" s="658"/>
      <c r="E340" s="658"/>
      <c r="F340" s="655"/>
      <c r="G340" s="656"/>
      <c r="H340" s="657"/>
      <c r="I340" s="657"/>
      <c r="J340" s="657"/>
      <c r="K340" s="657"/>
      <c r="L340" s="657"/>
      <c r="M340" s="13"/>
    </row>
    <row r="341" spans="1:13">
      <c r="A341" s="794" t="s">
        <v>329</v>
      </c>
      <c r="B341" s="810"/>
      <c r="C341" s="810"/>
      <c r="D341" s="810"/>
      <c r="E341" s="810"/>
      <c r="F341" s="810"/>
      <c r="G341" s="810"/>
      <c r="H341" s="810"/>
      <c r="I341" s="810"/>
      <c r="J341" s="810"/>
      <c r="K341" s="810"/>
      <c r="L341" s="811"/>
      <c r="M341" s="13"/>
    </row>
    <row r="342" spans="1:13">
      <c r="A342" s="812"/>
      <c r="B342" s="813"/>
      <c r="C342" s="813"/>
      <c r="D342" s="813"/>
      <c r="E342" s="813"/>
      <c r="F342" s="813"/>
      <c r="G342" s="813"/>
      <c r="H342" s="813"/>
      <c r="I342" s="813"/>
      <c r="J342" s="813"/>
      <c r="K342" s="813"/>
      <c r="L342" s="814"/>
      <c r="M342" s="13"/>
    </row>
    <row r="343" spans="1:13">
      <c r="A343" s="658"/>
      <c r="B343" s="658"/>
      <c r="C343" s="658" t="s">
        <v>371</v>
      </c>
      <c r="D343" s="658" t="s">
        <v>3036</v>
      </c>
      <c r="E343" s="658" t="s">
        <v>3025</v>
      </c>
      <c r="F343" s="653"/>
      <c r="G343" s="654"/>
      <c r="H343" s="657">
        <v>960700</v>
      </c>
      <c r="I343" s="657">
        <f t="shared" ref="I343" si="287">H343</f>
        <v>960700</v>
      </c>
      <c r="J343" s="657"/>
      <c r="K343" s="657">
        <v>960700</v>
      </c>
      <c r="L343" s="657">
        <f t="shared" ref="L343" si="288">K343-I343</f>
        <v>0</v>
      </c>
      <c r="M343" s="620">
        <f>SUM(I343:I348,I351:I356,I359,I361:I428,I437)</f>
        <v>221905000</v>
      </c>
    </row>
    <row r="344" spans="1:13">
      <c r="A344" s="658"/>
      <c r="B344" s="658"/>
      <c r="C344" s="658"/>
      <c r="D344" s="658"/>
      <c r="E344" s="658"/>
      <c r="F344" s="655"/>
      <c r="G344" s="656"/>
      <c r="H344" s="657"/>
      <c r="I344" s="657"/>
      <c r="J344" s="657"/>
      <c r="K344" s="657"/>
      <c r="L344" s="657"/>
      <c r="M344" s="13"/>
    </row>
    <row r="345" spans="1:13">
      <c r="A345" s="658"/>
      <c r="B345" s="658"/>
      <c r="C345" s="658" t="s">
        <v>375</v>
      </c>
      <c r="D345" s="658" t="s">
        <v>3036</v>
      </c>
      <c r="E345" s="658" t="s">
        <v>3031</v>
      </c>
      <c r="F345" s="653"/>
      <c r="G345" s="654"/>
      <c r="H345" s="657">
        <v>2800000</v>
      </c>
      <c r="I345" s="657">
        <f t="shared" ref="I345" si="289">H345</f>
        <v>2800000</v>
      </c>
      <c r="J345" s="657"/>
      <c r="K345" s="657">
        <v>2800000</v>
      </c>
      <c r="L345" s="657">
        <f t="shared" ref="L345" si="290">K345-I345</f>
        <v>0</v>
      </c>
      <c r="M345" s="13" t="s">
        <v>1136</v>
      </c>
    </row>
    <row r="346" spans="1:13">
      <c r="A346" s="658"/>
      <c r="B346" s="658"/>
      <c r="C346" s="658"/>
      <c r="D346" s="658"/>
      <c r="E346" s="658"/>
      <c r="F346" s="655"/>
      <c r="G346" s="656"/>
      <c r="H346" s="657"/>
      <c r="I346" s="657"/>
      <c r="J346" s="657"/>
      <c r="K346" s="657"/>
      <c r="L346" s="657"/>
      <c r="M346" s="13" t="s">
        <v>3096</v>
      </c>
    </row>
    <row r="347" spans="1:13">
      <c r="A347" s="658"/>
      <c r="B347" s="658"/>
      <c r="C347" s="658" t="s">
        <v>399</v>
      </c>
      <c r="D347" s="658" t="s">
        <v>3036</v>
      </c>
      <c r="E347" s="658" t="s">
        <v>3032</v>
      </c>
      <c r="F347" s="653"/>
      <c r="G347" s="654"/>
      <c r="H347" s="657">
        <v>3000000</v>
      </c>
      <c r="I347" s="657">
        <f t="shared" ref="I347" si="291">H347</f>
        <v>3000000</v>
      </c>
      <c r="J347" s="657"/>
      <c r="K347" s="657">
        <v>3000000</v>
      </c>
      <c r="L347" s="657">
        <f t="shared" ref="L347" si="292">K347-I347</f>
        <v>0</v>
      </c>
      <c r="M347" s="13"/>
    </row>
    <row r="348" spans="1:13">
      <c r="A348" s="658"/>
      <c r="B348" s="658"/>
      <c r="C348" s="658"/>
      <c r="D348" s="658"/>
      <c r="E348" s="658"/>
      <c r="F348" s="655"/>
      <c r="G348" s="656"/>
      <c r="H348" s="657"/>
      <c r="I348" s="657"/>
      <c r="J348" s="657"/>
      <c r="K348" s="657"/>
      <c r="L348" s="657"/>
      <c r="M348" s="13" t="s">
        <v>3116</v>
      </c>
    </row>
    <row r="349" spans="1:13">
      <c r="A349" s="658" t="s">
        <v>212</v>
      </c>
      <c r="B349" s="658" t="s">
        <v>2971</v>
      </c>
      <c r="C349" s="658" t="s">
        <v>3046</v>
      </c>
      <c r="D349" s="658" t="s">
        <v>3038</v>
      </c>
      <c r="E349" s="658" t="s">
        <v>239</v>
      </c>
      <c r="F349" s="653"/>
      <c r="G349" s="654"/>
      <c r="H349" s="657">
        <v>41987</v>
      </c>
      <c r="I349" s="657">
        <v>12500000</v>
      </c>
      <c r="J349" s="657"/>
      <c r="K349" s="657">
        <v>12500000</v>
      </c>
      <c r="L349" s="657">
        <f t="shared" ref="L349" si="293">K349-I349</f>
        <v>0</v>
      </c>
      <c r="M349" s="13"/>
    </row>
    <row r="350" spans="1:13">
      <c r="A350" s="658"/>
      <c r="B350" s="658"/>
      <c r="C350" s="658"/>
      <c r="D350" s="658"/>
      <c r="E350" s="658"/>
      <c r="F350" s="655"/>
      <c r="G350" s="656"/>
      <c r="H350" s="657"/>
      <c r="I350" s="657"/>
      <c r="J350" s="657"/>
      <c r="K350" s="657"/>
      <c r="L350" s="657"/>
      <c r="M350" s="13"/>
    </row>
    <row r="351" spans="1:13">
      <c r="A351" s="658"/>
      <c r="B351" s="658"/>
      <c r="C351" s="658" t="s">
        <v>403</v>
      </c>
      <c r="D351" s="658" t="s">
        <v>3036</v>
      </c>
      <c r="E351" s="658" t="s">
        <v>1601</v>
      </c>
      <c r="F351" s="653"/>
      <c r="G351" s="654"/>
      <c r="H351" s="657">
        <v>4700000</v>
      </c>
      <c r="I351" s="657">
        <f t="shared" ref="I351" si="294">H351</f>
        <v>4700000</v>
      </c>
      <c r="J351" s="657"/>
      <c r="K351" s="657">
        <v>4700000</v>
      </c>
      <c r="L351" s="657">
        <f t="shared" ref="L351" si="295">K351-I351</f>
        <v>0</v>
      </c>
      <c r="M351" s="13"/>
    </row>
    <row r="352" spans="1:13">
      <c r="A352" s="658"/>
      <c r="B352" s="658"/>
      <c r="C352" s="658"/>
      <c r="D352" s="658"/>
      <c r="E352" s="658"/>
      <c r="F352" s="655"/>
      <c r="G352" s="656"/>
      <c r="H352" s="657"/>
      <c r="I352" s="657"/>
      <c r="J352" s="657"/>
      <c r="K352" s="657"/>
      <c r="L352" s="657"/>
      <c r="M352" s="13"/>
    </row>
    <row r="353" spans="1:13">
      <c r="A353" s="658"/>
      <c r="B353" s="658"/>
      <c r="C353" s="658" t="s">
        <v>405</v>
      </c>
      <c r="D353" s="658" t="s">
        <v>3036</v>
      </c>
      <c r="E353" s="658" t="s">
        <v>3033</v>
      </c>
      <c r="F353" s="653"/>
      <c r="G353" s="654"/>
      <c r="H353" s="657">
        <v>5000000</v>
      </c>
      <c r="I353" s="657">
        <f t="shared" ref="I353" si="296">H353</f>
        <v>5000000</v>
      </c>
      <c r="J353" s="657"/>
      <c r="K353" s="657">
        <v>5000000</v>
      </c>
      <c r="L353" s="657">
        <f t="shared" ref="L353" si="297">K353-I353</f>
        <v>0</v>
      </c>
      <c r="M353" s="13"/>
    </row>
    <row r="354" spans="1:13">
      <c r="A354" s="658"/>
      <c r="B354" s="658"/>
      <c r="C354" s="658"/>
      <c r="D354" s="658"/>
      <c r="E354" s="658"/>
      <c r="F354" s="655"/>
      <c r="G354" s="656"/>
      <c r="H354" s="657"/>
      <c r="I354" s="657"/>
      <c r="J354" s="657"/>
      <c r="K354" s="657"/>
      <c r="L354" s="657"/>
      <c r="M354" s="13"/>
    </row>
    <row r="355" spans="1:13">
      <c r="A355" s="658"/>
      <c r="B355" s="658"/>
      <c r="C355" s="658" t="s">
        <v>406</v>
      </c>
      <c r="D355" s="658" t="s">
        <v>3036</v>
      </c>
      <c r="E355" s="658" t="s">
        <v>3034</v>
      </c>
      <c r="F355" s="653"/>
      <c r="G355" s="654"/>
      <c r="H355" s="657">
        <v>3000000</v>
      </c>
      <c r="I355" s="657">
        <f t="shared" ref="I355" si="298">H355</f>
        <v>3000000</v>
      </c>
      <c r="J355" s="657"/>
      <c r="K355" s="657">
        <v>3000000</v>
      </c>
      <c r="L355" s="657">
        <f t="shared" ref="L355" si="299">K355-I355</f>
        <v>0</v>
      </c>
      <c r="M355" s="13"/>
    </row>
    <row r="356" spans="1:13">
      <c r="A356" s="658"/>
      <c r="B356" s="658"/>
      <c r="C356" s="658"/>
      <c r="D356" s="658"/>
      <c r="E356" s="658"/>
      <c r="F356" s="655"/>
      <c r="G356" s="656"/>
      <c r="H356" s="657"/>
      <c r="I356" s="657"/>
      <c r="J356" s="657"/>
      <c r="K356" s="657"/>
      <c r="L356" s="657"/>
      <c r="M356" s="13"/>
    </row>
    <row r="357" spans="1:13">
      <c r="A357" s="658" t="s">
        <v>214</v>
      </c>
      <c r="B357" s="658" t="s">
        <v>3015</v>
      </c>
      <c r="C357" s="658" t="s">
        <v>418</v>
      </c>
      <c r="D357" s="658" t="s">
        <v>3040</v>
      </c>
      <c r="E357" s="658" t="s">
        <v>3035</v>
      </c>
      <c r="F357" s="653"/>
      <c r="G357" s="654"/>
      <c r="H357" s="657">
        <v>40000</v>
      </c>
      <c r="I357" s="657">
        <f t="shared" ref="I357" si="300">H357</f>
        <v>40000</v>
      </c>
      <c r="J357" s="657"/>
      <c r="K357" s="657">
        <v>40000</v>
      </c>
      <c r="L357" s="657">
        <f t="shared" ref="L357" si="301">K357-I357</f>
        <v>0</v>
      </c>
      <c r="M357" s="13" t="s">
        <v>2754</v>
      </c>
    </row>
    <row r="358" spans="1:13">
      <c r="A358" s="658"/>
      <c r="B358" s="658"/>
      <c r="C358" s="658"/>
      <c r="D358" s="658"/>
      <c r="E358" s="658"/>
      <c r="F358" s="655"/>
      <c r="G358" s="656"/>
      <c r="H358" s="657"/>
      <c r="I358" s="657"/>
      <c r="J358" s="657"/>
      <c r="K358" s="657"/>
      <c r="L358" s="657"/>
      <c r="M358" s="13"/>
    </row>
    <row r="359" spans="1:13">
      <c r="A359" s="658"/>
      <c r="B359" s="658"/>
      <c r="C359" s="658" t="s">
        <v>413</v>
      </c>
      <c r="D359" s="658" t="s">
        <v>3036</v>
      </c>
      <c r="E359" s="658" t="s">
        <v>1144</v>
      </c>
      <c r="F359" s="653"/>
      <c r="G359" s="654"/>
      <c r="H359" s="657">
        <v>3040000</v>
      </c>
      <c r="I359" s="657">
        <f t="shared" ref="I359" si="302">H359</f>
        <v>3040000</v>
      </c>
      <c r="J359" s="657"/>
      <c r="K359" s="657">
        <v>3040000</v>
      </c>
      <c r="L359" s="657">
        <f t="shared" ref="L359" si="303">K359-I359</f>
        <v>0</v>
      </c>
      <c r="M359" s="13"/>
    </row>
    <row r="360" spans="1:13">
      <c r="A360" s="658"/>
      <c r="B360" s="658"/>
      <c r="C360" s="658"/>
      <c r="D360" s="658"/>
      <c r="E360" s="658"/>
      <c r="F360" s="655"/>
      <c r="G360" s="656"/>
      <c r="H360" s="657"/>
      <c r="I360" s="657"/>
      <c r="J360" s="657"/>
      <c r="K360" s="657"/>
      <c r="L360" s="657"/>
      <c r="M360" s="13"/>
    </row>
    <row r="361" spans="1:13">
      <c r="A361" s="658"/>
      <c r="B361" s="658"/>
      <c r="C361" s="658" t="s">
        <v>416</v>
      </c>
      <c r="D361" s="658" t="s">
        <v>3036</v>
      </c>
      <c r="E361" s="658" t="s">
        <v>2547</v>
      </c>
      <c r="F361" s="653"/>
      <c r="G361" s="654"/>
      <c r="H361" s="657">
        <v>2700000</v>
      </c>
      <c r="I361" s="657">
        <f t="shared" ref="I361" si="304">H361</f>
        <v>2700000</v>
      </c>
      <c r="J361" s="657"/>
      <c r="K361" s="657">
        <v>2700000</v>
      </c>
      <c r="L361" s="657">
        <f t="shared" ref="L361" si="305">K361-I361</f>
        <v>0</v>
      </c>
      <c r="M361" s="642">
        <v>42534</v>
      </c>
    </row>
    <row r="362" spans="1:13">
      <c r="A362" s="658"/>
      <c r="B362" s="658"/>
      <c r="C362" s="658"/>
      <c r="D362" s="658"/>
      <c r="E362" s="658"/>
      <c r="F362" s="655"/>
      <c r="G362" s="656"/>
      <c r="H362" s="657"/>
      <c r="I362" s="657"/>
      <c r="J362" s="657"/>
      <c r="K362" s="657"/>
      <c r="L362" s="657"/>
      <c r="M362" s="13"/>
    </row>
    <row r="363" spans="1:13">
      <c r="A363" s="658" t="s">
        <v>215</v>
      </c>
      <c r="B363" s="658" t="s">
        <v>2971</v>
      </c>
      <c r="C363" s="658" t="s">
        <v>3042</v>
      </c>
      <c r="D363" s="658" t="s">
        <v>3041</v>
      </c>
      <c r="E363" s="658" t="s">
        <v>239</v>
      </c>
      <c r="F363" s="653"/>
      <c r="G363" s="654"/>
      <c r="H363" s="657">
        <v>12500000</v>
      </c>
      <c r="I363" s="657">
        <f t="shared" ref="I363" si="306">H363</f>
        <v>12500000</v>
      </c>
      <c r="J363" s="657"/>
      <c r="K363" s="657">
        <v>12500000</v>
      </c>
      <c r="L363" s="657">
        <f t="shared" ref="L363" si="307">K363-I363</f>
        <v>0</v>
      </c>
      <c r="M363" s="13"/>
    </row>
    <row r="364" spans="1:13">
      <c r="A364" s="658"/>
      <c r="B364" s="658"/>
      <c r="C364" s="658"/>
      <c r="D364" s="658"/>
      <c r="E364" s="658"/>
      <c r="F364" s="655"/>
      <c r="G364" s="656"/>
      <c r="H364" s="657"/>
      <c r="I364" s="657"/>
      <c r="J364" s="657"/>
      <c r="K364" s="657"/>
      <c r="L364" s="657"/>
      <c r="M364" s="13"/>
    </row>
    <row r="365" spans="1:13">
      <c r="A365" s="658"/>
      <c r="B365" s="658"/>
      <c r="C365" s="658" t="s">
        <v>432</v>
      </c>
      <c r="D365" s="658" t="s">
        <v>3045</v>
      </c>
      <c r="E365" s="658" t="s">
        <v>2348</v>
      </c>
      <c r="F365" s="653"/>
      <c r="G365" s="654"/>
      <c r="H365" s="657">
        <v>1000000</v>
      </c>
      <c r="I365" s="657">
        <f t="shared" ref="I365" si="308">H365</f>
        <v>1000000</v>
      </c>
      <c r="J365" s="657"/>
      <c r="K365" s="657">
        <v>1000000</v>
      </c>
      <c r="L365" s="657">
        <f t="shared" ref="L365" si="309">K365-I365</f>
        <v>0</v>
      </c>
      <c r="M365" s="13"/>
    </row>
    <row r="366" spans="1:13">
      <c r="A366" s="658"/>
      <c r="B366" s="658"/>
      <c r="C366" s="658"/>
      <c r="D366" s="658"/>
      <c r="E366" s="658"/>
      <c r="F366" s="655"/>
      <c r="G366" s="656"/>
      <c r="H366" s="657"/>
      <c r="I366" s="657"/>
      <c r="J366" s="657"/>
      <c r="K366" s="657"/>
      <c r="L366" s="657"/>
      <c r="M366" s="13"/>
    </row>
    <row r="367" spans="1:13">
      <c r="A367" s="658"/>
      <c r="B367" s="658"/>
      <c r="C367" s="658" t="s">
        <v>433</v>
      </c>
      <c r="D367" s="658" t="s">
        <v>3045</v>
      </c>
      <c r="E367" s="658" t="s">
        <v>3043</v>
      </c>
      <c r="F367" s="653"/>
      <c r="G367" s="654"/>
      <c r="H367" s="657">
        <v>5000000</v>
      </c>
      <c r="I367" s="657">
        <f t="shared" ref="I367" si="310">H367</f>
        <v>5000000</v>
      </c>
      <c r="J367" s="657"/>
      <c r="K367" s="657">
        <v>5000000</v>
      </c>
      <c r="L367" s="657">
        <f t="shared" ref="L367" si="311">K367-I367</f>
        <v>0</v>
      </c>
      <c r="M367" s="13"/>
    </row>
    <row r="368" spans="1:13">
      <c r="A368" s="658"/>
      <c r="B368" s="658"/>
      <c r="C368" s="658"/>
      <c r="D368" s="658"/>
      <c r="E368" s="658"/>
      <c r="F368" s="655"/>
      <c r="G368" s="656"/>
      <c r="H368" s="657"/>
      <c r="I368" s="657"/>
      <c r="J368" s="657"/>
      <c r="K368" s="657"/>
      <c r="L368" s="657"/>
      <c r="M368" s="13"/>
    </row>
    <row r="369" spans="1:13">
      <c r="A369" s="658" t="s">
        <v>221</v>
      </c>
      <c r="B369" s="658" t="s">
        <v>2974</v>
      </c>
      <c r="C369" s="658" t="s">
        <v>3044</v>
      </c>
      <c r="D369" s="658" t="s">
        <v>3041</v>
      </c>
      <c r="E369" s="658" t="s">
        <v>239</v>
      </c>
      <c r="F369" s="653"/>
      <c r="G369" s="654"/>
      <c r="H369" s="657">
        <v>42341</v>
      </c>
      <c r="I369" s="657">
        <v>12500000</v>
      </c>
      <c r="J369" s="657"/>
      <c r="K369" s="657">
        <v>125000000</v>
      </c>
      <c r="L369" s="657">
        <f t="shared" ref="L369" si="312">K369-I369</f>
        <v>112500000</v>
      </c>
      <c r="M369" s="13"/>
    </row>
    <row r="370" spans="1:13">
      <c r="A370" s="658"/>
      <c r="B370" s="658"/>
      <c r="C370" s="658"/>
      <c r="D370" s="658"/>
      <c r="E370" s="658"/>
      <c r="F370" s="655"/>
      <c r="G370" s="656"/>
      <c r="H370" s="657"/>
      <c r="I370" s="657"/>
      <c r="J370" s="657"/>
      <c r="K370" s="657"/>
      <c r="L370" s="657"/>
      <c r="M370" s="13"/>
    </row>
    <row r="371" spans="1:13">
      <c r="A371" s="658"/>
      <c r="B371" s="658"/>
      <c r="C371" s="658" t="s">
        <v>420</v>
      </c>
      <c r="D371" s="658" t="s">
        <v>3045</v>
      </c>
      <c r="E371" s="658" t="s">
        <v>1601</v>
      </c>
      <c r="F371" s="653"/>
      <c r="G371" s="654"/>
      <c r="H371" s="657">
        <v>11000000</v>
      </c>
      <c r="I371" s="657">
        <f t="shared" ref="I371" si="313">H371</f>
        <v>11000000</v>
      </c>
      <c r="J371" s="657"/>
      <c r="K371" s="657">
        <v>11000000</v>
      </c>
      <c r="L371" s="657">
        <f t="shared" ref="L371" si="314">K371-I371</f>
        <v>0</v>
      </c>
      <c r="M371" s="13"/>
    </row>
    <row r="372" spans="1:13">
      <c r="A372" s="658"/>
      <c r="B372" s="658"/>
      <c r="C372" s="658"/>
      <c r="D372" s="658"/>
      <c r="E372" s="658"/>
      <c r="F372" s="655"/>
      <c r="G372" s="656"/>
      <c r="H372" s="657"/>
      <c r="I372" s="657"/>
      <c r="J372" s="657"/>
      <c r="K372" s="657"/>
      <c r="L372" s="657"/>
      <c r="M372" s="13"/>
    </row>
    <row r="373" spans="1:13">
      <c r="A373" s="658" t="s">
        <v>231</v>
      </c>
      <c r="B373" s="658" t="s">
        <v>2974</v>
      </c>
      <c r="C373" s="658" t="s">
        <v>3060</v>
      </c>
      <c r="D373" s="658" t="s">
        <v>3059</v>
      </c>
      <c r="E373" s="658" t="s">
        <v>239</v>
      </c>
      <c r="F373" s="653"/>
      <c r="G373" s="654"/>
      <c r="H373" s="657">
        <v>12000000</v>
      </c>
      <c r="I373" s="657">
        <f t="shared" ref="I373" si="315">H373</f>
        <v>12000000</v>
      </c>
      <c r="J373" s="657"/>
      <c r="K373" s="657">
        <v>12000000</v>
      </c>
      <c r="L373" s="657">
        <f t="shared" ref="L373" si="316">K373-I373</f>
        <v>0</v>
      </c>
      <c r="M373" s="13"/>
    </row>
    <row r="374" spans="1:13">
      <c r="A374" s="658"/>
      <c r="B374" s="658"/>
      <c r="C374" s="658"/>
      <c r="D374" s="658"/>
      <c r="E374" s="658"/>
      <c r="F374" s="655"/>
      <c r="G374" s="656"/>
      <c r="H374" s="657"/>
      <c r="I374" s="657"/>
      <c r="J374" s="657"/>
      <c r="K374" s="657"/>
      <c r="L374" s="657"/>
      <c r="M374" s="13"/>
    </row>
    <row r="375" spans="1:13">
      <c r="A375" s="658"/>
      <c r="B375" s="658"/>
      <c r="C375" s="658" t="s">
        <v>435</v>
      </c>
      <c r="D375" s="658" t="s">
        <v>3056</v>
      </c>
      <c r="E375" s="658" t="s">
        <v>3025</v>
      </c>
      <c r="F375" s="653"/>
      <c r="G375" s="654"/>
      <c r="H375" s="657">
        <v>963300</v>
      </c>
      <c r="I375" s="657">
        <f t="shared" ref="I375" si="317">H375</f>
        <v>963300</v>
      </c>
      <c r="J375" s="657"/>
      <c r="K375" s="657">
        <v>693300</v>
      </c>
      <c r="L375" s="657">
        <f t="shared" ref="L375" si="318">K375-I375</f>
        <v>-270000</v>
      </c>
      <c r="M375" s="13"/>
    </row>
    <row r="376" spans="1:13">
      <c r="A376" s="658"/>
      <c r="B376" s="658"/>
      <c r="C376" s="658"/>
      <c r="D376" s="658"/>
      <c r="E376" s="658"/>
      <c r="F376" s="655"/>
      <c r="G376" s="656"/>
      <c r="H376" s="657"/>
      <c r="I376" s="657"/>
      <c r="J376" s="657"/>
      <c r="K376" s="657"/>
      <c r="L376" s="657"/>
      <c r="M376" s="13"/>
    </row>
    <row r="377" spans="1:13">
      <c r="A377" s="658" t="s">
        <v>232</v>
      </c>
      <c r="B377" s="658" t="s">
        <v>2971</v>
      </c>
      <c r="C377" s="658" t="s">
        <v>3061</v>
      </c>
      <c r="D377" s="658" t="s">
        <v>3058</v>
      </c>
      <c r="E377" s="658" t="s">
        <v>239</v>
      </c>
      <c r="F377" s="653"/>
      <c r="G377" s="654"/>
      <c r="H377" s="657">
        <v>40733</v>
      </c>
      <c r="I377" s="657">
        <v>12000000</v>
      </c>
      <c r="J377" s="657"/>
      <c r="K377" s="657">
        <v>12000000</v>
      </c>
      <c r="L377" s="657">
        <f t="shared" ref="L377" si="319">K377-I377</f>
        <v>0</v>
      </c>
      <c r="M377" s="13"/>
    </row>
    <row r="378" spans="1:13">
      <c r="A378" s="658"/>
      <c r="B378" s="658"/>
      <c r="C378" s="658"/>
      <c r="D378" s="658"/>
      <c r="E378" s="658"/>
      <c r="F378" s="655"/>
      <c r="G378" s="656"/>
      <c r="H378" s="657"/>
      <c r="I378" s="657"/>
      <c r="J378" s="657"/>
      <c r="K378" s="657"/>
      <c r="L378" s="657"/>
      <c r="M378" s="13"/>
    </row>
    <row r="379" spans="1:13">
      <c r="A379" s="658"/>
      <c r="B379" s="658"/>
      <c r="C379" s="658" t="s">
        <v>436</v>
      </c>
      <c r="D379" s="658" t="s">
        <v>3057</v>
      </c>
      <c r="E379" s="658" t="s">
        <v>2723</v>
      </c>
      <c r="F379" s="653"/>
      <c r="G379" s="654"/>
      <c r="H379" s="657">
        <v>3800000</v>
      </c>
      <c r="I379" s="657">
        <f t="shared" ref="I379" si="320">H379</f>
        <v>3800000</v>
      </c>
      <c r="J379" s="657"/>
      <c r="K379" s="657">
        <v>3800000</v>
      </c>
      <c r="L379" s="657">
        <f t="shared" ref="L379" si="321">K379-I379</f>
        <v>0</v>
      </c>
      <c r="M379" s="13"/>
    </row>
    <row r="380" spans="1:13">
      <c r="A380" s="658"/>
      <c r="B380" s="658"/>
      <c r="C380" s="658"/>
      <c r="D380" s="658"/>
      <c r="E380" s="658"/>
      <c r="F380" s="655"/>
      <c r="G380" s="656"/>
      <c r="H380" s="657"/>
      <c r="I380" s="657"/>
      <c r="J380" s="657"/>
      <c r="K380" s="657"/>
      <c r="L380" s="657"/>
      <c r="M380" s="13"/>
    </row>
    <row r="381" spans="1:13">
      <c r="A381" s="658"/>
      <c r="B381" s="658"/>
      <c r="C381" s="658" t="s">
        <v>438</v>
      </c>
      <c r="D381" s="658" t="s">
        <v>3057</v>
      </c>
      <c r="E381" s="658" t="s">
        <v>2723</v>
      </c>
      <c r="F381" s="653"/>
      <c r="G381" s="654"/>
      <c r="H381" s="657">
        <v>1000000</v>
      </c>
      <c r="I381" s="657">
        <f t="shared" ref="I381" si="322">H381</f>
        <v>1000000</v>
      </c>
      <c r="J381" s="657"/>
      <c r="K381" s="657">
        <v>1000000</v>
      </c>
      <c r="L381" s="657">
        <f t="shared" ref="L381" si="323">K381-I381</f>
        <v>0</v>
      </c>
      <c r="M381" s="13"/>
    </row>
    <row r="382" spans="1:13">
      <c r="A382" s="658"/>
      <c r="B382" s="658"/>
      <c r="C382" s="658"/>
      <c r="D382" s="658"/>
      <c r="E382" s="658"/>
      <c r="F382" s="655"/>
      <c r="G382" s="656"/>
      <c r="H382" s="657"/>
      <c r="I382" s="657"/>
      <c r="J382" s="657"/>
      <c r="K382" s="657"/>
      <c r="L382" s="657"/>
      <c r="M382" s="13"/>
    </row>
    <row r="383" spans="1:13">
      <c r="A383" s="658"/>
      <c r="B383" s="658"/>
      <c r="C383" s="658" t="s">
        <v>457</v>
      </c>
      <c r="D383" s="658" t="s">
        <v>3056</v>
      </c>
      <c r="E383" s="658" t="s">
        <v>2723</v>
      </c>
      <c r="F383" s="653"/>
      <c r="G383" s="654"/>
      <c r="H383" s="657">
        <v>2800000</v>
      </c>
      <c r="I383" s="657">
        <f t="shared" ref="I383" si="324">H383</f>
        <v>2800000</v>
      </c>
      <c r="J383" s="657"/>
      <c r="K383" s="657">
        <v>2800000</v>
      </c>
      <c r="L383" s="657">
        <f t="shared" ref="L383" si="325">K383-I383</f>
        <v>0</v>
      </c>
      <c r="M383" s="13"/>
    </row>
    <row r="384" spans="1:13">
      <c r="A384" s="658"/>
      <c r="B384" s="658"/>
      <c r="C384" s="658"/>
      <c r="D384" s="658"/>
      <c r="E384" s="658"/>
      <c r="F384" s="655"/>
      <c r="G384" s="656"/>
      <c r="H384" s="657"/>
      <c r="I384" s="657"/>
      <c r="J384" s="657"/>
      <c r="K384" s="657"/>
      <c r="L384" s="657"/>
      <c r="M384" s="13"/>
    </row>
    <row r="385" spans="1:13">
      <c r="A385" s="658"/>
      <c r="B385" s="658"/>
      <c r="C385" s="658" t="s">
        <v>434</v>
      </c>
      <c r="D385" s="658" t="s">
        <v>3057</v>
      </c>
      <c r="E385" s="658" t="s">
        <v>2376</v>
      </c>
      <c r="F385" s="653"/>
      <c r="G385" s="654"/>
      <c r="H385" s="657">
        <v>975000</v>
      </c>
      <c r="I385" s="657">
        <f t="shared" ref="I385" si="326">H385</f>
        <v>975000</v>
      </c>
      <c r="J385" s="657"/>
      <c r="K385" s="657">
        <v>975000</v>
      </c>
      <c r="L385" s="657">
        <f t="shared" ref="L385" si="327">K385-I385</f>
        <v>0</v>
      </c>
      <c r="M385" s="13"/>
    </row>
    <row r="386" spans="1:13">
      <c r="A386" s="658"/>
      <c r="B386" s="658"/>
      <c r="C386" s="658"/>
      <c r="D386" s="658"/>
      <c r="E386" s="658"/>
      <c r="F386" s="655"/>
      <c r="G386" s="656"/>
      <c r="H386" s="657"/>
      <c r="I386" s="657"/>
      <c r="J386" s="657"/>
      <c r="K386" s="657"/>
      <c r="L386" s="657"/>
      <c r="M386" s="13"/>
    </row>
    <row r="387" spans="1:13">
      <c r="A387" s="658" t="s">
        <v>233</v>
      </c>
      <c r="B387" s="658" t="s">
        <v>2983</v>
      </c>
      <c r="C387" s="658" t="s">
        <v>3070</v>
      </c>
      <c r="D387" s="658" t="s">
        <v>3056</v>
      </c>
      <c r="E387" s="658" t="s">
        <v>239</v>
      </c>
      <c r="F387" s="653"/>
      <c r="G387" s="654"/>
      <c r="H387" s="657">
        <v>12000000</v>
      </c>
      <c r="I387" s="657">
        <v>12000000</v>
      </c>
      <c r="J387" s="657"/>
      <c r="K387" s="657">
        <v>12000000</v>
      </c>
      <c r="L387" s="657">
        <f t="shared" ref="L387" si="328">K387-I387</f>
        <v>0</v>
      </c>
      <c r="M387" s="13"/>
    </row>
    <row r="388" spans="1:13">
      <c r="A388" s="658"/>
      <c r="B388" s="658"/>
      <c r="C388" s="658"/>
      <c r="D388" s="658"/>
      <c r="E388" s="658"/>
      <c r="F388" s="655"/>
      <c r="G388" s="656"/>
      <c r="H388" s="657"/>
      <c r="I388" s="657"/>
      <c r="J388" s="657"/>
      <c r="K388" s="657"/>
      <c r="L388" s="657"/>
      <c r="M388" s="13"/>
    </row>
    <row r="389" spans="1:13">
      <c r="A389" s="658"/>
      <c r="B389" s="658"/>
      <c r="C389" s="658" t="s">
        <v>460</v>
      </c>
      <c r="D389" s="658" t="s">
        <v>3067</v>
      </c>
      <c r="E389" s="658" t="s">
        <v>2723</v>
      </c>
      <c r="F389" s="653"/>
      <c r="G389" s="654"/>
      <c r="H389" s="657">
        <v>5000000</v>
      </c>
      <c r="I389" s="657">
        <f t="shared" ref="I389" si="329">H389</f>
        <v>5000000</v>
      </c>
      <c r="J389" s="657"/>
      <c r="K389" s="657">
        <v>5000000</v>
      </c>
      <c r="L389" s="657">
        <f t="shared" ref="L389" si="330">K389-I389</f>
        <v>0</v>
      </c>
      <c r="M389" s="13"/>
    </row>
    <row r="390" spans="1:13">
      <c r="A390" s="658"/>
      <c r="B390" s="658"/>
      <c r="C390" s="658"/>
      <c r="D390" s="658"/>
      <c r="E390" s="658"/>
      <c r="F390" s="655"/>
      <c r="G390" s="656"/>
      <c r="H390" s="657"/>
      <c r="I390" s="657"/>
      <c r="J390" s="657"/>
      <c r="K390" s="657"/>
      <c r="L390" s="657"/>
      <c r="M390" s="13"/>
    </row>
    <row r="391" spans="1:13">
      <c r="A391" s="658"/>
      <c r="B391" s="658"/>
      <c r="C391" s="658" t="s">
        <v>465</v>
      </c>
      <c r="D391" s="658" t="s">
        <v>3066</v>
      </c>
      <c r="E391" s="658" t="s">
        <v>2547</v>
      </c>
      <c r="F391" s="653"/>
      <c r="G391" s="654"/>
      <c r="H391" s="657">
        <v>3000000</v>
      </c>
      <c r="I391" s="657">
        <f t="shared" ref="I391" si="331">H391</f>
        <v>3000000</v>
      </c>
      <c r="J391" s="657"/>
      <c r="K391" s="657">
        <v>3000000</v>
      </c>
      <c r="L391" s="657">
        <f t="shared" ref="L391" si="332">K391-I391</f>
        <v>0</v>
      </c>
      <c r="M391" s="642">
        <v>42550</v>
      </c>
    </row>
    <row r="392" spans="1:13">
      <c r="A392" s="658"/>
      <c r="B392" s="658"/>
      <c r="C392" s="658"/>
      <c r="D392" s="658"/>
      <c r="E392" s="658"/>
      <c r="F392" s="655"/>
      <c r="G392" s="656"/>
      <c r="H392" s="657"/>
      <c r="I392" s="657"/>
      <c r="J392" s="657"/>
      <c r="K392" s="657"/>
      <c r="L392" s="657"/>
      <c r="M392" s="13"/>
    </row>
    <row r="393" spans="1:13">
      <c r="A393" s="658"/>
      <c r="B393" s="658"/>
      <c r="C393" s="658" t="s">
        <v>466</v>
      </c>
      <c r="D393" s="658" t="s">
        <v>3066</v>
      </c>
      <c r="E393" s="658" t="s">
        <v>3063</v>
      </c>
      <c r="F393" s="653"/>
      <c r="G393" s="654"/>
      <c r="H393" s="657">
        <v>500000</v>
      </c>
      <c r="I393" s="657">
        <f t="shared" ref="I393" si="333">H393</f>
        <v>500000</v>
      </c>
      <c r="J393" s="657"/>
      <c r="K393" s="657">
        <v>500000</v>
      </c>
      <c r="L393" s="657">
        <f t="shared" ref="L393" si="334">K393-I393</f>
        <v>0</v>
      </c>
      <c r="M393" s="13"/>
    </row>
    <row r="394" spans="1:13">
      <c r="A394" s="658"/>
      <c r="B394" s="658"/>
      <c r="C394" s="658"/>
      <c r="D394" s="658"/>
      <c r="E394" s="658"/>
      <c r="F394" s="655"/>
      <c r="G394" s="656"/>
      <c r="H394" s="657"/>
      <c r="I394" s="657"/>
      <c r="J394" s="657"/>
      <c r="K394" s="657"/>
      <c r="L394" s="657"/>
      <c r="M394" s="13"/>
    </row>
    <row r="395" spans="1:13">
      <c r="A395" s="658" t="s">
        <v>234</v>
      </c>
      <c r="B395" s="658" t="s">
        <v>2956</v>
      </c>
      <c r="C395" s="658"/>
      <c r="D395" s="658"/>
      <c r="E395" s="658"/>
      <c r="F395" s="653"/>
      <c r="G395" s="654"/>
      <c r="H395" s="657"/>
      <c r="I395" s="657">
        <f t="shared" ref="I395" si="335">H395</f>
        <v>0</v>
      </c>
      <c r="J395" s="657"/>
      <c r="K395" s="657"/>
      <c r="L395" s="657">
        <f t="shared" ref="L395" si="336">K395-I395</f>
        <v>0</v>
      </c>
      <c r="M395" s="13"/>
    </row>
    <row r="396" spans="1:13">
      <c r="A396" s="658"/>
      <c r="B396" s="658"/>
      <c r="C396" s="658"/>
      <c r="D396" s="658"/>
      <c r="E396" s="658"/>
      <c r="F396" s="655"/>
      <c r="G396" s="656"/>
      <c r="H396" s="657"/>
      <c r="I396" s="657"/>
      <c r="J396" s="657"/>
      <c r="K396" s="657"/>
      <c r="L396" s="657"/>
      <c r="M396" s="13"/>
    </row>
    <row r="397" spans="1:13">
      <c r="A397" s="658" t="s">
        <v>254</v>
      </c>
      <c r="B397" s="658" t="s">
        <v>2971</v>
      </c>
      <c r="C397" s="658" t="s">
        <v>3072</v>
      </c>
      <c r="D397" s="658" t="s">
        <v>3071</v>
      </c>
      <c r="E397" s="658" t="s">
        <v>239</v>
      </c>
      <c r="F397" s="653"/>
      <c r="G397" s="654"/>
      <c r="H397" s="657">
        <v>40457</v>
      </c>
      <c r="I397" s="657">
        <v>12000000</v>
      </c>
      <c r="J397" s="657"/>
      <c r="K397" s="657">
        <v>12000000</v>
      </c>
      <c r="L397" s="657">
        <f t="shared" ref="L397" si="337">K397-I397</f>
        <v>0</v>
      </c>
      <c r="M397" s="13"/>
    </row>
    <row r="398" spans="1:13">
      <c r="A398" s="658"/>
      <c r="B398" s="658"/>
      <c r="C398" s="658"/>
      <c r="D398" s="658"/>
      <c r="E398" s="658"/>
      <c r="F398" s="655"/>
      <c r="G398" s="656"/>
      <c r="H398" s="657"/>
      <c r="I398" s="657"/>
      <c r="J398" s="657"/>
      <c r="K398" s="657"/>
      <c r="L398" s="657"/>
      <c r="M398" s="13"/>
    </row>
    <row r="399" spans="1:13">
      <c r="A399" s="658"/>
      <c r="B399" s="658"/>
      <c r="C399" s="658" t="s">
        <v>467</v>
      </c>
      <c r="D399" s="658" t="s">
        <v>3066</v>
      </c>
      <c r="E399" s="658" t="s">
        <v>3064</v>
      </c>
      <c r="F399" s="653"/>
      <c r="G399" s="654"/>
      <c r="H399" s="657">
        <v>5500000</v>
      </c>
      <c r="I399" s="657">
        <f t="shared" ref="I399" si="338">H399</f>
        <v>5500000</v>
      </c>
      <c r="J399" s="657"/>
      <c r="K399" s="657">
        <v>5500000</v>
      </c>
      <c r="L399" s="657">
        <f t="shared" ref="L399" si="339">K399-I399</f>
        <v>0</v>
      </c>
      <c r="M399" s="13"/>
    </row>
    <row r="400" spans="1:13">
      <c r="A400" s="658"/>
      <c r="B400" s="658"/>
      <c r="C400" s="658"/>
      <c r="D400" s="658"/>
      <c r="E400" s="658"/>
      <c r="F400" s="655"/>
      <c r="G400" s="656"/>
      <c r="H400" s="657"/>
      <c r="I400" s="657"/>
      <c r="J400" s="657"/>
      <c r="K400" s="657"/>
      <c r="L400" s="657"/>
      <c r="M400" s="13"/>
    </row>
    <row r="401" spans="1:13">
      <c r="A401" s="658"/>
      <c r="B401" s="658"/>
      <c r="C401" s="658" t="s">
        <v>468</v>
      </c>
      <c r="D401" s="658" t="s">
        <v>3066</v>
      </c>
      <c r="E401" s="658" t="s">
        <v>3025</v>
      </c>
      <c r="F401" s="653"/>
      <c r="G401" s="654"/>
      <c r="H401" s="657">
        <v>980400</v>
      </c>
      <c r="I401" s="657">
        <f t="shared" ref="I401" si="340">H401</f>
        <v>980400</v>
      </c>
      <c r="J401" s="657"/>
      <c r="K401" s="657">
        <v>980400</v>
      </c>
      <c r="L401" s="657">
        <f t="shared" ref="L401" si="341">K401-I401</f>
        <v>0</v>
      </c>
      <c r="M401" s="13"/>
    </row>
    <row r="402" spans="1:13">
      <c r="A402" s="658"/>
      <c r="B402" s="658"/>
      <c r="C402" s="658"/>
      <c r="D402" s="658"/>
      <c r="E402" s="658"/>
      <c r="F402" s="655"/>
      <c r="G402" s="656"/>
      <c r="H402" s="657"/>
      <c r="I402" s="657"/>
      <c r="J402" s="657"/>
      <c r="K402" s="657"/>
      <c r="L402" s="657"/>
      <c r="M402" s="13"/>
    </row>
    <row r="403" spans="1:13">
      <c r="A403" s="658" t="s">
        <v>255</v>
      </c>
      <c r="B403" s="658" t="s">
        <v>2969</v>
      </c>
      <c r="C403" s="658" t="s">
        <v>3069</v>
      </c>
      <c r="D403" s="658" t="s">
        <v>3068</v>
      </c>
      <c r="E403" s="658" t="s">
        <v>239</v>
      </c>
      <c r="F403" s="653"/>
      <c r="G403" s="654"/>
      <c r="H403" s="657">
        <v>12000000</v>
      </c>
      <c r="I403" s="657">
        <v>12000000</v>
      </c>
      <c r="J403" s="657"/>
      <c r="K403" s="657">
        <v>12000000</v>
      </c>
      <c r="L403" s="657">
        <f t="shared" ref="L403" si="342">K403-I403</f>
        <v>0</v>
      </c>
      <c r="M403" s="13"/>
    </row>
    <row r="404" spans="1:13">
      <c r="A404" s="658"/>
      <c r="B404" s="658"/>
      <c r="C404" s="658"/>
      <c r="D404" s="658"/>
      <c r="E404" s="658"/>
      <c r="F404" s="655"/>
      <c r="G404" s="656"/>
      <c r="H404" s="657"/>
      <c r="I404" s="657"/>
      <c r="J404" s="657"/>
      <c r="K404" s="657"/>
      <c r="L404" s="657"/>
      <c r="M404" s="13"/>
    </row>
    <row r="405" spans="1:13">
      <c r="A405" s="658"/>
      <c r="B405" s="658"/>
      <c r="C405" s="658" t="s">
        <v>472</v>
      </c>
      <c r="D405" s="658" t="s">
        <v>3066</v>
      </c>
      <c r="E405" s="658" t="s">
        <v>1661</v>
      </c>
      <c r="F405" s="653"/>
      <c r="G405" s="654"/>
      <c r="H405" s="657">
        <v>4000000</v>
      </c>
      <c r="I405" s="657">
        <f t="shared" ref="I405" si="343">H405</f>
        <v>4000000</v>
      </c>
      <c r="J405" s="657"/>
      <c r="K405" s="657">
        <v>4000000</v>
      </c>
      <c r="L405" s="657">
        <f t="shared" ref="L405" si="344">K405-I405</f>
        <v>0</v>
      </c>
      <c r="M405" s="13"/>
    </row>
    <row r="406" spans="1:13">
      <c r="A406" s="658"/>
      <c r="B406" s="658"/>
      <c r="C406" s="658"/>
      <c r="D406" s="658"/>
      <c r="E406" s="658"/>
      <c r="F406" s="655"/>
      <c r="G406" s="656"/>
      <c r="H406" s="657"/>
      <c r="I406" s="657"/>
      <c r="J406" s="657"/>
      <c r="K406" s="657"/>
      <c r="L406" s="657"/>
      <c r="M406" s="13"/>
    </row>
    <row r="407" spans="1:13">
      <c r="A407" s="658"/>
      <c r="B407" s="658"/>
      <c r="C407" s="658" t="s">
        <v>458</v>
      </c>
      <c r="D407" s="658" t="s">
        <v>3066</v>
      </c>
      <c r="E407" s="658" t="s">
        <v>1601</v>
      </c>
      <c r="F407" s="653"/>
      <c r="G407" s="654"/>
      <c r="H407" s="657">
        <v>8000000</v>
      </c>
      <c r="I407" s="657">
        <f t="shared" ref="I407" si="345">H407</f>
        <v>8000000</v>
      </c>
      <c r="J407" s="657"/>
      <c r="K407" s="657">
        <v>8000000</v>
      </c>
      <c r="L407" s="657">
        <f t="shared" ref="L407" si="346">K407-I407</f>
        <v>0</v>
      </c>
      <c r="M407" s="13"/>
    </row>
    <row r="408" spans="1:13">
      <c r="A408" s="658"/>
      <c r="B408" s="658"/>
      <c r="C408" s="658"/>
      <c r="D408" s="658"/>
      <c r="E408" s="658"/>
      <c r="F408" s="655"/>
      <c r="G408" s="656"/>
      <c r="H408" s="657"/>
      <c r="I408" s="657"/>
      <c r="J408" s="657"/>
      <c r="K408" s="657"/>
      <c r="L408" s="657"/>
      <c r="M408" s="13"/>
    </row>
    <row r="409" spans="1:13">
      <c r="A409" s="658" t="s">
        <v>272</v>
      </c>
      <c r="B409" s="658" t="s">
        <v>3076</v>
      </c>
      <c r="C409" s="658"/>
      <c r="D409" s="658"/>
      <c r="E409" s="658"/>
      <c r="F409" s="653"/>
      <c r="G409" s="654"/>
      <c r="H409" s="657"/>
      <c r="I409" s="657">
        <f t="shared" ref="I409" si="347">H409</f>
        <v>0</v>
      </c>
      <c r="J409" s="657"/>
      <c r="K409" s="657"/>
      <c r="L409" s="657">
        <f t="shared" ref="L409" si="348">K409-I409</f>
        <v>0</v>
      </c>
      <c r="M409" s="13"/>
    </row>
    <row r="410" spans="1:13">
      <c r="A410" s="658"/>
      <c r="B410" s="658"/>
      <c r="C410" s="658"/>
      <c r="D410" s="658"/>
      <c r="E410" s="658"/>
      <c r="F410" s="655"/>
      <c r="G410" s="656"/>
      <c r="H410" s="657"/>
      <c r="I410" s="657"/>
      <c r="J410" s="657"/>
      <c r="K410" s="657"/>
      <c r="L410" s="657"/>
      <c r="M410" s="13"/>
    </row>
    <row r="411" spans="1:13">
      <c r="A411" s="658" t="s">
        <v>273</v>
      </c>
      <c r="B411" s="658" t="s">
        <v>2983</v>
      </c>
      <c r="C411" s="658" t="s">
        <v>3074</v>
      </c>
      <c r="D411" s="658" t="s">
        <v>3073</v>
      </c>
      <c r="E411" s="658" t="s">
        <v>239</v>
      </c>
      <c r="F411" s="653"/>
      <c r="G411" s="654"/>
      <c r="H411" s="657">
        <v>42227</v>
      </c>
      <c r="I411" s="657">
        <v>12500000</v>
      </c>
      <c r="J411" s="657"/>
      <c r="K411" s="657">
        <v>12500000</v>
      </c>
      <c r="L411" s="657">
        <f t="shared" ref="L411" si="349">K411-I411</f>
        <v>0</v>
      </c>
      <c r="M411" s="13"/>
    </row>
    <row r="412" spans="1:13">
      <c r="A412" s="658"/>
      <c r="B412" s="658"/>
      <c r="C412" s="658"/>
      <c r="D412" s="658"/>
      <c r="E412" s="658"/>
      <c r="F412" s="655"/>
      <c r="G412" s="656"/>
      <c r="H412" s="657"/>
      <c r="I412" s="657"/>
      <c r="J412" s="657"/>
      <c r="K412" s="657"/>
      <c r="L412" s="657"/>
      <c r="M412" s="13"/>
    </row>
    <row r="413" spans="1:13">
      <c r="A413" s="658"/>
      <c r="B413" s="658"/>
      <c r="C413" s="658" t="s">
        <v>485</v>
      </c>
      <c r="D413" s="658" t="s">
        <v>3075</v>
      </c>
      <c r="E413" s="658" t="s">
        <v>2517</v>
      </c>
      <c r="F413" s="653"/>
      <c r="G413" s="654"/>
      <c r="H413" s="657">
        <v>1500000</v>
      </c>
      <c r="I413" s="657">
        <f t="shared" ref="I413" si="350">H413</f>
        <v>1500000</v>
      </c>
      <c r="J413" s="657"/>
      <c r="K413" s="657">
        <v>1500000</v>
      </c>
      <c r="L413" s="657">
        <f t="shared" ref="L413" si="351">K413-I413</f>
        <v>0</v>
      </c>
      <c r="M413" s="13"/>
    </row>
    <row r="414" spans="1:13">
      <c r="A414" s="658"/>
      <c r="B414" s="658"/>
      <c r="C414" s="658"/>
      <c r="D414" s="658"/>
      <c r="E414" s="658"/>
      <c r="F414" s="655"/>
      <c r="G414" s="656"/>
      <c r="H414" s="657"/>
      <c r="I414" s="657"/>
      <c r="J414" s="657"/>
      <c r="K414" s="657"/>
      <c r="L414" s="657"/>
      <c r="M414" s="13"/>
    </row>
    <row r="415" spans="1:13">
      <c r="A415" s="658"/>
      <c r="B415" s="658"/>
      <c r="C415" s="658" t="s">
        <v>486</v>
      </c>
      <c r="D415" s="658" t="s">
        <v>3075</v>
      </c>
      <c r="E415" s="658" t="s">
        <v>2517</v>
      </c>
      <c r="F415" s="653"/>
      <c r="G415" s="654"/>
      <c r="H415" s="657">
        <v>1500000</v>
      </c>
      <c r="I415" s="657">
        <f t="shared" ref="I415" si="352">H415</f>
        <v>1500000</v>
      </c>
      <c r="J415" s="657"/>
      <c r="K415" s="657">
        <v>1500000</v>
      </c>
      <c r="L415" s="657">
        <f t="shared" ref="L415" si="353">K415-I415</f>
        <v>0</v>
      </c>
      <c r="M415" s="13"/>
    </row>
    <row r="416" spans="1:13">
      <c r="A416" s="658"/>
      <c r="B416" s="658"/>
      <c r="C416" s="658"/>
      <c r="D416" s="658"/>
      <c r="E416" s="658"/>
      <c r="F416" s="655"/>
      <c r="G416" s="656"/>
      <c r="H416" s="657"/>
      <c r="I416" s="657"/>
      <c r="J416" s="657"/>
      <c r="K416" s="657"/>
      <c r="L416" s="657"/>
      <c r="M416" s="13"/>
    </row>
    <row r="417" spans="1:14">
      <c r="A417" s="658" t="s">
        <v>274</v>
      </c>
      <c r="B417" s="658" t="s">
        <v>3077</v>
      </c>
      <c r="C417" s="658" t="s">
        <v>3078</v>
      </c>
      <c r="D417" s="658"/>
      <c r="E417" s="658"/>
      <c r="F417" s="653"/>
      <c r="G417" s="654"/>
      <c r="H417" s="657"/>
      <c r="I417" s="657">
        <f t="shared" ref="I417" si="354">H417</f>
        <v>0</v>
      </c>
      <c r="J417" s="657"/>
      <c r="K417" s="657"/>
      <c r="L417" s="657">
        <f t="shared" ref="L417" si="355">K417-I417</f>
        <v>0</v>
      </c>
      <c r="M417" s="13"/>
    </row>
    <row r="418" spans="1:14">
      <c r="A418" s="658"/>
      <c r="B418" s="658"/>
      <c r="C418" s="658"/>
      <c r="D418" s="658"/>
      <c r="E418" s="658"/>
      <c r="F418" s="655"/>
      <c r="G418" s="656"/>
      <c r="H418" s="657"/>
      <c r="I418" s="657"/>
      <c r="J418" s="657"/>
      <c r="K418" s="657"/>
      <c r="L418" s="657"/>
      <c r="M418" s="13"/>
    </row>
    <row r="419" spans="1:14">
      <c r="A419" s="658" t="s">
        <v>276</v>
      </c>
      <c r="B419" s="658" t="s">
        <v>2956</v>
      </c>
      <c r="C419" s="658" t="s">
        <v>489</v>
      </c>
      <c r="D419" s="658" t="s">
        <v>3079</v>
      </c>
      <c r="E419" s="658" t="s">
        <v>2376</v>
      </c>
      <c r="F419" s="653"/>
      <c r="G419" s="654"/>
      <c r="H419" s="657">
        <v>800000</v>
      </c>
      <c r="I419" s="657">
        <f t="shared" ref="I419" si="356">H419</f>
        <v>800000</v>
      </c>
      <c r="J419" s="657"/>
      <c r="K419" s="657">
        <v>800000</v>
      </c>
      <c r="L419" s="657">
        <f t="shared" ref="L419" si="357">K419-I419</f>
        <v>0</v>
      </c>
      <c r="M419" s="13"/>
    </row>
    <row r="420" spans="1:14">
      <c r="A420" s="658"/>
      <c r="B420" s="658"/>
      <c r="C420" s="658"/>
      <c r="D420" s="658"/>
      <c r="E420" s="658"/>
      <c r="F420" s="655"/>
      <c r="G420" s="656"/>
      <c r="H420" s="657"/>
      <c r="I420" s="657"/>
      <c r="J420" s="657"/>
      <c r="K420" s="657"/>
      <c r="L420" s="657"/>
      <c r="M420" s="13"/>
    </row>
    <row r="421" spans="1:14">
      <c r="A421" s="658" t="s">
        <v>277</v>
      </c>
      <c r="B421" s="658" t="s">
        <v>2969</v>
      </c>
      <c r="C421" s="658" t="s">
        <v>3081</v>
      </c>
      <c r="D421" s="658" t="s">
        <v>3075</v>
      </c>
      <c r="E421" s="658" t="s">
        <v>239</v>
      </c>
      <c r="F421" s="653"/>
      <c r="G421" s="654"/>
      <c r="H421" s="657">
        <v>10100000</v>
      </c>
      <c r="I421" s="657">
        <f t="shared" ref="I421" si="358">H421</f>
        <v>10100000</v>
      </c>
      <c r="J421" s="657"/>
      <c r="K421" s="657">
        <v>10100000</v>
      </c>
      <c r="L421" s="657">
        <f t="shared" ref="L421" si="359">K421-I421</f>
        <v>0</v>
      </c>
      <c r="M421" s="13"/>
    </row>
    <row r="422" spans="1:14">
      <c r="A422" s="658"/>
      <c r="B422" s="658"/>
      <c r="C422" s="658"/>
      <c r="D422" s="658"/>
      <c r="E422" s="658"/>
      <c r="F422" s="655"/>
      <c r="G422" s="656"/>
      <c r="H422" s="657"/>
      <c r="I422" s="657"/>
      <c r="J422" s="657"/>
      <c r="K422" s="657"/>
      <c r="L422" s="657"/>
      <c r="M422" s="13"/>
    </row>
    <row r="423" spans="1:14">
      <c r="A423" s="658"/>
      <c r="B423" s="658"/>
      <c r="C423" s="658" t="s">
        <v>490</v>
      </c>
      <c r="D423" s="658" t="s">
        <v>3080</v>
      </c>
      <c r="E423" s="658" t="s">
        <v>3025</v>
      </c>
      <c r="F423" s="653"/>
      <c r="G423" s="654"/>
      <c r="H423" s="657">
        <v>985600</v>
      </c>
      <c r="I423" s="657">
        <f t="shared" ref="I423" si="360">H423</f>
        <v>985600</v>
      </c>
      <c r="J423" s="657"/>
      <c r="K423" s="657">
        <v>985600</v>
      </c>
      <c r="L423" s="657">
        <f t="shared" ref="L423" si="361">K423-I423</f>
        <v>0</v>
      </c>
      <c r="M423" s="13"/>
    </row>
    <row r="424" spans="1:14">
      <c r="A424" s="658"/>
      <c r="B424" s="658"/>
      <c r="C424" s="658"/>
      <c r="D424" s="658"/>
      <c r="E424" s="658"/>
      <c r="F424" s="655"/>
      <c r="G424" s="656"/>
      <c r="H424" s="657"/>
      <c r="I424" s="657"/>
      <c r="J424" s="657"/>
      <c r="K424" s="657"/>
      <c r="L424" s="657"/>
      <c r="M424" s="13"/>
    </row>
    <row r="425" spans="1:14">
      <c r="A425" s="658"/>
      <c r="B425" s="658"/>
      <c r="C425" s="658" t="s">
        <v>491</v>
      </c>
      <c r="D425" s="658" t="s">
        <v>3080</v>
      </c>
      <c r="E425" s="658" t="s">
        <v>1601</v>
      </c>
      <c r="F425" s="653"/>
      <c r="G425" s="654"/>
      <c r="H425" s="657">
        <v>6800000</v>
      </c>
      <c r="I425" s="657">
        <f t="shared" ref="I425" si="362">H425</f>
        <v>6800000</v>
      </c>
      <c r="J425" s="657"/>
      <c r="K425" s="657">
        <v>6800000</v>
      </c>
      <c r="L425" s="657">
        <f t="shared" ref="L425" si="363">K425-I425</f>
        <v>0</v>
      </c>
      <c r="M425" s="13"/>
    </row>
    <row r="426" spans="1:14">
      <c r="A426" s="658"/>
      <c r="B426" s="658"/>
      <c r="C426" s="658"/>
      <c r="D426" s="658"/>
      <c r="E426" s="658"/>
      <c r="F426" s="655"/>
      <c r="G426" s="656"/>
      <c r="H426" s="657"/>
      <c r="I426" s="657"/>
      <c r="J426" s="657"/>
      <c r="K426" s="657"/>
      <c r="L426" s="657"/>
      <c r="M426" s="13"/>
    </row>
    <row r="427" spans="1:14">
      <c r="A427" s="658" t="s">
        <v>278</v>
      </c>
      <c r="B427" s="658" t="s">
        <v>2983</v>
      </c>
      <c r="C427" s="658" t="s">
        <v>3086</v>
      </c>
      <c r="D427" s="658" t="s">
        <v>3080</v>
      </c>
      <c r="E427" s="658" t="s">
        <v>239</v>
      </c>
      <c r="F427" s="653"/>
      <c r="G427" s="654"/>
      <c r="H427" s="657">
        <v>39912</v>
      </c>
      <c r="I427" s="657">
        <v>12000000</v>
      </c>
      <c r="J427" s="657"/>
      <c r="K427" s="657">
        <v>12000000</v>
      </c>
      <c r="L427" s="657">
        <f t="shared" ref="L427" si="364">K427-I427</f>
        <v>0</v>
      </c>
      <c r="M427" s="13"/>
    </row>
    <row r="428" spans="1:14">
      <c r="A428" s="658"/>
      <c r="B428" s="658"/>
      <c r="C428" s="658"/>
      <c r="D428" s="658"/>
      <c r="E428" s="658"/>
      <c r="F428" s="655"/>
      <c r="G428" s="656"/>
      <c r="H428" s="657"/>
      <c r="I428" s="657"/>
      <c r="J428" s="657"/>
      <c r="K428" s="657"/>
      <c r="L428" s="657"/>
      <c r="M428" s="13"/>
    </row>
    <row r="429" spans="1:14">
      <c r="A429" s="815" t="s">
        <v>387</v>
      </c>
      <c r="B429" s="810"/>
      <c r="C429" s="810"/>
      <c r="D429" s="810"/>
      <c r="E429" s="810"/>
      <c r="F429" s="810"/>
      <c r="G429" s="810"/>
      <c r="H429" s="810"/>
      <c r="I429" s="810"/>
      <c r="J429" s="810"/>
      <c r="K429" s="810"/>
      <c r="L429" s="811"/>
      <c r="M429" s="13"/>
    </row>
    <row r="430" spans="1:14">
      <c r="A430" s="812"/>
      <c r="B430" s="813"/>
      <c r="C430" s="813"/>
      <c r="D430" s="813"/>
      <c r="E430" s="813"/>
      <c r="F430" s="813"/>
      <c r="G430" s="813"/>
      <c r="H430" s="813"/>
      <c r="I430" s="813"/>
      <c r="J430" s="813"/>
      <c r="K430" s="813"/>
      <c r="L430" s="814"/>
      <c r="M430" s="620">
        <f>(SUM(I431:I436,I439:I494))+SUM(I497:I522)</f>
        <v>237398000</v>
      </c>
    </row>
    <row r="431" spans="1:14">
      <c r="A431" s="658"/>
      <c r="B431" s="658"/>
      <c r="C431" s="658" t="s">
        <v>494</v>
      </c>
      <c r="D431" s="658" t="s">
        <v>3085</v>
      </c>
      <c r="E431" s="658" t="s">
        <v>2723</v>
      </c>
      <c r="F431" s="653"/>
      <c r="G431" s="654"/>
      <c r="H431" s="657">
        <v>5300000</v>
      </c>
      <c r="I431" s="657">
        <v>5300000</v>
      </c>
      <c r="J431" s="657"/>
      <c r="K431" s="657">
        <v>5300000</v>
      </c>
      <c r="L431" s="657">
        <f t="shared" ref="L431" si="365">K431-I431</f>
        <v>0</v>
      </c>
      <c r="M431" s="13"/>
      <c r="N431" s="572">
        <f>SUM(H431:H436,H439:H494,H497:H530,H533,H539)</f>
        <v>164884105</v>
      </c>
    </row>
    <row r="432" spans="1:14">
      <c r="A432" s="658"/>
      <c r="B432" s="658"/>
      <c r="C432" s="658"/>
      <c r="D432" s="658"/>
      <c r="E432" s="658"/>
      <c r="F432" s="655"/>
      <c r="G432" s="656"/>
      <c r="H432" s="657"/>
      <c r="I432" s="657"/>
      <c r="J432" s="657"/>
      <c r="K432" s="657"/>
      <c r="L432" s="657"/>
      <c r="M432" s="13"/>
    </row>
    <row r="433" spans="1:14">
      <c r="A433" s="658"/>
      <c r="B433" s="658"/>
      <c r="C433" s="658" t="s">
        <v>495</v>
      </c>
      <c r="D433" s="658" t="s">
        <v>3085</v>
      </c>
      <c r="E433" s="658" t="s">
        <v>2723</v>
      </c>
      <c r="F433" s="653"/>
      <c r="G433" s="654"/>
      <c r="H433" s="657">
        <v>4000000</v>
      </c>
      <c r="I433" s="657">
        <f t="shared" ref="I433" si="366">H433</f>
        <v>4000000</v>
      </c>
      <c r="J433" s="657"/>
      <c r="K433" s="657">
        <v>4000000</v>
      </c>
      <c r="L433" s="657">
        <f t="shared" ref="L433" si="367">K433-I433</f>
        <v>0</v>
      </c>
      <c r="M433" s="13" t="s">
        <v>2071</v>
      </c>
      <c r="N433" s="572">
        <f>SUM(H431:H436,H439:H494,H497:H530,H533,H539)</f>
        <v>164884105</v>
      </c>
    </row>
    <row r="434" spans="1:14">
      <c r="A434" s="658"/>
      <c r="B434" s="658"/>
      <c r="C434" s="658"/>
      <c r="D434" s="658"/>
      <c r="E434" s="658"/>
      <c r="F434" s="655"/>
      <c r="G434" s="656"/>
      <c r="H434" s="657"/>
      <c r="I434" s="657"/>
      <c r="J434" s="657"/>
      <c r="K434" s="657"/>
      <c r="L434" s="657"/>
      <c r="M434" s="13" t="s">
        <v>3180</v>
      </c>
      <c r="N434">
        <f>SUM(N435)</f>
        <v>0</v>
      </c>
    </row>
    <row r="435" spans="1:14">
      <c r="A435" s="658"/>
      <c r="B435" s="658"/>
      <c r="C435" s="658" t="s">
        <v>503</v>
      </c>
      <c r="D435" s="658" t="s">
        <v>3085</v>
      </c>
      <c r="E435" s="658" t="s">
        <v>3043</v>
      </c>
      <c r="F435" s="653"/>
      <c r="G435" s="654"/>
      <c r="H435" s="657">
        <v>2400000</v>
      </c>
      <c r="I435" s="657">
        <f t="shared" ref="I435" si="368">H435</f>
        <v>2400000</v>
      </c>
      <c r="J435" s="657"/>
      <c r="K435" s="657">
        <v>2400000</v>
      </c>
      <c r="L435" s="657">
        <f t="shared" ref="L435" si="369">K435-I435</f>
        <v>0</v>
      </c>
      <c r="M435" s="13"/>
    </row>
    <row r="436" spans="1:14">
      <c r="A436" s="658"/>
      <c r="B436" s="658"/>
      <c r="C436" s="658"/>
      <c r="D436" s="658"/>
      <c r="E436" s="658"/>
      <c r="F436" s="655"/>
      <c r="G436" s="656"/>
      <c r="H436" s="657"/>
      <c r="I436" s="657"/>
      <c r="J436" s="657"/>
      <c r="K436" s="657"/>
      <c r="L436" s="657"/>
      <c r="M436" s="13"/>
    </row>
    <row r="437" spans="1:14">
      <c r="A437" s="658" t="s">
        <v>279</v>
      </c>
      <c r="B437" s="658" t="s">
        <v>2974</v>
      </c>
      <c r="C437" s="658" t="s">
        <v>3088</v>
      </c>
      <c r="D437" s="658" t="s">
        <v>3087</v>
      </c>
      <c r="E437" s="658" t="s">
        <v>239</v>
      </c>
      <c r="F437" s="653"/>
      <c r="G437" s="654"/>
      <c r="H437" s="657">
        <v>12000000</v>
      </c>
      <c r="I437" s="657">
        <f t="shared" ref="I437" si="370">H437</f>
        <v>12000000</v>
      </c>
      <c r="J437" s="657"/>
      <c r="K437" s="657">
        <v>12000000</v>
      </c>
      <c r="L437" s="657">
        <f t="shared" ref="L437" si="371">K437-I437</f>
        <v>0</v>
      </c>
      <c r="M437" s="13"/>
    </row>
    <row r="438" spans="1:14">
      <c r="A438" s="658"/>
      <c r="B438" s="658"/>
      <c r="C438" s="658"/>
      <c r="D438" s="658"/>
      <c r="E438" s="658"/>
      <c r="F438" s="655"/>
      <c r="G438" s="656"/>
      <c r="H438" s="657"/>
      <c r="I438" s="657"/>
      <c r="J438" s="657"/>
      <c r="K438" s="657"/>
      <c r="L438" s="657"/>
      <c r="M438" s="13"/>
    </row>
    <row r="439" spans="1:14">
      <c r="A439" s="658"/>
      <c r="B439" s="658"/>
      <c r="C439" s="658" t="s">
        <v>504</v>
      </c>
      <c r="D439" s="658" t="s">
        <v>3083</v>
      </c>
      <c r="E439" s="658" t="s">
        <v>2376</v>
      </c>
      <c r="F439" s="653"/>
      <c r="G439" s="654"/>
      <c r="H439" s="657">
        <v>615000</v>
      </c>
      <c r="I439" s="657">
        <f t="shared" ref="I439" si="372">H439</f>
        <v>615000</v>
      </c>
      <c r="J439" s="657"/>
      <c r="K439" s="657">
        <v>615000</v>
      </c>
      <c r="L439" s="657">
        <f t="shared" ref="L439" si="373">K439-I439</f>
        <v>0</v>
      </c>
      <c r="M439" s="13"/>
    </row>
    <row r="440" spans="1:14">
      <c r="A440" s="658"/>
      <c r="B440" s="658"/>
      <c r="C440" s="658"/>
      <c r="D440" s="658"/>
      <c r="E440" s="658"/>
      <c r="F440" s="655"/>
      <c r="G440" s="656"/>
      <c r="H440" s="657"/>
      <c r="I440" s="657"/>
      <c r="J440" s="657"/>
      <c r="K440" s="657"/>
      <c r="L440" s="657"/>
      <c r="M440" s="13"/>
    </row>
    <row r="441" spans="1:14">
      <c r="A441" s="658"/>
      <c r="B441" s="658"/>
      <c r="C441" s="658" t="s">
        <v>505</v>
      </c>
      <c r="D441" s="658" t="s">
        <v>3083</v>
      </c>
      <c r="E441" s="658" t="s">
        <v>2375</v>
      </c>
      <c r="F441" s="653"/>
      <c r="G441" s="654"/>
      <c r="H441" s="657">
        <v>1025000</v>
      </c>
      <c r="I441" s="657">
        <f t="shared" ref="I441" si="374">H441</f>
        <v>1025000</v>
      </c>
      <c r="J441" s="657"/>
      <c r="K441" s="657">
        <v>1025000</v>
      </c>
      <c r="L441" s="657">
        <f t="shared" ref="L441" si="375">K441-I441</f>
        <v>0</v>
      </c>
      <c r="M441" s="13"/>
    </row>
    <row r="442" spans="1:14">
      <c r="A442" s="658"/>
      <c r="B442" s="658"/>
      <c r="C442" s="658"/>
      <c r="D442" s="658"/>
      <c r="E442" s="658"/>
      <c r="F442" s="655"/>
      <c r="G442" s="656"/>
      <c r="H442" s="657"/>
      <c r="I442" s="657"/>
      <c r="J442" s="657"/>
      <c r="K442" s="657"/>
      <c r="L442" s="657"/>
      <c r="M442" s="13"/>
    </row>
    <row r="443" spans="1:14">
      <c r="A443" s="658"/>
      <c r="B443" s="658"/>
      <c r="C443" s="658" t="s">
        <v>507</v>
      </c>
      <c r="D443" s="658" t="s">
        <v>3083</v>
      </c>
      <c r="E443" s="658" t="s">
        <v>3082</v>
      </c>
      <c r="F443" s="653"/>
      <c r="G443" s="654"/>
      <c r="H443" s="657">
        <v>5287000</v>
      </c>
      <c r="I443" s="657">
        <f t="shared" ref="I443" si="376">H443</f>
        <v>5287000</v>
      </c>
      <c r="J443" s="657"/>
      <c r="K443" s="657">
        <v>5287000</v>
      </c>
      <c r="L443" s="657">
        <f t="shared" ref="L443" si="377">K443-I443</f>
        <v>0</v>
      </c>
      <c r="M443" s="13" t="s">
        <v>3093</v>
      </c>
    </row>
    <row r="444" spans="1:14">
      <c r="A444" s="658"/>
      <c r="B444" s="658"/>
      <c r="C444" s="658"/>
      <c r="D444" s="658"/>
      <c r="E444" s="658"/>
      <c r="F444" s="655"/>
      <c r="G444" s="656"/>
      <c r="H444" s="657"/>
      <c r="I444" s="657"/>
      <c r="J444" s="657"/>
      <c r="K444" s="657"/>
      <c r="L444" s="657"/>
      <c r="M444" s="13"/>
    </row>
    <row r="445" spans="1:14">
      <c r="A445" s="658"/>
      <c r="B445" s="658"/>
      <c r="C445" s="658" t="s">
        <v>508</v>
      </c>
      <c r="D445" s="658" t="s">
        <v>3083</v>
      </c>
      <c r="E445" s="658" t="s">
        <v>117</v>
      </c>
      <c r="F445" s="653"/>
      <c r="G445" s="654"/>
      <c r="H445" s="657">
        <v>1100000</v>
      </c>
      <c r="I445" s="657">
        <f t="shared" ref="I445" si="378">H445</f>
        <v>1100000</v>
      </c>
      <c r="J445" s="657"/>
      <c r="K445" s="657">
        <v>1100000</v>
      </c>
      <c r="L445" s="657">
        <f t="shared" ref="L445" si="379">K445-I445</f>
        <v>0</v>
      </c>
      <c r="M445" s="13"/>
    </row>
    <row r="446" spans="1:14">
      <c r="A446" s="658"/>
      <c r="B446" s="658"/>
      <c r="C446" s="658"/>
      <c r="D446" s="658"/>
      <c r="E446" s="658"/>
      <c r="F446" s="655"/>
      <c r="G446" s="656"/>
      <c r="H446" s="657"/>
      <c r="I446" s="657"/>
      <c r="J446" s="657"/>
      <c r="K446" s="657"/>
      <c r="L446" s="657"/>
      <c r="M446" s="13"/>
    </row>
    <row r="447" spans="1:14">
      <c r="A447" s="658" t="s">
        <v>286</v>
      </c>
      <c r="B447" s="658" t="s">
        <v>2969</v>
      </c>
      <c r="C447" s="658" t="s">
        <v>3090</v>
      </c>
      <c r="D447" s="658" t="s">
        <v>3089</v>
      </c>
      <c r="E447" s="658" t="s">
        <v>239</v>
      </c>
      <c r="F447" s="653"/>
      <c r="G447" s="654"/>
      <c r="H447" s="657">
        <v>40161</v>
      </c>
      <c r="I447" s="657">
        <v>12000000</v>
      </c>
      <c r="J447" s="657"/>
      <c r="K447" s="657">
        <v>12000000</v>
      </c>
      <c r="L447" s="657">
        <f t="shared" ref="L447" si="380">K447-I447</f>
        <v>0</v>
      </c>
      <c r="M447" s="13"/>
    </row>
    <row r="448" spans="1:14">
      <c r="A448" s="658"/>
      <c r="B448" s="658"/>
      <c r="C448" s="658"/>
      <c r="D448" s="658"/>
      <c r="E448" s="658"/>
      <c r="F448" s="655"/>
      <c r="G448" s="656"/>
      <c r="H448" s="657"/>
      <c r="I448" s="657"/>
      <c r="J448" s="657"/>
      <c r="K448" s="657"/>
      <c r="L448" s="657"/>
      <c r="M448" s="13"/>
    </row>
    <row r="449" spans="1:13">
      <c r="A449" s="658"/>
      <c r="B449" s="658"/>
      <c r="C449" s="658" t="s">
        <v>509</v>
      </c>
      <c r="D449" s="658" t="s">
        <v>3083</v>
      </c>
      <c r="E449" s="658" t="s">
        <v>2348</v>
      </c>
      <c r="F449" s="653"/>
      <c r="G449" s="654"/>
      <c r="H449" s="657">
        <v>1500000</v>
      </c>
      <c r="I449" s="657">
        <f t="shared" ref="I449" si="381">H449</f>
        <v>1500000</v>
      </c>
      <c r="J449" s="657"/>
      <c r="K449" s="657">
        <v>1500000</v>
      </c>
      <c r="L449" s="657">
        <f t="shared" ref="L449" si="382">K449-I449</f>
        <v>0</v>
      </c>
      <c r="M449" s="13"/>
    </row>
    <row r="450" spans="1:13">
      <c r="A450" s="658"/>
      <c r="B450" s="658"/>
      <c r="C450" s="658"/>
      <c r="D450" s="658"/>
      <c r="E450" s="658"/>
      <c r="F450" s="655"/>
      <c r="G450" s="656"/>
      <c r="H450" s="657"/>
      <c r="I450" s="657"/>
      <c r="J450" s="657"/>
      <c r="K450" s="657"/>
      <c r="L450" s="657"/>
      <c r="M450" s="13"/>
    </row>
    <row r="451" spans="1:13">
      <c r="A451" s="658"/>
      <c r="B451" s="658"/>
      <c r="C451" s="658" t="s">
        <v>510</v>
      </c>
      <c r="D451" s="658" t="s">
        <v>3083</v>
      </c>
      <c r="E451" s="658" t="s">
        <v>3084</v>
      </c>
      <c r="F451" s="653"/>
      <c r="G451" s="654"/>
      <c r="H451" s="657">
        <v>5000000</v>
      </c>
      <c r="I451" s="657">
        <f t="shared" ref="I451" si="383">H451</f>
        <v>5000000</v>
      </c>
      <c r="J451" s="657"/>
      <c r="K451" s="657">
        <v>5000000</v>
      </c>
      <c r="L451" s="657">
        <f t="shared" ref="L451" si="384">K451-I451</f>
        <v>0</v>
      </c>
      <c r="M451" s="13"/>
    </row>
    <row r="452" spans="1:13">
      <c r="A452" s="658"/>
      <c r="B452" s="658"/>
      <c r="C452" s="658"/>
      <c r="D452" s="658"/>
      <c r="E452" s="658"/>
      <c r="F452" s="655"/>
      <c r="G452" s="656"/>
      <c r="H452" s="657"/>
      <c r="I452" s="657"/>
      <c r="J452" s="657"/>
      <c r="K452" s="657"/>
      <c r="L452" s="657"/>
      <c r="M452" s="13"/>
    </row>
    <row r="453" spans="1:13">
      <c r="A453" s="658" t="s">
        <v>287</v>
      </c>
      <c r="B453" s="658" t="s">
        <v>2983</v>
      </c>
      <c r="C453" s="658" t="s">
        <v>3107</v>
      </c>
      <c r="D453" s="658" t="s">
        <v>3083</v>
      </c>
      <c r="E453" s="658" t="s">
        <v>239</v>
      </c>
      <c r="F453" s="653"/>
      <c r="G453" s="654"/>
      <c r="H453" s="657">
        <v>13000000</v>
      </c>
      <c r="I453" s="657">
        <f t="shared" ref="I453" si="385">H453</f>
        <v>13000000</v>
      </c>
      <c r="J453" s="657"/>
      <c r="K453" s="657">
        <v>13000000</v>
      </c>
      <c r="L453" s="657">
        <f t="shared" ref="L453" si="386">K453-I453</f>
        <v>0</v>
      </c>
      <c r="M453" s="13"/>
    </row>
    <row r="454" spans="1:13">
      <c r="A454" s="658"/>
      <c r="B454" s="658"/>
      <c r="C454" s="658"/>
      <c r="D454" s="658"/>
      <c r="E454" s="658"/>
      <c r="F454" s="655"/>
      <c r="G454" s="656"/>
      <c r="H454" s="657"/>
      <c r="I454" s="657"/>
      <c r="J454" s="657"/>
      <c r="K454" s="657"/>
      <c r="L454" s="657"/>
      <c r="M454" s="13"/>
    </row>
    <row r="455" spans="1:13">
      <c r="A455" s="658"/>
      <c r="B455" s="658"/>
      <c r="C455" s="658" t="s">
        <v>526</v>
      </c>
      <c r="D455" s="658" t="s">
        <v>3094</v>
      </c>
      <c r="E455" s="658" t="s">
        <v>1140</v>
      </c>
      <c r="F455" s="653"/>
      <c r="G455" s="654"/>
      <c r="H455" s="657">
        <v>4000000</v>
      </c>
      <c r="I455" s="657">
        <f t="shared" ref="I455" si="387">H455</f>
        <v>4000000</v>
      </c>
      <c r="J455" s="657"/>
      <c r="K455" s="657">
        <v>4000000</v>
      </c>
      <c r="L455" s="657">
        <f t="shared" ref="L455" si="388">K455-I455</f>
        <v>0</v>
      </c>
      <c r="M455" s="13"/>
    </row>
    <row r="456" spans="1:13">
      <c r="A456" s="658"/>
      <c r="B456" s="658"/>
      <c r="C456" s="658"/>
      <c r="D456" s="658"/>
      <c r="E456" s="658"/>
      <c r="F456" s="655"/>
      <c r="G456" s="656"/>
      <c r="H456" s="657"/>
      <c r="I456" s="657"/>
      <c r="J456" s="657"/>
      <c r="K456" s="657"/>
      <c r="L456" s="657"/>
      <c r="M456" s="13"/>
    </row>
    <row r="457" spans="1:13">
      <c r="A457" s="658"/>
      <c r="B457" s="658"/>
      <c r="C457" s="658" t="s">
        <v>529</v>
      </c>
      <c r="D457" s="658" t="s">
        <v>3094</v>
      </c>
      <c r="E457" s="658" t="s">
        <v>1601</v>
      </c>
      <c r="F457" s="653"/>
      <c r="G457" s="654"/>
      <c r="H457" s="657">
        <v>12500000</v>
      </c>
      <c r="I457" s="657">
        <f t="shared" ref="I457" si="389">H457</f>
        <v>12500000</v>
      </c>
      <c r="J457" s="657"/>
      <c r="K457" s="657">
        <v>12500000</v>
      </c>
      <c r="L457" s="657">
        <f t="shared" ref="L457" si="390">K457-I457</f>
        <v>0</v>
      </c>
      <c r="M457" s="13"/>
    </row>
    <row r="458" spans="1:13">
      <c r="A458" s="658"/>
      <c r="B458" s="658"/>
      <c r="C458" s="658"/>
      <c r="D458" s="658"/>
      <c r="E458" s="658"/>
      <c r="F458" s="655"/>
      <c r="G458" s="656"/>
      <c r="H458" s="657"/>
      <c r="I458" s="657"/>
      <c r="J458" s="657"/>
      <c r="K458" s="657"/>
      <c r="L458" s="657"/>
      <c r="M458" s="13"/>
    </row>
    <row r="459" spans="1:13">
      <c r="A459" s="658" t="s">
        <v>294</v>
      </c>
      <c r="B459" s="658" t="s">
        <v>2974</v>
      </c>
      <c r="C459" s="658" t="s">
        <v>3109</v>
      </c>
      <c r="D459" s="658" t="s">
        <v>3108</v>
      </c>
      <c r="E459" s="658" t="s">
        <v>239</v>
      </c>
      <c r="F459" s="653"/>
      <c r="G459" s="654"/>
      <c r="H459" s="657">
        <v>41477</v>
      </c>
      <c r="I459" s="657">
        <v>12500000</v>
      </c>
      <c r="J459" s="657"/>
      <c r="K459" s="657">
        <v>12500000</v>
      </c>
      <c r="L459" s="657">
        <f t="shared" ref="L459" si="391">K459-I459</f>
        <v>0</v>
      </c>
      <c r="M459" s="13"/>
    </row>
    <row r="460" spans="1:13">
      <c r="A460" s="658"/>
      <c r="B460" s="658"/>
      <c r="C460" s="658"/>
      <c r="D460" s="658"/>
      <c r="E460" s="658"/>
      <c r="F460" s="655"/>
      <c r="G460" s="656"/>
      <c r="H460" s="657"/>
      <c r="I460" s="657"/>
      <c r="J460" s="657"/>
      <c r="K460" s="657"/>
      <c r="L460" s="657"/>
      <c r="M460" s="13"/>
    </row>
    <row r="461" spans="1:13">
      <c r="A461" s="658"/>
      <c r="B461" s="658"/>
      <c r="C461" s="658" t="s">
        <v>530</v>
      </c>
      <c r="D461" s="658" t="s">
        <v>3095</v>
      </c>
      <c r="E461" s="658" t="s">
        <v>2375</v>
      </c>
      <c r="F461" s="653"/>
      <c r="G461" s="654"/>
      <c r="H461" s="657">
        <v>2000000</v>
      </c>
      <c r="I461" s="657">
        <f t="shared" ref="I461" si="392">H461</f>
        <v>2000000</v>
      </c>
      <c r="J461" s="657"/>
      <c r="K461" s="657">
        <v>2000000</v>
      </c>
      <c r="L461" s="657">
        <f t="shared" ref="L461" si="393">K461-I461</f>
        <v>0</v>
      </c>
      <c r="M461" s="642">
        <v>42529</v>
      </c>
    </row>
    <row r="462" spans="1:13">
      <c r="A462" s="658"/>
      <c r="B462" s="658"/>
      <c r="C462" s="658"/>
      <c r="D462" s="658"/>
      <c r="E462" s="658"/>
      <c r="F462" s="655"/>
      <c r="G462" s="656"/>
      <c r="H462" s="657"/>
      <c r="I462" s="657"/>
      <c r="J462" s="657"/>
      <c r="K462" s="657"/>
      <c r="L462" s="657"/>
      <c r="M462" s="13"/>
    </row>
    <row r="463" spans="1:13">
      <c r="A463" s="658"/>
      <c r="B463" s="658"/>
      <c r="C463" s="658" t="s">
        <v>531</v>
      </c>
      <c r="D463" s="658" t="s">
        <v>3095</v>
      </c>
      <c r="E463" s="658" t="s">
        <v>117</v>
      </c>
      <c r="F463" s="653"/>
      <c r="G463" s="654"/>
      <c r="H463" s="657">
        <v>1100000</v>
      </c>
      <c r="I463" s="657">
        <f t="shared" ref="I463" si="394">H463</f>
        <v>1100000</v>
      </c>
      <c r="J463" s="657"/>
      <c r="K463" s="657">
        <v>1100000</v>
      </c>
      <c r="L463" s="657">
        <f t="shared" ref="L463" si="395">K463-I463</f>
        <v>0</v>
      </c>
      <c r="M463" s="13"/>
    </row>
    <row r="464" spans="1:13">
      <c r="A464" s="658"/>
      <c r="B464" s="658"/>
      <c r="C464" s="658"/>
      <c r="D464" s="658"/>
      <c r="E464" s="658"/>
      <c r="F464" s="655"/>
      <c r="G464" s="656"/>
      <c r="H464" s="657"/>
      <c r="I464" s="657"/>
      <c r="J464" s="657"/>
      <c r="K464" s="657"/>
      <c r="L464" s="657"/>
      <c r="M464" s="13"/>
    </row>
    <row r="465" spans="1:13">
      <c r="A465" s="658" t="s">
        <v>290</v>
      </c>
      <c r="B465" s="658" t="s">
        <v>2969</v>
      </c>
      <c r="C465" s="658" t="s">
        <v>3111</v>
      </c>
      <c r="D465" s="658" t="s">
        <v>3110</v>
      </c>
      <c r="E465" s="658" t="s">
        <v>239</v>
      </c>
      <c r="F465" s="653"/>
      <c r="G465" s="654"/>
      <c r="H465" s="657">
        <v>39162</v>
      </c>
      <c r="I465" s="657">
        <v>12000000</v>
      </c>
      <c r="J465" s="657"/>
      <c r="K465" s="657">
        <v>12000000</v>
      </c>
      <c r="L465" s="657">
        <f t="shared" ref="L465" si="396">K465-I465</f>
        <v>0</v>
      </c>
      <c r="M465" s="13"/>
    </row>
    <row r="466" spans="1:13">
      <c r="A466" s="658"/>
      <c r="B466" s="658"/>
      <c r="C466" s="658"/>
      <c r="D466" s="658"/>
      <c r="E466" s="658"/>
      <c r="F466" s="655"/>
      <c r="G466" s="656"/>
      <c r="H466" s="657"/>
      <c r="I466" s="657"/>
      <c r="J466" s="657"/>
      <c r="K466" s="657"/>
      <c r="L466" s="657"/>
      <c r="M466" s="13"/>
    </row>
    <row r="467" spans="1:13">
      <c r="A467" s="658"/>
      <c r="B467" s="658"/>
      <c r="C467" s="658" t="s">
        <v>536</v>
      </c>
      <c r="D467" s="658" t="s">
        <v>3105</v>
      </c>
      <c r="E467" s="658" t="s">
        <v>3097</v>
      </c>
      <c r="F467" s="653"/>
      <c r="G467" s="654"/>
      <c r="H467" s="657">
        <v>4400000</v>
      </c>
      <c r="I467" s="657">
        <f t="shared" ref="I467" si="397">H467</f>
        <v>4400000</v>
      </c>
      <c r="J467" s="657"/>
      <c r="K467" s="657">
        <v>4400000</v>
      </c>
      <c r="L467" s="657">
        <f t="shared" ref="L467" si="398">K467-I467</f>
        <v>0</v>
      </c>
      <c r="M467" s="13"/>
    </row>
    <row r="468" spans="1:13">
      <c r="A468" s="658"/>
      <c r="B468" s="658"/>
      <c r="C468" s="658"/>
      <c r="D468" s="658"/>
      <c r="E468" s="658"/>
      <c r="F468" s="655"/>
      <c r="G468" s="656"/>
      <c r="H468" s="657"/>
      <c r="I468" s="657"/>
      <c r="J468" s="657"/>
      <c r="K468" s="657"/>
      <c r="L468" s="657"/>
      <c r="M468" s="13"/>
    </row>
    <row r="469" spans="1:13">
      <c r="A469" s="658"/>
      <c r="B469" s="658"/>
      <c r="C469" s="658" t="s">
        <v>535</v>
      </c>
      <c r="D469" s="658" t="s">
        <v>3105</v>
      </c>
      <c r="E469" s="658" t="s">
        <v>1144</v>
      </c>
      <c r="F469" s="653"/>
      <c r="G469" s="654"/>
      <c r="H469" s="657">
        <v>2396000</v>
      </c>
      <c r="I469" s="657">
        <f t="shared" ref="I469" si="399">H469</f>
        <v>2396000</v>
      </c>
      <c r="J469" s="657"/>
      <c r="K469" s="657">
        <v>2396000</v>
      </c>
      <c r="L469" s="657">
        <f t="shared" ref="L469" si="400">K469-I469</f>
        <v>0</v>
      </c>
      <c r="M469" s="13"/>
    </row>
    <row r="470" spans="1:13">
      <c r="A470" s="658"/>
      <c r="B470" s="658"/>
      <c r="C470" s="658"/>
      <c r="D470" s="658"/>
      <c r="E470" s="658"/>
      <c r="F470" s="655"/>
      <c r="G470" s="656"/>
      <c r="H470" s="657"/>
      <c r="I470" s="657"/>
      <c r="J470" s="657"/>
      <c r="K470" s="657"/>
      <c r="L470" s="657"/>
      <c r="M470" s="13"/>
    </row>
    <row r="471" spans="1:13">
      <c r="A471" s="658" t="s">
        <v>292</v>
      </c>
      <c r="B471" s="658" t="s">
        <v>3098</v>
      </c>
      <c r="C471" s="658" t="s">
        <v>3113</v>
      </c>
      <c r="D471" s="658" t="s">
        <v>3112</v>
      </c>
      <c r="E471" s="658" t="s">
        <v>239</v>
      </c>
      <c r="F471" s="653"/>
      <c r="G471" s="654"/>
      <c r="H471" s="657">
        <v>40794</v>
      </c>
      <c r="I471" s="657">
        <v>12500000</v>
      </c>
      <c r="J471" s="657"/>
      <c r="K471" s="657">
        <v>12500000</v>
      </c>
      <c r="L471" s="657">
        <f t="shared" ref="L471" si="401">K471-I471</f>
        <v>0</v>
      </c>
      <c r="M471" s="13"/>
    </row>
    <row r="472" spans="1:13">
      <c r="A472" s="658"/>
      <c r="B472" s="658"/>
      <c r="C472" s="658"/>
      <c r="D472" s="658"/>
      <c r="E472" s="658"/>
      <c r="F472" s="655"/>
      <c r="G472" s="656"/>
      <c r="H472" s="657"/>
      <c r="I472" s="657"/>
      <c r="J472" s="657"/>
      <c r="K472" s="657"/>
      <c r="L472" s="657"/>
      <c r="M472" s="13"/>
    </row>
    <row r="473" spans="1:13">
      <c r="A473" s="658"/>
      <c r="B473" s="658"/>
      <c r="C473" s="658" t="s">
        <v>607</v>
      </c>
      <c r="D473" s="658" t="s">
        <v>3104</v>
      </c>
      <c r="E473" s="658" t="s">
        <v>2723</v>
      </c>
      <c r="F473" s="653"/>
      <c r="G473" s="654"/>
      <c r="H473" s="657">
        <v>4000000</v>
      </c>
      <c r="I473" s="657">
        <f t="shared" ref="I473" si="402">H473</f>
        <v>4000000</v>
      </c>
      <c r="J473" s="657"/>
      <c r="K473" s="657">
        <v>4000000</v>
      </c>
      <c r="L473" s="657">
        <f t="shared" ref="L473" si="403">K473-I473</f>
        <v>0</v>
      </c>
      <c r="M473" s="13"/>
    </row>
    <row r="474" spans="1:13">
      <c r="A474" s="658"/>
      <c r="B474" s="658"/>
      <c r="C474" s="658"/>
      <c r="D474" s="658"/>
      <c r="E474" s="658"/>
      <c r="F474" s="655"/>
      <c r="G474" s="656"/>
      <c r="H474" s="657"/>
      <c r="I474" s="657"/>
      <c r="J474" s="657"/>
      <c r="K474" s="657"/>
      <c r="L474" s="657"/>
      <c r="M474" s="13"/>
    </row>
    <row r="475" spans="1:13">
      <c r="A475" s="658"/>
      <c r="B475" s="658"/>
      <c r="C475" s="658" t="s">
        <v>613</v>
      </c>
      <c r="D475" s="658" t="s">
        <v>3104</v>
      </c>
      <c r="E475" s="658" t="s">
        <v>3099</v>
      </c>
      <c r="F475" s="653"/>
      <c r="G475" s="654"/>
      <c r="H475" s="657">
        <v>4000000</v>
      </c>
      <c r="I475" s="657">
        <f t="shared" ref="I475" si="404">H475</f>
        <v>4000000</v>
      </c>
      <c r="J475" s="657"/>
      <c r="K475" s="657">
        <v>4000000</v>
      </c>
      <c r="L475" s="657">
        <f t="shared" ref="L475" si="405">K475-I475</f>
        <v>0</v>
      </c>
      <c r="M475" s="13"/>
    </row>
    <row r="476" spans="1:13">
      <c r="A476" s="658"/>
      <c r="B476" s="658"/>
      <c r="C476" s="658"/>
      <c r="D476" s="658"/>
      <c r="E476" s="658"/>
      <c r="F476" s="655"/>
      <c r="G476" s="656"/>
      <c r="H476" s="657"/>
      <c r="I476" s="657"/>
      <c r="J476" s="657"/>
      <c r="K476" s="657"/>
      <c r="L476" s="657"/>
      <c r="M476" s="13"/>
    </row>
    <row r="477" spans="1:13">
      <c r="A477" s="658"/>
      <c r="B477" s="658"/>
      <c r="C477" s="658" t="s">
        <v>614</v>
      </c>
      <c r="D477" s="658" t="s">
        <v>3105</v>
      </c>
      <c r="E477" s="658" t="s">
        <v>3100</v>
      </c>
      <c r="F477" s="653"/>
      <c r="G477" s="654"/>
      <c r="H477" s="657">
        <v>3000000</v>
      </c>
      <c r="I477" s="657">
        <f t="shared" ref="I477" si="406">H477</f>
        <v>3000000</v>
      </c>
      <c r="J477" s="657"/>
      <c r="K477" s="657">
        <v>3000000</v>
      </c>
      <c r="L477" s="657">
        <f t="shared" ref="L477" si="407">K477-I477</f>
        <v>0</v>
      </c>
      <c r="M477" s="13" t="s">
        <v>3106</v>
      </c>
    </row>
    <row r="478" spans="1:13">
      <c r="A478" s="658"/>
      <c r="B478" s="658"/>
      <c r="C478" s="658"/>
      <c r="D478" s="658"/>
      <c r="E478" s="658"/>
      <c r="F478" s="655"/>
      <c r="G478" s="656"/>
      <c r="H478" s="657"/>
      <c r="I478" s="657"/>
      <c r="J478" s="657"/>
      <c r="K478" s="657"/>
      <c r="L478" s="657"/>
      <c r="M478" s="13" t="s">
        <v>3160</v>
      </c>
    </row>
    <row r="479" spans="1:13">
      <c r="A479" s="658" t="s">
        <v>293</v>
      </c>
      <c r="B479" s="658" t="s">
        <v>2983</v>
      </c>
      <c r="C479" s="658" t="s">
        <v>3114</v>
      </c>
      <c r="D479" s="658" t="s">
        <v>3110</v>
      </c>
      <c r="E479" s="658" t="s">
        <v>239</v>
      </c>
      <c r="F479" s="653"/>
      <c r="G479" s="654"/>
      <c r="H479" s="657">
        <v>38927</v>
      </c>
      <c r="I479" s="657">
        <v>12000000</v>
      </c>
      <c r="J479" s="657"/>
      <c r="K479" s="657">
        <v>12000000</v>
      </c>
      <c r="L479" s="657">
        <f t="shared" ref="L479" si="408">K479-I479</f>
        <v>0</v>
      </c>
      <c r="M479" s="13"/>
    </row>
    <row r="480" spans="1:13">
      <c r="A480" s="658"/>
      <c r="B480" s="658"/>
      <c r="C480" s="658"/>
      <c r="D480" s="658"/>
      <c r="E480" s="658"/>
      <c r="F480" s="655"/>
      <c r="G480" s="656"/>
      <c r="H480" s="657"/>
      <c r="I480" s="657"/>
      <c r="J480" s="657"/>
      <c r="K480" s="657"/>
      <c r="L480" s="657"/>
      <c r="M480" s="13"/>
    </row>
    <row r="481" spans="1:13">
      <c r="A481" s="658"/>
      <c r="B481" s="658"/>
      <c r="C481" s="658" t="s">
        <v>619</v>
      </c>
      <c r="D481" s="658" t="s">
        <v>3105</v>
      </c>
      <c r="E481" s="658" t="s">
        <v>3101</v>
      </c>
      <c r="F481" s="653"/>
      <c r="G481" s="654"/>
      <c r="H481" s="657">
        <v>4500000</v>
      </c>
      <c r="I481" s="657">
        <f t="shared" ref="I481" si="409">H481</f>
        <v>4500000</v>
      </c>
      <c r="J481" s="657"/>
      <c r="K481" s="657">
        <v>4500000</v>
      </c>
      <c r="L481" s="657">
        <f t="shared" ref="L481" si="410">K481-I481</f>
        <v>0</v>
      </c>
      <c r="M481" s="13"/>
    </row>
    <row r="482" spans="1:13">
      <c r="A482" s="658"/>
      <c r="B482" s="658"/>
      <c r="C482" s="658"/>
      <c r="D482" s="658"/>
      <c r="E482" s="658"/>
      <c r="F482" s="655"/>
      <c r="G482" s="656"/>
      <c r="H482" s="657"/>
      <c r="I482" s="657"/>
      <c r="J482" s="657"/>
      <c r="K482" s="657"/>
      <c r="L482" s="657"/>
      <c r="M482" s="13"/>
    </row>
    <row r="483" spans="1:13">
      <c r="A483" s="658"/>
      <c r="B483" s="658"/>
      <c r="C483" s="658" t="s">
        <v>620</v>
      </c>
      <c r="D483" s="658" t="s">
        <v>3105</v>
      </c>
      <c r="E483" s="658" t="s">
        <v>3102</v>
      </c>
      <c r="F483" s="653"/>
      <c r="G483" s="654"/>
      <c r="H483" s="657">
        <v>3500000</v>
      </c>
      <c r="I483" s="657">
        <f t="shared" ref="I483" si="411">H483</f>
        <v>3500000</v>
      </c>
      <c r="J483" s="657"/>
      <c r="K483" s="657">
        <v>3500000</v>
      </c>
      <c r="L483" s="657">
        <f t="shared" ref="L483" si="412">K483-I483</f>
        <v>0</v>
      </c>
      <c r="M483" s="13"/>
    </row>
    <row r="484" spans="1:13">
      <c r="A484" s="658"/>
      <c r="B484" s="658"/>
      <c r="C484" s="658"/>
      <c r="D484" s="658"/>
      <c r="E484" s="658"/>
      <c r="F484" s="655"/>
      <c r="G484" s="656"/>
      <c r="H484" s="657"/>
      <c r="I484" s="657"/>
      <c r="J484" s="657"/>
      <c r="K484" s="657"/>
      <c r="L484" s="657"/>
      <c r="M484" s="13"/>
    </row>
    <row r="485" spans="1:13">
      <c r="A485" s="658"/>
      <c r="B485" s="658"/>
      <c r="C485" s="658" t="s">
        <v>621</v>
      </c>
      <c r="D485" s="658" t="s">
        <v>3105</v>
      </c>
      <c r="E485" s="658" t="s">
        <v>1601</v>
      </c>
      <c r="F485" s="653"/>
      <c r="G485" s="654"/>
      <c r="H485" s="657">
        <v>2800000</v>
      </c>
      <c r="I485" s="657">
        <f t="shared" ref="I485" si="413">H485</f>
        <v>2800000</v>
      </c>
      <c r="J485" s="657"/>
      <c r="K485" s="657">
        <v>2800000</v>
      </c>
      <c r="L485" s="657">
        <f t="shared" ref="L485" si="414">K485-I485</f>
        <v>0</v>
      </c>
      <c r="M485" s="13"/>
    </row>
    <row r="486" spans="1:13">
      <c r="A486" s="658"/>
      <c r="B486" s="658"/>
      <c r="C486" s="658"/>
      <c r="D486" s="658"/>
      <c r="E486" s="658"/>
      <c r="F486" s="655"/>
      <c r="G486" s="656"/>
      <c r="H486" s="657"/>
      <c r="I486" s="657"/>
      <c r="J486" s="657"/>
      <c r="K486" s="657"/>
      <c r="L486" s="657"/>
      <c r="M486" s="13"/>
    </row>
    <row r="487" spans="1:13">
      <c r="A487" s="658" t="s">
        <v>295</v>
      </c>
      <c r="B487" s="658" t="s">
        <v>2974</v>
      </c>
      <c r="C487" s="658" t="s">
        <v>3115</v>
      </c>
      <c r="D487" s="658" t="s">
        <v>3110</v>
      </c>
      <c r="E487" s="658" t="s">
        <v>239</v>
      </c>
      <c r="F487" s="653"/>
      <c r="G487" s="654"/>
      <c r="H487" s="657">
        <v>39152</v>
      </c>
      <c r="I487" s="657">
        <v>12000000</v>
      </c>
      <c r="J487" s="657"/>
      <c r="K487" s="657">
        <v>12000000</v>
      </c>
      <c r="L487" s="657">
        <f t="shared" ref="L487" si="415">K487-I487</f>
        <v>0</v>
      </c>
      <c r="M487" s="13"/>
    </row>
    <row r="488" spans="1:13">
      <c r="A488" s="658"/>
      <c r="B488" s="658"/>
      <c r="C488" s="658"/>
      <c r="D488" s="658"/>
      <c r="E488" s="658"/>
      <c r="F488" s="655"/>
      <c r="G488" s="656"/>
      <c r="H488" s="657"/>
      <c r="I488" s="657"/>
      <c r="J488" s="657"/>
      <c r="K488" s="657"/>
      <c r="L488" s="657"/>
      <c r="M488" s="13"/>
    </row>
    <row r="489" spans="1:13">
      <c r="A489" s="658"/>
      <c r="B489" s="658"/>
      <c r="C489" s="658" t="s">
        <v>623</v>
      </c>
      <c r="D489" s="658" t="s">
        <v>3105</v>
      </c>
      <c r="E489" s="658" t="s">
        <v>3103</v>
      </c>
      <c r="F489" s="653"/>
      <c r="G489" s="654"/>
      <c r="H489" s="657">
        <v>4000000</v>
      </c>
      <c r="I489" s="657">
        <f t="shared" ref="I489" si="416">H489</f>
        <v>4000000</v>
      </c>
      <c r="J489" s="657"/>
      <c r="K489" s="657">
        <v>4000000</v>
      </c>
      <c r="L489" s="657">
        <f t="shared" ref="L489" si="417">K489-I489</f>
        <v>0</v>
      </c>
      <c r="M489" s="13" t="s">
        <v>3164</v>
      </c>
    </row>
    <row r="490" spans="1:13">
      <c r="A490" s="658"/>
      <c r="B490" s="658"/>
      <c r="C490" s="658"/>
      <c r="D490" s="658"/>
      <c r="E490" s="658"/>
      <c r="F490" s="655"/>
      <c r="G490" s="656"/>
      <c r="H490" s="657"/>
      <c r="I490" s="657"/>
      <c r="J490" s="657"/>
      <c r="K490" s="657"/>
      <c r="L490" s="657"/>
      <c r="M490" s="13"/>
    </row>
    <row r="491" spans="1:13">
      <c r="A491" s="658"/>
      <c r="B491" s="658"/>
      <c r="C491" s="658" t="s">
        <v>624</v>
      </c>
      <c r="D491" s="658" t="s">
        <v>3105</v>
      </c>
      <c r="E491" s="658" t="s">
        <v>117</v>
      </c>
      <c r="F491" s="653"/>
      <c r="G491" s="654"/>
      <c r="H491" s="657">
        <v>1100000</v>
      </c>
      <c r="I491" s="657">
        <f t="shared" ref="I491" si="418">H491</f>
        <v>1100000</v>
      </c>
      <c r="J491" s="657"/>
      <c r="K491" s="657">
        <v>1100000</v>
      </c>
      <c r="L491" s="657">
        <f t="shared" ref="L491" si="419">K491-I491</f>
        <v>0</v>
      </c>
      <c r="M491" s="13"/>
    </row>
    <row r="492" spans="1:13">
      <c r="A492" s="658"/>
      <c r="B492" s="658"/>
      <c r="C492" s="658"/>
      <c r="D492" s="658"/>
      <c r="E492" s="658"/>
      <c r="F492" s="655"/>
      <c r="G492" s="656"/>
      <c r="H492" s="657"/>
      <c r="I492" s="657"/>
      <c r="J492" s="657"/>
      <c r="K492" s="657"/>
      <c r="L492" s="657"/>
      <c r="M492" s="13"/>
    </row>
    <row r="493" spans="1:13">
      <c r="A493" s="658"/>
      <c r="B493" s="658"/>
      <c r="C493" s="658" t="s">
        <v>631</v>
      </c>
      <c r="D493" s="658" t="s">
        <v>3105</v>
      </c>
      <c r="E493" s="658" t="s">
        <v>2375</v>
      </c>
      <c r="F493" s="653"/>
      <c r="G493" s="654"/>
      <c r="H493" s="657">
        <v>500000</v>
      </c>
      <c r="I493" s="657">
        <f t="shared" ref="I493" si="420">H493</f>
        <v>500000</v>
      </c>
      <c r="J493" s="657"/>
      <c r="K493" s="657">
        <v>500000</v>
      </c>
      <c r="L493" s="657">
        <f t="shared" ref="L493" si="421">K493-I493</f>
        <v>0</v>
      </c>
      <c r="M493" s="13"/>
    </row>
    <row r="494" spans="1:13">
      <c r="A494" s="658"/>
      <c r="B494" s="658"/>
      <c r="C494" s="658"/>
      <c r="D494" s="658"/>
      <c r="E494" s="658"/>
      <c r="F494" s="655"/>
      <c r="G494" s="656"/>
      <c r="H494" s="657"/>
      <c r="I494" s="657"/>
      <c r="J494" s="657"/>
      <c r="K494" s="657"/>
      <c r="L494" s="657"/>
      <c r="M494" s="13"/>
    </row>
    <row r="495" spans="1:13">
      <c r="A495" s="658" t="s">
        <v>296</v>
      </c>
      <c r="B495" s="658" t="s">
        <v>3117</v>
      </c>
      <c r="C495" s="658"/>
      <c r="D495" s="658"/>
      <c r="E495" s="658"/>
      <c r="F495" s="653"/>
      <c r="G495" s="654"/>
      <c r="H495" s="657"/>
      <c r="I495" s="657">
        <f t="shared" ref="I495" si="422">H495</f>
        <v>0</v>
      </c>
      <c r="J495" s="657"/>
      <c r="K495" s="657"/>
      <c r="L495" s="657">
        <f t="shared" ref="L495" si="423">K495-I495</f>
        <v>0</v>
      </c>
      <c r="M495" s="13"/>
    </row>
    <row r="496" spans="1:13">
      <c r="A496" s="658"/>
      <c r="B496" s="658"/>
      <c r="C496" s="658"/>
      <c r="D496" s="658"/>
      <c r="E496" s="658"/>
      <c r="F496" s="655"/>
      <c r="G496" s="656"/>
      <c r="H496" s="657"/>
      <c r="I496" s="657"/>
      <c r="J496" s="657"/>
      <c r="K496" s="657"/>
      <c r="L496" s="657"/>
      <c r="M496" s="13"/>
    </row>
    <row r="497" spans="1:13">
      <c r="A497" s="658" t="s">
        <v>311</v>
      </c>
      <c r="B497" s="658" t="s">
        <v>3098</v>
      </c>
      <c r="C497" s="658" t="s">
        <v>3124</v>
      </c>
      <c r="D497" s="658" t="s">
        <v>3105</v>
      </c>
      <c r="E497" s="658" t="s">
        <v>239</v>
      </c>
      <c r="F497" s="653"/>
      <c r="G497" s="654"/>
      <c r="H497" s="657">
        <v>41104</v>
      </c>
      <c r="I497" s="657">
        <v>12500000</v>
      </c>
      <c r="J497" s="657"/>
      <c r="K497" s="657">
        <v>12500000</v>
      </c>
      <c r="L497" s="657">
        <f t="shared" ref="L497" si="424">K497-I497</f>
        <v>0</v>
      </c>
      <c r="M497" s="13"/>
    </row>
    <row r="498" spans="1:13">
      <c r="A498" s="658"/>
      <c r="B498" s="658"/>
      <c r="C498" s="658"/>
      <c r="D498" s="658"/>
      <c r="E498" s="658"/>
      <c r="F498" s="655"/>
      <c r="G498" s="656"/>
      <c r="H498" s="657"/>
      <c r="I498" s="657"/>
      <c r="J498" s="657"/>
      <c r="K498" s="657"/>
      <c r="L498" s="657"/>
      <c r="M498" s="13"/>
    </row>
    <row r="499" spans="1:13">
      <c r="A499" s="658"/>
      <c r="B499" s="658"/>
      <c r="C499" s="658" t="s">
        <v>632</v>
      </c>
      <c r="D499" s="658" t="s">
        <v>3122</v>
      </c>
      <c r="E499" s="658" t="s">
        <v>3118</v>
      </c>
      <c r="F499" s="653"/>
      <c r="G499" s="654"/>
      <c r="H499" s="657">
        <v>4200000</v>
      </c>
      <c r="I499" s="657">
        <f t="shared" ref="I499" si="425">H499</f>
        <v>4200000</v>
      </c>
      <c r="J499" s="657"/>
      <c r="K499" s="657">
        <v>4200000</v>
      </c>
      <c r="L499" s="657">
        <f t="shared" ref="L499" si="426">K499-I499</f>
        <v>0</v>
      </c>
      <c r="M499" s="13"/>
    </row>
    <row r="500" spans="1:13">
      <c r="A500" s="658"/>
      <c r="B500" s="658"/>
      <c r="C500" s="658"/>
      <c r="D500" s="658"/>
      <c r="E500" s="658"/>
      <c r="F500" s="655"/>
      <c r="G500" s="656"/>
      <c r="H500" s="657"/>
      <c r="I500" s="657"/>
      <c r="J500" s="657"/>
      <c r="K500" s="657"/>
      <c r="L500" s="657"/>
      <c r="M500" s="13"/>
    </row>
    <row r="501" spans="1:13">
      <c r="A501" s="658"/>
      <c r="B501" s="658"/>
      <c r="C501" s="658" t="s">
        <v>633</v>
      </c>
      <c r="D501" s="658" t="s">
        <v>3122</v>
      </c>
      <c r="E501" s="658" t="s">
        <v>3119</v>
      </c>
      <c r="F501" s="653"/>
      <c r="G501" s="654"/>
      <c r="H501" s="657">
        <v>1000000</v>
      </c>
      <c r="I501" s="657">
        <f t="shared" ref="I501" si="427">H501</f>
        <v>1000000</v>
      </c>
      <c r="J501" s="657"/>
      <c r="K501" s="657">
        <v>1000000</v>
      </c>
      <c r="L501" s="657">
        <f t="shared" ref="L501" si="428">K501-I501</f>
        <v>0</v>
      </c>
      <c r="M501" s="13"/>
    </row>
    <row r="502" spans="1:13">
      <c r="A502" s="658"/>
      <c r="B502" s="658"/>
      <c r="C502" s="658"/>
      <c r="D502" s="658"/>
      <c r="E502" s="658"/>
      <c r="F502" s="655"/>
      <c r="G502" s="656"/>
      <c r="H502" s="657"/>
      <c r="I502" s="657"/>
      <c r="J502" s="657"/>
      <c r="K502" s="657"/>
      <c r="L502" s="657"/>
      <c r="M502" s="13"/>
    </row>
    <row r="503" spans="1:13">
      <c r="A503" s="658"/>
      <c r="B503" s="658"/>
      <c r="C503" s="658" t="s">
        <v>634</v>
      </c>
      <c r="D503" s="658" t="s">
        <v>3122</v>
      </c>
      <c r="E503" s="658" t="s">
        <v>3119</v>
      </c>
      <c r="F503" s="653"/>
      <c r="G503" s="654"/>
      <c r="H503" s="657">
        <v>1500000</v>
      </c>
      <c r="I503" s="657">
        <f t="shared" ref="I503" si="429">H503</f>
        <v>1500000</v>
      </c>
      <c r="J503" s="657"/>
      <c r="K503" s="657">
        <v>1500000</v>
      </c>
      <c r="L503" s="657">
        <f t="shared" ref="L503" si="430">K503-I503</f>
        <v>0</v>
      </c>
      <c r="M503" s="13"/>
    </row>
    <row r="504" spans="1:13">
      <c r="A504" s="658"/>
      <c r="B504" s="658"/>
      <c r="C504" s="658"/>
      <c r="D504" s="658"/>
      <c r="E504" s="658"/>
      <c r="F504" s="655"/>
      <c r="G504" s="656"/>
      <c r="H504" s="657"/>
      <c r="I504" s="657"/>
      <c r="J504" s="657"/>
      <c r="K504" s="657"/>
      <c r="L504" s="657"/>
      <c r="M504" s="13"/>
    </row>
    <row r="505" spans="1:13">
      <c r="A505" s="658" t="s">
        <v>312</v>
      </c>
      <c r="B505" s="658" t="s">
        <v>2983</v>
      </c>
      <c r="C505" s="658" t="s">
        <v>3126</v>
      </c>
      <c r="D505" s="658" t="s">
        <v>3125</v>
      </c>
      <c r="E505" s="658" t="s">
        <v>239</v>
      </c>
      <c r="F505" s="653"/>
      <c r="G505" s="654"/>
      <c r="H505" s="657">
        <v>39322</v>
      </c>
      <c r="I505" s="657">
        <v>12000000</v>
      </c>
      <c r="J505" s="657"/>
      <c r="K505" s="657">
        <v>12000000</v>
      </c>
      <c r="L505" s="657">
        <f t="shared" ref="L505" si="431">K505-I505</f>
        <v>0</v>
      </c>
      <c r="M505" s="13"/>
    </row>
    <row r="506" spans="1:13">
      <c r="A506" s="658"/>
      <c r="B506" s="658"/>
      <c r="C506" s="658"/>
      <c r="D506" s="658"/>
      <c r="E506" s="658"/>
      <c r="F506" s="655"/>
      <c r="G506" s="656"/>
      <c r="H506" s="657"/>
      <c r="I506" s="657"/>
      <c r="J506" s="657"/>
      <c r="K506" s="657"/>
      <c r="L506" s="657"/>
      <c r="M506" s="13"/>
    </row>
    <row r="507" spans="1:13">
      <c r="A507" s="658"/>
      <c r="B507" s="658"/>
      <c r="C507" s="658" t="s">
        <v>653</v>
      </c>
      <c r="D507" s="658" t="s">
        <v>3120</v>
      </c>
      <c r="E507" s="658" t="s">
        <v>3121</v>
      </c>
      <c r="F507" s="653"/>
      <c r="G507" s="654"/>
      <c r="H507" s="657">
        <v>1100000</v>
      </c>
      <c r="I507" s="657">
        <f t="shared" ref="I507" si="432">H507</f>
        <v>1100000</v>
      </c>
      <c r="J507" s="657"/>
      <c r="K507" s="657">
        <v>1100000</v>
      </c>
      <c r="L507" s="657">
        <f t="shared" ref="L507" si="433">K507-I507</f>
        <v>0</v>
      </c>
      <c r="M507" s="13"/>
    </row>
    <row r="508" spans="1:13">
      <c r="A508" s="658"/>
      <c r="B508" s="658"/>
      <c r="C508" s="658"/>
      <c r="D508" s="658"/>
      <c r="E508" s="658"/>
      <c r="F508" s="655"/>
      <c r="G508" s="656"/>
      <c r="H508" s="657"/>
      <c r="I508" s="657"/>
      <c r="J508" s="657"/>
      <c r="K508" s="657"/>
      <c r="L508" s="657"/>
      <c r="M508" s="13"/>
    </row>
    <row r="509" spans="1:13">
      <c r="A509" s="658"/>
      <c r="B509" s="658"/>
      <c r="C509" s="658" t="s">
        <v>642</v>
      </c>
      <c r="D509" s="658" t="s">
        <v>3120</v>
      </c>
      <c r="E509" s="658" t="s">
        <v>3121</v>
      </c>
      <c r="F509" s="653"/>
      <c r="G509" s="654"/>
      <c r="H509" s="657">
        <v>8000000</v>
      </c>
      <c r="I509" s="657">
        <f t="shared" ref="I509" si="434">H509</f>
        <v>8000000</v>
      </c>
      <c r="J509" s="657"/>
      <c r="K509" s="657">
        <v>8000000</v>
      </c>
      <c r="L509" s="657">
        <f t="shared" ref="L509" si="435">K509-I509</f>
        <v>0</v>
      </c>
      <c r="M509" s="13"/>
    </row>
    <row r="510" spans="1:13">
      <c r="A510" s="658"/>
      <c r="B510" s="658"/>
      <c r="C510" s="658"/>
      <c r="D510" s="658"/>
      <c r="E510" s="658"/>
      <c r="F510" s="655"/>
      <c r="G510" s="656"/>
      <c r="H510" s="657"/>
      <c r="I510" s="657"/>
      <c r="J510" s="657"/>
      <c r="K510" s="657"/>
      <c r="L510" s="657"/>
      <c r="M510" s="13"/>
    </row>
    <row r="511" spans="1:13">
      <c r="A511" s="658"/>
      <c r="B511" s="658"/>
      <c r="C511" s="658" t="s">
        <v>646</v>
      </c>
      <c r="D511" s="658" t="s">
        <v>3120</v>
      </c>
      <c r="E511" s="658" t="s">
        <v>2348</v>
      </c>
      <c r="F511" s="653"/>
      <c r="G511" s="654"/>
      <c r="H511" s="657">
        <v>750000</v>
      </c>
      <c r="I511" s="657">
        <f t="shared" ref="I511" si="436">H511</f>
        <v>750000</v>
      </c>
      <c r="J511" s="657"/>
      <c r="K511" s="657">
        <v>750000</v>
      </c>
      <c r="L511" s="657">
        <f t="shared" ref="L511" si="437">K511-I511</f>
        <v>0</v>
      </c>
      <c r="M511" s="13"/>
    </row>
    <row r="512" spans="1:13">
      <c r="A512" s="658"/>
      <c r="B512" s="658"/>
      <c r="C512" s="658"/>
      <c r="D512" s="658"/>
      <c r="E512" s="658"/>
      <c r="F512" s="655"/>
      <c r="G512" s="656"/>
      <c r="H512" s="657"/>
      <c r="I512" s="657"/>
      <c r="J512" s="657"/>
      <c r="K512" s="657"/>
      <c r="L512" s="657"/>
      <c r="M512" s="13"/>
    </row>
    <row r="513" spans="1:13">
      <c r="A513" s="658" t="s">
        <v>315</v>
      </c>
      <c r="B513" s="658" t="s">
        <v>2974</v>
      </c>
      <c r="C513" s="658" t="s">
        <v>3127</v>
      </c>
      <c r="D513" s="658" t="s">
        <v>3125</v>
      </c>
      <c r="E513" s="658" t="s">
        <v>239</v>
      </c>
      <c r="F513" s="653"/>
      <c r="G513" s="654"/>
      <c r="H513" s="657">
        <v>39322</v>
      </c>
      <c r="I513" s="657">
        <v>12000000</v>
      </c>
      <c r="J513" s="657"/>
      <c r="K513" s="657">
        <v>12000000</v>
      </c>
      <c r="L513" s="657">
        <f t="shared" ref="L513" si="438">K513-I513</f>
        <v>0</v>
      </c>
      <c r="M513" s="13"/>
    </row>
    <row r="514" spans="1:13">
      <c r="A514" s="658"/>
      <c r="B514" s="658"/>
      <c r="C514" s="658"/>
      <c r="D514" s="658"/>
      <c r="E514" s="658"/>
      <c r="F514" s="655"/>
      <c r="G514" s="656"/>
      <c r="H514" s="657"/>
      <c r="I514" s="657"/>
      <c r="J514" s="657"/>
      <c r="K514" s="657"/>
      <c r="L514" s="657"/>
      <c r="M514" s="13"/>
    </row>
    <row r="515" spans="1:13">
      <c r="A515" s="658" t="s">
        <v>316</v>
      </c>
      <c r="B515" s="658" t="s">
        <v>2969</v>
      </c>
      <c r="C515" s="658" t="s">
        <v>3128</v>
      </c>
      <c r="D515" s="658" t="s">
        <v>3125</v>
      </c>
      <c r="E515" s="658" t="s">
        <v>239</v>
      </c>
      <c r="F515" s="653"/>
      <c r="G515" s="654"/>
      <c r="H515" s="657">
        <v>39322</v>
      </c>
      <c r="I515" s="657">
        <v>12000000</v>
      </c>
      <c r="J515" s="657"/>
      <c r="K515" s="657">
        <v>12000000</v>
      </c>
      <c r="L515" s="657">
        <f t="shared" ref="L515" si="439">K515-I515</f>
        <v>0</v>
      </c>
      <c r="M515" s="13"/>
    </row>
    <row r="516" spans="1:13">
      <c r="A516" s="658"/>
      <c r="B516" s="658"/>
      <c r="C516" s="658"/>
      <c r="D516" s="658"/>
      <c r="E516" s="658"/>
      <c r="F516" s="655"/>
      <c r="G516" s="656"/>
      <c r="H516" s="657"/>
      <c r="I516" s="657"/>
      <c r="J516" s="657"/>
      <c r="K516" s="657"/>
      <c r="L516" s="657"/>
      <c r="M516" s="13"/>
    </row>
    <row r="517" spans="1:13">
      <c r="A517" s="658"/>
      <c r="B517" s="658"/>
      <c r="C517" s="658" t="s">
        <v>648</v>
      </c>
      <c r="D517" s="658" t="s">
        <v>3123</v>
      </c>
      <c r="E517" s="658" t="s">
        <v>2409</v>
      </c>
      <c r="F517" s="653"/>
      <c r="G517" s="654"/>
      <c r="H517" s="657">
        <v>4500000</v>
      </c>
      <c r="I517" s="657">
        <f t="shared" ref="I517" si="440">H517</f>
        <v>4500000</v>
      </c>
      <c r="J517" s="657"/>
      <c r="K517" s="657">
        <v>4500000</v>
      </c>
      <c r="L517" s="657">
        <f t="shared" ref="L517" si="441">K517-I517</f>
        <v>0</v>
      </c>
      <c r="M517" s="13"/>
    </row>
    <row r="518" spans="1:13">
      <c r="A518" s="658"/>
      <c r="B518" s="658"/>
      <c r="C518" s="658"/>
      <c r="D518" s="658"/>
      <c r="E518" s="658"/>
      <c r="F518" s="655"/>
      <c r="G518" s="656"/>
      <c r="H518" s="657"/>
      <c r="I518" s="657"/>
      <c r="J518" s="657"/>
      <c r="K518" s="657"/>
      <c r="L518" s="657"/>
      <c r="M518" s="13"/>
    </row>
    <row r="519" spans="1:13">
      <c r="A519" s="658"/>
      <c r="B519" s="658"/>
      <c r="C519" s="658" t="s">
        <v>650</v>
      </c>
      <c r="D519" s="658" t="s">
        <v>3123</v>
      </c>
      <c r="E519" s="658" t="s">
        <v>117</v>
      </c>
      <c r="F519" s="653"/>
      <c r="G519" s="654"/>
      <c r="H519" s="657">
        <v>1100000</v>
      </c>
      <c r="I519" s="657">
        <f t="shared" ref="I519" si="442">H519</f>
        <v>1100000</v>
      </c>
      <c r="J519" s="657"/>
      <c r="K519" s="657">
        <v>1100000</v>
      </c>
      <c r="L519" s="657">
        <f t="shared" ref="L519" si="443">K519-I519</f>
        <v>0</v>
      </c>
      <c r="M519" s="13"/>
    </row>
    <row r="520" spans="1:13">
      <c r="A520" s="658"/>
      <c r="B520" s="658"/>
      <c r="C520" s="658"/>
      <c r="D520" s="658"/>
      <c r="E520" s="658"/>
      <c r="F520" s="655"/>
      <c r="G520" s="656"/>
      <c r="H520" s="657"/>
      <c r="I520" s="657"/>
      <c r="J520" s="657"/>
      <c r="K520" s="657"/>
      <c r="L520" s="657"/>
      <c r="M520" s="13"/>
    </row>
    <row r="521" spans="1:13">
      <c r="A521" s="658"/>
      <c r="B521" s="658"/>
      <c r="C521" s="658" t="s">
        <v>652</v>
      </c>
      <c r="D521" s="658" t="s">
        <v>3123</v>
      </c>
      <c r="E521" s="658" t="s">
        <v>2376</v>
      </c>
      <c r="F521" s="653"/>
      <c r="G521" s="654"/>
      <c r="H521" s="657">
        <v>725000</v>
      </c>
      <c r="I521" s="657">
        <f t="shared" ref="I521" si="444">H521</f>
        <v>725000</v>
      </c>
      <c r="J521" s="657"/>
      <c r="K521" s="657">
        <v>725000</v>
      </c>
      <c r="L521" s="657">
        <f t="shared" ref="L521" si="445">K521-I521</f>
        <v>0</v>
      </c>
      <c r="M521" s="13"/>
    </row>
    <row r="522" spans="1:13">
      <c r="A522" s="658"/>
      <c r="B522" s="658"/>
      <c r="C522" s="658"/>
      <c r="D522" s="658"/>
      <c r="E522" s="658"/>
      <c r="F522" s="655"/>
      <c r="G522" s="656"/>
      <c r="H522" s="657"/>
      <c r="I522" s="657"/>
      <c r="J522" s="657"/>
      <c r="K522" s="657"/>
      <c r="L522" s="657"/>
      <c r="M522" s="13"/>
    </row>
    <row r="523" spans="1:13">
      <c r="A523" s="658" t="s">
        <v>317</v>
      </c>
      <c r="B523" s="658" t="s">
        <v>3098</v>
      </c>
      <c r="C523" s="658" t="s">
        <v>3133</v>
      </c>
      <c r="D523" s="658" t="s">
        <v>3123</v>
      </c>
      <c r="E523" s="658" t="s">
        <v>239</v>
      </c>
      <c r="F523" s="653"/>
      <c r="G523" s="654"/>
      <c r="H523" s="657">
        <v>43539</v>
      </c>
      <c r="I523" s="657">
        <v>13500000</v>
      </c>
      <c r="J523" s="657"/>
      <c r="K523" s="657">
        <v>13500000</v>
      </c>
      <c r="L523" s="657">
        <f t="shared" ref="L523" si="446">K523-I523</f>
        <v>0</v>
      </c>
      <c r="M523" s="13"/>
    </row>
    <row r="524" spans="1:13">
      <c r="A524" s="658"/>
      <c r="B524" s="658"/>
      <c r="C524" s="658"/>
      <c r="D524" s="658"/>
      <c r="E524" s="658"/>
      <c r="F524" s="655"/>
      <c r="G524" s="656"/>
      <c r="H524" s="657"/>
      <c r="I524" s="657"/>
      <c r="J524" s="657"/>
      <c r="K524" s="657"/>
      <c r="L524" s="657"/>
      <c r="M524" s="13"/>
    </row>
    <row r="525" spans="1:13">
      <c r="A525" s="658"/>
      <c r="B525" s="658"/>
      <c r="C525" s="658" t="s">
        <v>653</v>
      </c>
      <c r="D525" s="658" t="s">
        <v>3132</v>
      </c>
      <c r="E525" s="658" t="s">
        <v>2723</v>
      </c>
      <c r="F525" s="653"/>
      <c r="G525" s="654"/>
      <c r="H525" s="657">
        <v>8500000</v>
      </c>
      <c r="I525" s="657">
        <f t="shared" ref="I525" si="447">H525</f>
        <v>8500000</v>
      </c>
      <c r="J525" s="657"/>
      <c r="K525" s="657">
        <v>8500000</v>
      </c>
      <c r="L525" s="657">
        <f t="shared" ref="L525" si="448">K525-I525</f>
        <v>0</v>
      </c>
      <c r="M525" s="13"/>
    </row>
    <row r="526" spans="1:13">
      <c r="A526" s="658"/>
      <c r="B526" s="658"/>
      <c r="C526" s="658"/>
      <c r="D526" s="658"/>
      <c r="E526" s="658"/>
      <c r="F526" s="655"/>
      <c r="G526" s="656"/>
      <c r="H526" s="657"/>
      <c r="I526" s="657"/>
      <c r="J526" s="657"/>
      <c r="K526" s="657"/>
      <c r="L526" s="657"/>
      <c r="M526" s="13"/>
    </row>
    <row r="527" spans="1:13">
      <c r="A527" s="658" t="s">
        <v>318</v>
      </c>
      <c r="B527" s="658" t="s">
        <v>2983</v>
      </c>
      <c r="C527" s="658" t="s">
        <v>3134</v>
      </c>
      <c r="D527" s="658" t="s">
        <v>3123</v>
      </c>
      <c r="E527" s="658" t="s">
        <v>239</v>
      </c>
      <c r="F527" s="653"/>
      <c r="G527" s="654"/>
      <c r="H527" s="657">
        <v>43823</v>
      </c>
      <c r="I527" s="657">
        <v>13500000</v>
      </c>
      <c r="J527" s="657"/>
      <c r="K527" s="657">
        <v>13500000</v>
      </c>
      <c r="L527" s="657">
        <f t="shared" ref="L527" si="449">K527-I527</f>
        <v>0</v>
      </c>
      <c r="M527" s="13"/>
    </row>
    <row r="528" spans="1:13">
      <c r="A528" s="658"/>
      <c r="B528" s="658"/>
      <c r="C528" s="658"/>
      <c r="D528" s="658"/>
      <c r="E528" s="658"/>
      <c r="F528" s="655"/>
      <c r="G528" s="656"/>
      <c r="H528" s="657"/>
      <c r="I528" s="657"/>
      <c r="J528" s="657"/>
      <c r="K528" s="657"/>
      <c r="L528" s="657"/>
      <c r="M528" s="13"/>
    </row>
    <row r="529" spans="1:14">
      <c r="A529" s="658"/>
      <c r="B529" s="658"/>
      <c r="C529" s="658" t="s">
        <v>654</v>
      </c>
      <c r="D529" s="658" t="s">
        <v>3130</v>
      </c>
      <c r="E529" s="658" t="s">
        <v>3129</v>
      </c>
      <c r="F529" s="653"/>
      <c r="G529" s="654"/>
      <c r="H529" s="657">
        <v>13000000</v>
      </c>
      <c r="I529" s="657">
        <f t="shared" ref="I529" si="450">H529</f>
        <v>13000000</v>
      </c>
      <c r="J529" s="657"/>
      <c r="K529" s="657">
        <v>13000000</v>
      </c>
      <c r="L529" s="657">
        <f t="shared" ref="L529" si="451">K529-I529</f>
        <v>0</v>
      </c>
      <c r="M529" s="13"/>
    </row>
    <row r="530" spans="1:14">
      <c r="A530" s="658"/>
      <c r="B530" s="658"/>
      <c r="C530" s="658"/>
      <c r="D530" s="658"/>
      <c r="E530" s="658"/>
      <c r="F530" s="655"/>
      <c r="G530" s="656"/>
      <c r="H530" s="657"/>
      <c r="I530" s="657"/>
      <c r="J530" s="657"/>
      <c r="K530" s="657"/>
      <c r="L530" s="657"/>
      <c r="M530" s="13"/>
    </row>
    <row r="531" spans="1:14">
      <c r="A531" s="836" t="s">
        <v>3140</v>
      </c>
      <c r="B531" s="704"/>
      <c r="C531" s="704"/>
      <c r="D531" s="704"/>
      <c r="E531" s="704"/>
      <c r="F531" s="704"/>
      <c r="G531" s="704"/>
      <c r="H531" s="704"/>
      <c r="I531" s="704"/>
      <c r="J531" s="704"/>
      <c r="K531" s="704"/>
      <c r="L531" s="705"/>
      <c r="M531" s="13"/>
    </row>
    <row r="532" spans="1:14">
      <c r="A532" s="706"/>
      <c r="B532" s="707"/>
      <c r="C532" s="707"/>
      <c r="D532" s="707"/>
      <c r="E532" s="707"/>
      <c r="F532" s="707"/>
      <c r="G532" s="707"/>
      <c r="H532" s="707"/>
      <c r="I532" s="707"/>
      <c r="J532" s="707"/>
      <c r="K532" s="707"/>
      <c r="L532" s="708"/>
      <c r="M532" s="13"/>
      <c r="N532" s="599" t="s">
        <v>3322</v>
      </c>
    </row>
    <row r="533" spans="1:14">
      <c r="A533" s="658" t="s">
        <v>332</v>
      </c>
      <c r="B533" s="658" t="s">
        <v>2969</v>
      </c>
      <c r="C533" s="658" t="s">
        <v>3136</v>
      </c>
      <c r="D533" s="658" t="s">
        <v>3132</v>
      </c>
      <c r="E533" s="658" t="s">
        <v>239</v>
      </c>
      <c r="F533" s="653"/>
      <c r="G533" s="654"/>
      <c r="H533" s="657">
        <v>13500000</v>
      </c>
      <c r="I533" s="657">
        <f t="shared" ref="I533" si="452">H533</f>
        <v>13500000</v>
      </c>
      <c r="J533" s="657"/>
      <c r="K533" s="657">
        <v>13500000</v>
      </c>
      <c r="L533" s="657">
        <f t="shared" ref="L533" si="453">K533-I533</f>
        <v>0</v>
      </c>
      <c r="M533" s="620">
        <f>SUM(I535:I538,I541:I602,I603:I632,I635,I639)</f>
        <v>29105</v>
      </c>
    </row>
    <row r="534" spans="1:14">
      <c r="A534" s="658"/>
      <c r="B534" s="658"/>
      <c r="C534" s="658"/>
      <c r="D534" s="658"/>
      <c r="E534" s="658"/>
      <c r="F534" s="655"/>
      <c r="G534" s="656"/>
      <c r="H534" s="657"/>
      <c r="I534" s="657"/>
      <c r="J534" s="657"/>
      <c r="K534" s="657"/>
      <c r="L534" s="657"/>
      <c r="M534" s="13"/>
    </row>
    <row r="535" spans="1:14">
      <c r="A535" s="658"/>
      <c r="B535" s="658"/>
      <c r="C535" s="658" t="s">
        <v>655</v>
      </c>
      <c r="D535" s="658" t="s">
        <v>3131</v>
      </c>
      <c r="E535" s="658" t="s">
        <v>1727</v>
      </c>
      <c r="F535" s="653"/>
      <c r="G535" s="654"/>
      <c r="H535" s="657">
        <v>410</v>
      </c>
      <c r="I535" s="657">
        <f t="shared" ref="I535" si="454">H535</f>
        <v>410</v>
      </c>
      <c r="J535" s="657"/>
      <c r="K535" s="657">
        <v>410</v>
      </c>
      <c r="L535" s="657">
        <f t="shared" ref="L535" si="455">K535-I535</f>
        <v>0</v>
      </c>
      <c r="M535" s="147" t="s">
        <v>3135</v>
      </c>
      <c r="N535" s="574" t="s">
        <v>3324</v>
      </c>
    </row>
    <row r="536" spans="1:14">
      <c r="A536" s="658"/>
      <c r="B536" s="658"/>
      <c r="C536" s="658"/>
      <c r="D536" s="658"/>
      <c r="E536" s="658"/>
      <c r="F536" s="655"/>
      <c r="G536" s="656"/>
      <c r="H536" s="657"/>
      <c r="I536" s="657"/>
      <c r="J536" s="657"/>
      <c r="K536" s="657"/>
      <c r="L536" s="657"/>
      <c r="M536" s="13"/>
    </row>
    <row r="537" spans="1:14">
      <c r="A537" s="658"/>
      <c r="B537" s="658"/>
      <c r="C537" s="658" t="s">
        <v>659</v>
      </c>
      <c r="D537" s="658" t="s">
        <v>3131</v>
      </c>
      <c r="E537" s="658" t="s">
        <v>3138</v>
      </c>
      <c r="F537" s="653"/>
      <c r="G537" s="654"/>
      <c r="H537" s="657">
        <v>400</v>
      </c>
      <c r="I537" s="657">
        <f t="shared" ref="I537" si="456">H537</f>
        <v>400</v>
      </c>
      <c r="J537" s="657"/>
      <c r="K537" s="657">
        <v>400</v>
      </c>
      <c r="L537" s="657">
        <f t="shared" ref="L537" si="457">K537-I537</f>
        <v>0</v>
      </c>
      <c r="M537" s="642">
        <v>42584</v>
      </c>
    </row>
    <row r="538" spans="1:14">
      <c r="A538" s="658"/>
      <c r="B538" s="658"/>
      <c r="C538" s="658"/>
      <c r="D538" s="658"/>
      <c r="E538" s="658"/>
      <c r="F538" s="655"/>
      <c r="G538" s="656"/>
      <c r="H538" s="657"/>
      <c r="I538" s="657"/>
      <c r="J538" s="657"/>
      <c r="K538" s="657"/>
      <c r="L538" s="657"/>
      <c r="M538" s="13"/>
      <c r="N538" s="6" t="s">
        <v>3327</v>
      </c>
    </row>
    <row r="539" spans="1:14">
      <c r="A539" s="658" t="s">
        <v>333</v>
      </c>
      <c r="B539" s="658" t="s">
        <v>3021</v>
      </c>
      <c r="C539" s="658" t="s">
        <v>3137</v>
      </c>
      <c r="D539" s="658" t="s">
        <v>3132</v>
      </c>
      <c r="E539" s="658" t="s">
        <v>239</v>
      </c>
      <c r="F539" s="653"/>
      <c r="G539" s="654"/>
      <c r="H539" s="657">
        <v>13500000</v>
      </c>
      <c r="I539" s="657">
        <f t="shared" ref="I539" si="458">H539</f>
        <v>13500000</v>
      </c>
      <c r="J539" s="657"/>
      <c r="K539" s="657">
        <v>13500000</v>
      </c>
      <c r="L539" s="657">
        <f t="shared" ref="L539" si="459">K539-I539</f>
        <v>0</v>
      </c>
      <c r="M539" s="13" t="s">
        <v>3181</v>
      </c>
    </row>
    <row r="540" spans="1:14">
      <c r="A540" s="658"/>
      <c r="B540" s="658"/>
      <c r="C540" s="658"/>
      <c r="D540" s="658"/>
      <c r="E540" s="658"/>
      <c r="F540" s="655"/>
      <c r="G540" s="656"/>
      <c r="H540" s="657"/>
      <c r="I540" s="657"/>
      <c r="J540" s="657"/>
      <c r="K540" s="657"/>
      <c r="L540" s="657"/>
      <c r="M540" s="638" t="s">
        <v>3065</v>
      </c>
    </row>
    <row r="541" spans="1:14">
      <c r="A541" s="658"/>
      <c r="B541" s="658"/>
      <c r="C541" s="658" t="s">
        <v>660</v>
      </c>
      <c r="D541" s="658" t="s">
        <v>3131</v>
      </c>
      <c r="E541" s="658" t="s">
        <v>2853</v>
      </c>
      <c r="F541" s="653"/>
      <c r="G541" s="654"/>
      <c r="H541" s="657">
        <v>430</v>
      </c>
      <c r="I541" s="657">
        <f t="shared" ref="I541" si="460">H541</f>
        <v>430</v>
      </c>
      <c r="J541" s="657"/>
      <c r="K541" s="657">
        <v>430</v>
      </c>
      <c r="L541" s="657">
        <f t="shared" ref="L541" si="461">K541-I541</f>
        <v>0</v>
      </c>
      <c r="M541" s="13"/>
      <c r="N541" s="574" t="s">
        <v>3324</v>
      </c>
    </row>
    <row r="542" spans="1:14">
      <c r="A542" s="658"/>
      <c r="B542" s="658"/>
      <c r="C542" s="658"/>
      <c r="D542" s="658"/>
      <c r="E542" s="658"/>
      <c r="F542" s="655"/>
      <c r="G542" s="656"/>
      <c r="H542" s="657"/>
      <c r="I542" s="657"/>
      <c r="J542" s="657"/>
      <c r="K542" s="657"/>
      <c r="L542" s="657"/>
      <c r="M542" s="13"/>
    </row>
    <row r="543" spans="1:14">
      <c r="A543" s="658"/>
      <c r="B543" s="658"/>
      <c r="C543" s="658" t="s">
        <v>666</v>
      </c>
      <c r="D543" s="658" t="s">
        <v>3131</v>
      </c>
      <c r="E543" s="658" t="s">
        <v>117</v>
      </c>
      <c r="F543" s="653"/>
      <c r="G543" s="654"/>
      <c r="H543" s="657">
        <v>110</v>
      </c>
      <c r="I543" s="657">
        <f t="shared" ref="I543" si="462">H543</f>
        <v>110</v>
      </c>
      <c r="J543" s="657"/>
      <c r="K543" s="657"/>
      <c r="L543" s="657">
        <f t="shared" ref="L543" si="463">K543-I543</f>
        <v>-110</v>
      </c>
      <c r="M543" s="13"/>
      <c r="N543" s="574" t="s">
        <v>3323</v>
      </c>
    </row>
    <row r="544" spans="1:14">
      <c r="A544" s="658"/>
      <c r="B544" s="658"/>
      <c r="C544" s="658"/>
      <c r="D544" s="658"/>
      <c r="E544" s="658"/>
      <c r="F544" s="655"/>
      <c r="G544" s="656"/>
      <c r="H544" s="657"/>
      <c r="I544" s="657"/>
      <c r="J544" s="657"/>
      <c r="K544" s="657"/>
      <c r="L544" s="657"/>
      <c r="M544" s="13"/>
    </row>
    <row r="545" spans="1:14">
      <c r="A545" s="658" t="s">
        <v>334</v>
      </c>
      <c r="B545" s="658" t="s">
        <v>3098</v>
      </c>
      <c r="C545" s="658" t="s">
        <v>3154</v>
      </c>
      <c r="D545" s="658" t="s">
        <v>3131</v>
      </c>
      <c r="E545" s="658" t="s">
        <v>239</v>
      </c>
      <c r="F545" s="653"/>
      <c r="G545" s="654"/>
      <c r="H545" s="657">
        <v>1400</v>
      </c>
      <c r="I545" s="657">
        <v>1400</v>
      </c>
      <c r="J545" s="657"/>
      <c r="K545" s="657">
        <v>1400</v>
      </c>
      <c r="L545" s="657">
        <f t="shared" ref="L545" si="464">K545-I545</f>
        <v>0</v>
      </c>
      <c r="M545" s="13"/>
    </row>
    <row r="546" spans="1:14">
      <c r="A546" s="658"/>
      <c r="B546" s="658"/>
      <c r="C546" s="658"/>
      <c r="D546" s="658"/>
      <c r="E546" s="658"/>
      <c r="F546" s="655"/>
      <c r="G546" s="656"/>
      <c r="H546" s="657"/>
      <c r="I546" s="657"/>
      <c r="J546" s="657"/>
      <c r="K546" s="657"/>
      <c r="L546" s="657"/>
      <c r="M546" s="13"/>
    </row>
    <row r="547" spans="1:14">
      <c r="A547" s="658"/>
      <c r="B547" s="658"/>
      <c r="C547" s="658" t="s">
        <v>675</v>
      </c>
      <c r="D547" s="658" t="s">
        <v>3149</v>
      </c>
      <c r="E547" s="658" t="s">
        <v>3148</v>
      </c>
      <c r="F547" s="653"/>
      <c r="G547" s="654"/>
      <c r="H547" s="657">
        <v>400</v>
      </c>
      <c r="I547" s="657">
        <f t="shared" ref="I547" si="465">H547</f>
        <v>400</v>
      </c>
      <c r="J547" s="657"/>
      <c r="K547" s="657">
        <v>400</v>
      </c>
      <c r="L547" s="657">
        <f t="shared" ref="L547" si="466">K547-I547</f>
        <v>0</v>
      </c>
      <c r="M547" s="642">
        <v>42594</v>
      </c>
      <c r="N547" s="6" t="s">
        <v>3327</v>
      </c>
    </row>
    <row r="548" spans="1:14">
      <c r="A548" s="658"/>
      <c r="B548" s="658"/>
      <c r="C548" s="658"/>
      <c r="D548" s="658"/>
      <c r="E548" s="658"/>
      <c r="F548" s="655"/>
      <c r="G548" s="656"/>
      <c r="H548" s="657"/>
      <c r="I548" s="657"/>
      <c r="J548" s="657"/>
      <c r="K548" s="657"/>
      <c r="L548" s="657"/>
      <c r="M548" s="13"/>
    </row>
    <row r="549" spans="1:14">
      <c r="A549" s="658"/>
      <c r="B549" s="658"/>
      <c r="C549" s="658" t="s">
        <v>676</v>
      </c>
      <c r="D549" s="658" t="s">
        <v>3150</v>
      </c>
      <c r="E549" s="658" t="s">
        <v>3163</v>
      </c>
      <c r="F549" s="653"/>
      <c r="G549" s="654"/>
      <c r="H549" s="657">
        <v>400</v>
      </c>
      <c r="I549" s="657">
        <f t="shared" ref="I549" si="467">H549</f>
        <v>400</v>
      </c>
      <c r="J549" s="657"/>
      <c r="K549" s="657">
        <v>400</v>
      </c>
      <c r="L549" s="657">
        <f t="shared" ref="L549" si="468">K549-I549</f>
        <v>0</v>
      </c>
      <c r="M549" s="642">
        <v>42577</v>
      </c>
    </row>
    <row r="550" spans="1:14">
      <c r="A550" s="658"/>
      <c r="B550" s="658"/>
      <c r="C550" s="658"/>
      <c r="D550" s="658"/>
      <c r="E550" s="658"/>
      <c r="F550" s="655"/>
      <c r="G550" s="656"/>
      <c r="H550" s="657"/>
      <c r="I550" s="657"/>
      <c r="J550" s="657"/>
      <c r="K550" s="657"/>
      <c r="L550" s="657"/>
      <c r="M550" s="13"/>
      <c r="N550" s="6" t="s">
        <v>3327</v>
      </c>
    </row>
    <row r="551" spans="1:14">
      <c r="A551" s="658"/>
      <c r="B551" s="658"/>
      <c r="C551" s="658" t="s">
        <v>679</v>
      </c>
      <c r="D551" s="658" t="s">
        <v>3149</v>
      </c>
      <c r="E551" s="658" t="s">
        <v>3151</v>
      </c>
      <c r="F551" s="653"/>
      <c r="G551" s="654"/>
      <c r="H551" s="657">
        <v>50</v>
      </c>
      <c r="I551" s="657">
        <f t="shared" ref="I551" si="469">H551</f>
        <v>50</v>
      </c>
      <c r="J551" s="657"/>
      <c r="K551" s="657">
        <v>50</v>
      </c>
      <c r="L551" s="657">
        <f t="shared" ref="L551" si="470">K551-I551</f>
        <v>0</v>
      </c>
      <c r="M551" s="642">
        <v>42576</v>
      </c>
    </row>
    <row r="552" spans="1:14">
      <c r="A552" s="658"/>
      <c r="B552" s="658"/>
      <c r="C552" s="658"/>
      <c r="D552" s="658"/>
      <c r="E552" s="658"/>
      <c r="F552" s="655"/>
      <c r="G552" s="656"/>
      <c r="H552" s="657"/>
      <c r="I552" s="657"/>
      <c r="J552" s="657"/>
      <c r="K552" s="657"/>
      <c r="L552" s="657"/>
      <c r="M552" s="13"/>
      <c r="N552" s="574" t="s">
        <v>3324</v>
      </c>
    </row>
    <row r="553" spans="1:14">
      <c r="A553" s="658" t="s">
        <v>335</v>
      </c>
      <c r="B553" s="658" t="s">
        <v>2983</v>
      </c>
      <c r="C553" s="658" t="s">
        <v>3155</v>
      </c>
      <c r="D553" s="658" t="s">
        <v>3153</v>
      </c>
      <c r="E553" s="658" t="s">
        <v>239</v>
      </c>
      <c r="F553" s="653"/>
      <c r="G553" s="654"/>
      <c r="H553" s="657">
        <v>43106</v>
      </c>
      <c r="I553" s="657">
        <v>1350</v>
      </c>
      <c r="J553" s="657"/>
      <c r="K553" s="657">
        <v>1350</v>
      </c>
      <c r="L553" s="657">
        <f t="shared" ref="L553" si="471">K553-I553</f>
        <v>0</v>
      </c>
      <c r="M553" s="13"/>
    </row>
    <row r="554" spans="1:14">
      <c r="A554" s="658"/>
      <c r="B554" s="658"/>
      <c r="C554" s="658"/>
      <c r="D554" s="658"/>
      <c r="E554" s="658"/>
      <c r="F554" s="655"/>
      <c r="G554" s="656"/>
      <c r="H554" s="657"/>
      <c r="I554" s="657"/>
      <c r="J554" s="657"/>
      <c r="K554" s="657"/>
      <c r="L554" s="657"/>
      <c r="M554" s="13"/>
    </row>
    <row r="555" spans="1:14">
      <c r="A555" s="658"/>
      <c r="B555" s="658"/>
      <c r="C555" s="658" t="s">
        <v>668</v>
      </c>
      <c r="D555" s="658" t="s">
        <v>3150</v>
      </c>
      <c r="E555" s="658" t="s">
        <v>1601</v>
      </c>
      <c r="F555" s="653"/>
      <c r="G555" s="654"/>
      <c r="H555" s="657">
        <v>370</v>
      </c>
      <c r="I555" s="657">
        <f t="shared" ref="I555" si="472">H555</f>
        <v>370</v>
      </c>
      <c r="J555" s="657"/>
      <c r="K555" s="657">
        <v>370</v>
      </c>
      <c r="L555" s="657">
        <f t="shared" ref="L555" si="473">K555-I555</f>
        <v>0</v>
      </c>
      <c r="M555" s="13"/>
      <c r="N555" s="574" t="s">
        <v>3323</v>
      </c>
    </row>
    <row r="556" spans="1:14">
      <c r="A556" s="658"/>
      <c r="B556" s="658"/>
      <c r="C556" s="658"/>
      <c r="D556" s="658"/>
      <c r="E556" s="658"/>
      <c r="F556" s="655"/>
      <c r="G556" s="656"/>
      <c r="H556" s="657"/>
      <c r="I556" s="657"/>
      <c r="J556" s="657"/>
      <c r="K556" s="657"/>
      <c r="L556" s="657"/>
      <c r="M556" s="13"/>
    </row>
    <row r="557" spans="1:14">
      <c r="A557" s="658"/>
      <c r="B557" s="658"/>
      <c r="C557" s="658" t="s">
        <v>681</v>
      </c>
      <c r="D557" s="658" t="s">
        <v>3150</v>
      </c>
      <c r="E557" s="658" t="s">
        <v>3152</v>
      </c>
      <c r="F557" s="653"/>
      <c r="G557" s="654"/>
      <c r="H557" s="657">
        <v>290</v>
      </c>
      <c r="I557" s="657">
        <f t="shared" ref="I557" si="474">H557</f>
        <v>290</v>
      </c>
      <c r="J557" s="657"/>
      <c r="K557" s="657">
        <v>290</v>
      </c>
      <c r="L557" s="657">
        <f t="shared" ref="L557" si="475">K557-I557</f>
        <v>0</v>
      </c>
      <c r="M557" s="13"/>
      <c r="N557" s="6" t="s">
        <v>3327</v>
      </c>
    </row>
    <row r="558" spans="1:14">
      <c r="A558" s="658"/>
      <c r="B558" s="658"/>
      <c r="C558" s="658"/>
      <c r="D558" s="658"/>
      <c r="E558" s="658"/>
      <c r="F558" s="655"/>
      <c r="G558" s="656"/>
      <c r="H558" s="657"/>
      <c r="I558" s="657"/>
      <c r="J558" s="657"/>
      <c r="K558" s="657"/>
      <c r="L558" s="657"/>
      <c r="M558" s="13"/>
    </row>
    <row r="559" spans="1:14">
      <c r="A559" s="658"/>
      <c r="B559" s="658"/>
      <c r="C559" s="658" t="s">
        <v>682</v>
      </c>
      <c r="D559" s="658" t="s">
        <v>3150</v>
      </c>
      <c r="E559" s="658" t="s">
        <v>3152</v>
      </c>
      <c r="F559" s="653"/>
      <c r="G559" s="654"/>
      <c r="H559" s="657">
        <v>90</v>
      </c>
      <c r="I559" s="657">
        <f t="shared" ref="I559" si="476">H559</f>
        <v>90</v>
      </c>
      <c r="J559" s="657"/>
      <c r="K559" s="657">
        <v>90</v>
      </c>
      <c r="L559" s="657">
        <f t="shared" ref="L559" si="477">K559-I559</f>
        <v>0</v>
      </c>
      <c r="M559" s="13"/>
      <c r="N559" s="6" t="s">
        <v>3327</v>
      </c>
    </row>
    <row r="560" spans="1:14">
      <c r="A560" s="658"/>
      <c r="B560" s="658"/>
      <c r="C560" s="658"/>
      <c r="D560" s="658"/>
      <c r="E560" s="658"/>
      <c r="F560" s="655"/>
      <c r="G560" s="656"/>
      <c r="H560" s="657"/>
      <c r="I560" s="657"/>
      <c r="J560" s="657"/>
      <c r="K560" s="657"/>
      <c r="L560" s="657"/>
      <c r="M560" s="13"/>
    </row>
    <row r="561" spans="1:14">
      <c r="A561" s="658" t="s">
        <v>336</v>
      </c>
      <c r="B561" s="658" t="s">
        <v>2969</v>
      </c>
      <c r="C561" s="658" t="s">
        <v>3159</v>
      </c>
      <c r="D561" s="658" t="s">
        <v>3153</v>
      </c>
      <c r="E561" s="658" t="s">
        <v>239</v>
      </c>
      <c r="F561" s="653"/>
      <c r="G561" s="654"/>
      <c r="H561" s="657">
        <v>1350</v>
      </c>
      <c r="I561" s="657">
        <f t="shared" ref="I561" si="478">H561</f>
        <v>1350</v>
      </c>
      <c r="J561" s="657"/>
      <c r="K561" s="657">
        <v>1350</v>
      </c>
      <c r="L561" s="657">
        <f t="shared" ref="L561" si="479">K561-I561</f>
        <v>0</v>
      </c>
      <c r="M561" s="13"/>
    </row>
    <row r="562" spans="1:14">
      <c r="A562" s="658"/>
      <c r="B562" s="658"/>
      <c r="C562" s="658"/>
      <c r="D562" s="658"/>
      <c r="E562" s="658"/>
      <c r="F562" s="655"/>
      <c r="G562" s="656"/>
      <c r="H562" s="657"/>
      <c r="I562" s="657"/>
      <c r="J562" s="657"/>
      <c r="K562" s="657"/>
      <c r="L562" s="657"/>
      <c r="M562" s="13"/>
    </row>
    <row r="563" spans="1:14">
      <c r="A563" s="658"/>
      <c r="B563" s="658"/>
      <c r="C563" s="658" t="s">
        <v>683</v>
      </c>
      <c r="D563" s="658" t="s">
        <v>3157</v>
      </c>
      <c r="E563" s="658" t="s">
        <v>3156</v>
      </c>
      <c r="F563" s="653"/>
      <c r="G563" s="654"/>
      <c r="H563" s="657">
        <v>280</v>
      </c>
      <c r="I563" s="657">
        <f t="shared" ref="I563" si="480">H563</f>
        <v>280</v>
      </c>
      <c r="J563" s="657"/>
      <c r="K563" s="657">
        <v>280</v>
      </c>
      <c r="L563" s="657">
        <f t="shared" ref="L563" si="481">K563-I563</f>
        <v>0</v>
      </c>
      <c r="M563" s="13"/>
      <c r="N563" s="6" t="s">
        <v>3327</v>
      </c>
    </row>
    <row r="564" spans="1:14">
      <c r="A564" s="658"/>
      <c r="B564" s="658"/>
      <c r="C564" s="658"/>
      <c r="D564" s="658"/>
      <c r="E564" s="658"/>
      <c r="F564" s="655"/>
      <c r="G564" s="656"/>
      <c r="H564" s="657"/>
      <c r="I564" s="657"/>
      <c r="J564" s="657"/>
      <c r="K564" s="657"/>
      <c r="L564" s="657"/>
      <c r="M564" s="13"/>
    </row>
    <row r="565" spans="1:14">
      <c r="A565" s="658"/>
      <c r="B565" s="658"/>
      <c r="C565" s="658" t="s">
        <v>693</v>
      </c>
      <c r="D565" s="658" t="s">
        <v>3157</v>
      </c>
      <c r="E565" s="658" t="s">
        <v>2843</v>
      </c>
      <c r="F565" s="653"/>
      <c r="G565" s="654"/>
      <c r="H565" s="657">
        <v>330</v>
      </c>
      <c r="I565" s="657">
        <f t="shared" ref="I565" si="482">H565</f>
        <v>330</v>
      </c>
      <c r="J565" s="657"/>
      <c r="K565" s="657">
        <v>330</v>
      </c>
      <c r="L565" s="657">
        <f t="shared" ref="L565" si="483">K565-I565</f>
        <v>0</v>
      </c>
      <c r="M565" s="13"/>
      <c r="N565" s="574" t="s">
        <v>3324</v>
      </c>
    </row>
    <row r="566" spans="1:14">
      <c r="A566" s="658"/>
      <c r="B566" s="658"/>
      <c r="C566" s="658"/>
      <c r="D566" s="658"/>
      <c r="E566" s="658"/>
      <c r="F566" s="655"/>
      <c r="G566" s="656"/>
      <c r="H566" s="657"/>
      <c r="I566" s="657"/>
      <c r="J566" s="657"/>
      <c r="K566" s="657"/>
      <c r="L566" s="657"/>
      <c r="M566" s="13"/>
    </row>
    <row r="567" spans="1:14">
      <c r="A567" s="658"/>
      <c r="B567" s="658"/>
      <c r="C567" s="658" t="s">
        <v>694</v>
      </c>
      <c r="D567" s="658" t="s">
        <v>3157</v>
      </c>
      <c r="E567" s="658" t="s">
        <v>3158</v>
      </c>
      <c r="F567" s="653"/>
      <c r="G567" s="654"/>
      <c r="H567" s="657">
        <v>340</v>
      </c>
      <c r="I567" s="657">
        <f t="shared" ref="I567" si="484">H567</f>
        <v>340</v>
      </c>
      <c r="J567" s="657"/>
      <c r="K567" s="657">
        <v>340</v>
      </c>
      <c r="L567" s="657">
        <f t="shared" ref="L567" si="485">K567-I567</f>
        <v>0</v>
      </c>
      <c r="M567" s="13"/>
      <c r="N567" s="6" t="s">
        <v>3327</v>
      </c>
    </row>
    <row r="568" spans="1:14">
      <c r="A568" s="658"/>
      <c r="B568" s="658"/>
      <c r="C568" s="658"/>
      <c r="D568" s="658"/>
      <c r="E568" s="658"/>
      <c r="F568" s="655"/>
      <c r="G568" s="656"/>
      <c r="H568" s="657"/>
      <c r="I568" s="657"/>
      <c r="J568" s="657"/>
      <c r="K568" s="657"/>
      <c r="L568" s="657"/>
      <c r="M568" s="13"/>
    </row>
    <row r="569" spans="1:14">
      <c r="A569" s="658" t="s">
        <v>337</v>
      </c>
      <c r="B569" s="658" t="s">
        <v>2974</v>
      </c>
      <c r="C569" s="658" t="s">
        <v>3162</v>
      </c>
      <c r="D569" s="658" t="s">
        <v>3161</v>
      </c>
      <c r="E569" s="658" t="s">
        <v>239</v>
      </c>
      <c r="F569" s="653"/>
      <c r="G569" s="654"/>
      <c r="H569" s="657">
        <v>44860</v>
      </c>
      <c r="I569" s="657">
        <v>1400</v>
      </c>
      <c r="J569" s="657"/>
      <c r="K569" s="657">
        <v>1400</v>
      </c>
      <c r="L569" s="657">
        <f t="shared" ref="L569" si="486">K569-I569</f>
        <v>0</v>
      </c>
      <c r="M569" s="13"/>
    </row>
    <row r="570" spans="1:14">
      <c r="A570" s="658"/>
      <c r="B570" s="658"/>
      <c r="C570" s="658"/>
      <c r="D570" s="658"/>
      <c r="E570" s="658"/>
      <c r="F570" s="655"/>
      <c r="G570" s="656"/>
      <c r="H570" s="657"/>
      <c r="I570" s="657"/>
      <c r="J570" s="657"/>
      <c r="K570" s="657"/>
      <c r="L570" s="657"/>
      <c r="M570" s="13"/>
    </row>
    <row r="571" spans="1:14">
      <c r="A571" s="658"/>
      <c r="B571" s="658"/>
      <c r="C571" s="658" t="s">
        <v>700</v>
      </c>
      <c r="D571" s="658" t="s">
        <v>3157</v>
      </c>
      <c r="E571" s="658" t="s">
        <v>117</v>
      </c>
      <c r="F571" s="653"/>
      <c r="G571" s="654"/>
      <c r="H571" s="657">
        <v>110</v>
      </c>
      <c r="I571" s="657">
        <f t="shared" ref="I571" si="487">H571</f>
        <v>110</v>
      </c>
      <c r="J571" s="657"/>
      <c r="K571" s="657">
        <v>110</v>
      </c>
      <c r="L571" s="657">
        <f t="shared" ref="L571" si="488">K571-I571</f>
        <v>0</v>
      </c>
      <c r="M571" s="13"/>
      <c r="N571" s="574" t="s">
        <v>3323</v>
      </c>
    </row>
    <row r="572" spans="1:14">
      <c r="A572" s="658"/>
      <c r="B572" s="658"/>
      <c r="C572" s="658"/>
      <c r="D572" s="658"/>
      <c r="E572" s="658"/>
      <c r="F572" s="655"/>
      <c r="G572" s="656"/>
      <c r="H572" s="657"/>
      <c r="I572" s="657"/>
      <c r="J572" s="657"/>
      <c r="K572" s="657"/>
      <c r="L572" s="657"/>
      <c r="M572" s="13"/>
    </row>
    <row r="573" spans="1:14">
      <c r="A573" s="658"/>
      <c r="B573" s="658"/>
      <c r="C573" s="658" t="s">
        <v>701</v>
      </c>
      <c r="D573" s="658" t="s">
        <v>3157</v>
      </c>
      <c r="E573" s="658" t="s">
        <v>2582</v>
      </c>
      <c r="F573" s="653"/>
      <c r="G573" s="654"/>
      <c r="H573" s="657">
        <v>350</v>
      </c>
      <c r="I573" s="657">
        <f t="shared" ref="I573" si="489">H573</f>
        <v>350</v>
      </c>
      <c r="J573" s="657"/>
      <c r="K573" s="657">
        <v>350</v>
      </c>
      <c r="L573" s="657">
        <f t="shared" ref="L573" si="490">K573-I573</f>
        <v>0</v>
      </c>
      <c r="M573" s="13"/>
      <c r="N573" s="6" t="s">
        <v>3327</v>
      </c>
    </row>
    <row r="574" spans="1:14">
      <c r="A574" s="658"/>
      <c r="B574" s="658"/>
      <c r="C574" s="658"/>
      <c r="D574" s="658"/>
      <c r="E574" s="658"/>
      <c r="F574" s="655"/>
      <c r="G574" s="656"/>
      <c r="H574" s="657"/>
      <c r="I574" s="657"/>
      <c r="J574" s="657"/>
      <c r="K574" s="657"/>
      <c r="L574" s="657"/>
      <c r="M574" s="13"/>
    </row>
    <row r="575" spans="1:14">
      <c r="A575" s="658"/>
      <c r="B575" s="658"/>
      <c r="C575" s="658" t="s">
        <v>702</v>
      </c>
      <c r="D575" s="658" t="s">
        <v>3157</v>
      </c>
      <c r="E575" s="658" t="s">
        <v>3118</v>
      </c>
      <c r="F575" s="653"/>
      <c r="G575" s="654"/>
      <c r="H575" s="657">
        <v>400</v>
      </c>
      <c r="I575" s="657">
        <f t="shared" ref="I575" si="491">H575</f>
        <v>400</v>
      </c>
      <c r="J575" s="657"/>
      <c r="K575" s="657">
        <v>400</v>
      </c>
      <c r="L575" s="657">
        <f t="shared" ref="L575" si="492">K575-I575</f>
        <v>0</v>
      </c>
      <c r="M575" s="13"/>
      <c r="N575" s="6" t="s">
        <v>3327</v>
      </c>
    </row>
    <row r="576" spans="1:14">
      <c r="A576" s="658"/>
      <c r="B576" s="658"/>
      <c r="C576" s="658"/>
      <c r="D576" s="658"/>
      <c r="E576" s="658"/>
      <c r="F576" s="655"/>
      <c r="G576" s="656"/>
      <c r="H576" s="657"/>
      <c r="I576" s="657"/>
      <c r="J576" s="657"/>
      <c r="K576" s="657"/>
      <c r="L576" s="657"/>
      <c r="M576" s="13"/>
    </row>
    <row r="577" spans="1:14">
      <c r="A577" s="658" t="s">
        <v>338</v>
      </c>
      <c r="B577" s="658" t="s">
        <v>3098</v>
      </c>
      <c r="C577" s="658" t="s">
        <v>3169</v>
      </c>
      <c r="D577" s="658" t="s">
        <v>3157</v>
      </c>
      <c r="E577" s="658" t="s">
        <v>239</v>
      </c>
      <c r="F577" s="653"/>
      <c r="G577" s="654"/>
      <c r="H577" s="657">
        <v>43047</v>
      </c>
      <c r="I577" s="657">
        <v>1350</v>
      </c>
      <c r="J577" s="657"/>
      <c r="K577" s="657">
        <v>1350</v>
      </c>
      <c r="L577" s="657">
        <f t="shared" ref="L577" si="493">K577-I577</f>
        <v>0</v>
      </c>
      <c r="M577" s="13"/>
    </row>
    <row r="578" spans="1:14">
      <c r="A578" s="658"/>
      <c r="B578" s="658"/>
      <c r="C578" s="658"/>
      <c r="D578" s="658"/>
      <c r="E578" s="658"/>
      <c r="F578" s="655"/>
      <c r="G578" s="656"/>
      <c r="H578" s="657"/>
      <c r="I578" s="657"/>
      <c r="J578" s="657"/>
      <c r="K578" s="657"/>
      <c r="L578" s="657"/>
      <c r="M578" s="13"/>
    </row>
    <row r="579" spans="1:14">
      <c r="A579" s="658"/>
      <c r="B579" s="658"/>
      <c r="C579" s="658" t="s">
        <v>704</v>
      </c>
      <c r="D579" s="658" t="s">
        <v>3166</v>
      </c>
      <c r="E579" s="658" t="s">
        <v>1601</v>
      </c>
      <c r="F579" s="653"/>
      <c r="G579" s="654"/>
      <c r="H579" s="657">
        <v>800</v>
      </c>
      <c r="I579" s="657">
        <f t="shared" ref="I579" si="494">H579</f>
        <v>800</v>
      </c>
      <c r="J579" s="657"/>
      <c r="K579" s="657">
        <v>800</v>
      </c>
      <c r="L579" s="657">
        <f t="shared" ref="L579" si="495">K579-I579</f>
        <v>0</v>
      </c>
      <c r="M579" s="13"/>
      <c r="N579" s="6" t="s">
        <v>3327</v>
      </c>
    </row>
    <row r="580" spans="1:14">
      <c r="A580" s="658"/>
      <c r="B580" s="658"/>
      <c r="C580" s="658"/>
      <c r="D580" s="658"/>
      <c r="E580" s="658"/>
      <c r="F580" s="655"/>
      <c r="G580" s="656"/>
      <c r="H580" s="657"/>
      <c r="I580" s="657"/>
      <c r="J580" s="657"/>
      <c r="K580" s="657"/>
      <c r="L580" s="657"/>
      <c r="M580" s="13"/>
    </row>
    <row r="581" spans="1:14">
      <c r="A581" s="658"/>
      <c r="B581" s="658"/>
      <c r="C581" s="658" t="s">
        <v>708</v>
      </c>
      <c r="D581" s="658" t="s">
        <v>3166</v>
      </c>
      <c r="E581" s="658" t="s">
        <v>2723</v>
      </c>
      <c r="F581" s="653"/>
      <c r="G581" s="654"/>
      <c r="H581" s="657">
        <v>100</v>
      </c>
      <c r="I581" s="657">
        <f t="shared" ref="I581" si="496">H581</f>
        <v>100</v>
      </c>
      <c r="J581" s="657"/>
      <c r="K581" s="657">
        <v>100</v>
      </c>
      <c r="L581" s="657">
        <f t="shared" ref="L581" si="497">K581-I581</f>
        <v>0</v>
      </c>
      <c r="M581" s="13"/>
      <c r="N581" s="6" t="s">
        <v>3327</v>
      </c>
    </row>
    <row r="582" spans="1:14">
      <c r="A582" s="658"/>
      <c r="B582" s="658"/>
      <c r="C582" s="658"/>
      <c r="D582" s="658"/>
      <c r="E582" s="658"/>
      <c r="F582" s="655"/>
      <c r="G582" s="656"/>
      <c r="H582" s="657"/>
      <c r="I582" s="657"/>
      <c r="J582" s="657"/>
      <c r="K582" s="657"/>
      <c r="L582" s="657"/>
      <c r="M582" s="13"/>
    </row>
    <row r="583" spans="1:14">
      <c r="A583" s="658"/>
      <c r="B583" s="658"/>
      <c r="C583" s="658" t="s">
        <v>709</v>
      </c>
      <c r="D583" s="658" t="s">
        <v>3166</v>
      </c>
      <c r="E583" s="658" t="s">
        <v>2723</v>
      </c>
      <c r="F583" s="653"/>
      <c r="G583" s="654"/>
      <c r="H583" s="657">
        <v>380</v>
      </c>
      <c r="I583" s="657">
        <f t="shared" ref="I583" si="498">H583</f>
        <v>380</v>
      </c>
      <c r="J583" s="657"/>
      <c r="K583" s="657">
        <v>380</v>
      </c>
      <c r="L583" s="657">
        <f t="shared" ref="L583" si="499">K583-I583</f>
        <v>0</v>
      </c>
      <c r="M583" s="13"/>
      <c r="N583" s="6" t="s">
        <v>3327</v>
      </c>
    </row>
    <row r="584" spans="1:14">
      <c r="A584" s="658"/>
      <c r="B584" s="658"/>
      <c r="C584" s="658"/>
      <c r="D584" s="658"/>
      <c r="E584" s="658"/>
      <c r="F584" s="655"/>
      <c r="G584" s="656"/>
      <c r="H584" s="657"/>
      <c r="I584" s="657"/>
      <c r="J584" s="657"/>
      <c r="K584" s="657"/>
      <c r="L584" s="657"/>
      <c r="M584" s="13"/>
    </row>
    <row r="585" spans="1:14">
      <c r="A585" s="658" t="s">
        <v>348</v>
      </c>
      <c r="B585" s="658" t="s">
        <v>2983</v>
      </c>
      <c r="C585" s="658" t="s">
        <v>3171</v>
      </c>
      <c r="D585" s="658" t="s">
        <v>3170</v>
      </c>
      <c r="E585" s="658" t="s">
        <v>239</v>
      </c>
      <c r="F585" s="653"/>
      <c r="G585" s="654"/>
      <c r="H585" s="657">
        <v>1350</v>
      </c>
      <c r="I585" s="657">
        <v>1350</v>
      </c>
      <c r="J585" s="657"/>
      <c r="K585" s="657">
        <v>1350</v>
      </c>
      <c r="L585" s="657">
        <f t="shared" ref="L585" si="500">K585-I585</f>
        <v>0</v>
      </c>
      <c r="M585" s="13"/>
    </row>
    <row r="586" spans="1:14">
      <c r="A586" s="658"/>
      <c r="B586" s="658"/>
      <c r="C586" s="658"/>
      <c r="D586" s="658"/>
      <c r="E586" s="658"/>
      <c r="F586" s="655"/>
      <c r="G586" s="656"/>
      <c r="H586" s="657"/>
      <c r="I586" s="657"/>
      <c r="J586" s="657"/>
      <c r="K586" s="657"/>
      <c r="L586" s="657"/>
      <c r="M586" s="13"/>
    </row>
    <row r="587" spans="1:14">
      <c r="A587" s="658"/>
      <c r="B587" s="658"/>
      <c r="C587" s="658" t="s">
        <v>710</v>
      </c>
      <c r="D587" s="658" t="s">
        <v>3165</v>
      </c>
      <c r="E587" s="658" t="s">
        <v>1144</v>
      </c>
      <c r="F587" s="653"/>
      <c r="G587" s="654"/>
      <c r="H587" s="657">
        <v>260</v>
      </c>
      <c r="I587" s="657">
        <f t="shared" ref="I587" si="501">H587</f>
        <v>260</v>
      </c>
      <c r="J587" s="657"/>
      <c r="K587" s="657">
        <v>260</v>
      </c>
      <c r="L587" s="657">
        <f t="shared" ref="L587" si="502">K587-I587</f>
        <v>0</v>
      </c>
      <c r="M587" s="13"/>
    </row>
    <row r="588" spans="1:14">
      <c r="A588" s="658"/>
      <c r="B588" s="658"/>
      <c r="C588" s="658"/>
      <c r="D588" s="658"/>
      <c r="E588" s="658"/>
      <c r="F588" s="655"/>
      <c r="G588" s="656"/>
      <c r="H588" s="657"/>
      <c r="I588" s="657"/>
      <c r="J588" s="657"/>
      <c r="K588" s="657"/>
      <c r="L588" s="657"/>
      <c r="M588" s="13"/>
    </row>
    <row r="589" spans="1:14">
      <c r="A589" s="658"/>
      <c r="B589" s="658"/>
      <c r="C589" s="658" t="s">
        <v>722</v>
      </c>
      <c r="D589" s="658" t="s">
        <v>3165</v>
      </c>
      <c r="E589" s="658" t="s">
        <v>1144</v>
      </c>
      <c r="F589" s="653"/>
      <c r="G589" s="654"/>
      <c r="H589" s="657">
        <v>200</v>
      </c>
      <c r="I589" s="657">
        <f t="shared" ref="I589" si="503">H589</f>
        <v>200</v>
      </c>
      <c r="J589" s="657"/>
      <c r="K589" s="657">
        <v>200</v>
      </c>
      <c r="L589" s="657">
        <f t="shared" ref="L589" si="504">K589-I589</f>
        <v>0</v>
      </c>
      <c r="M589" s="13"/>
    </row>
    <row r="590" spans="1:14">
      <c r="A590" s="658"/>
      <c r="B590" s="658"/>
      <c r="C590" s="658"/>
      <c r="D590" s="658"/>
      <c r="E590" s="658"/>
      <c r="F590" s="655"/>
      <c r="G590" s="656"/>
      <c r="H590" s="657"/>
      <c r="I590" s="657"/>
      <c r="J590" s="657"/>
      <c r="K590" s="657"/>
      <c r="L590" s="657"/>
      <c r="M590" s="13"/>
    </row>
    <row r="591" spans="1:14">
      <c r="A591" s="658"/>
      <c r="B591" s="658"/>
      <c r="C591" s="658" t="s">
        <v>711</v>
      </c>
      <c r="D591" s="658" t="s">
        <v>3165</v>
      </c>
      <c r="E591" s="658" t="s">
        <v>2892</v>
      </c>
      <c r="F591" s="653"/>
      <c r="G591" s="654"/>
      <c r="H591" s="657">
        <v>600</v>
      </c>
      <c r="I591" s="657">
        <f t="shared" ref="I591" si="505">H591</f>
        <v>600</v>
      </c>
      <c r="J591" s="657"/>
      <c r="K591" s="657">
        <v>600</v>
      </c>
      <c r="L591" s="657">
        <f t="shared" ref="L591" si="506">K591-I591</f>
        <v>0</v>
      </c>
      <c r="M591" s="13"/>
    </row>
    <row r="592" spans="1:14">
      <c r="A592" s="658"/>
      <c r="B592" s="658"/>
      <c r="C592" s="658"/>
      <c r="D592" s="658"/>
      <c r="E592" s="658"/>
      <c r="F592" s="655"/>
      <c r="G592" s="656"/>
      <c r="H592" s="657"/>
      <c r="I592" s="657"/>
      <c r="J592" s="657"/>
      <c r="K592" s="657"/>
      <c r="L592" s="657"/>
      <c r="M592" s="13"/>
    </row>
    <row r="593" spans="1:13">
      <c r="A593" s="658" t="s">
        <v>350</v>
      </c>
      <c r="B593" s="658" t="s">
        <v>2969</v>
      </c>
      <c r="C593" s="658" t="s">
        <v>3173</v>
      </c>
      <c r="D593" s="658" t="s">
        <v>3172</v>
      </c>
      <c r="E593" s="658" t="s">
        <v>239</v>
      </c>
      <c r="F593" s="653"/>
      <c r="G593" s="654"/>
      <c r="H593" s="657">
        <v>1400</v>
      </c>
      <c r="I593" s="657">
        <f t="shared" ref="I593" si="507">H593</f>
        <v>1400</v>
      </c>
      <c r="J593" s="657"/>
      <c r="K593" s="657">
        <v>1400</v>
      </c>
      <c r="L593" s="657">
        <f t="shared" ref="L593" si="508">K593-I593</f>
        <v>0</v>
      </c>
      <c r="M593" s="13"/>
    </row>
    <row r="594" spans="1:13">
      <c r="A594" s="658"/>
      <c r="B594" s="658"/>
      <c r="C594" s="658"/>
      <c r="D594" s="658"/>
      <c r="E594" s="658"/>
      <c r="F594" s="655"/>
      <c r="G594" s="656"/>
      <c r="H594" s="657"/>
      <c r="I594" s="657"/>
      <c r="J594" s="657"/>
      <c r="K594" s="657"/>
      <c r="L594" s="657"/>
      <c r="M594" s="13"/>
    </row>
    <row r="595" spans="1:13">
      <c r="A595" s="658"/>
      <c r="B595" s="658"/>
      <c r="C595" s="658" t="s">
        <v>716</v>
      </c>
      <c r="D595" s="658" t="s">
        <v>3167</v>
      </c>
      <c r="E595" s="658" t="s">
        <v>117</v>
      </c>
      <c r="F595" s="653"/>
      <c r="G595" s="654"/>
      <c r="H595" s="657">
        <v>110</v>
      </c>
      <c r="I595" s="657">
        <f t="shared" ref="I595" si="509">H595</f>
        <v>110</v>
      </c>
      <c r="J595" s="657"/>
      <c r="K595" s="657"/>
      <c r="L595" s="657">
        <f t="shared" ref="L595" si="510">K595-I595</f>
        <v>-110</v>
      </c>
      <c r="M595" s="13"/>
    </row>
    <row r="596" spans="1:13">
      <c r="A596" s="658"/>
      <c r="B596" s="658"/>
      <c r="C596" s="658"/>
      <c r="D596" s="658"/>
      <c r="E596" s="658"/>
      <c r="F596" s="655"/>
      <c r="G596" s="656"/>
      <c r="H596" s="657"/>
      <c r="I596" s="657"/>
      <c r="J596" s="657"/>
      <c r="K596" s="657"/>
      <c r="L596" s="657"/>
      <c r="M596" s="13"/>
    </row>
    <row r="597" spans="1:13">
      <c r="A597" s="658"/>
      <c r="B597" s="658"/>
      <c r="C597" s="658" t="s">
        <v>717</v>
      </c>
      <c r="D597" s="658" t="s">
        <v>3167</v>
      </c>
      <c r="E597" s="658" t="s">
        <v>2376</v>
      </c>
      <c r="F597" s="653"/>
      <c r="G597" s="654"/>
      <c r="H597" s="657">
        <v>60</v>
      </c>
      <c r="I597" s="657">
        <f t="shared" ref="I597" si="511">H597</f>
        <v>60</v>
      </c>
      <c r="J597" s="657"/>
      <c r="K597" s="657">
        <v>60</v>
      </c>
      <c r="L597" s="657">
        <f t="shared" ref="L597" si="512">K597-I597</f>
        <v>0</v>
      </c>
      <c r="M597" s="13"/>
    </row>
    <row r="598" spans="1:13">
      <c r="A598" s="658"/>
      <c r="B598" s="658"/>
      <c r="C598" s="658"/>
      <c r="D598" s="658"/>
      <c r="E598" s="658"/>
      <c r="F598" s="655"/>
      <c r="G598" s="656"/>
      <c r="H598" s="657"/>
      <c r="I598" s="657"/>
      <c r="J598" s="657"/>
      <c r="K598" s="657"/>
      <c r="L598" s="657"/>
      <c r="M598" s="13"/>
    </row>
    <row r="599" spans="1:13">
      <c r="A599" s="658"/>
      <c r="B599" s="658"/>
      <c r="C599" s="658" t="s">
        <v>720</v>
      </c>
      <c r="D599" s="658" t="s">
        <v>3167</v>
      </c>
      <c r="E599" s="658" t="s">
        <v>2375</v>
      </c>
      <c r="F599" s="653"/>
      <c r="G599" s="654"/>
      <c r="H599" s="657">
        <v>100</v>
      </c>
      <c r="I599" s="657">
        <f t="shared" ref="I599" si="513">H599</f>
        <v>100</v>
      </c>
      <c r="J599" s="657"/>
      <c r="K599" s="657">
        <v>100</v>
      </c>
      <c r="L599" s="657">
        <f t="shared" ref="L599" si="514">K599-I599</f>
        <v>0</v>
      </c>
      <c r="M599" s="13"/>
    </row>
    <row r="600" spans="1:13">
      <c r="A600" s="658"/>
      <c r="B600" s="658"/>
      <c r="C600" s="658"/>
      <c r="D600" s="658"/>
      <c r="E600" s="658"/>
      <c r="F600" s="655"/>
      <c r="G600" s="656"/>
      <c r="H600" s="657"/>
      <c r="I600" s="657"/>
      <c r="J600" s="657"/>
      <c r="K600" s="657"/>
      <c r="L600" s="657"/>
      <c r="M600" s="13"/>
    </row>
    <row r="601" spans="1:13">
      <c r="A601" s="658"/>
      <c r="B601" s="658"/>
      <c r="C601" s="658" t="s">
        <v>721</v>
      </c>
      <c r="D601" s="658" t="s">
        <v>3168</v>
      </c>
      <c r="E601" s="658" t="s">
        <v>2348</v>
      </c>
      <c r="F601" s="653"/>
      <c r="G601" s="654"/>
      <c r="H601" s="657">
        <v>100</v>
      </c>
      <c r="I601" s="657">
        <f t="shared" ref="I601" si="515">H601</f>
        <v>100</v>
      </c>
      <c r="J601" s="657"/>
      <c r="K601" s="657">
        <v>100</v>
      </c>
      <c r="L601" s="657">
        <f t="shared" ref="L601" si="516">K601-I601</f>
        <v>0</v>
      </c>
      <c r="M601" s="13"/>
    </row>
    <row r="602" spans="1:13">
      <c r="A602" s="658"/>
      <c r="B602" s="658"/>
      <c r="C602" s="658"/>
      <c r="D602" s="658"/>
      <c r="E602" s="658"/>
      <c r="F602" s="655"/>
      <c r="G602" s="656"/>
      <c r="H602" s="657"/>
      <c r="I602" s="657"/>
      <c r="J602" s="657"/>
      <c r="K602" s="657"/>
      <c r="L602" s="657"/>
      <c r="M602" s="13"/>
    </row>
    <row r="603" spans="1:13">
      <c r="A603" s="658" t="s">
        <v>358</v>
      </c>
      <c r="B603" s="658" t="s">
        <v>3098</v>
      </c>
      <c r="C603" s="658" t="s">
        <v>3182</v>
      </c>
      <c r="D603" s="658" t="s">
        <v>3167</v>
      </c>
      <c r="E603" s="658" t="s">
        <v>239</v>
      </c>
      <c r="F603" s="653"/>
      <c r="G603" s="654"/>
      <c r="H603" s="657">
        <v>42999</v>
      </c>
      <c r="I603" s="657">
        <v>1350</v>
      </c>
      <c r="J603" s="657"/>
      <c r="K603" s="657">
        <v>1350</v>
      </c>
      <c r="L603" s="657">
        <f t="shared" ref="L603" si="517">K603-I603</f>
        <v>0</v>
      </c>
      <c r="M603" s="13"/>
    </row>
    <row r="604" spans="1:13">
      <c r="A604" s="658"/>
      <c r="B604" s="658"/>
      <c r="C604" s="658"/>
      <c r="D604" s="658"/>
      <c r="E604" s="658"/>
      <c r="F604" s="655"/>
      <c r="G604" s="656"/>
      <c r="H604" s="657"/>
      <c r="I604" s="657"/>
      <c r="J604" s="657"/>
      <c r="K604" s="657"/>
      <c r="L604" s="657"/>
      <c r="M604" s="13"/>
    </row>
    <row r="605" spans="1:13">
      <c r="A605" s="658"/>
      <c r="B605" s="658"/>
      <c r="C605" s="658" t="s">
        <v>728</v>
      </c>
      <c r="D605" s="658" t="s">
        <v>3179</v>
      </c>
      <c r="E605" s="658" t="s">
        <v>2723</v>
      </c>
      <c r="F605" s="653"/>
      <c r="G605" s="654"/>
      <c r="H605" s="657">
        <v>500</v>
      </c>
      <c r="I605" s="657">
        <f t="shared" ref="I605" si="518">H605</f>
        <v>500</v>
      </c>
      <c r="J605" s="657"/>
      <c r="K605" s="657">
        <v>500</v>
      </c>
      <c r="L605" s="657">
        <f t="shared" ref="L605" si="519">K605-I605</f>
        <v>0</v>
      </c>
      <c r="M605" s="13"/>
    </row>
    <row r="606" spans="1:13">
      <c r="A606" s="658"/>
      <c r="B606" s="658"/>
      <c r="C606" s="658"/>
      <c r="D606" s="658"/>
      <c r="E606" s="658"/>
      <c r="F606" s="655"/>
      <c r="G606" s="656"/>
      <c r="H606" s="657"/>
      <c r="I606" s="657"/>
      <c r="J606" s="657"/>
      <c r="K606" s="657"/>
      <c r="L606" s="657"/>
      <c r="M606" s="13"/>
    </row>
    <row r="607" spans="1:13">
      <c r="A607" s="658"/>
      <c r="B607" s="658"/>
      <c r="C607" s="658" t="s">
        <v>722</v>
      </c>
      <c r="D607" s="658" t="s">
        <v>3179</v>
      </c>
      <c r="E607" s="658" t="s">
        <v>1140</v>
      </c>
      <c r="F607" s="653"/>
      <c r="G607" s="654"/>
      <c r="H607" s="657">
        <v>420</v>
      </c>
      <c r="I607" s="657">
        <f t="shared" ref="I607" si="520">H607</f>
        <v>420</v>
      </c>
      <c r="J607" s="657"/>
      <c r="K607" s="657">
        <v>420</v>
      </c>
      <c r="L607" s="657">
        <f t="shared" ref="L607" si="521">K607-I607</f>
        <v>0</v>
      </c>
      <c r="M607" s="13"/>
    </row>
    <row r="608" spans="1:13">
      <c r="A608" s="658"/>
      <c r="B608" s="658"/>
      <c r="C608" s="658"/>
      <c r="D608" s="658"/>
      <c r="E608" s="658"/>
      <c r="F608" s="655"/>
      <c r="G608" s="656"/>
      <c r="H608" s="657"/>
      <c r="I608" s="657"/>
      <c r="J608" s="657"/>
      <c r="K608" s="657"/>
      <c r="L608" s="657"/>
      <c r="M608" s="13"/>
    </row>
    <row r="609" spans="1:13">
      <c r="A609" s="658" t="s">
        <v>1310</v>
      </c>
      <c r="B609" s="658" t="s">
        <v>3021</v>
      </c>
      <c r="C609" s="658" t="s">
        <v>3185</v>
      </c>
      <c r="D609" s="658" t="s">
        <v>3184</v>
      </c>
      <c r="E609" s="658" t="s">
        <v>239</v>
      </c>
      <c r="F609" s="653"/>
      <c r="G609" s="654"/>
      <c r="H609" s="657">
        <v>1350</v>
      </c>
      <c r="I609" s="657">
        <v>1350</v>
      </c>
      <c r="J609" s="657"/>
      <c r="K609" s="657">
        <v>1350</v>
      </c>
      <c r="L609" s="657">
        <f t="shared" ref="L609" si="522">K609-I609</f>
        <v>0</v>
      </c>
      <c r="M609" s="13"/>
    </row>
    <row r="610" spans="1:13">
      <c r="A610" s="658"/>
      <c r="B610" s="658"/>
      <c r="C610" s="658"/>
      <c r="D610" s="658"/>
      <c r="E610" s="658"/>
      <c r="F610" s="655"/>
      <c r="G610" s="656"/>
      <c r="H610" s="657"/>
      <c r="I610" s="657"/>
      <c r="J610" s="657"/>
      <c r="K610" s="657"/>
      <c r="L610" s="657"/>
      <c r="M610" s="13"/>
    </row>
    <row r="611" spans="1:13">
      <c r="A611" s="658"/>
      <c r="B611" s="658"/>
      <c r="C611" s="658" t="s">
        <v>732</v>
      </c>
      <c r="D611" s="658" t="s">
        <v>3175</v>
      </c>
      <c r="E611" s="658" t="s">
        <v>3174</v>
      </c>
      <c r="F611" s="653"/>
      <c r="G611" s="654"/>
      <c r="H611" s="657">
        <v>400</v>
      </c>
      <c r="I611" s="657">
        <f t="shared" ref="I611" si="523">H611</f>
        <v>400</v>
      </c>
      <c r="J611" s="657"/>
      <c r="K611" s="657">
        <v>400</v>
      </c>
      <c r="L611" s="657">
        <f t="shared" ref="L611" si="524">K611-I611</f>
        <v>0</v>
      </c>
      <c r="M611" s="13"/>
    </row>
    <row r="612" spans="1:13">
      <c r="A612" s="658"/>
      <c r="B612" s="658"/>
      <c r="C612" s="658"/>
      <c r="D612" s="658"/>
      <c r="E612" s="658"/>
      <c r="F612" s="655"/>
      <c r="G612" s="656"/>
      <c r="H612" s="657"/>
      <c r="I612" s="657"/>
      <c r="J612" s="657"/>
      <c r="K612" s="657"/>
      <c r="L612" s="657"/>
      <c r="M612" s="13"/>
    </row>
    <row r="613" spans="1:13">
      <c r="A613" s="658"/>
      <c r="B613" s="658"/>
      <c r="C613" s="658" t="s">
        <v>734</v>
      </c>
      <c r="D613" s="658" t="s">
        <v>3175</v>
      </c>
      <c r="E613" s="658" t="s">
        <v>117</v>
      </c>
      <c r="F613" s="653"/>
      <c r="G613" s="654"/>
      <c r="H613" s="657">
        <v>110</v>
      </c>
      <c r="I613" s="657">
        <f t="shared" ref="I613" si="525">H613</f>
        <v>110</v>
      </c>
      <c r="J613" s="657"/>
      <c r="K613" s="657"/>
      <c r="L613" s="657">
        <f t="shared" ref="L613" si="526">K613-I613</f>
        <v>-110</v>
      </c>
      <c r="M613" s="13"/>
    </row>
    <row r="614" spans="1:13">
      <c r="A614" s="658"/>
      <c r="B614" s="658"/>
      <c r="C614" s="658"/>
      <c r="D614" s="658"/>
      <c r="E614" s="658"/>
      <c r="F614" s="655"/>
      <c r="G614" s="656"/>
      <c r="H614" s="657"/>
      <c r="I614" s="657"/>
      <c r="J614" s="657"/>
      <c r="K614" s="657"/>
      <c r="L614" s="657"/>
      <c r="M614" s="13"/>
    </row>
    <row r="615" spans="1:13">
      <c r="A615" s="658" t="s">
        <v>359</v>
      </c>
      <c r="B615" s="658" t="s">
        <v>3176</v>
      </c>
      <c r="C615" s="658" t="s">
        <v>3183</v>
      </c>
      <c r="D615" s="658" t="s">
        <v>3168</v>
      </c>
      <c r="E615" s="658" t="s">
        <v>239</v>
      </c>
      <c r="F615" s="653"/>
      <c r="G615" s="654"/>
      <c r="H615" s="657">
        <v>42984</v>
      </c>
      <c r="I615" s="657">
        <v>1350</v>
      </c>
      <c r="J615" s="657"/>
      <c r="K615" s="657">
        <v>42984</v>
      </c>
      <c r="L615" s="657">
        <f t="shared" ref="L615" si="527">K615-I615</f>
        <v>41634</v>
      </c>
      <c r="M615" s="13"/>
    </row>
    <row r="616" spans="1:13">
      <c r="A616" s="658"/>
      <c r="B616" s="658"/>
      <c r="C616" s="658"/>
      <c r="D616" s="658"/>
      <c r="E616" s="658"/>
      <c r="F616" s="655"/>
      <c r="G616" s="656"/>
      <c r="H616" s="657"/>
      <c r="I616" s="657"/>
      <c r="J616" s="657"/>
      <c r="K616" s="657"/>
      <c r="L616" s="657"/>
      <c r="M616" s="13"/>
    </row>
    <row r="617" spans="1:13">
      <c r="A617" s="658"/>
      <c r="B617" s="658"/>
      <c r="C617" s="658" t="s">
        <v>735</v>
      </c>
      <c r="D617" s="658" t="s">
        <v>3178</v>
      </c>
      <c r="E617" s="658" t="s">
        <v>3177</v>
      </c>
      <c r="F617" s="653"/>
      <c r="G617" s="654"/>
      <c r="H617" s="657">
        <v>550</v>
      </c>
      <c r="I617" s="657">
        <f t="shared" ref="I617" si="528">H617</f>
        <v>550</v>
      </c>
      <c r="J617" s="657"/>
      <c r="K617" s="657">
        <v>550</v>
      </c>
      <c r="L617" s="657">
        <f t="shared" ref="L617" si="529">K617-I617</f>
        <v>0</v>
      </c>
      <c r="M617" s="13"/>
    </row>
    <row r="618" spans="1:13">
      <c r="A618" s="658"/>
      <c r="B618" s="658"/>
      <c r="C618" s="658"/>
      <c r="D618" s="658"/>
      <c r="E618" s="658"/>
      <c r="F618" s="655"/>
      <c r="G618" s="656"/>
      <c r="H618" s="657"/>
      <c r="I618" s="657"/>
      <c r="J618" s="657"/>
      <c r="K618" s="657"/>
      <c r="L618" s="657"/>
      <c r="M618" s="13"/>
    </row>
    <row r="619" spans="1:13">
      <c r="A619" s="658"/>
      <c r="B619" s="658"/>
      <c r="C619" s="658" t="s">
        <v>736</v>
      </c>
      <c r="D619" s="658" t="s">
        <v>3178</v>
      </c>
      <c r="E619" s="658" t="s">
        <v>2866</v>
      </c>
      <c r="F619" s="653"/>
      <c r="G619" s="654"/>
      <c r="H619" s="657">
        <v>350</v>
      </c>
      <c r="I619" s="657">
        <f t="shared" ref="I619" si="530">H619</f>
        <v>350</v>
      </c>
      <c r="J619" s="657"/>
      <c r="K619" s="657">
        <v>350</v>
      </c>
      <c r="L619" s="657">
        <f t="shared" ref="L619" si="531">K619-I619</f>
        <v>0</v>
      </c>
      <c r="M619" s="13"/>
    </row>
    <row r="620" spans="1:13">
      <c r="A620" s="658"/>
      <c r="B620" s="658"/>
      <c r="C620" s="658"/>
      <c r="D620" s="658"/>
      <c r="E620" s="658"/>
      <c r="F620" s="655"/>
      <c r="G620" s="656"/>
      <c r="H620" s="657"/>
      <c r="I620" s="657"/>
      <c r="J620" s="657"/>
      <c r="K620" s="657"/>
      <c r="L620" s="657"/>
      <c r="M620" s="13"/>
    </row>
    <row r="621" spans="1:13">
      <c r="A621" s="658"/>
      <c r="B621" s="658"/>
      <c r="C621" s="658" t="s">
        <v>740</v>
      </c>
      <c r="D621" s="658" t="s">
        <v>3178</v>
      </c>
      <c r="E621" s="658" t="s">
        <v>1601</v>
      </c>
      <c r="F621" s="653"/>
      <c r="G621" s="654"/>
      <c r="H621" s="657">
        <v>370</v>
      </c>
      <c r="I621" s="657">
        <f t="shared" ref="I621" si="532">H621</f>
        <v>370</v>
      </c>
      <c r="J621" s="657"/>
      <c r="K621" s="657">
        <v>370</v>
      </c>
      <c r="L621" s="657">
        <f t="shared" ref="L621" si="533">K621-I621</f>
        <v>0</v>
      </c>
      <c r="M621" s="13"/>
    </row>
    <row r="622" spans="1:13">
      <c r="A622" s="658"/>
      <c r="B622" s="658"/>
      <c r="C622" s="658"/>
      <c r="D622" s="658"/>
      <c r="E622" s="658"/>
      <c r="F622" s="655"/>
      <c r="G622" s="656"/>
      <c r="H622" s="657"/>
      <c r="I622" s="657"/>
      <c r="J622" s="657"/>
      <c r="K622" s="657"/>
      <c r="L622" s="657"/>
      <c r="M622" s="13"/>
    </row>
    <row r="623" spans="1:13">
      <c r="A623" s="658" t="s">
        <v>360</v>
      </c>
      <c r="B623" s="658" t="s">
        <v>3098</v>
      </c>
      <c r="C623" s="658" t="s">
        <v>3190</v>
      </c>
      <c r="D623" s="658" t="s">
        <v>3175</v>
      </c>
      <c r="E623" s="658" t="s">
        <v>239</v>
      </c>
      <c r="F623" s="653"/>
      <c r="G623" s="654"/>
      <c r="H623" s="657">
        <v>43928</v>
      </c>
      <c r="I623" s="657">
        <v>1350</v>
      </c>
      <c r="J623" s="657"/>
      <c r="K623" s="657">
        <v>1350</v>
      </c>
      <c r="L623" s="657">
        <f t="shared" ref="L623" si="534">K623-I623</f>
        <v>0</v>
      </c>
      <c r="M623" s="13"/>
    </row>
    <row r="624" spans="1:13">
      <c r="A624" s="658"/>
      <c r="B624" s="658"/>
      <c r="C624" s="658"/>
      <c r="D624" s="658"/>
      <c r="E624" s="658"/>
      <c r="F624" s="655"/>
      <c r="G624" s="656"/>
      <c r="H624" s="657"/>
      <c r="I624" s="657"/>
      <c r="J624" s="657"/>
      <c r="K624" s="657"/>
      <c r="L624" s="657"/>
      <c r="M624" s="13"/>
    </row>
    <row r="625" spans="1:14">
      <c r="A625" s="658"/>
      <c r="B625" s="658"/>
      <c r="C625" s="658" t="s">
        <v>762</v>
      </c>
      <c r="D625" s="658" t="s">
        <v>3189</v>
      </c>
      <c r="E625" s="658" t="s">
        <v>2723</v>
      </c>
      <c r="F625" s="653"/>
      <c r="G625" s="654"/>
      <c r="H625" s="657">
        <v>485</v>
      </c>
      <c r="I625" s="657">
        <f t="shared" ref="I625" si="535">H625</f>
        <v>485</v>
      </c>
      <c r="J625" s="657"/>
      <c r="K625" s="657">
        <v>485</v>
      </c>
      <c r="L625" s="657">
        <f t="shared" ref="L625" si="536">K625-I625</f>
        <v>0</v>
      </c>
      <c r="M625" s="13"/>
    </row>
    <row r="626" spans="1:14">
      <c r="A626" s="658"/>
      <c r="B626" s="658"/>
      <c r="C626" s="658"/>
      <c r="D626" s="658"/>
      <c r="E626" s="658"/>
      <c r="F626" s="655"/>
      <c r="G626" s="656"/>
      <c r="H626" s="657"/>
      <c r="I626" s="657"/>
      <c r="J626" s="657"/>
      <c r="K626" s="657"/>
      <c r="L626" s="657"/>
      <c r="M626" s="13"/>
    </row>
    <row r="627" spans="1:14">
      <c r="A627" s="658"/>
      <c r="B627" s="658"/>
      <c r="C627" s="658" t="s">
        <v>763</v>
      </c>
      <c r="D627" s="658" t="s">
        <v>3189</v>
      </c>
      <c r="E627" s="658" t="s">
        <v>2866</v>
      </c>
      <c r="F627" s="653"/>
      <c r="G627" s="654"/>
      <c r="H627" s="657">
        <v>330</v>
      </c>
      <c r="I627" s="657">
        <f t="shared" ref="I627" si="537">H627</f>
        <v>330</v>
      </c>
      <c r="J627" s="657"/>
      <c r="K627" s="657">
        <v>330</v>
      </c>
      <c r="L627" s="657">
        <f t="shared" ref="L627" si="538">K627-I627</f>
        <v>0</v>
      </c>
      <c r="M627" s="13"/>
    </row>
    <row r="628" spans="1:14">
      <c r="A628" s="658"/>
      <c r="B628" s="658"/>
      <c r="C628" s="658"/>
      <c r="D628" s="658"/>
      <c r="E628" s="658"/>
      <c r="F628" s="655"/>
      <c r="G628" s="656"/>
      <c r="H628" s="657"/>
      <c r="I628" s="657"/>
      <c r="J628" s="657"/>
      <c r="K628" s="657"/>
      <c r="L628" s="657"/>
      <c r="M628" s="13"/>
    </row>
    <row r="629" spans="1:14">
      <c r="A629" s="658"/>
      <c r="B629" s="658"/>
      <c r="C629" s="658" t="s">
        <v>772</v>
      </c>
      <c r="D629" s="658" t="s">
        <v>3189</v>
      </c>
      <c r="E629" s="658" t="s">
        <v>3186</v>
      </c>
      <c r="F629" s="653"/>
      <c r="G629" s="654"/>
      <c r="H629" s="657">
        <v>270</v>
      </c>
      <c r="I629" s="657">
        <f t="shared" ref="I629" si="539">H629</f>
        <v>270</v>
      </c>
      <c r="J629" s="657"/>
      <c r="K629" s="657">
        <v>270</v>
      </c>
      <c r="L629" s="657">
        <f t="shared" ref="L629" si="540">K629-I629</f>
        <v>0</v>
      </c>
      <c r="M629" s="642">
        <v>42613</v>
      </c>
      <c r="N629">
        <v>293121437</v>
      </c>
    </row>
    <row r="630" spans="1:14">
      <c r="A630" s="658"/>
      <c r="B630" s="658"/>
      <c r="C630" s="658"/>
      <c r="D630" s="658"/>
      <c r="E630" s="658"/>
      <c r="F630" s="655"/>
      <c r="G630" s="656"/>
      <c r="H630" s="657"/>
      <c r="I630" s="657"/>
      <c r="J630" s="657"/>
      <c r="K630" s="657"/>
      <c r="L630" s="657"/>
      <c r="M630" s="13"/>
    </row>
    <row r="631" spans="1:14">
      <c r="A631" s="658"/>
      <c r="B631" s="658"/>
      <c r="C631" s="658" t="s">
        <v>773</v>
      </c>
      <c r="D631" s="658" t="s">
        <v>3189</v>
      </c>
      <c r="E631" s="658" t="s">
        <v>2348</v>
      </c>
      <c r="F631" s="653"/>
      <c r="G631" s="654"/>
      <c r="H631" s="657">
        <v>100</v>
      </c>
      <c r="I631" s="657">
        <f t="shared" ref="I631" si="541">H631</f>
        <v>100</v>
      </c>
      <c r="J631" s="657"/>
      <c r="K631" s="657">
        <v>100</v>
      </c>
      <c r="L631" s="657">
        <f t="shared" ref="L631" si="542">K631-I631</f>
        <v>0</v>
      </c>
      <c r="M631" s="13"/>
    </row>
    <row r="632" spans="1:14">
      <c r="A632" s="658"/>
      <c r="B632" s="658"/>
      <c r="C632" s="658"/>
      <c r="D632" s="658"/>
      <c r="E632" s="658"/>
      <c r="F632" s="655"/>
      <c r="G632" s="656"/>
      <c r="H632" s="657"/>
      <c r="I632" s="657"/>
      <c r="J632" s="657"/>
      <c r="K632" s="657"/>
      <c r="L632" s="657"/>
      <c r="M632" s="13"/>
    </row>
    <row r="633" spans="1:14">
      <c r="A633" s="815" t="s">
        <v>640</v>
      </c>
      <c r="B633" s="704"/>
      <c r="C633" s="704"/>
      <c r="D633" s="704"/>
      <c r="E633" s="704"/>
      <c r="F633" s="704"/>
      <c r="G633" s="704"/>
      <c r="H633" s="704"/>
      <c r="I633" s="704"/>
      <c r="J633" s="704"/>
      <c r="K633" s="704"/>
      <c r="L633" s="705"/>
      <c r="M633" s="13"/>
    </row>
    <row r="634" spans="1:14">
      <c r="A634" s="706"/>
      <c r="B634" s="707"/>
      <c r="C634" s="707"/>
      <c r="D634" s="707"/>
      <c r="E634" s="707"/>
      <c r="F634" s="707"/>
      <c r="G634" s="707"/>
      <c r="H634" s="707"/>
      <c r="I634" s="707"/>
      <c r="J634" s="707"/>
      <c r="K634" s="707"/>
      <c r="L634" s="708"/>
      <c r="M634" s="620">
        <f>SUM(I637,I641:I754,I757,I765,I773,I783)</f>
        <v>39845</v>
      </c>
    </row>
    <row r="635" spans="1:14">
      <c r="A635" s="658" t="s">
        <v>361</v>
      </c>
      <c r="B635" s="658" t="s">
        <v>3176</v>
      </c>
      <c r="C635" s="658" t="s">
        <v>3191</v>
      </c>
      <c r="D635" s="658" t="s">
        <v>2414</v>
      </c>
      <c r="E635" s="658" t="s">
        <v>239</v>
      </c>
      <c r="F635" s="653"/>
      <c r="G635" s="654"/>
      <c r="H635" s="657">
        <v>1400</v>
      </c>
      <c r="I635" s="657">
        <f t="shared" ref="I635" si="543">H635</f>
        <v>1400</v>
      </c>
      <c r="J635" s="657"/>
      <c r="K635" s="657">
        <v>1400</v>
      </c>
      <c r="L635" s="657">
        <f t="shared" ref="L635" si="544">K635-I635</f>
        <v>0</v>
      </c>
      <c r="M635" s="13"/>
    </row>
    <row r="636" spans="1:14">
      <c r="A636" s="658"/>
      <c r="B636" s="658"/>
      <c r="C636" s="658"/>
      <c r="D636" s="658"/>
      <c r="E636" s="658"/>
      <c r="F636" s="655"/>
      <c r="G636" s="656"/>
      <c r="H636" s="657"/>
      <c r="I636" s="657"/>
      <c r="J636" s="657"/>
      <c r="K636" s="657"/>
      <c r="L636" s="657"/>
      <c r="M636" s="13"/>
    </row>
    <row r="637" spans="1:14">
      <c r="A637" s="658"/>
      <c r="B637" s="658"/>
      <c r="C637" s="658" t="s">
        <v>742</v>
      </c>
      <c r="D637" s="658" t="s">
        <v>3188</v>
      </c>
      <c r="E637" s="658" t="s">
        <v>1601</v>
      </c>
      <c r="F637" s="653"/>
      <c r="G637" s="654"/>
      <c r="H637" s="657">
        <v>1100</v>
      </c>
      <c r="I637" s="657">
        <f t="shared" ref="I637" si="545">H637</f>
        <v>1100</v>
      </c>
      <c r="J637" s="657"/>
      <c r="K637" s="657"/>
      <c r="L637" s="657">
        <f t="shared" ref="L637" si="546">K637-I637</f>
        <v>-1100</v>
      </c>
      <c r="M637" s="13"/>
    </row>
    <row r="638" spans="1:14">
      <c r="A638" s="658"/>
      <c r="B638" s="658"/>
      <c r="C638" s="658"/>
      <c r="D638" s="658"/>
      <c r="E638" s="658"/>
      <c r="F638" s="655"/>
      <c r="G638" s="656"/>
      <c r="H638" s="657"/>
      <c r="I638" s="657"/>
      <c r="J638" s="657"/>
      <c r="K638" s="657"/>
      <c r="L638" s="657"/>
      <c r="M638" s="13"/>
    </row>
    <row r="639" spans="1:14">
      <c r="A639" s="658" t="s">
        <v>363</v>
      </c>
      <c r="B639" s="658" t="s">
        <v>2974</v>
      </c>
      <c r="C639" s="658" t="s">
        <v>3192</v>
      </c>
      <c r="D639" s="658" t="s">
        <v>2414</v>
      </c>
      <c r="E639" s="658" t="s">
        <v>239</v>
      </c>
      <c r="F639" s="653"/>
      <c r="G639" s="654"/>
      <c r="H639" s="657">
        <v>44524</v>
      </c>
      <c r="I639" s="657">
        <v>1350</v>
      </c>
      <c r="J639" s="657"/>
      <c r="K639" s="657">
        <v>44524</v>
      </c>
      <c r="L639" s="657">
        <f t="shared" ref="L639" si="547">K639-I639</f>
        <v>43174</v>
      </c>
      <c r="M639" s="13"/>
    </row>
    <row r="640" spans="1:14">
      <c r="A640" s="658"/>
      <c r="B640" s="658"/>
      <c r="C640" s="658"/>
      <c r="D640" s="658"/>
      <c r="E640" s="658"/>
      <c r="F640" s="655"/>
      <c r="G640" s="656"/>
      <c r="H640" s="657"/>
      <c r="I640" s="657"/>
      <c r="J640" s="657"/>
      <c r="K640" s="657"/>
      <c r="L640" s="657"/>
      <c r="M640" s="13" t="s">
        <v>3230</v>
      </c>
    </row>
    <row r="641" spans="1:14">
      <c r="A641" s="658"/>
      <c r="B641" s="658"/>
      <c r="C641" s="658" t="s">
        <v>741</v>
      </c>
      <c r="D641" s="658" t="s">
        <v>3188</v>
      </c>
      <c r="E641" s="658" t="s">
        <v>1140</v>
      </c>
      <c r="F641" s="653"/>
      <c r="G641" s="654"/>
      <c r="H641" s="657">
        <v>420</v>
      </c>
      <c r="I641" s="657">
        <f t="shared" ref="I641" si="548">H641</f>
        <v>420</v>
      </c>
      <c r="J641" s="657"/>
      <c r="K641" s="657">
        <v>420</v>
      </c>
      <c r="L641" s="657">
        <f t="shared" ref="L641" si="549">K641-I641</f>
        <v>0</v>
      </c>
      <c r="M641" s="13"/>
    </row>
    <row r="642" spans="1:14">
      <c r="A642" s="658"/>
      <c r="B642" s="658"/>
      <c r="C642" s="658"/>
      <c r="D642" s="658"/>
      <c r="E642" s="658"/>
      <c r="F642" s="655"/>
      <c r="G642" s="656"/>
      <c r="H642" s="657"/>
      <c r="I642" s="657"/>
      <c r="J642" s="657"/>
      <c r="K642" s="657"/>
      <c r="L642" s="657"/>
      <c r="M642" s="13"/>
      <c r="N642" s="581" t="s">
        <v>3208</v>
      </c>
    </row>
    <row r="643" spans="1:14">
      <c r="A643" s="658"/>
      <c r="B643" s="658"/>
      <c r="C643" s="658" t="s">
        <v>778</v>
      </c>
      <c r="D643" s="658" t="s">
        <v>3188</v>
      </c>
      <c r="E643" s="658" t="s">
        <v>3187</v>
      </c>
      <c r="F643" s="653"/>
      <c r="G643" s="654"/>
      <c r="H643" s="657">
        <v>350</v>
      </c>
      <c r="I643" s="657">
        <f t="shared" ref="I643" si="550">H643</f>
        <v>350</v>
      </c>
      <c r="J643" s="657"/>
      <c r="K643" s="657">
        <v>350</v>
      </c>
      <c r="L643" s="657">
        <f t="shared" ref="L643" si="551">K643-I643</f>
        <v>0</v>
      </c>
      <c r="M643" s="13"/>
      <c r="N643" s="582" t="s">
        <v>3225</v>
      </c>
    </row>
    <row r="644" spans="1:14">
      <c r="A644" s="658"/>
      <c r="B644" s="658"/>
      <c r="C644" s="658"/>
      <c r="D644" s="658"/>
      <c r="E644" s="658"/>
      <c r="F644" s="655"/>
      <c r="G644" s="656"/>
      <c r="H644" s="657"/>
      <c r="I644" s="657"/>
      <c r="J644" s="657"/>
      <c r="K644" s="657"/>
      <c r="L644" s="657"/>
      <c r="M644" s="13"/>
    </row>
    <row r="645" spans="1:14">
      <c r="A645" s="658"/>
      <c r="B645" s="658"/>
      <c r="C645" s="658" t="s">
        <v>779</v>
      </c>
      <c r="D645" s="658" t="s">
        <v>3188</v>
      </c>
      <c r="E645" s="658" t="s">
        <v>117</v>
      </c>
      <c r="F645" s="653"/>
      <c r="G645" s="654"/>
      <c r="H645" s="657">
        <v>110</v>
      </c>
      <c r="I645" s="657">
        <f t="shared" ref="I645" si="552">H645</f>
        <v>110</v>
      </c>
      <c r="J645" s="657"/>
      <c r="K645" s="657"/>
      <c r="L645" s="657">
        <f t="shared" ref="L645" si="553">K645-I645</f>
        <v>-110</v>
      </c>
      <c r="M645" s="13"/>
    </row>
    <row r="646" spans="1:14">
      <c r="A646" s="658"/>
      <c r="B646" s="658"/>
      <c r="C646" s="658"/>
      <c r="D646" s="658"/>
      <c r="E646" s="658"/>
      <c r="F646" s="655"/>
      <c r="G646" s="656"/>
      <c r="H646" s="657"/>
      <c r="I646" s="657"/>
      <c r="J646" s="657"/>
      <c r="K646" s="657"/>
      <c r="L646" s="657"/>
      <c r="M646" s="13"/>
    </row>
    <row r="647" spans="1:14">
      <c r="A647" s="658" t="s">
        <v>382</v>
      </c>
      <c r="B647" s="658" t="s">
        <v>3098</v>
      </c>
      <c r="C647" s="658" t="s">
        <v>3199</v>
      </c>
      <c r="D647" s="658" t="s">
        <v>3198</v>
      </c>
      <c r="E647" s="658" t="s">
        <v>239</v>
      </c>
      <c r="F647" s="653"/>
      <c r="G647" s="654"/>
      <c r="H647" s="657">
        <v>1400</v>
      </c>
      <c r="I647" s="657">
        <f t="shared" ref="I647" si="554">H647</f>
        <v>1400</v>
      </c>
      <c r="J647" s="657"/>
      <c r="K647" s="657">
        <v>1400</v>
      </c>
      <c r="L647" s="657">
        <f t="shared" ref="L647" si="555">K647-I647</f>
        <v>0</v>
      </c>
      <c r="M647" s="638" t="s">
        <v>3238</v>
      </c>
    </row>
    <row r="648" spans="1:14">
      <c r="A648" s="658"/>
      <c r="B648" s="658"/>
      <c r="C648" s="658"/>
      <c r="D648" s="658"/>
      <c r="E648" s="658"/>
      <c r="F648" s="655"/>
      <c r="G648" s="656"/>
      <c r="H648" s="657"/>
      <c r="I648" s="657"/>
      <c r="J648" s="657"/>
      <c r="K648" s="657"/>
      <c r="L648" s="657"/>
      <c r="M648" s="638" t="s">
        <v>3274</v>
      </c>
    </row>
    <row r="649" spans="1:14">
      <c r="A649" s="658"/>
      <c r="B649" s="658"/>
      <c r="C649" s="658" t="s">
        <v>782</v>
      </c>
      <c r="D649" s="658" t="s">
        <v>3193</v>
      </c>
      <c r="E649" s="658" t="s">
        <v>2723</v>
      </c>
      <c r="F649" s="653"/>
      <c r="G649" s="654"/>
      <c r="H649" s="657">
        <v>190</v>
      </c>
      <c r="I649" s="657">
        <f t="shared" ref="I649" si="556">H649</f>
        <v>190</v>
      </c>
      <c r="J649" s="657"/>
      <c r="K649" s="657">
        <v>190</v>
      </c>
      <c r="L649" s="657">
        <f t="shared" ref="L649" si="557">K649-I649</f>
        <v>0</v>
      </c>
      <c r="M649" s="13"/>
    </row>
    <row r="650" spans="1:14">
      <c r="A650" s="658"/>
      <c r="B650" s="658"/>
      <c r="C650" s="658"/>
      <c r="D650" s="658"/>
      <c r="E650" s="658"/>
      <c r="F650" s="655"/>
      <c r="G650" s="656"/>
      <c r="H650" s="657"/>
      <c r="I650" s="657"/>
      <c r="J650" s="657"/>
      <c r="K650" s="657"/>
      <c r="L650" s="657"/>
      <c r="M650" s="13"/>
    </row>
    <row r="651" spans="1:14">
      <c r="A651" s="658"/>
      <c r="B651" s="658"/>
      <c r="C651" s="658" t="s">
        <v>799</v>
      </c>
      <c r="D651" s="658" t="s">
        <v>3193</v>
      </c>
      <c r="E651" s="658" t="s">
        <v>2723</v>
      </c>
      <c r="F651" s="653"/>
      <c r="G651" s="654"/>
      <c r="H651" s="657">
        <v>330</v>
      </c>
      <c r="I651" s="657">
        <f t="shared" ref="I651" si="558">H651</f>
        <v>330</v>
      </c>
      <c r="J651" s="657"/>
      <c r="K651" s="657">
        <v>330</v>
      </c>
      <c r="L651" s="657">
        <f t="shared" ref="L651" si="559">K651-I651</f>
        <v>0</v>
      </c>
      <c r="M651" s="13"/>
    </row>
    <row r="652" spans="1:14">
      <c r="A652" s="658"/>
      <c r="B652" s="658"/>
      <c r="C652" s="658"/>
      <c r="D652" s="658"/>
      <c r="E652" s="658"/>
      <c r="F652" s="655"/>
      <c r="G652" s="656"/>
      <c r="H652" s="657"/>
      <c r="I652" s="657"/>
      <c r="J652" s="657"/>
      <c r="K652" s="657"/>
      <c r="L652" s="657"/>
      <c r="M652" s="13"/>
    </row>
    <row r="653" spans="1:14">
      <c r="A653" s="658"/>
      <c r="B653" s="658"/>
      <c r="C653" s="658" t="s">
        <v>807</v>
      </c>
      <c r="D653" s="658" t="s">
        <v>3193</v>
      </c>
      <c r="E653" s="658" t="s">
        <v>3194</v>
      </c>
      <c r="F653" s="653"/>
      <c r="G653" s="654"/>
      <c r="H653" s="657">
        <v>300</v>
      </c>
      <c r="I653" s="657">
        <f t="shared" ref="I653" si="560">H653</f>
        <v>300</v>
      </c>
      <c r="J653" s="657"/>
      <c r="K653" s="657">
        <v>300</v>
      </c>
      <c r="L653" s="657">
        <f t="shared" ref="L653" si="561">K653-I653</f>
        <v>0</v>
      </c>
      <c r="M653" s="13"/>
    </row>
    <row r="654" spans="1:14">
      <c r="A654" s="658"/>
      <c r="B654" s="658"/>
      <c r="C654" s="658"/>
      <c r="D654" s="658"/>
      <c r="E654" s="658"/>
      <c r="F654" s="655"/>
      <c r="G654" s="656"/>
      <c r="H654" s="657"/>
      <c r="I654" s="657"/>
      <c r="J654" s="657"/>
      <c r="K654" s="657"/>
      <c r="L654" s="657"/>
      <c r="M654" s="13"/>
    </row>
    <row r="655" spans="1:14">
      <c r="A655" s="658"/>
      <c r="B655" s="658"/>
      <c r="C655" s="658" t="s">
        <v>810</v>
      </c>
      <c r="D655" s="658" t="s">
        <v>3193</v>
      </c>
      <c r="E655" s="658" t="s">
        <v>2547</v>
      </c>
      <c r="F655" s="653"/>
      <c r="G655" s="654"/>
      <c r="H655" s="657">
        <v>90</v>
      </c>
      <c r="I655" s="657">
        <f t="shared" ref="I655" si="562">H655</f>
        <v>90</v>
      </c>
      <c r="J655" s="657"/>
      <c r="K655" s="657">
        <v>90</v>
      </c>
      <c r="L655" s="657">
        <f t="shared" ref="L655" si="563">K655-I655</f>
        <v>0</v>
      </c>
      <c r="M655" s="13"/>
    </row>
    <row r="656" spans="1:14">
      <c r="A656" s="658"/>
      <c r="B656" s="658"/>
      <c r="C656" s="658"/>
      <c r="D656" s="658"/>
      <c r="E656" s="658"/>
      <c r="F656" s="655"/>
      <c r="G656" s="656"/>
      <c r="H656" s="657"/>
      <c r="I656" s="657"/>
      <c r="J656" s="657"/>
      <c r="K656" s="657"/>
      <c r="L656" s="657"/>
      <c r="M656" s="13"/>
    </row>
    <row r="657" spans="1:13">
      <c r="A657" s="658" t="s">
        <v>366</v>
      </c>
      <c r="B657" s="658" t="s">
        <v>3195</v>
      </c>
      <c r="C657" s="658" t="s">
        <v>3202</v>
      </c>
      <c r="D657" s="658" t="s">
        <v>3200</v>
      </c>
      <c r="E657" s="658" t="s">
        <v>239</v>
      </c>
      <c r="F657" s="653"/>
      <c r="G657" s="654"/>
      <c r="H657" s="657">
        <v>45358</v>
      </c>
      <c r="I657" s="657">
        <v>1350</v>
      </c>
      <c r="J657" s="657"/>
      <c r="K657" s="657">
        <v>1350</v>
      </c>
      <c r="L657" s="657">
        <f t="shared" ref="L657" si="564">K657-I657</f>
        <v>0</v>
      </c>
      <c r="M657" s="13" t="s">
        <v>3229</v>
      </c>
    </row>
    <row r="658" spans="1:13">
      <c r="A658" s="658"/>
      <c r="B658" s="658"/>
      <c r="C658" s="658"/>
      <c r="D658" s="658"/>
      <c r="E658" s="658"/>
      <c r="F658" s="655"/>
      <c r="G658" s="656"/>
      <c r="H658" s="657"/>
      <c r="I658" s="657"/>
      <c r="J658" s="657"/>
      <c r="K658" s="657"/>
      <c r="L658" s="657"/>
      <c r="M658" s="13"/>
    </row>
    <row r="659" spans="1:13">
      <c r="A659" s="658"/>
      <c r="B659" s="658"/>
      <c r="C659" s="658" t="s">
        <v>811</v>
      </c>
      <c r="D659" s="658" t="s">
        <v>3196</v>
      </c>
      <c r="E659" s="658" t="s">
        <v>117</v>
      </c>
      <c r="F659" s="653"/>
      <c r="G659" s="654"/>
      <c r="H659" s="657">
        <v>110</v>
      </c>
      <c r="I659" s="657">
        <f t="shared" ref="I659" si="565">H659</f>
        <v>110</v>
      </c>
      <c r="J659" s="657"/>
      <c r="K659" s="657"/>
      <c r="L659" s="657">
        <f t="shared" ref="L659" si="566">K659-I659</f>
        <v>-110</v>
      </c>
      <c r="M659" s="13"/>
    </row>
    <row r="660" spans="1:13">
      <c r="A660" s="658"/>
      <c r="B660" s="658"/>
      <c r="C660" s="658"/>
      <c r="D660" s="658"/>
      <c r="E660" s="658"/>
      <c r="F660" s="655"/>
      <c r="G660" s="656"/>
      <c r="H660" s="657"/>
      <c r="I660" s="657"/>
      <c r="J660" s="657"/>
      <c r="K660" s="657"/>
      <c r="L660" s="657"/>
      <c r="M660" s="13"/>
    </row>
    <row r="661" spans="1:13">
      <c r="A661" s="658"/>
      <c r="B661" s="658"/>
      <c r="C661" s="658" t="s">
        <v>800</v>
      </c>
      <c r="D661" s="658" t="s">
        <v>3196</v>
      </c>
      <c r="E661" s="658" t="s">
        <v>2517</v>
      </c>
      <c r="F661" s="653"/>
      <c r="G661" s="654"/>
      <c r="H661" s="657">
        <v>150</v>
      </c>
      <c r="I661" s="657">
        <f t="shared" ref="I661" si="567">H661</f>
        <v>150</v>
      </c>
      <c r="J661" s="657"/>
      <c r="K661" s="657">
        <v>150</v>
      </c>
      <c r="L661" s="657">
        <f t="shared" ref="L661" si="568">K661-I661</f>
        <v>0</v>
      </c>
      <c r="M661" s="13"/>
    </row>
    <row r="662" spans="1:13">
      <c r="A662" s="658"/>
      <c r="B662" s="658"/>
      <c r="C662" s="658"/>
      <c r="D662" s="658"/>
      <c r="E662" s="658"/>
      <c r="F662" s="655"/>
      <c r="G662" s="656"/>
      <c r="H662" s="657"/>
      <c r="I662" s="657"/>
      <c r="J662" s="657"/>
      <c r="K662" s="657"/>
      <c r="L662" s="657"/>
      <c r="M662" s="13"/>
    </row>
    <row r="663" spans="1:13">
      <c r="A663" s="658"/>
      <c r="B663" s="658"/>
      <c r="C663" s="658" t="s">
        <v>812</v>
      </c>
      <c r="D663" s="658" t="s">
        <v>3196</v>
      </c>
      <c r="E663" s="658" t="s">
        <v>2547</v>
      </c>
      <c r="F663" s="653"/>
      <c r="G663" s="654"/>
      <c r="H663" s="657">
        <v>400</v>
      </c>
      <c r="I663" s="657">
        <f t="shared" ref="I663" si="569">H663</f>
        <v>400</v>
      </c>
      <c r="J663" s="657"/>
      <c r="K663" s="657">
        <v>400</v>
      </c>
      <c r="L663" s="657">
        <f t="shared" ref="L663" si="570">K663-I663</f>
        <v>0</v>
      </c>
      <c r="M663" s="13"/>
    </row>
    <row r="664" spans="1:13">
      <c r="A664" s="658"/>
      <c r="B664" s="658"/>
      <c r="C664" s="658"/>
      <c r="D664" s="658"/>
      <c r="E664" s="658"/>
      <c r="F664" s="655"/>
      <c r="G664" s="656"/>
      <c r="H664" s="657"/>
      <c r="I664" s="657"/>
      <c r="J664" s="657"/>
      <c r="K664" s="657"/>
      <c r="L664" s="657"/>
      <c r="M664" s="13"/>
    </row>
    <row r="665" spans="1:13">
      <c r="A665" s="658" t="s">
        <v>367</v>
      </c>
      <c r="B665" s="658" t="s">
        <v>2969</v>
      </c>
      <c r="C665" s="658" t="s">
        <v>3201</v>
      </c>
      <c r="D665" s="658" t="s">
        <v>3200</v>
      </c>
      <c r="E665" s="658" t="s">
        <v>239</v>
      </c>
      <c r="F665" s="653"/>
      <c r="G665" s="654"/>
      <c r="H665" s="657">
        <v>1400</v>
      </c>
      <c r="I665" s="657">
        <v>1400</v>
      </c>
      <c r="J665" s="657"/>
      <c r="K665" s="657">
        <v>1400</v>
      </c>
      <c r="L665" s="657">
        <f t="shared" ref="L665" si="571">K665-I665</f>
        <v>0</v>
      </c>
      <c r="M665" s="13"/>
    </row>
    <row r="666" spans="1:13">
      <c r="A666" s="658"/>
      <c r="B666" s="658"/>
      <c r="C666" s="658"/>
      <c r="D666" s="658"/>
      <c r="E666" s="658"/>
      <c r="F666" s="655"/>
      <c r="G666" s="656"/>
      <c r="H666" s="657"/>
      <c r="I666" s="657"/>
      <c r="J666" s="657"/>
      <c r="K666" s="657"/>
      <c r="L666" s="657"/>
      <c r="M666" s="13"/>
    </row>
    <row r="667" spans="1:13">
      <c r="A667" s="658"/>
      <c r="B667" s="658"/>
      <c r="C667" s="658" t="s">
        <v>820</v>
      </c>
      <c r="D667" s="658" t="s">
        <v>3196</v>
      </c>
      <c r="E667" s="658" t="s">
        <v>3187</v>
      </c>
      <c r="F667" s="653"/>
      <c r="G667" s="654"/>
      <c r="H667" s="657">
        <v>330</v>
      </c>
      <c r="I667" s="657">
        <f t="shared" ref="I667" si="572">H667</f>
        <v>330</v>
      </c>
      <c r="J667" s="657"/>
      <c r="K667" s="657">
        <v>330</v>
      </c>
      <c r="L667" s="657">
        <f t="shared" ref="L667" si="573">K667-I667</f>
        <v>0</v>
      </c>
      <c r="M667" s="13"/>
    </row>
    <row r="668" spans="1:13">
      <c r="A668" s="658"/>
      <c r="B668" s="658"/>
      <c r="C668" s="658"/>
      <c r="D668" s="658"/>
      <c r="E668" s="658"/>
      <c r="F668" s="655"/>
      <c r="G668" s="656"/>
      <c r="H668" s="657"/>
      <c r="I668" s="657"/>
      <c r="J668" s="657"/>
      <c r="K668" s="657"/>
      <c r="L668" s="657"/>
      <c r="M668" s="13"/>
    </row>
    <row r="669" spans="1:13">
      <c r="A669" s="658"/>
      <c r="B669" s="658"/>
      <c r="C669" s="658" t="s">
        <v>801</v>
      </c>
      <c r="D669" s="658" t="s">
        <v>3196</v>
      </c>
      <c r="E669" s="658" t="s">
        <v>2376</v>
      </c>
      <c r="F669" s="653"/>
      <c r="G669" s="654"/>
      <c r="H669" s="657">
        <v>100</v>
      </c>
      <c r="I669" s="657">
        <f t="shared" ref="I669" si="574">H669</f>
        <v>100</v>
      </c>
      <c r="J669" s="657"/>
      <c r="K669" s="657">
        <v>100</v>
      </c>
      <c r="L669" s="657">
        <f t="shared" ref="L669" si="575">K669-I669</f>
        <v>0</v>
      </c>
      <c r="M669" s="13"/>
    </row>
    <row r="670" spans="1:13">
      <c r="A670" s="658"/>
      <c r="B670" s="658"/>
      <c r="C670" s="658"/>
      <c r="D670" s="658"/>
      <c r="E670" s="658"/>
      <c r="F670" s="655"/>
      <c r="G670" s="656"/>
      <c r="H670" s="657"/>
      <c r="I670" s="657"/>
      <c r="J670" s="657"/>
      <c r="K670" s="657"/>
      <c r="L670" s="657"/>
      <c r="M670" s="13"/>
    </row>
    <row r="671" spans="1:13">
      <c r="A671" s="658"/>
      <c r="B671" s="658"/>
      <c r="C671" s="658" t="s">
        <v>813</v>
      </c>
      <c r="D671" s="658" t="s">
        <v>3196</v>
      </c>
      <c r="E671" s="658" t="s">
        <v>1601</v>
      </c>
      <c r="F671" s="653"/>
      <c r="G671" s="654"/>
      <c r="H671" s="657">
        <v>470</v>
      </c>
      <c r="I671" s="657">
        <f t="shared" ref="I671" si="576">H671</f>
        <v>470</v>
      </c>
      <c r="J671" s="657"/>
      <c r="K671" s="657">
        <v>470</v>
      </c>
      <c r="L671" s="657">
        <f t="shared" ref="L671" si="577">K671-I671</f>
        <v>0</v>
      </c>
      <c r="M671" s="13"/>
    </row>
    <row r="672" spans="1:13">
      <c r="A672" s="658"/>
      <c r="B672" s="658"/>
      <c r="C672" s="658"/>
      <c r="D672" s="658"/>
      <c r="E672" s="658"/>
      <c r="F672" s="655"/>
      <c r="G672" s="656"/>
      <c r="H672" s="657"/>
      <c r="I672" s="657"/>
      <c r="J672" s="657"/>
      <c r="K672" s="657"/>
      <c r="L672" s="657"/>
      <c r="M672" s="13"/>
    </row>
    <row r="673" spans="1:13">
      <c r="A673" s="658" t="s">
        <v>1321</v>
      </c>
      <c r="B673" s="658" t="s">
        <v>3176</v>
      </c>
      <c r="C673" s="658" t="s">
        <v>3209</v>
      </c>
      <c r="D673" s="658" t="s">
        <v>3196</v>
      </c>
      <c r="E673" s="658" t="s">
        <v>239</v>
      </c>
      <c r="F673" s="653"/>
      <c r="G673" s="654"/>
      <c r="H673" s="657">
        <v>44681</v>
      </c>
      <c r="I673" s="657">
        <v>1350</v>
      </c>
      <c r="J673" s="657"/>
      <c r="K673" s="657">
        <v>44681</v>
      </c>
      <c r="L673" s="657">
        <f t="shared" ref="L673" si="578">K673-I673</f>
        <v>43331</v>
      </c>
      <c r="M673" s="13"/>
    </row>
    <row r="674" spans="1:13">
      <c r="A674" s="658"/>
      <c r="B674" s="658"/>
      <c r="C674" s="658"/>
      <c r="D674" s="658"/>
      <c r="E674" s="658"/>
      <c r="F674" s="655"/>
      <c r="G674" s="656"/>
      <c r="H674" s="657"/>
      <c r="I674" s="657"/>
      <c r="J674" s="657"/>
      <c r="K674" s="657"/>
      <c r="L674" s="657"/>
      <c r="M674" s="13"/>
    </row>
    <row r="675" spans="1:13">
      <c r="A675" s="658"/>
      <c r="B675" s="658"/>
      <c r="C675" s="658" t="s">
        <v>821</v>
      </c>
      <c r="D675" s="658" t="s">
        <v>3205</v>
      </c>
      <c r="E675" s="658" t="s">
        <v>2723</v>
      </c>
      <c r="F675" s="653"/>
      <c r="G675" s="654"/>
      <c r="H675" s="657">
        <v>450</v>
      </c>
      <c r="I675" s="657">
        <f t="shared" ref="I675" si="579">H675</f>
        <v>450</v>
      </c>
      <c r="J675" s="657"/>
      <c r="K675" s="657">
        <v>450</v>
      </c>
      <c r="L675" s="657">
        <f t="shared" ref="L675" si="580">K675-I675</f>
        <v>0</v>
      </c>
      <c r="M675" s="13"/>
    </row>
    <row r="676" spans="1:13">
      <c r="A676" s="658"/>
      <c r="B676" s="658"/>
      <c r="C676" s="658"/>
      <c r="D676" s="658"/>
      <c r="E676" s="658"/>
      <c r="F676" s="655"/>
      <c r="G676" s="656"/>
      <c r="H676" s="657"/>
      <c r="I676" s="657"/>
      <c r="J676" s="657"/>
      <c r="K676" s="657"/>
      <c r="L676" s="657"/>
      <c r="M676" s="13"/>
    </row>
    <row r="677" spans="1:13">
      <c r="A677" s="658"/>
      <c r="B677" s="658"/>
      <c r="C677" s="658" t="s">
        <v>824</v>
      </c>
      <c r="D677" s="658" t="s">
        <v>3205</v>
      </c>
      <c r="E677" s="658" t="s">
        <v>3203</v>
      </c>
      <c r="F677" s="653"/>
      <c r="G677" s="654"/>
      <c r="H677" s="657">
        <v>285</v>
      </c>
      <c r="I677" s="657">
        <f t="shared" ref="I677" si="581">H677</f>
        <v>285</v>
      </c>
      <c r="J677" s="657"/>
      <c r="K677" s="657">
        <v>285</v>
      </c>
      <c r="L677" s="657">
        <f t="shared" ref="L677" si="582">K677-I677</f>
        <v>0</v>
      </c>
      <c r="M677" s="13"/>
    </row>
    <row r="678" spans="1:13">
      <c r="A678" s="658"/>
      <c r="B678" s="658"/>
      <c r="C678" s="658"/>
      <c r="D678" s="658"/>
      <c r="E678" s="658"/>
      <c r="F678" s="655"/>
      <c r="G678" s="656"/>
      <c r="H678" s="657"/>
      <c r="I678" s="657"/>
      <c r="J678" s="657"/>
      <c r="K678" s="657"/>
      <c r="L678" s="657"/>
      <c r="M678" s="13"/>
    </row>
    <row r="679" spans="1:13">
      <c r="A679" s="658"/>
      <c r="B679" s="658"/>
      <c r="C679" s="658" t="s">
        <v>826</v>
      </c>
      <c r="D679" s="658" t="s">
        <v>3205</v>
      </c>
      <c r="E679" s="658" t="s">
        <v>3204</v>
      </c>
      <c r="F679" s="653"/>
      <c r="G679" s="654"/>
      <c r="H679" s="657">
        <v>370</v>
      </c>
      <c r="I679" s="657">
        <f t="shared" ref="I679" si="583">H679</f>
        <v>370</v>
      </c>
      <c r="J679" s="657"/>
      <c r="K679" s="657">
        <v>370</v>
      </c>
      <c r="L679" s="657">
        <f t="shared" ref="L679" si="584">K679-I679</f>
        <v>0</v>
      </c>
      <c r="M679" s="13"/>
    </row>
    <row r="680" spans="1:13">
      <c r="A680" s="658"/>
      <c r="B680" s="658"/>
      <c r="C680" s="658"/>
      <c r="D680" s="658"/>
      <c r="E680" s="658"/>
      <c r="F680" s="655"/>
      <c r="G680" s="656"/>
      <c r="H680" s="657"/>
      <c r="I680" s="657"/>
      <c r="J680" s="657"/>
      <c r="K680" s="657"/>
      <c r="L680" s="657"/>
      <c r="M680" s="13"/>
    </row>
    <row r="681" spans="1:13">
      <c r="A681" s="658" t="s">
        <v>369</v>
      </c>
      <c r="B681" s="658" t="s">
        <v>3098</v>
      </c>
      <c r="C681" s="658" t="s">
        <v>3211</v>
      </c>
      <c r="D681" s="658" t="s">
        <v>3210</v>
      </c>
      <c r="E681" s="658" t="s">
        <v>239</v>
      </c>
      <c r="F681" s="653"/>
      <c r="G681" s="654"/>
      <c r="H681" s="657">
        <v>1350</v>
      </c>
      <c r="I681" s="657">
        <v>1350</v>
      </c>
      <c r="J681" s="657"/>
      <c r="K681" s="657">
        <v>1350</v>
      </c>
      <c r="L681" s="657">
        <f t="shared" ref="L681" si="585">K681-I681</f>
        <v>0</v>
      </c>
      <c r="M681" s="13"/>
    </row>
    <row r="682" spans="1:13">
      <c r="A682" s="658"/>
      <c r="B682" s="658"/>
      <c r="C682" s="658"/>
      <c r="D682" s="658"/>
      <c r="E682" s="658"/>
      <c r="F682" s="655"/>
      <c r="G682" s="656"/>
      <c r="H682" s="657"/>
      <c r="I682" s="657"/>
      <c r="J682" s="657"/>
      <c r="K682" s="657"/>
      <c r="L682" s="657"/>
      <c r="M682" s="13"/>
    </row>
    <row r="683" spans="1:13">
      <c r="A683" s="658"/>
      <c r="B683" s="658"/>
      <c r="C683" s="658" t="s">
        <v>833</v>
      </c>
      <c r="D683" s="658" t="s">
        <v>3207</v>
      </c>
      <c r="E683" s="658" t="s">
        <v>2723</v>
      </c>
      <c r="F683" s="653"/>
      <c r="G683" s="654"/>
      <c r="H683" s="657">
        <v>380</v>
      </c>
      <c r="I683" s="657">
        <f t="shared" ref="I683" si="586">H683</f>
        <v>380</v>
      </c>
      <c r="J683" s="657"/>
      <c r="K683" s="657">
        <v>380</v>
      </c>
      <c r="L683" s="657">
        <f t="shared" ref="L683" si="587">K683-I683</f>
        <v>0</v>
      </c>
      <c r="M683" s="13"/>
    </row>
    <row r="684" spans="1:13">
      <c r="A684" s="658"/>
      <c r="B684" s="658"/>
      <c r="C684" s="658"/>
      <c r="D684" s="658"/>
      <c r="E684" s="658"/>
      <c r="F684" s="655"/>
      <c r="G684" s="656"/>
      <c r="H684" s="657"/>
      <c r="I684" s="657"/>
      <c r="J684" s="657"/>
      <c r="K684" s="657"/>
      <c r="L684" s="657"/>
      <c r="M684" s="13"/>
    </row>
    <row r="685" spans="1:13">
      <c r="A685" s="658"/>
      <c r="B685" s="658"/>
      <c r="C685" s="658" t="s">
        <v>841</v>
      </c>
      <c r="D685" s="658" t="s">
        <v>3207</v>
      </c>
      <c r="E685" s="658" t="s">
        <v>2190</v>
      </c>
      <c r="F685" s="653"/>
      <c r="G685" s="654"/>
      <c r="H685" s="657">
        <v>350</v>
      </c>
      <c r="I685" s="657">
        <f t="shared" ref="I685" si="588">H685</f>
        <v>350</v>
      </c>
      <c r="J685" s="657"/>
      <c r="K685" s="657">
        <v>350</v>
      </c>
      <c r="L685" s="657">
        <f t="shared" ref="L685" si="589">K685-I685</f>
        <v>0</v>
      </c>
      <c r="M685" s="13"/>
    </row>
    <row r="686" spans="1:13">
      <c r="A686" s="658"/>
      <c r="B686" s="658"/>
      <c r="C686" s="658"/>
      <c r="D686" s="658"/>
      <c r="E686" s="658"/>
      <c r="F686" s="655"/>
      <c r="G686" s="656"/>
      <c r="H686" s="657"/>
      <c r="I686" s="657"/>
      <c r="J686" s="657"/>
      <c r="K686" s="657"/>
      <c r="L686" s="657"/>
      <c r="M686" s="13"/>
    </row>
    <row r="687" spans="1:13">
      <c r="A687" s="658"/>
      <c r="B687" s="658"/>
      <c r="C687" s="658" t="s">
        <v>842</v>
      </c>
      <c r="D687" s="658" t="s">
        <v>3207</v>
      </c>
      <c r="E687" s="658" t="s">
        <v>3206</v>
      </c>
      <c r="F687" s="653"/>
      <c r="G687" s="654"/>
      <c r="H687" s="657">
        <v>400</v>
      </c>
      <c r="I687" s="657">
        <f t="shared" ref="I687" si="590">H687</f>
        <v>400</v>
      </c>
      <c r="J687" s="657"/>
      <c r="K687" s="657">
        <v>400</v>
      </c>
      <c r="L687" s="657">
        <f t="shared" ref="L687" si="591">K687-I687</f>
        <v>0</v>
      </c>
      <c r="M687" s="13"/>
    </row>
    <row r="688" spans="1:13">
      <c r="A688" s="658"/>
      <c r="B688" s="658"/>
      <c r="C688" s="658"/>
      <c r="D688" s="658"/>
      <c r="E688" s="658"/>
      <c r="F688" s="655"/>
      <c r="G688" s="656"/>
      <c r="H688" s="657"/>
      <c r="I688" s="657"/>
      <c r="J688" s="657"/>
      <c r="K688" s="657"/>
      <c r="L688" s="657"/>
      <c r="M688" s="13"/>
    </row>
    <row r="689" spans="1:13">
      <c r="A689" s="658" t="s">
        <v>371</v>
      </c>
      <c r="B689" s="658" t="s">
        <v>2969</v>
      </c>
      <c r="C689" s="658" t="s">
        <v>3213</v>
      </c>
      <c r="D689" s="658" t="s">
        <v>3212</v>
      </c>
      <c r="E689" s="658" t="s">
        <v>239</v>
      </c>
      <c r="F689" s="653"/>
      <c r="G689" s="654"/>
      <c r="H689" s="657">
        <v>44499</v>
      </c>
      <c r="I689" s="657">
        <v>1350</v>
      </c>
      <c r="J689" s="657"/>
      <c r="K689" s="657">
        <v>1350</v>
      </c>
      <c r="L689" s="657">
        <f t="shared" ref="L689" si="592">K689-I689</f>
        <v>0</v>
      </c>
      <c r="M689" s="13"/>
    </row>
    <row r="690" spans="1:13">
      <c r="A690" s="658"/>
      <c r="B690" s="658"/>
      <c r="C690" s="658"/>
      <c r="D690" s="658"/>
      <c r="E690" s="658"/>
      <c r="F690" s="655"/>
      <c r="G690" s="656"/>
      <c r="H690" s="657"/>
      <c r="I690" s="657"/>
      <c r="J690" s="657"/>
      <c r="K690" s="657"/>
      <c r="L690" s="657"/>
      <c r="M690" s="13"/>
    </row>
    <row r="691" spans="1:13">
      <c r="A691" s="658"/>
      <c r="B691" s="658"/>
      <c r="C691" s="658" t="s">
        <v>1642</v>
      </c>
      <c r="D691" s="658" t="s">
        <v>3207</v>
      </c>
      <c r="E691" s="658" t="s">
        <v>3174</v>
      </c>
      <c r="F691" s="653"/>
      <c r="G691" s="654"/>
      <c r="H691" s="657">
        <v>400</v>
      </c>
      <c r="I691" s="657">
        <f t="shared" ref="I691" si="593">H691</f>
        <v>400</v>
      </c>
      <c r="J691" s="657"/>
      <c r="K691" s="657">
        <v>400</v>
      </c>
      <c r="L691" s="657">
        <f t="shared" ref="L691" si="594">K691-I691</f>
        <v>0</v>
      </c>
      <c r="M691" s="13"/>
    </row>
    <row r="692" spans="1:13">
      <c r="A692" s="658"/>
      <c r="B692" s="658"/>
      <c r="C692" s="658"/>
      <c r="D692" s="658"/>
      <c r="E692" s="658"/>
      <c r="F692" s="655"/>
      <c r="G692" s="656"/>
      <c r="H692" s="657"/>
      <c r="I692" s="657"/>
      <c r="J692" s="657"/>
      <c r="K692" s="657"/>
      <c r="L692" s="657"/>
      <c r="M692" s="13"/>
    </row>
    <row r="693" spans="1:13">
      <c r="A693" s="658"/>
      <c r="B693" s="658"/>
      <c r="C693" s="658" t="s">
        <v>843</v>
      </c>
      <c r="D693" s="658" t="s">
        <v>3207</v>
      </c>
      <c r="E693" s="658" t="s">
        <v>2375</v>
      </c>
      <c r="F693" s="653"/>
      <c r="G693" s="654"/>
      <c r="H693" s="657">
        <v>100</v>
      </c>
      <c r="I693" s="657">
        <f t="shared" ref="I693" si="595">H693</f>
        <v>100</v>
      </c>
      <c r="J693" s="657"/>
      <c r="K693" s="657">
        <v>100</v>
      </c>
      <c r="L693" s="657">
        <f t="shared" ref="L693" si="596">K693-I693</f>
        <v>0</v>
      </c>
      <c r="M693" s="13"/>
    </row>
    <row r="694" spans="1:13">
      <c r="A694" s="658"/>
      <c r="B694" s="658"/>
      <c r="C694" s="658"/>
      <c r="D694" s="658"/>
      <c r="E694" s="658"/>
      <c r="F694" s="655"/>
      <c r="G694" s="656"/>
      <c r="H694" s="657"/>
      <c r="I694" s="657"/>
      <c r="J694" s="657"/>
      <c r="K694" s="657"/>
      <c r="L694" s="657"/>
      <c r="M694" s="13"/>
    </row>
    <row r="695" spans="1:13">
      <c r="A695" s="658"/>
      <c r="B695" s="658"/>
      <c r="C695" s="658" t="s">
        <v>844</v>
      </c>
      <c r="D695" s="658" t="s">
        <v>3207</v>
      </c>
      <c r="E695" s="658" t="s">
        <v>2723</v>
      </c>
      <c r="F695" s="653"/>
      <c r="G695" s="654"/>
      <c r="H695" s="657">
        <v>400</v>
      </c>
      <c r="I695" s="657">
        <f t="shared" ref="I695" si="597">H695</f>
        <v>400</v>
      </c>
      <c r="J695" s="657"/>
      <c r="K695" s="657">
        <v>400</v>
      </c>
      <c r="L695" s="657">
        <f t="shared" ref="L695" si="598">K695-I695</f>
        <v>0</v>
      </c>
      <c r="M695" s="13"/>
    </row>
    <row r="696" spans="1:13">
      <c r="A696" s="658"/>
      <c r="B696" s="658"/>
      <c r="C696" s="658"/>
      <c r="D696" s="658"/>
      <c r="E696" s="658"/>
      <c r="F696" s="655"/>
      <c r="G696" s="656"/>
      <c r="H696" s="657"/>
      <c r="I696" s="657"/>
      <c r="J696" s="657"/>
      <c r="K696" s="657"/>
      <c r="L696" s="657"/>
      <c r="M696" s="13"/>
    </row>
    <row r="697" spans="1:13">
      <c r="A697" s="658" t="s">
        <v>375</v>
      </c>
      <c r="B697" s="658" t="s">
        <v>2983</v>
      </c>
      <c r="C697" s="658" t="s">
        <v>3214</v>
      </c>
      <c r="D697" s="658" t="s">
        <v>3205</v>
      </c>
      <c r="E697" s="658" t="s">
        <v>239</v>
      </c>
      <c r="F697" s="653"/>
      <c r="G697" s="654"/>
      <c r="H697" s="657">
        <v>1350</v>
      </c>
      <c r="I697" s="657">
        <v>1350</v>
      </c>
      <c r="J697" s="657"/>
      <c r="K697" s="657"/>
      <c r="L697" s="657">
        <f t="shared" ref="L697" si="599">K697-I697</f>
        <v>-1350</v>
      </c>
      <c r="M697" s="13"/>
    </row>
    <row r="698" spans="1:13">
      <c r="A698" s="658"/>
      <c r="B698" s="658"/>
      <c r="C698" s="658"/>
      <c r="D698" s="658"/>
      <c r="E698" s="658"/>
      <c r="F698" s="655"/>
      <c r="G698" s="656"/>
      <c r="H698" s="657"/>
      <c r="I698" s="657"/>
      <c r="J698" s="657"/>
      <c r="K698" s="657"/>
      <c r="L698" s="657"/>
      <c r="M698" s="13"/>
    </row>
    <row r="699" spans="1:13">
      <c r="A699" s="658"/>
      <c r="B699" s="658"/>
      <c r="C699" s="658" t="s">
        <v>845</v>
      </c>
      <c r="D699" s="658" t="s">
        <v>3207</v>
      </c>
      <c r="E699" s="658" t="s">
        <v>117</v>
      </c>
      <c r="F699" s="653"/>
      <c r="G699" s="654"/>
      <c r="H699" s="657">
        <v>110</v>
      </c>
      <c r="I699" s="657">
        <f t="shared" ref="I699" si="600">H699</f>
        <v>110</v>
      </c>
      <c r="J699" s="657"/>
      <c r="K699" s="657"/>
      <c r="L699" s="657">
        <f t="shared" ref="L699" si="601">K699-I699</f>
        <v>-110</v>
      </c>
      <c r="M699" s="13"/>
    </row>
    <row r="700" spans="1:13">
      <c r="A700" s="658"/>
      <c r="B700" s="658"/>
      <c r="C700" s="658"/>
      <c r="D700" s="658"/>
      <c r="E700" s="658"/>
      <c r="F700" s="655"/>
      <c r="G700" s="656"/>
      <c r="H700" s="657"/>
      <c r="I700" s="657"/>
      <c r="J700" s="657"/>
      <c r="K700" s="657"/>
      <c r="L700" s="657"/>
      <c r="M700" s="13"/>
    </row>
    <row r="701" spans="1:13">
      <c r="A701" s="658"/>
      <c r="B701" s="658"/>
      <c r="C701" s="658" t="s">
        <v>851</v>
      </c>
      <c r="D701" s="658" t="s">
        <v>3207</v>
      </c>
      <c r="E701" s="658" t="s">
        <v>1601</v>
      </c>
      <c r="F701" s="653"/>
      <c r="G701" s="654"/>
      <c r="H701" s="657">
        <v>900</v>
      </c>
      <c r="I701" s="657">
        <f t="shared" ref="I701" si="602">H701</f>
        <v>900</v>
      </c>
      <c r="J701" s="657"/>
      <c r="K701" s="657">
        <v>900</v>
      </c>
      <c r="L701" s="657">
        <f t="shared" ref="L701" si="603">K701-I701</f>
        <v>0</v>
      </c>
      <c r="M701" s="13"/>
    </row>
    <row r="702" spans="1:13">
      <c r="A702" s="658"/>
      <c r="B702" s="658"/>
      <c r="C702" s="658"/>
      <c r="D702" s="658"/>
      <c r="E702" s="658"/>
      <c r="F702" s="655"/>
      <c r="G702" s="656"/>
      <c r="H702" s="657"/>
      <c r="I702" s="657"/>
      <c r="J702" s="657"/>
      <c r="K702" s="657"/>
      <c r="L702" s="657"/>
      <c r="M702" s="13"/>
    </row>
    <row r="703" spans="1:13">
      <c r="A703" s="658" t="s">
        <v>399</v>
      </c>
      <c r="B703" s="658" t="s">
        <v>3176</v>
      </c>
      <c r="C703" s="658" t="s">
        <v>3220</v>
      </c>
      <c r="D703" s="658" t="s">
        <v>3207</v>
      </c>
      <c r="E703" s="658" t="s">
        <v>239</v>
      </c>
      <c r="F703" s="653"/>
      <c r="G703" s="654"/>
      <c r="H703" s="657">
        <v>44560</v>
      </c>
      <c r="I703" s="657">
        <v>1350</v>
      </c>
      <c r="J703" s="657"/>
      <c r="K703" s="657">
        <v>1350</v>
      </c>
      <c r="L703" s="657">
        <f t="shared" ref="L703" si="604">K703-I703</f>
        <v>0</v>
      </c>
      <c r="M703" s="13"/>
    </row>
    <row r="704" spans="1:13">
      <c r="A704" s="658"/>
      <c r="B704" s="658"/>
      <c r="C704" s="658"/>
      <c r="D704" s="658"/>
      <c r="E704" s="658"/>
      <c r="F704" s="655"/>
      <c r="G704" s="656"/>
      <c r="H704" s="657"/>
      <c r="I704" s="657"/>
      <c r="J704" s="657"/>
      <c r="K704" s="657"/>
      <c r="L704" s="657"/>
      <c r="M704" s="13"/>
    </row>
    <row r="705" spans="1:13">
      <c r="A705" s="658"/>
      <c r="B705" s="658"/>
      <c r="C705" s="658" t="s">
        <v>855</v>
      </c>
      <c r="D705" s="658" t="s">
        <v>3215</v>
      </c>
      <c r="E705" s="658" t="s">
        <v>1140</v>
      </c>
      <c r="F705" s="653"/>
      <c r="G705" s="654"/>
      <c r="H705" s="657">
        <v>400</v>
      </c>
      <c r="I705" s="657">
        <v>400</v>
      </c>
      <c r="J705" s="657"/>
      <c r="K705" s="657">
        <v>400</v>
      </c>
      <c r="L705" s="657">
        <f t="shared" ref="L705" si="605">K705-I705</f>
        <v>0</v>
      </c>
      <c r="M705" s="13"/>
    </row>
    <row r="706" spans="1:13">
      <c r="A706" s="658"/>
      <c r="B706" s="658"/>
      <c r="C706" s="658"/>
      <c r="D706" s="658"/>
      <c r="E706" s="658"/>
      <c r="F706" s="655"/>
      <c r="G706" s="656"/>
      <c r="H706" s="657"/>
      <c r="I706" s="657"/>
      <c r="J706" s="657"/>
      <c r="K706" s="657"/>
      <c r="L706" s="657"/>
      <c r="M706" s="13"/>
    </row>
    <row r="707" spans="1:13">
      <c r="A707" s="658"/>
      <c r="B707" s="658"/>
      <c r="C707" s="658" t="s">
        <v>867</v>
      </c>
      <c r="D707" s="658" t="s">
        <v>3215</v>
      </c>
      <c r="E707" s="658" t="s">
        <v>3216</v>
      </c>
      <c r="F707" s="653"/>
      <c r="G707" s="654"/>
      <c r="H707" s="657">
        <v>360</v>
      </c>
      <c r="I707" s="657">
        <f t="shared" ref="I707" si="606">H707</f>
        <v>360</v>
      </c>
      <c r="J707" s="657"/>
      <c r="K707" s="657">
        <v>360</v>
      </c>
      <c r="L707" s="657">
        <f t="shared" ref="L707" si="607">K707-I707</f>
        <v>0</v>
      </c>
      <c r="M707" s="13"/>
    </row>
    <row r="708" spans="1:13">
      <c r="A708" s="658"/>
      <c r="B708" s="658"/>
      <c r="C708" s="658"/>
      <c r="D708" s="658"/>
      <c r="E708" s="658"/>
      <c r="F708" s="655"/>
      <c r="G708" s="656"/>
      <c r="H708" s="657"/>
      <c r="I708" s="657"/>
      <c r="J708" s="657"/>
      <c r="K708" s="657"/>
      <c r="L708" s="657"/>
      <c r="M708" s="13"/>
    </row>
    <row r="709" spans="1:13">
      <c r="A709" s="658"/>
      <c r="B709" s="658"/>
      <c r="C709" s="658" t="s">
        <v>868</v>
      </c>
      <c r="D709" s="658" t="s">
        <v>3215</v>
      </c>
      <c r="E709" s="658" t="s">
        <v>1144</v>
      </c>
      <c r="F709" s="653"/>
      <c r="G709" s="654"/>
      <c r="H709" s="657">
        <v>280</v>
      </c>
      <c r="I709" s="657">
        <f t="shared" ref="I709" si="608">H709</f>
        <v>280</v>
      </c>
      <c r="J709" s="657"/>
      <c r="K709" s="657">
        <v>280</v>
      </c>
      <c r="L709" s="657">
        <f t="shared" ref="L709" si="609">K709-I709</f>
        <v>0</v>
      </c>
      <c r="M709" s="13"/>
    </row>
    <row r="710" spans="1:13">
      <c r="A710" s="658"/>
      <c r="B710" s="658"/>
      <c r="C710" s="658"/>
      <c r="D710" s="658"/>
      <c r="E710" s="658"/>
      <c r="F710" s="655"/>
      <c r="G710" s="656"/>
      <c r="H710" s="657"/>
      <c r="I710" s="657"/>
      <c r="J710" s="657"/>
      <c r="K710" s="657"/>
      <c r="L710" s="657"/>
      <c r="M710" s="13"/>
    </row>
    <row r="711" spans="1:13">
      <c r="A711" s="658" t="s">
        <v>403</v>
      </c>
      <c r="B711" s="658" t="s">
        <v>2983</v>
      </c>
      <c r="C711" s="658" t="s">
        <v>3222</v>
      </c>
      <c r="D711" s="658" t="s">
        <v>3221</v>
      </c>
      <c r="E711" s="658" t="s">
        <v>239</v>
      </c>
      <c r="F711" s="653"/>
      <c r="G711" s="654"/>
      <c r="H711" s="657">
        <v>1350</v>
      </c>
      <c r="I711" s="657">
        <f t="shared" ref="I711" si="610">H711</f>
        <v>1350</v>
      </c>
      <c r="J711" s="657"/>
      <c r="K711" s="657">
        <v>1350</v>
      </c>
      <c r="L711" s="657">
        <f t="shared" ref="L711" si="611">K711-I711</f>
        <v>0</v>
      </c>
      <c r="M711" s="13"/>
    </row>
    <row r="712" spans="1:13">
      <c r="A712" s="658"/>
      <c r="B712" s="658"/>
      <c r="C712" s="658"/>
      <c r="D712" s="658"/>
      <c r="E712" s="658"/>
      <c r="F712" s="655"/>
      <c r="G712" s="656"/>
      <c r="H712" s="657"/>
      <c r="I712" s="657"/>
      <c r="J712" s="657"/>
      <c r="K712" s="657"/>
      <c r="L712" s="657"/>
      <c r="M712" s="13"/>
    </row>
    <row r="713" spans="1:13">
      <c r="A713" s="658"/>
      <c r="B713" s="658"/>
      <c r="C713" s="658" t="s">
        <v>877</v>
      </c>
      <c r="D713" s="658" t="s">
        <v>3219</v>
      </c>
      <c r="E713" s="658" t="s">
        <v>3217</v>
      </c>
      <c r="F713" s="653"/>
      <c r="G713" s="654"/>
      <c r="H713" s="657">
        <v>300</v>
      </c>
      <c r="I713" s="657">
        <f t="shared" ref="I713" si="612">H713</f>
        <v>300</v>
      </c>
      <c r="J713" s="657"/>
      <c r="K713" s="657">
        <v>300</v>
      </c>
      <c r="L713" s="657">
        <f t="shared" ref="L713" si="613">K713-I713</f>
        <v>0</v>
      </c>
      <c r="M713" s="13"/>
    </row>
    <row r="714" spans="1:13">
      <c r="A714" s="658"/>
      <c r="B714" s="658"/>
      <c r="C714" s="658"/>
      <c r="D714" s="658"/>
      <c r="E714" s="658"/>
      <c r="F714" s="655"/>
      <c r="G714" s="656"/>
      <c r="H714" s="657"/>
      <c r="I714" s="657"/>
      <c r="J714" s="657"/>
      <c r="K714" s="657"/>
      <c r="L714" s="657"/>
      <c r="M714" s="13"/>
    </row>
    <row r="715" spans="1:13">
      <c r="A715" s="658"/>
      <c r="B715" s="658"/>
      <c r="C715" s="658" t="s">
        <v>878</v>
      </c>
      <c r="D715" s="658" t="s">
        <v>3219</v>
      </c>
      <c r="E715" s="658" t="s">
        <v>2723</v>
      </c>
      <c r="F715" s="653"/>
      <c r="G715" s="654"/>
      <c r="H715" s="657">
        <v>550</v>
      </c>
      <c r="I715" s="657">
        <f t="shared" ref="I715" si="614">H715</f>
        <v>550</v>
      </c>
      <c r="J715" s="657"/>
      <c r="K715" s="657">
        <v>550</v>
      </c>
      <c r="L715" s="657">
        <f t="shared" ref="L715" si="615">K715-I715</f>
        <v>0</v>
      </c>
      <c r="M715" s="13"/>
    </row>
    <row r="716" spans="1:13">
      <c r="A716" s="658"/>
      <c r="B716" s="658"/>
      <c r="C716" s="658"/>
      <c r="D716" s="658"/>
      <c r="E716" s="658"/>
      <c r="F716" s="655"/>
      <c r="G716" s="656"/>
      <c r="H716" s="657"/>
      <c r="I716" s="657"/>
      <c r="J716" s="657"/>
      <c r="K716" s="657"/>
      <c r="L716" s="657"/>
      <c r="M716" s="13"/>
    </row>
    <row r="717" spans="1:13">
      <c r="A717" s="658"/>
      <c r="B717" s="658"/>
      <c r="C717" s="658" t="s">
        <v>879</v>
      </c>
      <c r="D717" s="658" t="s">
        <v>3219</v>
      </c>
      <c r="E717" s="658" t="s">
        <v>117</v>
      </c>
      <c r="F717" s="653"/>
      <c r="G717" s="654"/>
      <c r="H717" s="657">
        <v>110</v>
      </c>
      <c r="I717" s="657">
        <f t="shared" ref="I717" si="616">H717</f>
        <v>110</v>
      </c>
      <c r="J717" s="657"/>
      <c r="K717" s="657"/>
      <c r="L717" s="657">
        <f t="shared" ref="L717" si="617">K717-I717</f>
        <v>-110</v>
      </c>
      <c r="M717" s="13"/>
    </row>
    <row r="718" spans="1:13">
      <c r="A718" s="658"/>
      <c r="B718" s="658"/>
      <c r="C718" s="658"/>
      <c r="D718" s="658"/>
      <c r="E718" s="658"/>
      <c r="F718" s="655"/>
      <c r="G718" s="656"/>
      <c r="H718" s="657"/>
      <c r="I718" s="657"/>
      <c r="J718" s="657"/>
      <c r="K718" s="657"/>
      <c r="L718" s="657"/>
      <c r="M718" s="13"/>
    </row>
    <row r="719" spans="1:13">
      <c r="A719" s="658" t="s">
        <v>405</v>
      </c>
      <c r="B719" s="658" t="s">
        <v>2969</v>
      </c>
      <c r="C719" s="658" t="s">
        <v>3223</v>
      </c>
      <c r="D719" s="658" t="s">
        <v>3221</v>
      </c>
      <c r="E719" s="658" t="s">
        <v>239</v>
      </c>
      <c r="F719" s="653"/>
      <c r="G719" s="654"/>
      <c r="H719" s="657">
        <v>44515</v>
      </c>
      <c r="I719" s="657">
        <v>1350</v>
      </c>
      <c r="J719" s="657"/>
      <c r="K719" s="657">
        <v>1350</v>
      </c>
      <c r="L719" s="657">
        <f t="shared" ref="L719" si="618">K719-I719</f>
        <v>0</v>
      </c>
      <c r="M719" s="13"/>
    </row>
    <row r="720" spans="1:13">
      <c r="A720" s="658"/>
      <c r="B720" s="658"/>
      <c r="C720" s="658"/>
      <c r="D720" s="658"/>
      <c r="E720" s="658"/>
      <c r="F720" s="655"/>
      <c r="G720" s="656"/>
      <c r="H720" s="657"/>
      <c r="I720" s="657"/>
      <c r="J720" s="657"/>
      <c r="K720" s="657"/>
      <c r="L720" s="657"/>
      <c r="M720" s="13"/>
    </row>
    <row r="721" spans="1:13">
      <c r="A721" s="658"/>
      <c r="B721" s="658"/>
      <c r="C721" s="658" t="s">
        <v>884</v>
      </c>
      <c r="D721" s="658" t="s">
        <v>3219</v>
      </c>
      <c r="E721" s="658" t="s">
        <v>3218</v>
      </c>
      <c r="F721" s="653"/>
      <c r="G721" s="654"/>
      <c r="H721" s="657">
        <v>500</v>
      </c>
      <c r="I721" s="657">
        <f t="shared" ref="I721" si="619">H721</f>
        <v>500</v>
      </c>
      <c r="J721" s="657"/>
      <c r="K721" s="657">
        <v>500</v>
      </c>
      <c r="L721" s="657">
        <f t="shared" ref="L721" si="620">K721-I721</f>
        <v>0</v>
      </c>
      <c r="M721" s="13"/>
    </row>
    <row r="722" spans="1:13">
      <c r="A722" s="658"/>
      <c r="B722" s="658"/>
      <c r="C722" s="658"/>
      <c r="D722" s="658"/>
      <c r="E722" s="658"/>
      <c r="F722" s="655"/>
      <c r="G722" s="656"/>
      <c r="H722" s="657"/>
      <c r="I722" s="657"/>
      <c r="J722" s="657"/>
      <c r="K722" s="657"/>
      <c r="L722" s="657"/>
      <c r="M722" s="13"/>
    </row>
    <row r="723" spans="1:13">
      <c r="A723" s="658"/>
      <c r="B723" s="658"/>
      <c r="C723" s="658" t="s">
        <v>885</v>
      </c>
      <c r="D723" s="658" t="s">
        <v>3219</v>
      </c>
      <c r="E723" s="658" t="s">
        <v>2723</v>
      </c>
      <c r="F723" s="653"/>
      <c r="G723" s="654"/>
      <c r="H723" s="657">
        <v>370</v>
      </c>
      <c r="I723" s="657">
        <f t="shared" ref="I723" si="621">H723</f>
        <v>370</v>
      </c>
      <c r="J723" s="657"/>
      <c r="K723" s="657">
        <v>370</v>
      </c>
      <c r="L723" s="657">
        <f t="shared" ref="L723" si="622">K723-I723</f>
        <v>0</v>
      </c>
      <c r="M723" s="13"/>
    </row>
    <row r="724" spans="1:13">
      <c r="A724" s="658"/>
      <c r="B724" s="658"/>
      <c r="C724" s="658"/>
      <c r="D724" s="658"/>
      <c r="E724" s="658"/>
      <c r="F724" s="655"/>
      <c r="G724" s="656"/>
      <c r="H724" s="657"/>
      <c r="I724" s="657"/>
      <c r="J724" s="657"/>
      <c r="K724" s="657"/>
      <c r="L724" s="657"/>
      <c r="M724" s="13"/>
    </row>
    <row r="725" spans="1:13">
      <c r="A725" s="658" t="s">
        <v>406</v>
      </c>
      <c r="B725" s="658" t="s">
        <v>3098</v>
      </c>
      <c r="C725" s="658" t="s">
        <v>3224</v>
      </c>
      <c r="D725" s="658" t="s">
        <v>3215</v>
      </c>
      <c r="E725" s="658" t="s">
        <v>239</v>
      </c>
      <c r="F725" s="653"/>
      <c r="G725" s="654"/>
      <c r="H725" s="657">
        <v>1350</v>
      </c>
      <c r="I725" s="657">
        <f t="shared" ref="I725" si="623">H725</f>
        <v>1350</v>
      </c>
      <c r="J725" s="657"/>
      <c r="K725" s="657">
        <v>1350</v>
      </c>
      <c r="L725" s="657">
        <f t="shared" ref="L725" si="624">K725-I725</f>
        <v>0</v>
      </c>
      <c r="M725" s="13"/>
    </row>
    <row r="726" spans="1:13">
      <c r="A726" s="658"/>
      <c r="B726" s="658"/>
      <c r="C726" s="658"/>
      <c r="D726" s="658"/>
      <c r="E726" s="658"/>
      <c r="F726" s="655"/>
      <c r="G726" s="656"/>
      <c r="H726" s="657"/>
      <c r="I726" s="657"/>
      <c r="J726" s="657"/>
      <c r="K726" s="657"/>
      <c r="L726" s="657"/>
      <c r="M726" s="13"/>
    </row>
    <row r="727" spans="1:13">
      <c r="A727" s="658"/>
      <c r="B727" s="658"/>
      <c r="C727" s="658" t="s">
        <v>886</v>
      </c>
      <c r="D727" s="658" t="s">
        <v>3219</v>
      </c>
      <c r="E727" s="658" t="s">
        <v>1144</v>
      </c>
      <c r="F727" s="653"/>
      <c r="G727" s="654"/>
      <c r="H727" s="657">
        <v>680</v>
      </c>
      <c r="I727" s="657">
        <f t="shared" ref="I727" si="625">H727</f>
        <v>680</v>
      </c>
      <c r="J727" s="657"/>
      <c r="K727" s="657">
        <v>680</v>
      </c>
      <c r="L727" s="657">
        <f t="shared" ref="L727" si="626">K727-I727</f>
        <v>0</v>
      </c>
      <c r="M727" s="13"/>
    </row>
    <row r="728" spans="1:13">
      <c r="A728" s="658"/>
      <c r="B728" s="658"/>
      <c r="C728" s="658"/>
      <c r="D728" s="658"/>
      <c r="E728" s="658"/>
      <c r="F728" s="655"/>
      <c r="G728" s="656"/>
      <c r="H728" s="657"/>
      <c r="I728" s="657"/>
      <c r="J728" s="657"/>
      <c r="K728" s="657"/>
      <c r="L728" s="657"/>
      <c r="M728" s="13"/>
    </row>
    <row r="729" spans="1:13">
      <c r="A729" s="658"/>
      <c r="B729" s="658"/>
      <c r="C729" s="658" t="s">
        <v>893</v>
      </c>
      <c r="D729" s="658" t="s">
        <v>3219</v>
      </c>
      <c r="E729" s="658" t="s">
        <v>2892</v>
      </c>
      <c r="F729" s="653"/>
      <c r="G729" s="654"/>
      <c r="H729" s="657">
        <v>180</v>
      </c>
      <c r="I729" s="657">
        <f t="shared" ref="I729" si="627">H729</f>
        <v>180</v>
      </c>
      <c r="J729" s="657"/>
      <c r="K729" s="657">
        <v>180</v>
      </c>
      <c r="L729" s="657">
        <f t="shared" ref="L729" si="628">K729-I729</f>
        <v>0</v>
      </c>
      <c r="M729" s="13"/>
    </row>
    <row r="730" spans="1:13">
      <c r="A730" s="658"/>
      <c r="B730" s="658"/>
      <c r="C730" s="658"/>
      <c r="D730" s="658"/>
      <c r="E730" s="658"/>
      <c r="F730" s="655"/>
      <c r="G730" s="656"/>
      <c r="H730" s="657"/>
      <c r="I730" s="657"/>
      <c r="J730" s="657"/>
      <c r="K730" s="657"/>
      <c r="L730" s="657"/>
      <c r="M730" s="13"/>
    </row>
    <row r="731" spans="1:13">
      <c r="A731" s="658"/>
      <c r="B731" s="658"/>
      <c r="C731" s="658" t="s">
        <v>896</v>
      </c>
      <c r="D731" s="658" t="s">
        <v>3219</v>
      </c>
      <c r="E731" s="658" t="s">
        <v>2892</v>
      </c>
      <c r="F731" s="653"/>
      <c r="G731" s="654"/>
      <c r="H731" s="657">
        <v>80</v>
      </c>
      <c r="I731" s="657">
        <f t="shared" ref="I731" si="629">H731</f>
        <v>80</v>
      </c>
      <c r="J731" s="657"/>
      <c r="K731" s="657">
        <v>80</v>
      </c>
      <c r="L731" s="657">
        <f t="shared" ref="L731" si="630">K731-I731</f>
        <v>0</v>
      </c>
      <c r="M731" s="13"/>
    </row>
    <row r="732" spans="1:13">
      <c r="A732" s="658"/>
      <c r="B732" s="658"/>
      <c r="C732" s="658"/>
      <c r="D732" s="658"/>
      <c r="E732" s="658"/>
      <c r="F732" s="655"/>
      <c r="G732" s="656"/>
      <c r="H732" s="657"/>
      <c r="I732" s="657"/>
      <c r="J732" s="657"/>
      <c r="K732" s="657"/>
      <c r="L732" s="657"/>
      <c r="M732" s="13"/>
    </row>
    <row r="733" spans="1:13">
      <c r="A733" s="658" t="s">
        <v>413</v>
      </c>
      <c r="B733" s="658" t="s">
        <v>3098</v>
      </c>
      <c r="C733" s="658" t="s">
        <v>3232</v>
      </c>
      <c r="D733" s="658" t="s">
        <v>3219</v>
      </c>
      <c r="E733" s="658" t="s">
        <v>239</v>
      </c>
      <c r="F733" s="653"/>
      <c r="G733" s="654"/>
      <c r="H733" s="657">
        <v>1350</v>
      </c>
      <c r="I733" s="657">
        <f t="shared" ref="I733" si="631">H733</f>
        <v>1350</v>
      </c>
      <c r="J733" s="657"/>
      <c r="K733" s="657">
        <v>1350</v>
      </c>
      <c r="L733" s="657">
        <f t="shared" ref="L733" si="632">K733-I733</f>
        <v>0</v>
      </c>
      <c r="M733" s="13"/>
    </row>
    <row r="734" spans="1:13">
      <c r="A734" s="658"/>
      <c r="B734" s="658"/>
      <c r="C734" s="658"/>
      <c r="D734" s="658"/>
      <c r="E734" s="658"/>
      <c r="F734" s="655"/>
      <c r="G734" s="656"/>
      <c r="H734" s="657"/>
      <c r="I734" s="657"/>
      <c r="J734" s="657"/>
      <c r="K734" s="657"/>
      <c r="L734" s="657"/>
      <c r="M734" s="13"/>
    </row>
    <row r="735" spans="1:13">
      <c r="A735" s="658"/>
      <c r="B735" s="658"/>
      <c r="C735" s="658" t="s">
        <v>910</v>
      </c>
      <c r="D735" s="658" t="s">
        <v>3227</v>
      </c>
      <c r="E735" s="658" t="s">
        <v>3226</v>
      </c>
      <c r="F735" s="653"/>
      <c r="G735" s="654"/>
      <c r="H735" s="657">
        <v>350</v>
      </c>
      <c r="I735" s="657">
        <f t="shared" ref="I735" si="633">H735</f>
        <v>350</v>
      </c>
      <c r="J735" s="657"/>
      <c r="K735" s="657">
        <v>350</v>
      </c>
      <c r="L735" s="657">
        <f t="shared" ref="L735" si="634">K735-I735</f>
        <v>0</v>
      </c>
      <c r="M735" s="13"/>
    </row>
    <row r="736" spans="1:13">
      <c r="A736" s="658"/>
      <c r="B736" s="658"/>
      <c r="C736" s="658"/>
      <c r="D736" s="658"/>
      <c r="E736" s="658"/>
      <c r="F736" s="655"/>
      <c r="G736" s="656"/>
      <c r="H736" s="657"/>
      <c r="I736" s="657"/>
      <c r="J736" s="657"/>
      <c r="K736" s="657"/>
      <c r="L736" s="657"/>
      <c r="M736" s="13"/>
    </row>
    <row r="737" spans="1:13">
      <c r="A737" s="658"/>
      <c r="B737" s="658"/>
      <c r="C737" s="658" t="s">
        <v>913</v>
      </c>
      <c r="D737" s="658" t="s">
        <v>3227</v>
      </c>
      <c r="E737" s="658" t="s">
        <v>3084</v>
      </c>
      <c r="F737" s="653"/>
      <c r="G737" s="654"/>
      <c r="H737" s="657">
        <v>380</v>
      </c>
      <c r="I737" s="657">
        <f t="shared" ref="I737" si="635">H737</f>
        <v>380</v>
      </c>
      <c r="J737" s="657"/>
      <c r="K737" s="657">
        <v>380</v>
      </c>
      <c r="L737" s="657">
        <f t="shared" ref="L737" si="636">K737-I737</f>
        <v>0</v>
      </c>
      <c r="M737" s="13"/>
    </row>
    <row r="738" spans="1:13">
      <c r="A738" s="658"/>
      <c r="B738" s="658"/>
      <c r="C738" s="658"/>
      <c r="D738" s="658"/>
      <c r="E738" s="658"/>
      <c r="F738" s="655"/>
      <c r="G738" s="656"/>
      <c r="H738" s="657"/>
      <c r="I738" s="657"/>
      <c r="J738" s="657"/>
      <c r="K738" s="657"/>
      <c r="L738" s="657"/>
      <c r="M738" s="13"/>
    </row>
    <row r="739" spans="1:13">
      <c r="A739" s="658"/>
      <c r="B739" s="658"/>
      <c r="C739" s="658" t="s">
        <v>914</v>
      </c>
      <c r="D739" s="658" t="s">
        <v>3227</v>
      </c>
      <c r="E739" s="658" t="s">
        <v>3064</v>
      </c>
      <c r="F739" s="653"/>
      <c r="G739" s="654"/>
      <c r="H739" s="657">
        <v>400</v>
      </c>
      <c r="I739" s="657">
        <f t="shared" ref="I739" si="637">H739</f>
        <v>400</v>
      </c>
      <c r="J739" s="657"/>
      <c r="K739" s="657">
        <v>400</v>
      </c>
      <c r="L739" s="657">
        <f t="shared" ref="L739" si="638">K739-I739</f>
        <v>0</v>
      </c>
      <c r="M739" s="642">
        <v>42714</v>
      </c>
    </row>
    <row r="740" spans="1:13">
      <c r="A740" s="658"/>
      <c r="B740" s="658"/>
      <c r="C740" s="658"/>
      <c r="D740" s="658"/>
      <c r="E740" s="658"/>
      <c r="F740" s="655"/>
      <c r="G740" s="656"/>
      <c r="H740" s="657"/>
      <c r="I740" s="657"/>
      <c r="J740" s="657"/>
      <c r="K740" s="657"/>
      <c r="L740" s="657"/>
      <c r="M740" s="13"/>
    </row>
    <row r="741" spans="1:13">
      <c r="A741" s="658"/>
      <c r="B741" s="658"/>
      <c r="C741" s="658" t="s">
        <v>918</v>
      </c>
      <c r="D741" s="658" t="s">
        <v>3227</v>
      </c>
      <c r="E741" s="658" t="s">
        <v>2508</v>
      </c>
      <c r="F741" s="653"/>
      <c r="G741" s="654"/>
      <c r="H741" s="657">
        <v>140</v>
      </c>
      <c r="I741" s="657">
        <f t="shared" ref="I741" si="639">H741</f>
        <v>140</v>
      </c>
      <c r="J741" s="657"/>
      <c r="K741" s="657">
        <v>140</v>
      </c>
      <c r="L741" s="657">
        <f t="shared" ref="L741" si="640">K741-I741</f>
        <v>0</v>
      </c>
      <c r="M741" s="13"/>
    </row>
    <row r="742" spans="1:13">
      <c r="A742" s="658"/>
      <c r="B742" s="658"/>
      <c r="C742" s="658"/>
      <c r="D742" s="658"/>
      <c r="E742" s="658"/>
      <c r="F742" s="655"/>
      <c r="G742" s="656"/>
      <c r="H742" s="657"/>
      <c r="I742" s="657"/>
      <c r="J742" s="657"/>
      <c r="K742" s="657"/>
      <c r="L742" s="657"/>
      <c r="M742" s="13"/>
    </row>
    <row r="743" spans="1:13">
      <c r="A743" s="658" t="s">
        <v>416</v>
      </c>
      <c r="B743" s="658" t="s">
        <v>2983</v>
      </c>
      <c r="C743" s="658" t="s">
        <v>3234</v>
      </c>
      <c r="D743" s="658" t="s">
        <v>3233</v>
      </c>
      <c r="E743" s="658" t="s">
        <v>239</v>
      </c>
      <c r="F743" s="653"/>
      <c r="G743" s="654"/>
      <c r="H743" s="657">
        <v>46580</v>
      </c>
      <c r="I743" s="657">
        <v>1400</v>
      </c>
      <c r="J743" s="657"/>
      <c r="K743" s="657"/>
      <c r="L743" s="657">
        <f t="shared" ref="L743" si="641">K743-I743</f>
        <v>-1400</v>
      </c>
      <c r="M743" s="13"/>
    </row>
    <row r="744" spans="1:13">
      <c r="A744" s="658"/>
      <c r="B744" s="658"/>
      <c r="C744" s="658"/>
      <c r="D744" s="658"/>
      <c r="E744" s="658"/>
      <c r="F744" s="655"/>
      <c r="G744" s="656"/>
      <c r="H744" s="657"/>
      <c r="I744" s="657"/>
      <c r="J744" s="657"/>
      <c r="K744" s="657"/>
      <c r="L744" s="657"/>
      <c r="M744" s="13"/>
    </row>
    <row r="745" spans="1:13">
      <c r="A745" s="658"/>
      <c r="B745" s="658"/>
      <c r="C745" s="658" t="s">
        <v>921</v>
      </c>
      <c r="D745" s="658" t="s">
        <v>3228</v>
      </c>
      <c r="E745" s="658" t="s">
        <v>2376</v>
      </c>
      <c r="F745" s="653"/>
      <c r="G745" s="654"/>
      <c r="H745" s="657">
        <v>60</v>
      </c>
      <c r="I745" s="657">
        <f t="shared" ref="I745" si="642">H745</f>
        <v>60</v>
      </c>
      <c r="J745" s="657"/>
      <c r="K745" s="657">
        <v>60</v>
      </c>
      <c r="L745" s="657">
        <f t="shared" ref="L745" si="643">K745-I745</f>
        <v>0</v>
      </c>
      <c r="M745" s="13"/>
    </row>
    <row r="746" spans="1:13">
      <c r="A746" s="658"/>
      <c r="B746" s="658"/>
      <c r="C746" s="658"/>
      <c r="D746" s="658"/>
      <c r="E746" s="658"/>
      <c r="F746" s="655"/>
      <c r="G746" s="656"/>
      <c r="H746" s="657"/>
      <c r="I746" s="657"/>
      <c r="J746" s="657"/>
      <c r="K746" s="657"/>
      <c r="L746" s="657"/>
      <c r="M746" s="13"/>
    </row>
    <row r="747" spans="1:13">
      <c r="A747" s="658"/>
      <c r="B747" s="658"/>
      <c r="C747" s="658" t="s">
        <v>922</v>
      </c>
      <c r="D747" s="658" t="s">
        <v>3228</v>
      </c>
      <c r="E747" s="658" t="s">
        <v>117</v>
      </c>
      <c r="F747" s="653"/>
      <c r="G747" s="654"/>
      <c r="H747" s="657">
        <v>110</v>
      </c>
      <c r="I747" s="657">
        <f t="shared" ref="I747" si="644">H747</f>
        <v>110</v>
      </c>
      <c r="J747" s="657"/>
      <c r="K747" s="657"/>
      <c r="L747" s="657">
        <f t="shared" ref="L747" si="645">K747-I747</f>
        <v>-110</v>
      </c>
      <c r="M747" s="13"/>
    </row>
    <row r="748" spans="1:13">
      <c r="A748" s="658"/>
      <c r="B748" s="658"/>
      <c r="C748" s="658"/>
      <c r="D748" s="658"/>
      <c r="E748" s="658"/>
      <c r="F748" s="655"/>
      <c r="G748" s="656"/>
      <c r="H748" s="657"/>
      <c r="I748" s="657"/>
      <c r="J748" s="657"/>
      <c r="K748" s="657"/>
      <c r="L748" s="657"/>
      <c r="M748" s="13"/>
    </row>
    <row r="749" spans="1:13">
      <c r="A749" s="658"/>
      <c r="B749" s="658"/>
      <c r="C749" s="658" t="s">
        <v>927</v>
      </c>
      <c r="D749" s="658" t="s">
        <v>3231</v>
      </c>
      <c r="E749" s="658" t="s">
        <v>2348</v>
      </c>
      <c r="F749" s="653"/>
      <c r="G749" s="654"/>
      <c r="H749" s="657">
        <v>50</v>
      </c>
      <c r="I749" s="657">
        <f t="shared" ref="I749" si="646">H749</f>
        <v>50</v>
      </c>
      <c r="J749" s="657"/>
      <c r="K749" s="657">
        <v>50</v>
      </c>
      <c r="L749" s="657">
        <f t="shared" ref="L749" si="647">K749-I749</f>
        <v>0</v>
      </c>
      <c r="M749" s="13"/>
    </row>
    <row r="750" spans="1:13">
      <c r="A750" s="658"/>
      <c r="B750" s="658"/>
      <c r="C750" s="658"/>
      <c r="D750" s="658"/>
      <c r="E750" s="658"/>
      <c r="F750" s="655"/>
      <c r="G750" s="656"/>
      <c r="H750" s="657"/>
      <c r="I750" s="657"/>
      <c r="J750" s="657"/>
      <c r="K750" s="657"/>
      <c r="L750" s="657"/>
      <c r="M750" s="13"/>
    </row>
    <row r="751" spans="1:13">
      <c r="A751" s="658" t="s">
        <v>418</v>
      </c>
      <c r="B751" s="658" t="s">
        <v>2969</v>
      </c>
      <c r="C751" s="658" t="s">
        <v>3236</v>
      </c>
      <c r="D751" s="658" t="s">
        <v>3235</v>
      </c>
      <c r="E751" s="658" t="s">
        <v>239</v>
      </c>
      <c r="F751" s="653"/>
      <c r="G751" s="654"/>
      <c r="H751" s="657">
        <v>1350</v>
      </c>
      <c r="I751" s="657">
        <f t="shared" ref="I751" si="648">H751</f>
        <v>1350</v>
      </c>
      <c r="J751" s="657"/>
      <c r="K751" s="657">
        <v>1350</v>
      </c>
      <c r="L751" s="657">
        <f t="shared" ref="L751" si="649">K751-I751</f>
        <v>0</v>
      </c>
      <c r="M751" s="13"/>
    </row>
    <row r="752" spans="1:13">
      <c r="A752" s="658"/>
      <c r="B752" s="658"/>
      <c r="C752" s="658"/>
      <c r="D752" s="658"/>
      <c r="E752" s="658"/>
      <c r="F752" s="655"/>
      <c r="G752" s="656"/>
      <c r="H752" s="657"/>
      <c r="I752" s="657"/>
      <c r="J752" s="657"/>
      <c r="K752" s="657"/>
      <c r="L752" s="657"/>
      <c r="M752" s="13"/>
    </row>
    <row r="753" spans="1:13">
      <c r="A753" s="658"/>
      <c r="B753" s="658"/>
      <c r="C753" s="658" t="s">
        <v>903</v>
      </c>
      <c r="D753" s="658" t="s">
        <v>3228</v>
      </c>
      <c r="E753" s="658" t="s">
        <v>1601</v>
      </c>
      <c r="F753" s="653"/>
      <c r="G753" s="654"/>
      <c r="H753" s="657">
        <v>1450</v>
      </c>
      <c r="I753" s="657">
        <f t="shared" ref="I753" si="650">H753</f>
        <v>1450</v>
      </c>
      <c r="J753" s="657"/>
      <c r="K753" s="657">
        <v>1450</v>
      </c>
      <c r="L753" s="657">
        <f t="shared" ref="L753" si="651">K753-I753</f>
        <v>0</v>
      </c>
      <c r="M753" s="13"/>
    </row>
    <row r="754" spans="1:13">
      <c r="A754" s="658"/>
      <c r="B754" s="658"/>
      <c r="C754" s="658"/>
      <c r="D754" s="658"/>
      <c r="E754" s="658"/>
      <c r="F754" s="655"/>
      <c r="G754" s="656"/>
      <c r="H754" s="657"/>
      <c r="I754" s="657"/>
      <c r="J754" s="657"/>
      <c r="K754" s="657"/>
      <c r="L754" s="657"/>
      <c r="M754" s="13"/>
    </row>
    <row r="755" spans="1:13">
      <c r="A755" s="815" t="s">
        <v>3246</v>
      </c>
      <c r="B755" s="838"/>
      <c r="C755" s="838"/>
      <c r="D755" s="838"/>
      <c r="E755" s="838"/>
      <c r="F755" s="838"/>
      <c r="G755" s="838"/>
      <c r="H755" s="838"/>
      <c r="I755" s="838"/>
      <c r="J755" s="838"/>
      <c r="K755" s="838"/>
      <c r="L755" s="839"/>
      <c r="M755" s="13"/>
    </row>
    <row r="756" spans="1:13">
      <c r="A756" s="840"/>
      <c r="B756" s="841"/>
      <c r="C756" s="841"/>
      <c r="D756" s="841"/>
      <c r="E756" s="841"/>
      <c r="F756" s="841"/>
      <c r="G756" s="841"/>
      <c r="H756" s="841"/>
      <c r="I756" s="841"/>
      <c r="J756" s="841"/>
      <c r="K756" s="841"/>
      <c r="L756" s="842"/>
      <c r="M756" s="13"/>
    </row>
    <row r="757" spans="1:13">
      <c r="A757" s="658" t="s">
        <v>420</v>
      </c>
      <c r="B757" s="658" t="s">
        <v>3176</v>
      </c>
      <c r="C757" s="658" t="s">
        <v>3241</v>
      </c>
      <c r="D757" s="658" t="s">
        <v>3228</v>
      </c>
      <c r="E757" s="658" t="s">
        <v>239</v>
      </c>
      <c r="F757" s="653"/>
      <c r="G757" s="654"/>
      <c r="H757" s="657">
        <v>1350</v>
      </c>
      <c r="I757" s="657">
        <f t="shared" ref="I757" si="652">H757</f>
        <v>1350</v>
      </c>
      <c r="J757" s="657"/>
      <c r="K757" s="657">
        <v>1350</v>
      </c>
      <c r="L757" s="657">
        <f t="shared" ref="L757" si="653">K757-I757</f>
        <v>0</v>
      </c>
      <c r="M757" s="13"/>
    </row>
    <row r="758" spans="1:13">
      <c r="A758" s="658"/>
      <c r="B758" s="658"/>
      <c r="C758" s="658"/>
      <c r="D758" s="658"/>
      <c r="E758" s="658"/>
      <c r="F758" s="655"/>
      <c r="G758" s="656"/>
      <c r="H758" s="657"/>
      <c r="I758" s="657"/>
      <c r="J758" s="657"/>
      <c r="K758" s="657"/>
      <c r="L758" s="657"/>
      <c r="M758" s="13" t="s">
        <v>3368</v>
      </c>
    </row>
    <row r="759" spans="1:13">
      <c r="A759" s="658"/>
      <c r="B759" s="658"/>
      <c r="C759" s="658" t="s">
        <v>945</v>
      </c>
      <c r="D759" s="658" t="s">
        <v>3237</v>
      </c>
      <c r="E759" s="658" t="s">
        <v>1113</v>
      </c>
      <c r="F759" s="653"/>
      <c r="G759" s="654"/>
      <c r="H759" s="657">
        <v>550</v>
      </c>
      <c r="I759" s="657">
        <f t="shared" ref="I759" si="654">H759</f>
        <v>550</v>
      </c>
      <c r="J759" s="657"/>
      <c r="K759" s="657">
        <v>550</v>
      </c>
      <c r="L759" s="657">
        <f t="shared" ref="L759" si="655">K759-I759</f>
        <v>0</v>
      </c>
      <c r="M759" s="13"/>
    </row>
    <row r="760" spans="1:13">
      <c r="A760" s="658"/>
      <c r="B760" s="658"/>
      <c r="C760" s="658"/>
      <c r="D760" s="658"/>
      <c r="E760" s="658"/>
      <c r="F760" s="655"/>
      <c r="G760" s="656"/>
      <c r="H760" s="657"/>
      <c r="I760" s="657"/>
      <c r="J760" s="657"/>
      <c r="K760" s="657"/>
      <c r="L760" s="657"/>
      <c r="M760" s="620">
        <f>SUM(I759:I764,I767:I772,I775:I782,I785:I890,I897:I900)</f>
        <v>40484</v>
      </c>
    </row>
    <row r="761" spans="1:13">
      <c r="A761" s="658"/>
      <c r="B761" s="658"/>
      <c r="C761" s="658" t="s">
        <v>941</v>
      </c>
      <c r="D761" s="658" t="s">
        <v>3237</v>
      </c>
      <c r="E761" s="658" t="s">
        <v>2517</v>
      </c>
      <c r="F761" s="653"/>
      <c r="G761" s="654"/>
      <c r="H761" s="657">
        <v>150</v>
      </c>
      <c r="I761" s="657">
        <f t="shared" ref="I761" si="656">H761</f>
        <v>150</v>
      </c>
      <c r="J761" s="657"/>
      <c r="K761" s="657">
        <v>100</v>
      </c>
      <c r="L761" s="657">
        <f t="shared" ref="L761" si="657">K761-I761</f>
        <v>-50</v>
      </c>
      <c r="M761" s="13"/>
    </row>
    <row r="762" spans="1:13">
      <c r="A762" s="658"/>
      <c r="B762" s="658"/>
      <c r="C762" s="658"/>
      <c r="D762" s="658"/>
      <c r="E762" s="658"/>
      <c r="F762" s="655"/>
      <c r="G762" s="656"/>
      <c r="H762" s="657"/>
      <c r="I762" s="657"/>
      <c r="J762" s="657"/>
      <c r="K762" s="657"/>
      <c r="L762" s="657"/>
      <c r="M762" s="13"/>
    </row>
    <row r="763" spans="1:13">
      <c r="A763" s="658"/>
      <c r="B763" s="658"/>
      <c r="C763" s="658" t="s">
        <v>944</v>
      </c>
      <c r="D763" s="658" t="s">
        <v>3237</v>
      </c>
      <c r="E763" s="658" t="s">
        <v>2517</v>
      </c>
      <c r="F763" s="653"/>
      <c r="G763" s="654"/>
      <c r="H763" s="657">
        <v>150</v>
      </c>
      <c r="I763" s="657">
        <f t="shared" ref="I763" si="658">H763</f>
        <v>150</v>
      </c>
      <c r="J763" s="657"/>
      <c r="K763" s="657">
        <v>150</v>
      </c>
      <c r="L763" s="657">
        <f t="shared" ref="L763" si="659">K763-I763</f>
        <v>0</v>
      </c>
      <c r="M763" s="13"/>
    </row>
    <row r="764" spans="1:13">
      <c r="A764" s="658"/>
      <c r="B764" s="658"/>
      <c r="C764" s="658"/>
      <c r="D764" s="658"/>
      <c r="E764" s="658"/>
      <c r="F764" s="655"/>
      <c r="G764" s="656"/>
      <c r="H764" s="657"/>
      <c r="I764" s="657"/>
      <c r="J764" s="657"/>
      <c r="K764" s="657"/>
      <c r="L764" s="657"/>
      <c r="M764" s="13"/>
    </row>
    <row r="765" spans="1:13">
      <c r="A765" s="658" t="s">
        <v>432</v>
      </c>
      <c r="B765" s="658" t="s">
        <v>3098</v>
      </c>
      <c r="C765" s="658" t="s">
        <v>3272</v>
      </c>
      <c r="D765" s="658" t="s">
        <v>3228</v>
      </c>
      <c r="E765" s="658" t="s">
        <v>239</v>
      </c>
      <c r="F765" s="653"/>
      <c r="G765" s="654"/>
      <c r="H765" s="657">
        <v>46425</v>
      </c>
      <c r="I765" s="657">
        <v>1400</v>
      </c>
      <c r="J765" s="657"/>
      <c r="K765" s="657">
        <v>1400</v>
      </c>
      <c r="L765" s="657">
        <f t="shared" ref="L765" si="660">K765-I765</f>
        <v>0</v>
      </c>
      <c r="M765" s="13"/>
    </row>
    <row r="766" spans="1:13">
      <c r="A766" s="658"/>
      <c r="B766" s="658"/>
      <c r="C766" s="658"/>
      <c r="D766" s="658"/>
      <c r="E766" s="658"/>
      <c r="F766" s="655"/>
      <c r="G766" s="656"/>
      <c r="H766" s="657"/>
      <c r="I766" s="657"/>
      <c r="J766" s="657"/>
      <c r="K766" s="657"/>
      <c r="L766" s="657"/>
      <c r="M766" s="13"/>
    </row>
    <row r="767" spans="1:13">
      <c r="A767" s="658"/>
      <c r="B767" s="658"/>
      <c r="C767" s="658" t="s">
        <v>928</v>
      </c>
      <c r="D767" s="658" t="s">
        <v>3237</v>
      </c>
      <c r="E767" s="658" t="s">
        <v>2032</v>
      </c>
      <c r="F767" s="653"/>
      <c r="G767" s="654"/>
      <c r="H767" s="657">
        <v>1700</v>
      </c>
      <c r="I767" s="657">
        <f t="shared" ref="I767" si="661">H767</f>
        <v>1700</v>
      </c>
      <c r="J767" s="657"/>
      <c r="K767" s="657">
        <v>1700</v>
      </c>
      <c r="L767" s="657">
        <f t="shared" ref="L767" si="662">K767-I767</f>
        <v>0</v>
      </c>
      <c r="M767" s="13"/>
    </row>
    <row r="768" spans="1:13">
      <c r="A768" s="658"/>
      <c r="B768" s="658"/>
      <c r="C768" s="658"/>
      <c r="D768" s="658"/>
      <c r="E768" s="658"/>
      <c r="F768" s="655"/>
      <c r="G768" s="656"/>
      <c r="H768" s="657"/>
      <c r="I768" s="657"/>
      <c r="J768" s="657"/>
      <c r="K768" s="657"/>
      <c r="L768" s="657"/>
      <c r="M768" s="13"/>
    </row>
    <row r="769" spans="1:13">
      <c r="A769" s="658"/>
      <c r="B769" s="658"/>
      <c r="C769" s="658" t="s">
        <v>946</v>
      </c>
      <c r="D769" s="658" t="s">
        <v>3237</v>
      </c>
      <c r="E769" s="658" t="s">
        <v>1140</v>
      </c>
      <c r="F769" s="653"/>
      <c r="G769" s="654"/>
      <c r="H769" s="657">
        <v>510</v>
      </c>
      <c r="I769" s="657">
        <f t="shared" ref="I769" si="663">H769</f>
        <v>510</v>
      </c>
      <c r="J769" s="657"/>
      <c r="K769" s="657">
        <v>510</v>
      </c>
      <c r="L769" s="657">
        <f t="shared" ref="L769" si="664">K769-I769</f>
        <v>0</v>
      </c>
      <c r="M769" s="13"/>
    </row>
    <row r="770" spans="1:13">
      <c r="A770" s="658"/>
      <c r="B770" s="658"/>
      <c r="C770" s="658"/>
      <c r="D770" s="658"/>
      <c r="E770" s="658"/>
      <c r="F770" s="655"/>
      <c r="G770" s="656"/>
      <c r="H770" s="657"/>
      <c r="I770" s="657"/>
      <c r="J770" s="657"/>
      <c r="K770" s="657"/>
      <c r="L770" s="657"/>
      <c r="M770" s="13"/>
    </row>
    <row r="771" spans="1:13">
      <c r="A771" s="658"/>
      <c r="B771" s="658"/>
      <c r="C771" s="658" t="s">
        <v>948</v>
      </c>
      <c r="D771" s="658" t="s">
        <v>3237</v>
      </c>
      <c r="E771" s="658" t="s">
        <v>2723</v>
      </c>
      <c r="F771" s="653"/>
      <c r="G771" s="654"/>
      <c r="H771" s="657">
        <v>200</v>
      </c>
      <c r="I771" s="657">
        <f t="shared" ref="I771" si="665">H771</f>
        <v>200</v>
      </c>
      <c r="J771" s="657"/>
      <c r="K771" s="657">
        <v>200</v>
      </c>
      <c r="L771" s="657">
        <f t="shared" ref="L771" si="666">K771-I771</f>
        <v>0</v>
      </c>
      <c r="M771" s="13"/>
    </row>
    <row r="772" spans="1:13">
      <c r="A772" s="658"/>
      <c r="B772" s="658"/>
      <c r="C772" s="658"/>
      <c r="D772" s="658"/>
      <c r="E772" s="658"/>
      <c r="F772" s="655"/>
      <c r="G772" s="656"/>
      <c r="H772" s="657"/>
      <c r="I772" s="657"/>
      <c r="J772" s="657"/>
      <c r="K772" s="657"/>
      <c r="L772" s="657"/>
      <c r="M772" s="13"/>
    </row>
    <row r="773" spans="1:13">
      <c r="A773" s="658" t="s">
        <v>434</v>
      </c>
      <c r="B773" s="658" t="s">
        <v>2969</v>
      </c>
      <c r="C773" s="658" t="s">
        <v>3244</v>
      </c>
      <c r="D773" s="658" t="s">
        <v>3243</v>
      </c>
      <c r="E773" s="658" t="s">
        <v>239</v>
      </c>
      <c r="F773" s="653"/>
      <c r="G773" s="654"/>
      <c r="H773" s="657">
        <v>1350</v>
      </c>
      <c r="I773" s="657">
        <f t="shared" ref="I773" si="667">H773</f>
        <v>1350</v>
      </c>
      <c r="J773" s="657"/>
      <c r="K773" s="657">
        <v>1350</v>
      </c>
      <c r="L773" s="657">
        <f t="shared" ref="L773" si="668">K773-I773</f>
        <v>0</v>
      </c>
      <c r="M773" s="13"/>
    </row>
    <row r="774" spans="1:13">
      <c r="A774" s="658"/>
      <c r="B774" s="658"/>
      <c r="C774" s="658"/>
      <c r="D774" s="658"/>
      <c r="E774" s="658"/>
      <c r="F774" s="655"/>
      <c r="G774" s="656"/>
      <c r="H774" s="657"/>
      <c r="I774" s="657"/>
      <c r="J774" s="657"/>
      <c r="K774" s="657"/>
      <c r="L774" s="657"/>
      <c r="M774" s="13"/>
    </row>
    <row r="775" spans="1:13">
      <c r="A775" s="658"/>
      <c r="B775" s="658"/>
      <c r="C775" s="658" t="s">
        <v>958</v>
      </c>
      <c r="D775" s="658" t="s">
        <v>3239</v>
      </c>
      <c r="E775" s="658" t="s">
        <v>2582</v>
      </c>
      <c r="F775" s="653"/>
      <c r="G775" s="654"/>
      <c r="H775" s="657">
        <v>350</v>
      </c>
      <c r="I775" s="657">
        <f t="shared" ref="I775" si="669">H775</f>
        <v>350</v>
      </c>
      <c r="J775" s="657"/>
      <c r="K775" s="657">
        <v>350</v>
      </c>
      <c r="L775" s="657">
        <f t="shared" ref="L775" si="670">K775-I775</f>
        <v>0</v>
      </c>
      <c r="M775" s="13"/>
    </row>
    <row r="776" spans="1:13">
      <c r="A776" s="658"/>
      <c r="B776" s="658"/>
      <c r="C776" s="658"/>
      <c r="D776" s="658"/>
      <c r="E776" s="658"/>
      <c r="F776" s="655"/>
      <c r="G776" s="656"/>
      <c r="H776" s="657"/>
      <c r="I776" s="657"/>
      <c r="J776" s="657"/>
      <c r="K776" s="657"/>
      <c r="L776" s="657"/>
      <c r="M776" s="13"/>
    </row>
    <row r="777" spans="1:13">
      <c r="A777" s="658"/>
      <c r="B777" s="658"/>
      <c r="C777" s="658" t="s">
        <v>959</v>
      </c>
      <c r="D777" s="658" t="s">
        <v>3239</v>
      </c>
      <c r="E777" s="658" t="s">
        <v>2723</v>
      </c>
      <c r="F777" s="653"/>
      <c r="G777" s="654"/>
      <c r="H777" s="657">
        <v>400</v>
      </c>
      <c r="I777" s="657">
        <f t="shared" ref="I777" si="671">H777</f>
        <v>400</v>
      </c>
      <c r="J777" s="657"/>
      <c r="K777" s="657"/>
      <c r="L777" s="657">
        <f t="shared" ref="L777" si="672">K777-I777</f>
        <v>-400</v>
      </c>
      <c r="M777" s="13"/>
    </row>
    <row r="778" spans="1:13">
      <c r="A778" s="658"/>
      <c r="B778" s="658"/>
      <c r="C778" s="658"/>
      <c r="D778" s="658"/>
      <c r="E778" s="658"/>
      <c r="F778" s="655"/>
      <c r="G778" s="656"/>
      <c r="H778" s="657"/>
      <c r="I778" s="657"/>
      <c r="J778" s="657"/>
      <c r="K778" s="657"/>
      <c r="L778" s="657"/>
      <c r="M778" s="13"/>
    </row>
    <row r="779" spans="1:13">
      <c r="A779" s="658"/>
      <c r="B779" s="658"/>
      <c r="C779" s="658" t="s">
        <v>960</v>
      </c>
      <c r="D779" s="658" t="s">
        <v>3239</v>
      </c>
      <c r="E779" s="658" t="s">
        <v>2723</v>
      </c>
      <c r="F779" s="653"/>
      <c r="G779" s="654"/>
      <c r="H779" s="657">
        <v>350</v>
      </c>
      <c r="I779" s="657">
        <f t="shared" ref="I779" si="673">H779</f>
        <v>350</v>
      </c>
      <c r="J779" s="657"/>
      <c r="K779" s="657"/>
      <c r="L779" s="657">
        <f t="shared" ref="L779" si="674">K779-I779</f>
        <v>-350</v>
      </c>
      <c r="M779" s="13"/>
    </row>
    <row r="780" spans="1:13">
      <c r="A780" s="658"/>
      <c r="B780" s="658"/>
      <c r="C780" s="658"/>
      <c r="D780" s="658"/>
      <c r="E780" s="658"/>
      <c r="F780" s="655"/>
      <c r="G780" s="656"/>
      <c r="H780" s="657"/>
      <c r="I780" s="657"/>
      <c r="J780" s="657"/>
      <c r="K780" s="657"/>
      <c r="L780" s="657"/>
      <c r="M780" s="13"/>
    </row>
    <row r="781" spans="1:13">
      <c r="A781" s="658"/>
      <c r="B781" s="658"/>
      <c r="C781" s="658" t="s">
        <v>962</v>
      </c>
      <c r="D781" s="658" t="s">
        <v>3239</v>
      </c>
      <c r="E781" s="658" t="s">
        <v>2723</v>
      </c>
      <c r="F781" s="653"/>
      <c r="G781" s="654"/>
      <c r="H781" s="657">
        <v>100</v>
      </c>
      <c r="I781" s="657">
        <f t="shared" ref="I781" si="675">H781</f>
        <v>100</v>
      </c>
      <c r="J781" s="657"/>
      <c r="K781" s="657"/>
      <c r="L781" s="657">
        <f t="shared" ref="L781" si="676">K781-I781</f>
        <v>-100</v>
      </c>
      <c r="M781" s="13"/>
    </row>
    <row r="782" spans="1:13">
      <c r="A782" s="658"/>
      <c r="B782" s="658"/>
      <c r="C782" s="658"/>
      <c r="D782" s="658"/>
      <c r="E782" s="658"/>
      <c r="F782" s="655"/>
      <c r="G782" s="656"/>
      <c r="H782" s="657"/>
      <c r="I782" s="657"/>
      <c r="J782" s="657"/>
      <c r="K782" s="657"/>
      <c r="L782" s="657"/>
      <c r="M782" s="13"/>
    </row>
    <row r="783" spans="1:13">
      <c r="A783" s="658" t="s">
        <v>435</v>
      </c>
      <c r="B783" s="658" t="s">
        <v>2983</v>
      </c>
      <c r="C783" s="658" t="s">
        <v>3245</v>
      </c>
      <c r="D783" s="658" t="s">
        <v>2496</v>
      </c>
      <c r="E783" s="692" t="s">
        <v>239</v>
      </c>
      <c r="F783" s="653"/>
      <c r="G783" s="654"/>
      <c r="H783" s="657">
        <v>44770</v>
      </c>
      <c r="I783" s="657">
        <v>1350</v>
      </c>
      <c r="J783" s="657"/>
      <c r="K783" s="657">
        <v>1350</v>
      </c>
      <c r="L783" s="657">
        <f t="shared" ref="L783" si="677">K783-I783</f>
        <v>0</v>
      </c>
      <c r="M783" s="13"/>
    </row>
    <row r="784" spans="1:13">
      <c r="A784" s="658"/>
      <c r="B784" s="658"/>
      <c r="C784" s="658"/>
      <c r="D784" s="658"/>
      <c r="E784" s="692"/>
      <c r="F784" s="655"/>
      <c r="G784" s="656"/>
      <c r="H784" s="657"/>
      <c r="I784" s="657"/>
      <c r="J784" s="657"/>
      <c r="K784" s="657"/>
      <c r="L784" s="657"/>
      <c r="M784" s="13"/>
    </row>
    <row r="785" spans="1:13">
      <c r="A785" s="658"/>
      <c r="B785" s="658"/>
      <c r="C785" s="658" t="s">
        <v>963</v>
      </c>
      <c r="D785" s="658" t="s">
        <v>3239</v>
      </c>
      <c r="E785" s="658" t="s">
        <v>117</v>
      </c>
      <c r="F785" s="653"/>
      <c r="G785" s="654"/>
      <c r="H785" s="657">
        <v>110</v>
      </c>
      <c r="I785" s="657">
        <f t="shared" ref="I785" si="678">H785</f>
        <v>110</v>
      </c>
      <c r="J785" s="657"/>
      <c r="K785" s="657"/>
      <c r="L785" s="657">
        <f t="shared" ref="L785" si="679">K785-I785</f>
        <v>-110</v>
      </c>
      <c r="M785" s="13"/>
    </row>
    <row r="786" spans="1:13">
      <c r="A786" s="658"/>
      <c r="B786" s="658"/>
      <c r="C786" s="658"/>
      <c r="D786" s="658"/>
      <c r="E786" s="658"/>
      <c r="F786" s="655"/>
      <c r="G786" s="656"/>
      <c r="H786" s="657"/>
      <c r="I786" s="657"/>
      <c r="J786" s="657"/>
      <c r="K786" s="657"/>
      <c r="L786" s="657"/>
      <c r="M786" s="13"/>
    </row>
    <row r="787" spans="1:13">
      <c r="A787" s="658" t="s">
        <v>436</v>
      </c>
      <c r="B787" s="658" t="s">
        <v>3098</v>
      </c>
      <c r="C787" s="658" t="s">
        <v>3251</v>
      </c>
      <c r="D787" s="658" t="s">
        <v>3248</v>
      </c>
      <c r="E787" s="658" t="s">
        <v>239</v>
      </c>
      <c r="F787" s="653"/>
      <c r="G787" s="654"/>
      <c r="H787" s="657">
        <v>1350</v>
      </c>
      <c r="I787" s="657">
        <f t="shared" ref="I787" si="680">H787</f>
        <v>1350</v>
      </c>
      <c r="J787" s="657"/>
      <c r="K787" s="657"/>
      <c r="L787" s="657">
        <f t="shared" ref="L787" si="681">K787-I787</f>
        <v>-1350</v>
      </c>
      <c r="M787" s="13"/>
    </row>
    <row r="788" spans="1:13">
      <c r="A788" s="658"/>
      <c r="B788" s="658"/>
      <c r="C788" s="658"/>
      <c r="D788" s="658"/>
      <c r="E788" s="658"/>
      <c r="F788" s="655"/>
      <c r="G788" s="656"/>
      <c r="H788" s="657"/>
      <c r="I788" s="657"/>
      <c r="J788" s="657"/>
      <c r="K788" s="657"/>
      <c r="L788" s="657"/>
      <c r="M788" s="13"/>
    </row>
    <row r="789" spans="1:13">
      <c r="A789" s="658"/>
      <c r="B789" s="658"/>
      <c r="C789" s="658" t="s">
        <v>968</v>
      </c>
      <c r="D789" s="658" t="s">
        <v>3247</v>
      </c>
      <c r="E789" s="658" t="s">
        <v>1601</v>
      </c>
      <c r="F789" s="653"/>
      <c r="G789" s="654"/>
      <c r="H789" s="657">
        <v>1300</v>
      </c>
      <c r="I789" s="657">
        <f t="shared" ref="I789" si="682">H789</f>
        <v>1300</v>
      </c>
      <c r="J789" s="657"/>
      <c r="K789" s="657">
        <v>1300</v>
      </c>
      <c r="L789" s="657">
        <f t="shared" ref="L789" si="683">K789-I789</f>
        <v>0</v>
      </c>
      <c r="M789" s="13"/>
    </row>
    <row r="790" spans="1:13">
      <c r="A790" s="658"/>
      <c r="B790" s="658"/>
      <c r="C790" s="658"/>
      <c r="D790" s="658"/>
      <c r="E790" s="658"/>
      <c r="F790" s="655"/>
      <c r="G790" s="656"/>
      <c r="H790" s="657"/>
      <c r="I790" s="657"/>
      <c r="J790" s="657"/>
      <c r="K790" s="657"/>
      <c r="L790" s="657"/>
      <c r="M790" s="13"/>
    </row>
    <row r="791" spans="1:13">
      <c r="A791" s="658" t="s">
        <v>433</v>
      </c>
      <c r="B791" s="658" t="s">
        <v>3176</v>
      </c>
      <c r="C791" s="658" t="s">
        <v>3252</v>
      </c>
      <c r="D791" s="658" t="s">
        <v>3248</v>
      </c>
      <c r="E791" s="658" t="s">
        <v>239</v>
      </c>
      <c r="F791" s="653"/>
      <c r="G791" s="654"/>
      <c r="H791" s="657">
        <v>46298</v>
      </c>
      <c r="I791" s="657">
        <v>1400</v>
      </c>
      <c r="J791" s="657"/>
      <c r="K791" s="657">
        <v>1400</v>
      </c>
      <c r="L791" s="657">
        <f t="shared" ref="L791" si="684">K791-I791</f>
        <v>0</v>
      </c>
      <c r="M791" s="13"/>
    </row>
    <row r="792" spans="1:13">
      <c r="A792" s="658"/>
      <c r="B792" s="658"/>
      <c r="C792" s="658"/>
      <c r="D792" s="658"/>
      <c r="E792" s="658"/>
      <c r="F792" s="655"/>
      <c r="G792" s="656"/>
      <c r="H792" s="657"/>
      <c r="I792" s="657"/>
      <c r="J792" s="657"/>
      <c r="K792" s="657"/>
      <c r="L792" s="657"/>
      <c r="M792" s="13"/>
    </row>
    <row r="793" spans="1:13">
      <c r="A793" s="658"/>
      <c r="B793" s="658"/>
      <c r="C793" s="658" t="s">
        <v>969</v>
      </c>
      <c r="D793" s="658" t="s">
        <v>3249</v>
      </c>
      <c r="E793" s="658" t="s">
        <v>2723</v>
      </c>
      <c r="F793" s="653"/>
      <c r="G793" s="654"/>
      <c r="H793" s="657">
        <v>480</v>
      </c>
      <c r="I793" s="657">
        <f t="shared" ref="I793" si="685">H793</f>
        <v>480</v>
      </c>
      <c r="J793" s="657"/>
      <c r="K793" s="657">
        <v>480</v>
      </c>
      <c r="L793" s="657">
        <f t="shared" ref="L793" si="686">K793-I793</f>
        <v>0</v>
      </c>
      <c r="M793" s="13"/>
    </row>
    <row r="794" spans="1:13">
      <c r="A794" s="658"/>
      <c r="B794" s="658"/>
      <c r="C794" s="658"/>
      <c r="D794" s="658"/>
      <c r="E794" s="658"/>
      <c r="F794" s="655"/>
      <c r="G794" s="656"/>
      <c r="H794" s="657"/>
      <c r="I794" s="657"/>
      <c r="J794" s="657"/>
      <c r="K794" s="657"/>
      <c r="L794" s="657"/>
      <c r="M794" s="13"/>
    </row>
    <row r="795" spans="1:13">
      <c r="A795" s="658"/>
      <c r="B795" s="658"/>
      <c r="C795" s="658" t="s">
        <v>972</v>
      </c>
      <c r="D795" s="658" t="s">
        <v>3249</v>
      </c>
      <c r="E795" s="658" t="s">
        <v>2853</v>
      </c>
      <c r="F795" s="653"/>
      <c r="G795" s="654"/>
      <c r="H795" s="657">
        <v>350</v>
      </c>
      <c r="I795" s="657">
        <f t="shared" ref="I795" si="687">H795</f>
        <v>350</v>
      </c>
      <c r="J795" s="657"/>
      <c r="K795" s="657">
        <v>350</v>
      </c>
      <c r="L795" s="657">
        <f t="shared" ref="L795" si="688">K795-I795</f>
        <v>0</v>
      </c>
      <c r="M795" s="13"/>
    </row>
    <row r="796" spans="1:13">
      <c r="A796" s="658"/>
      <c r="B796" s="658"/>
      <c r="C796" s="658"/>
      <c r="D796" s="658"/>
      <c r="E796" s="658"/>
      <c r="F796" s="655"/>
      <c r="G796" s="656"/>
      <c r="H796" s="657"/>
      <c r="I796" s="657"/>
      <c r="J796" s="657"/>
      <c r="K796" s="657"/>
      <c r="L796" s="657"/>
      <c r="M796" s="13"/>
    </row>
    <row r="797" spans="1:13">
      <c r="A797" s="658"/>
      <c r="B797" s="658"/>
      <c r="C797" s="658" t="s">
        <v>977</v>
      </c>
      <c r="D797" s="658" t="s">
        <v>3249</v>
      </c>
      <c r="E797" s="658" t="s">
        <v>3226</v>
      </c>
      <c r="F797" s="653"/>
      <c r="G797" s="654"/>
      <c r="H797" s="657">
        <v>300</v>
      </c>
      <c r="I797" s="657">
        <f t="shared" ref="I797" si="689">H797</f>
        <v>300</v>
      </c>
      <c r="J797" s="657"/>
      <c r="K797" s="657">
        <v>300</v>
      </c>
      <c r="L797" s="657">
        <f t="shared" ref="L797" si="690">K797-I797</f>
        <v>0</v>
      </c>
      <c r="M797" s="13"/>
    </row>
    <row r="798" spans="1:13">
      <c r="A798" s="658"/>
      <c r="B798" s="658"/>
      <c r="C798" s="658"/>
      <c r="D798" s="658"/>
      <c r="E798" s="658"/>
      <c r="F798" s="655"/>
      <c r="G798" s="656"/>
      <c r="H798" s="657"/>
      <c r="I798" s="657"/>
      <c r="J798" s="657"/>
      <c r="K798" s="657"/>
      <c r="L798" s="657"/>
      <c r="M798" s="13"/>
    </row>
    <row r="799" spans="1:13">
      <c r="A799" s="658" t="s">
        <v>438</v>
      </c>
      <c r="B799" s="658" t="s">
        <v>2969</v>
      </c>
      <c r="C799" s="658" t="s">
        <v>3253</v>
      </c>
      <c r="D799" s="658" t="s">
        <v>3249</v>
      </c>
      <c r="E799" s="658" t="s">
        <v>239</v>
      </c>
      <c r="F799" s="653"/>
      <c r="G799" s="654"/>
      <c r="H799" s="657">
        <v>1350</v>
      </c>
      <c r="I799" s="657">
        <f t="shared" ref="I799" si="691">H799</f>
        <v>1350</v>
      </c>
      <c r="J799" s="657"/>
      <c r="K799" s="657">
        <v>1350</v>
      </c>
      <c r="L799" s="657">
        <f t="shared" ref="L799" si="692">K799-I799</f>
        <v>0</v>
      </c>
      <c r="M799" s="13"/>
    </row>
    <row r="800" spans="1:13">
      <c r="A800" s="658"/>
      <c r="B800" s="658"/>
      <c r="C800" s="658"/>
      <c r="D800" s="658"/>
      <c r="E800" s="658"/>
      <c r="F800" s="655"/>
      <c r="G800" s="656"/>
      <c r="H800" s="657"/>
      <c r="I800" s="657"/>
      <c r="J800" s="657"/>
      <c r="K800" s="657"/>
      <c r="L800" s="657"/>
      <c r="M800" s="13"/>
    </row>
    <row r="801" spans="1:14">
      <c r="A801" s="658"/>
      <c r="B801" s="658"/>
      <c r="C801" s="658" t="s">
        <v>978</v>
      </c>
      <c r="D801" s="658" t="s">
        <v>3250</v>
      </c>
      <c r="E801" s="658" t="s">
        <v>2723</v>
      </c>
      <c r="F801" s="653"/>
      <c r="G801" s="654"/>
      <c r="H801" s="657">
        <v>740</v>
      </c>
      <c r="I801" s="657">
        <f t="shared" ref="I801" si="693">H801</f>
        <v>740</v>
      </c>
      <c r="J801" s="657"/>
      <c r="K801" s="657">
        <v>740</v>
      </c>
      <c r="L801" s="657">
        <f t="shared" ref="L801" si="694">K801-I801</f>
        <v>0</v>
      </c>
      <c r="M801" s="13"/>
      <c r="N801" s="572">
        <f>SUM(I771,I777,I781,I893,I903,I915,I917,I949,I961,I975,I1005,I1007)</f>
        <v>3480</v>
      </c>
    </row>
    <row r="802" spans="1:14">
      <c r="A802" s="658"/>
      <c r="B802" s="658"/>
      <c r="C802" s="658"/>
      <c r="D802" s="658"/>
      <c r="E802" s="658"/>
      <c r="F802" s="655"/>
      <c r="G802" s="656"/>
      <c r="H802" s="657"/>
      <c r="I802" s="657"/>
      <c r="J802" s="657"/>
      <c r="K802" s="657"/>
      <c r="L802" s="657"/>
      <c r="M802" s="13"/>
    </row>
    <row r="803" spans="1:14">
      <c r="A803" s="658"/>
      <c r="B803" s="658"/>
      <c r="C803" s="658" t="s">
        <v>983</v>
      </c>
      <c r="D803" s="658" t="s">
        <v>3250</v>
      </c>
      <c r="E803" s="658" t="s">
        <v>3187</v>
      </c>
      <c r="F803" s="653"/>
      <c r="G803" s="654"/>
      <c r="H803" s="657">
        <v>350</v>
      </c>
      <c r="I803" s="657">
        <f t="shared" ref="I803" si="695">H803</f>
        <v>350</v>
      </c>
      <c r="J803" s="657"/>
      <c r="K803" s="657">
        <v>350</v>
      </c>
      <c r="L803" s="657">
        <f t="shared" ref="L803" si="696">K803-I803</f>
        <v>0</v>
      </c>
      <c r="M803" s="13"/>
    </row>
    <row r="804" spans="1:14">
      <c r="A804" s="658"/>
      <c r="B804" s="658"/>
      <c r="C804" s="658"/>
      <c r="D804" s="658"/>
      <c r="E804" s="658"/>
      <c r="F804" s="655"/>
      <c r="G804" s="656"/>
      <c r="H804" s="657"/>
      <c r="I804" s="657"/>
      <c r="J804" s="657"/>
      <c r="K804" s="657"/>
      <c r="L804" s="657"/>
      <c r="M804" s="13"/>
    </row>
    <row r="805" spans="1:14">
      <c r="A805" s="658" t="s">
        <v>457</v>
      </c>
      <c r="B805" s="658" t="s">
        <v>2983</v>
      </c>
      <c r="C805" s="658" t="s">
        <v>3254</v>
      </c>
      <c r="D805" s="658" t="s">
        <v>3249</v>
      </c>
      <c r="E805" s="658" t="s">
        <v>239</v>
      </c>
      <c r="F805" s="653"/>
      <c r="G805" s="654"/>
      <c r="H805" s="657">
        <v>44493</v>
      </c>
      <c r="I805" s="657">
        <v>1350</v>
      </c>
      <c r="J805" s="657"/>
      <c r="K805" s="657">
        <v>1350</v>
      </c>
      <c r="L805" s="657">
        <f t="shared" ref="L805" si="697">K805-I805</f>
        <v>0</v>
      </c>
      <c r="M805" s="13"/>
    </row>
    <row r="806" spans="1:14">
      <c r="A806" s="658"/>
      <c r="B806" s="658"/>
      <c r="C806" s="658"/>
      <c r="D806" s="658"/>
      <c r="E806" s="658"/>
      <c r="F806" s="655"/>
      <c r="G806" s="656"/>
      <c r="H806" s="657"/>
      <c r="I806" s="657"/>
      <c r="J806" s="657"/>
      <c r="K806" s="657"/>
      <c r="L806" s="657"/>
      <c r="M806" s="13"/>
    </row>
    <row r="807" spans="1:14">
      <c r="A807" s="658"/>
      <c r="B807" s="658"/>
      <c r="C807" s="658" t="s">
        <v>988</v>
      </c>
      <c r="D807" s="658" t="s">
        <v>3250</v>
      </c>
      <c r="E807" s="658" t="s">
        <v>2723</v>
      </c>
      <c r="F807" s="653"/>
      <c r="G807" s="654"/>
      <c r="H807" s="657">
        <v>370</v>
      </c>
      <c r="I807" s="657">
        <f t="shared" ref="I807" si="698">H807</f>
        <v>370</v>
      </c>
      <c r="J807" s="657"/>
      <c r="K807" s="657">
        <v>370</v>
      </c>
      <c r="L807" s="657">
        <f t="shared" ref="L807" si="699">K807-I807</f>
        <v>0</v>
      </c>
      <c r="M807" s="13"/>
    </row>
    <row r="808" spans="1:14">
      <c r="A808" s="658"/>
      <c r="B808" s="658"/>
      <c r="C808" s="658"/>
      <c r="D808" s="658"/>
      <c r="E808" s="658"/>
      <c r="F808" s="655"/>
      <c r="G808" s="656"/>
      <c r="H808" s="657"/>
      <c r="I808" s="657"/>
      <c r="J808" s="657"/>
      <c r="K808" s="657"/>
      <c r="L808" s="657"/>
      <c r="M808" s="13"/>
    </row>
    <row r="809" spans="1:14">
      <c r="A809" s="658"/>
      <c r="B809" s="658"/>
      <c r="C809" s="658" t="s">
        <v>993</v>
      </c>
      <c r="D809" s="658" t="s">
        <v>3250</v>
      </c>
      <c r="E809" s="658" t="s">
        <v>117</v>
      </c>
      <c r="F809" s="653"/>
      <c r="G809" s="654"/>
      <c r="H809" s="657">
        <v>110</v>
      </c>
      <c r="I809" s="657">
        <f t="shared" ref="I809" si="700">H809</f>
        <v>110</v>
      </c>
      <c r="J809" s="657"/>
      <c r="K809" s="657"/>
      <c r="L809" s="657">
        <f t="shared" ref="L809" si="701">K809-I809</f>
        <v>-110</v>
      </c>
      <c r="M809" s="13"/>
    </row>
    <row r="810" spans="1:14">
      <c r="A810" s="658"/>
      <c r="B810" s="658"/>
      <c r="C810" s="658"/>
      <c r="D810" s="658"/>
      <c r="E810" s="658"/>
      <c r="F810" s="655"/>
      <c r="G810" s="656"/>
      <c r="H810" s="657"/>
      <c r="I810" s="657"/>
      <c r="J810" s="657"/>
      <c r="K810" s="657"/>
      <c r="L810" s="657"/>
      <c r="M810" s="13"/>
    </row>
    <row r="811" spans="1:14">
      <c r="A811" s="658" t="s">
        <v>458</v>
      </c>
      <c r="B811" s="658" t="s">
        <v>3176</v>
      </c>
      <c r="C811" s="658" t="s">
        <v>3266</v>
      </c>
      <c r="D811" s="658" t="s">
        <v>3250</v>
      </c>
      <c r="E811" s="658" t="s">
        <v>239</v>
      </c>
      <c r="F811" s="653"/>
      <c r="G811" s="654"/>
      <c r="H811" s="657">
        <v>1350</v>
      </c>
      <c r="I811" s="657">
        <f t="shared" ref="I811" si="702">H811</f>
        <v>1350</v>
      </c>
      <c r="J811" s="657"/>
      <c r="K811" s="657">
        <v>1350</v>
      </c>
      <c r="L811" s="657">
        <f t="shared" ref="L811" si="703">K811-I811</f>
        <v>0</v>
      </c>
      <c r="M811" s="13"/>
    </row>
    <row r="812" spans="1:14">
      <c r="A812" s="658"/>
      <c r="B812" s="658"/>
      <c r="C812" s="658"/>
      <c r="D812" s="658"/>
      <c r="E812" s="658"/>
      <c r="F812" s="655"/>
      <c r="G812" s="656"/>
      <c r="H812" s="657"/>
      <c r="I812" s="657"/>
      <c r="J812" s="657"/>
      <c r="K812" s="657"/>
      <c r="L812" s="657"/>
      <c r="M812" s="13"/>
    </row>
    <row r="813" spans="1:14">
      <c r="A813" s="658"/>
      <c r="B813" s="658"/>
      <c r="C813" s="658" t="s">
        <v>554</v>
      </c>
      <c r="D813" s="658" t="s">
        <v>3255</v>
      </c>
      <c r="E813" s="658" t="s">
        <v>3043</v>
      </c>
      <c r="F813" s="653"/>
      <c r="G813" s="654"/>
      <c r="H813" s="657">
        <v>250</v>
      </c>
      <c r="I813" s="657">
        <f t="shared" ref="I813" si="704">H813</f>
        <v>250</v>
      </c>
      <c r="J813" s="657"/>
      <c r="K813" s="657">
        <v>250</v>
      </c>
      <c r="L813" s="657">
        <f t="shared" ref="L813" si="705">K813-I813</f>
        <v>0</v>
      </c>
      <c r="M813" s="13"/>
    </row>
    <row r="814" spans="1:14">
      <c r="A814" s="658"/>
      <c r="B814" s="658"/>
      <c r="C814" s="658"/>
      <c r="D814" s="658"/>
      <c r="E814" s="658"/>
      <c r="F814" s="655"/>
      <c r="G814" s="656"/>
      <c r="H814" s="657"/>
      <c r="I814" s="657"/>
      <c r="J814" s="657"/>
      <c r="K814" s="657"/>
      <c r="L814" s="657"/>
      <c r="M814" s="13"/>
    </row>
    <row r="815" spans="1:14">
      <c r="A815" s="658"/>
      <c r="B815" s="658"/>
      <c r="C815" s="658" t="s">
        <v>994</v>
      </c>
      <c r="D815" s="658" t="s">
        <v>3255</v>
      </c>
      <c r="E815" s="658" t="s">
        <v>3256</v>
      </c>
      <c r="F815" s="653"/>
      <c r="G815" s="654"/>
      <c r="H815" s="657">
        <v>370</v>
      </c>
      <c r="I815" s="657">
        <f t="shared" ref="I815" si="706">H815</f>
        <v>370</v>
      </c>
      <c r="J815" s="657"/>
      <c r="K815" s="657">
        <v>370</v>
      </c>
      <c r="L815" s="657">
        <f t="shared" ref="L815" si="707">K815-I815</f>
        <v>0</v>
      </c>
      <c r="M815" s="13"/>
    </row>
    <row r="816" spans="1:14">
      <c r="A816" s="658"/>
      <c r="B816" s="658"/>
      <c r="C816" s="658"/>
      <c r="D816" s="658"/>
      <c r="E816" s="658"/>
      <c r="F816" s="655"/>
      <c r="G816" s="656"/>
      <c r="H816" s="657"/>
      <c r="I816" s="657"/>
      <c r="J816" s="657"/>
      <c r="K816" s="657"/>
      <c r="L816" s="657"/>
      <c r="M816" s="13"/>
    </row>
    <row r="817" spans="1:13">
      <c r="A817" s="658"/>
      <c r="B817" s="658"/>
      <c r="C817" s="658" t="s">
        <v>1000</v>
      </c>
      <c r="D817" s="658" t="s">
        <v>3255</v>
      </c>
      <c r="E817" s="658" t="s">
        <v>3257</v>
      </c>
      <c r="F817" s="653"/>
      <c r="G817" s="654"/>
      <c r="H817" s="657">
        <v>300</v>
      </c>
      <c r="I817" s="657">
        <f t="shared" ref="I817" si="708">H817</f>
        <v>300</v>
      </c>
      <c r="J817" s="657"/>
      <c r="K817" s="657">
        <v>300</v>
      </c>
      <c r="L817" s="657">
        <f t="shared" ref="L817" si="709">K817-I817</f>
        <v>0</v>
      </c>
      <c r="M817" s="13"/>
    </row>
    <row r="818" spans="1:13">
      <c r="A818" s="658"/>
      <c r="B818" s="658"/>
      <c r="C818" s="658"/>
      <c r="D818" s="658"/>
      <c r="E818" s="658"/>
      <c r="F818" s="655"/>
      <c r="G818" s="656"/>
      <c r="H818" s="657"/>
      <c r="I818" s="657"/>
      <c r="J818" s="657"/>
      <c r="K818" s="657"/>
      <c r="L818" s="657"/>
      <c r="M818" s="13"/>
    </row>
    <row r="819" spans="1:13">
      <c r="A819" s="658" t="s">
        <v>460</v>
      </c>
      <c r="B819" s="658" t="s">
        <v>3098</v>
      </c>
      <c r="C819" s="658" t="s">
        <v>3268</v>
      </c>
      <c r="D819" s="658" t="s">
        <v>3267</v>
      </c>
      <c r="E819" s="658" t="s">
        <v>239</v>
      </c>
      <c r="F819" s="653"/>
      <c r="G819" s="654"/>
      <c r="H819" s="657">
        <v>44851</v>
      </c>
      <c r="I819" s="657">
        <v>1350</v>
      </c>
      <c r="J819" s="657"/>
      <c r="K819" s="657">
        <v>1350</v>
      </c>
      <c r="L819" s="657">
        <f t="shared" ref="L819" si="710">K819-I819</f>
        <v>0</v>
      </c>
      <c r="M819" s="13"/>
    </row>
    <row r="820" spans="1:13">
      <c r="A820" s="658"/>
      <c r="B820" s="658"/>
      <c r="C820" s="658"/>
      <c r="D820" s="658"/>
      <c r="E820" s="658"/>
      <c r="F820" s="655"/>
      <c r="G820" s="656"/>
      <c r="H820" s="657"/>
      <c r="I820" s="657"/>
      <c r="J820" s="657"/>
      <c r="K820" s="657"/>
      <c r="L820" s="657"/>
      <c r="M820" s="13"/>
    </row>
    <row r="821" spans="1:13">
      <c r="A821" s="658"/>
      <c r="B821" s="658"/>
      <c r="C821" s="658" t="s">
        <v>1001</v>
      </c>
      <c r="D821" s="658" t="s">
        <v>3259</v>
      </c>
      <c r="E821" s="658" t="s">
        <v>3258</v>
      </c>
      <c r="F821" s="653"/>
      <c r="G821" s="654"/>
      <c r="H821" s="657">
        <v>450</v>
      </c>
      <c r="I821" s="657">
        <f t="shared" ref="I821" si="711">H821</f>
        <v>450</v>
      </c>
      <c r="J821" s="657"/>
      <c r="K821" s="657">
        <v>450</v>
      </c>
      <c r="L821" s="657">
        <f t="shared" ref="L821" si="712">K821-I821</f>
        <v>0</v>
      </c>
      <c r="M821" s="13"/>
    </row>
    <row r="822" spans="1:13">
      <c r="A822" s="658"/>
      <c r="B822" s="658"/>
      <c r="C822" s="658"/>
      <c r="D822" s="658"/>
      <c r="E822" s="658"/>
      <c r="F822" s="655"/>
      <c r="G822" s="656"/>
      <c r="H822" s="657"/>
      <c r="I822" s="657"/>
      <c r="J822" s="657"/>
      <c r="K822" s="657"/>
      <c r="L822" s="657"/>
      <c r="M822" s="13"/>
    </row>
    <row r="823" spans="1:13">
      <c r="A823" s="658"/>
      <c r="B823" s="658"/>
      <c r="C823" s="658" t="s">
        <v>1002</v>
      </c>
      <c r="D823" s="658" t="s">
        <v>3263</v>
      </c>
      <c r="E823" s="658" t="s">
        <v>3260</v>
      </c>
      <c r="F823" s="653"/>
      <c r="G823" s="654"/>
      <c r="H823" s="657">
        <v>350</v>
      </c>
      <c r="I823" s="657">
        <f t="shared" ref="I823" si="713">H823</f>
        <v>350</v>
      </c>
      <c r="J823" s="657"/>
      <c r="K823" s="657">
        <v>350</v>
      </c>
      <c r="L823" s="657">
        <f t="shared" ref="L823" si="714">K823-I823</f>
        <v>0</v>
      </c>
      <c r="M823" s="13"/>
    </row>
    <row r="824" spans="1:13">
      <c r="A824" s="658"/>
      <c r="B824" s="658"/>
      <c r="C824" s="658"/>
      <c r="D824" s="658"/>
      <c r="E824" s="658"/>
      <c r="F824" s="655"/>
      <c r="G824" s="656"/>
      <c r="H824" s="657"/>
      <c r="I824" s="657"/>
      <c r="J824" s="657"/>
      <c r="K824" s="657"/>
      <c r="L824" s="657"/>
      <c r="M824" s="13"/>
    </row>
    <row r="825" spans="1:13">
      <c r="A825" s="658"/>
      <c r="B825" s="658"/>
      <c r="C825" s="658" t="s">
        <v>1011</v>
      </c>
      <c r="D825" s="658" t="s">
        <v>3259</v>
      </c>
      <c r="E825" s="658" t="s">
        <v>3261</v>
      </c>
      <c r="F825" s="653"/>
      <c r="G825" s="654"/>
      <c r="H825" s="657">
        <v>10000</v>
      </c>
      <c r="I825" s="657">
        <v>301</v>
      </c>
      <c r="J825" s="657"/>
      <c r="K825" s="657">
        <v>301</v>
      </c>
      <c r="L825" s="657">
        <f t="shared" ref="L825" si="715">K825-I825</f>
        <v>0</v>
      </c>
      <c r="M825" s="13" t="s">
        <v>3262</v>
      </c>
    </row>
    <row r="826" spans="1:13">
      <c r="A826" s="658"/>
      <c r="B826" s="658"/>
      <c r="C826" s="658"/>
      <c r="D826" s="658"/>
      <c r="E826" s="658"/>
      <c r="F826" s="655"/>
      <c r="G826" s="656"/>
      <c r="H826" s="657"/>
      <c r="I826" s="657"/>
      <c r="J826" s="657"/>
      <c r="K826" s="657"/>
      <c r="L826" s="657"/>
      <c r="M826" s="13"/>
    </row>
    <row r="827" spans="1:13">
      <c r="A827" s="658" t="s">
        <v>465</v>
      </c>
      <c r="B827" s="658" t="s">
        <v>2983</v>
      </c>
      <c r="C827" s="658" t="s">
        <v>3269</v>
      </c>
      <c r="D827" s="658" t="s">
        <v>3270</v>
      </c>
      <c r="E827" s="658" t="s">
        <v>239</v>
      </c>
      <c r="F827" s="653"/>
      <c r="G827" s="654"/>
      <c r="H827" s="657">
        <v>1350</v>
      </c>
      <c r="I827" s="657">
        <f t="shared" ref="I827" si="716">H827</f>
        <v>1350</v>
      </c>
      <c r="J827" s="657"/>
      <c r="K827" s="657">
        <v>1350</v>
      </c>
      <c r="L827" s="657">
        <f t="shared" ref="L827" si="717">K827-I827</f>
        <v>0</v>
      </c>
      <c r="M827" s="13"/>
    </row>
    <row r="828" spans="1:13">
      <c r="A828" s="658"/>
      <c r="B828" s="658"/>
      <c r="C828" s="658"/>
      <c r="D828" s="658"/>
      <c r="E828" s="658"/>
      <c r="F828" s="655"/>
      <c r="G828" s="656"/>
      <c r="H828" s="657"/>
      <c r="I828" s="657"/>
      <c r="J828" s="657"/>
      <c r="K828" s="657"/>
      <c r="L828" s="657"/>
      <c r="M828" s="13"/>
    </row>
    <row r="829" spans="1:13">
      <c r="A829" s="658"/>
      <c r="B829" s="658"/>
      <c r="C829" s="658" t="s">
        <v>1012</v>
      </c>
      <c r="D829" s="658" t="s">
        <v>3259</v>
      </c>
      <c r="E829" s="658" t="s">
        <v>2723</v>
      </c>
      <c r="F829" s="653"/>
      <c r="G829" s="654"/>
      <c r="H829" s="657">
        <v>300</v>
      </c>
      <c r="I829" s="657">
        <f t="shared" ref="I829" si="718">H829</f>
        <v>300</v>
      </c>
      <c r="J829" s="657"/>
      <c r="K829" s="657">
        <v>300</v>
      </c>
      <c r="L829" s="657">
        <f t="shared" ref="L829" si="719">K829-I829</f>
        <v>0</v>
      </c>
      <c r="M829" s="13"/>
    </row>
    <row r="830" spans="1:13">
      <c r="A830" s="658"/>
      <c r="B830" s="658"/>
      <c r="C830" s="658"/>
      <c r="D830" s="658"/>
      <c r="E830" s="658"/>
      <c r="F830" s="655"/>
      <c r="G830" s="656"/>
      <c r="H830" s="657"/>
      <c r="I830" s="657"/>
      <c r="J830" s="657"/>
      <c r="K830" s="657"/>
      <c r="L830" s="657"/>
      <c r="M830" s="13"/>
    </row>
    <row r="831" spans="1:13">
      <c r="A831" s="658"/>
      <c r="B831" s="658"/>
      <c r="C831" s="658" t="s">
        <v>1013</v>
      </c>
      <c r="D831" s="658" t="s">
        <v>3259</v>
      </c>
      <c r="E831" s="658" t="s">
        <v>3261</v>
      </c>
      <c r="F831" s="653"/>
      <c r="G831" s="654"/>
      <c r="H831" s="657">
        <v>13000</v>
      </c>
      <c r="I831" s="657">
        <v>391</v>
      </c>
      <c r="J831" s="657"/>
      <c r="K831" s="657">
        <v>391</v>
      </c>
      <c r="L831" s="657">
        <f t="shared" ref="L831" si="720">K831-I831</f>
        <v>0</v>
      </c>
      <c r="M831" s="13" t="s">
        <v>3262</v>
      </c>
    </row>
    <row r="832" spans="1:13">
      <c r="A832" s="658"/>
      <c r="B832" s="658"/>
      <c r="C832" s="658"/>
      <c r="D832" s="658"/>
      <c r="E832" s="658"/>
      <c r="F832" s="655"/>
      <c r="G832" s="656"/>
      <c r="H832" s="657"/>
      <c r="I832" s="657"/>
      <c r="J832" s="657"/>
      <c r="K832" s="657"/>
      <c r="L832" s="657"/>
      <c r="M832" s="13"/>
    </row>
    <row r="833" spans="1:13">
      <c r="A833" s="658"/>
      <c r="B833" s="658"/>
      <c r="C833" s="658" t="s">
        <v>1019</v>
      </c>
      <c r="D833" s="658" t="s">
        <v>3259</v>
      </c>
      <c r="E833" s="658" t="s">
        <v>117</v>
      </c>
      <c r="F833" s="653"/>
      <c r="G833" s="654"/>
      <c r="H833" s="657">
        <v>110</v>
      </c>
      <c r="I833" s="657">
        <f t="shared" ref="I833" si="721">H833</f>
        <v>110</v>
      </c>
      <c r="J833" s="657"/>
      <c r="K833" s="657"/>
      <c r="L833" s="657">
        <f t="shared" ref="L833" si="722">K833-I833</f>
        <v>-110</v>
      </c>
      <c r="M833" s="13"/>
    </row>
    <row r="834" spans="1:13">
      <c r="A834" s="658"/>
      <c r="B834" s="658"/>
      <c r="C834" s="658"/>
      <c r="D834" s="658"/>
      <c r="E834" s="658"/>
      <c r="F834" s="655"/>
      <c r="G834" s="656"/>
      <c r="H834" s="657"/>
      <c r="I834" s="657"/>
      <c r="J834" s="657"/>
      <c r="K834" s="657"/>
      <c r="L834" s="657"/>
      <c r="M834" s="13"/>
    </row>
    <row r="835" spans="1:13">
      <c r="A835" s="658" t="s">
        <v>466</v>
      </c>
      <c r="B835" s="658" t="s">
        <v>2969</v>
      </c>
      <c r="C835" s="658" t="s">
        <v>3271</v>
      </c>
      <c r="D835" s="658" t="s">
        <v>3255</v>
      </c>
      <c r="E835" s="658" t="s">
        <v>239</v>
      </c>
      <c r="F835" s="653"/>
      <c r="G835" s="654"/>
      <c r="H835" s="657">
        <v>46479</v>
      </c>
      <c r="I835" s="657">
        <v>1400</v>
      </c>
      <c r="J835" s="657"/>
      <c r="K835" s="657">
        <v>1400</v>
      </c>
      <c r="L835" s="657">
        <f t="shared" ref="L835" si="723">K835-I835</f>
        <v>0</v>
      </c>
      <c r="M835" s="13"/>
    </row>
    <row r="836" spans="1:13">
      <c r="A836" s="658"/>
      <c r="B836" s="658"/>
      <c r="C836" s="658"/>
      <c r="D836" s="658"/>
      <c r="E836" s="658"/>
      <c r="F836" s="655"/>
      <c r="G836" s="656"/>
      <c r="H836" s="657"/>
      <c r="I836" s="657"/>
      <c r="J836" s="657"/>
      <c r="K836" s="657"/>
      <c r="L836" s="657"/>
      <c r="M836" s="13"/>
    </row>
    <row r="837" spans="1:13">
      <c r="A837" s="658"/>
      <c r="B837" s="658"/>
      <c r="C837" s="658" t="s">
        <v>1020</v>
      </c>
      <c r="D837" s="658" t="s">
        <v>3259</v>
      </c>
      <c r="E837" s="658" t="s">
        <v>2723</v>
      </c>
      <c r="F837" s="653"/>
      <c r="G837" s="654"/>
      <c r="H837" s="657">
        <v>330</v>
      </c>
      <c r="I837" s="657">
        <f t="shared" ref="I837" si="724">H837</f>
        <v>330</v>
      </c>
      <c r="J837" s="657"/>
      <c r="K837" s="657">
        <v>330</v>
      </c>
      <c r="L837" s="657">
        <f t="shared" ref="L837" si="725">K837-I837</f>
        <v>0</v>
      </c>
      <c r="M837" s="13"/>
    </row>
    <row r="838" spans="1:13">
      <c r="A838" s="658"/>
      <c r="B838" s="658"/>
      <c r="C838" s="658"/>
      <c r="D838" s="658"/>
      <c r="E838" s="658"/>
      <c r="F838" s="655"/>
      <c r="G838" s="656"/>
      <c r="H838" s="657"/>
      <c r="I838" s="657"/>
      <c r="J838" s="657"/>
      <c r="K838" s="657"/>
      <c r="L838" s="657"/>
      <c r="M838" s="13"/>
    </row>
    <row r="839" spans="1:13">
      <c r="A839" s="658"/>
      <c r="B839" s="658"/>
      <c r="C839" s="658" t="s">
        <v>1031</v>
      </c>
      <c r="D839" s="658" t="s">
        <v>3259</v>
      </c>
      <c r="E839" s="658" t="s">
        <v>2375</v>
      </c>
      <c r="F839" s="653"/>
      <c r="G839" s="654"/>
      <c r="H839" s="657">
        <v>45</v>
      </c>
      <c r="I839" s="657">
        <f t="shared" ref="I839" si="726">H839</f>
        <v>45</v>
      </c>
      <c r="J839" s="657"/>
      <c r="K839" s="657">
        <v>45</v>
      </c>
      <c r="L839" s="657">
        <f t="shared" ref="L839" si="727">K839-I839</f>
        <v>0</v>
      </c>
      <c r="M839" s="13"/>
    </row>
    <row r="840" spans="1:13">
      <c r="A840" s="658"/>
      <c r="B840" s="658"/>
      <c r="C840" s="658"/>
      <c r="D840" s="658"/>
      <c r="E840" s="658"/>
      <c r="F840" s="655"/>
      <c r="G840" s="656"/>
      <c r="H840" s="657"/>
      <c r="I840" s="657"/>
      <c r="J840" s="657"/>
      <c r="K840" s="657"/>
      <c r="L840" s="657"/>
      <c r="M840" s="13"/>
    </row>
    <row r="841" spans="1:13">
      <c r="A841" s="658"/>
      <c r="B841" s="658"/>
      <c r="C841" s="658" t="s">
        <v>1030</v>
      </c>
      <c r="D841" s="658" t="s">
        <v>3259</v>
      </c>
      <c r="E841" s="658" t="s">
        <v>3187</v>
      </c>
      <c r="F841" s="653"/>
      <c r="G841" s="654"/>
      <c r="H841" s="657">
        <v>430</v>
      </c>
      <c r="I841" s="657">
        <f t="shared" ref="I841" si="728">H841</f>
        <v>430</v>
      </c>
      <c r="J841" s="657"/>
      <c r="K841" s="657">
        <v>430</v>
      </c>
      <c r="L841" s="657">
        <f t="shared" ref="L841" si="729">K841-I841</f>
        <v>0</v>
      </c>
      <c r="M841" s="13"/>
    </row>
    <row r="842" spans="1:13">
      <c r="A842" s="658"/>
      <c r="B842" s="658"/>
      <c r="C842" s="658"/>
      <c r="D842" s="658"/>
      <c r="E842" s="658"/>
      <c r="F842" s="655"/>
      <c r="G842" s="656"/>
      <c r="H842" s="657"/>
      <c r="I842" s="657"/>
      <c r="J842" s="657"/>
      <c r="K842" s="657"/>
      <c r="L842" s="657"/>
      <c r="M842" s="13"/>
    </row>
    <row r="843" spans="1:13">
      <c r="A843" s="658"/>
      <c r="B843" s="658"/>
      <c r="C843" s="658" t="s">
        <v>1035</v>
      </c>
      <c r="D843" s="658" t="s">
        <v>3259</v>
      </c>
      <c r="E843" s="658" t="s">
        <v>2376</v>
      </c>
      <c r="F843" s="653"/>
      <c r="G843" s="654"/>
      <c r="H843" s="657">
        <v>55</v>
      </c>
      <c r="I843" s="657">
        <f t="shared" ref="I843" si="730">H843</f>
        <v>55</v>
      </c>
      <c r="J843" s="657"/>
      <c r="K843" s="657"/>
      <c r="L843" s="657">
        <f t="shared" ref="L843" si="731">K843-I843</f>
        <v>-55</v>
      </c>
      <c r="M843" s="13"/>
    </row>
    <row r="844" spans="1:13">
      <c r="A844" s="658"/>
      <c r="B844" s="658"/>
      <c r="C844" s="658"/>
      <c r="D844" s="658"/>
      <c r="E844" s="658"/>
      <c r="F844" s="655"/>
      <c r="G844" s="656"/>
      <c r="H844" s="657"/>
      <c r="I844" s="657"/>
      <c r="J844" s="657"/>
      <c r="K844" s="657"/>
      <c r="L844" s="657"/>
      <c r="M844" s="13"/>
    </row>
    <row r="845" spans="1:13">
      <c r="A845" s="658" t="s">
        <v>467</v>
      </c>
      <c r="B845" s="658" t="s">
        <v>3176</v>
      </c>
      <c r="C845" s="658" t="s">
        <v>3275</v>
      </c>
      <c r="D845" s="658" t="s">
        <v>3259</v>
      </c>
      <c r="E845" s="658" t="s">
        <v>239</v>
      </c>
      <c r="F845" s="653"/>
      <c r="G845" s="654"/>
      <c r="H845" s="657">
        <v>1350</v>
      </c>
      <c r="I845" s="657">
        <f t="shared" ref="I845" si="732">H845</f>
        <v>1350</v>
      </c>
      <c r="J845" s="657"/>
      <c r="K845" s="657">
        <v>1350</v>
      </c>
      <c r="L845" s="657">
        <f t="shared" ref="L845" si="733">K845-I845</f>
        <v>0</v>
      </c>
      <c r="M845" s="13"/>
    </row>
    <row r="846" spans="1:13">
      <c r="A846" s="658"/>
      <c r="B846" s="658"/>
      <c r="C846" s="658"/>
      <c r="D846" s="658"/>
      <c r="E846" s="658"/>
      <c r="F846" s="655"/>
      <c r="G846" s="656"/>
      <c r="H846" s="657"/>
      <c r="I846" s="657"/>
      <c r="J846" s="657"/>
      <c r="K846" s="657"/>
      <c r="L846" s="657"/>
      <c r="M846" s="13"/>
    </row>
    <row r="847" spans="1:13">
      <c r="A847" s="658"/>
      <c r="B847" s="658"/>
      <c r="C847" s="658" t="s">
        <v>1036</v>
      </c>
      <c r="D847" s="658" t="s">
        <v>3265</v>
      </c>
      <c r="E847" s="658" t="s">
        <v>2723</v>
      </c>
      <c r="F847" s="653"/>
      <c r="G847" s="654"/>
      <c r="H847" s="657">
        <v>380</v>
      </c>
      <c r="I847" s="657">
        <f t="shared" ref="I847" si="734">H847</f>
        <v>380</v>
      </c>
      <c r="J847" s="657"/>
      <c r="K847" s="657"/>
      <c r="L847" s="657">
        <f t="shared" ref="L847" si="735">K847-I847</f>
        <v>-380</v>
      </c>
      <c r="M847" s="13" t="s">
        <v>3367</v>
      </c>
    </row>
    <row r="848" spans="1:13">
      <c r="A848" s="658"/>
      <c r="B848" s="658"/>
      <c r="C848" s="658"/>
      <c r="D848" s="658"/>
      <c r="E848" s="658"/>
      <c r="F848" s="655"/>
      <c r="G848" s="656"/>
      <c r="H848" s="657"/>
      <c r="I848" s="657"/>
      <c r="J848" s="657"/>
      <c r="K848" s="657"/>
      <c r="L848" s="657"/>
      <c r="M848" s="13"/>
    </row>
    <row r="849" spans="1:13">
      <c r="A849" s="658"/>
      <c r="B849" s="658"/>
      <c r="C849" s="658" t="s">
        <v>1037</v>
      </c>
      <c r="D849" s="658" t="s">
        <v>3265</v>
      </c>
      <c r="E849" s="658" t="s">
        <v>1140</v>
      </c>
      <c r="F849" s="653"/>
      <c r="G849" s="654"/>
      <c r="H849" s="657">
        <v>520</v>
      </c>
      <c r="I849" s="657">
        <f t="shared" ref="I849" si="736">H849</f>
        <v>520</v>
      </c>
      <c r="J849" s="657"/>
      <c r="K849" s="657">
        <v>520</v>
      </c>
      <c r="L849" s="657">
        <f t="shared" ref="L849" si="737">K849-I849</f>
        <v>0</v>
      </c>
      <c r="M849" s="13"/>
    </row>
    <row r="850" spans="1:13">
      <c r="A850" s="658"/>
      <c r="B850" s="658"/>
      <c r="C850" s="658"/>
      <c r="D850" s="658"/>
      <c r="E850" s="658"/>
      <c r="F850" s="655"/>
      <c r="G850" s="656"/>
      <c r="H850" s="657"/>
      <c r="I850" s="657"/>
      <c r="J850" s="657"/>
      <c r="K850" s="657"/>
      <c r="L850" s="657"/>
      <c r="M850" s="13"/>
    </row>
    <row r="851" spans="1:13">
      <c r="A851" s="658"/>
      <c r="B851" s="658"/>
      <c r="C851" s="658" t="s">
        <v>1038</v>
      </c>
      <c r="D851" s="658" t="s">
        <v>3265</v>
      </c>
      <c r="E851" s="658" t="s">
        <v>1601</v>
      </c>
      <c r="F851" s="653"/>
      <c r="G851" s="654"/>
      <c r="H851" s="657">
        <v>400</v>
      </c>
      <c r="I851" s="657">
        <f t="shared" ref="I851" si="738">H851</f>
        <v>400</v>
      </c>
      <c r="J851" s="657"/>
      <c r="K851" s="657">
        <v>400</v>
      </c>
      <c r="L851" s="657">
        <f t="shared" ref="L851" si="739">K851-I851</f>
        <v>0</v>
      </c>
      <c r="M851" s="13"/>
    </row>
    <row r="852" spans="1:13">
      <c r="A852" s="658"/>
      <c r="B852" s="658"/>
      <c r="C852" s="658"/>
      <c r="D852" s="658"/>
      <c r="E852" s="658"/>
      <c r="F852" s="655"/>
      <c r="G852" s="656"/>
      <c r="H852" s="657"/>
      <c r="I852" s="657"/>
      <c r="J852" s="657"/>
      <c r="K852" s="657"/>
      <c r="L852" s="657"/>
      <c r="M852" s="13"/>
    </row>
    <row r="853" spans="1:13">
      <c r="A853" s="658"/>
      <c r="B853" s="658"/>
      <c r="C853" s="658" t="s">
        <v>1045</v>
      </c>
      <c r="D853" s="658" t="s">
        <v>3265</v>
      </c>
      <c r="E853" s="658" t="s">
        <v>3264</v>
      </c>
      <c r="F853" s="653"/>
      <c r="G853" s="654"/>
      <c r="H853" s="657">
        <v>350</v>
      </c>
      <c r="I853" s="657">
        <f t="shared" ref="I853" si="740">H853</f>
        <v>350</v>
      </c>
      <c r="J853" s="657"/>
      <c r="K853" s="657">
        <v>350</v>
      </c>
      <c r="L853" s="657">
        <f t="shared" ref="L853" si="741">K853-I853</f>
        <v>0</v>
      </c>
      <c r="M853" s="13"/>
    </row>
    <row r="854" spans="1:13">
      <c r="A854" s="658"/>
      <c r="B854" s="658"/>
      <c r="C854" s="658"/>
      <c r="D854" s="658"/>
      <c r="E854" s="658"/>
      <c r="F854" s="655"/>
      <c r="G854" s="656"/>
      <c r="H854" s="657"/>
      <c r="I854" s="657"/>
      <c r="J854" s="657"/>
      <c r="K854" s="657"/>
      <c r="L854" s="657"/>
      <c r="M854" s="13"/>
    </row>
    <row r="855" spans="1:13">
      <c r="A855" s="658" t="s">
        <v>468</v>
      </c>
      <c r="B855" s="658" t="s">
        <v>3098</v>
      </c>
      <c r="C855" s="658" t="s">
        <v>3277</v>
      </c>
      <c r="D855" s="658" t="s">
        <v>3276</v>
      </c>
      <c r="E855" s="658" t="s">
        <v>239</v>
      </c>
      <c r="F855" s="653"/>
      <c r="G855" s="654"/>
      <c r="H855" s="657">
        <v>44934</v>
      </c>
      <c r="I855" s="657">
        <v>1350</v>
      </c>
      <c r="J855" s="657"/>
      <c r="K855" s="657">
        <v>1350</v>
      </c>
      <c r="L855" s="657">
        <f t="shared" ref="L855" si="742">K855-I855</f>
        <v>0</v>
      </c>
      <c r="M855" s="13"/>
    </row>
    <row r="856" spans="1:13">
      <c r="A856" s="658"/>
      <c r="B856" s="658"/>
      <c r="C856" s="658"/>
      <c r="D856" s="658"/>
      <c r="E856" s="658"/>
      <c r="F856" s="655"/>
      <c r="G856" s="656"/>
      <c r="H856" s="657"/>
      <c r="I856" s="657"/>
      <c r="J856" s="657"/>
      <c r="K856" s="657"/>
      <c r="L856" s="657"/>
      <c r="M856" s="13"/>
    </row>
    <row r="857" spans="1:13">
      <c r="A857" s="658"/>
      <c r="B857" s="658"/>
      <c r="C857" s="658" t="s">
        <v>1046</v>
      </c>
      <c r="D857" s="658" t="s">
        <v>3265</v>
      </c>
      <c r="E857" s="658" t="s">
        <v>1601</v>
      </c>
      <c r="F857" s="653"/>
      <c r="G857" s="654"/>
      <c r="H857" s="657">
        <v>1100</v>
      </c>
      <c r="I857" s="657">
        <f t="shared" ref="I857" si="743">H857</f>
        <v>1100</v>
      </c>
      <c r="J857" s="657"/>
      <c r="K857" s="657">
        <v>1100</v>
      </c>
      <c r="L857" s="657">
        <f t="shared" ref="L857" si="744">K857-I857</f>
        <v>0</v>
      </c>
      <c r="M857" s="13"/>
    </row>
    <row r="858" spans="1:13">
      <c r="A858" s="658"/>
      <c r="B858" s="658"/>
      <c r="C858" s="658"/>
      <c r="D858" s="658"/>
      <c r="E858" s="658"/>
      <c r="F858" s="655"/>
      <c r="G858" s="656"/>
      <c r="H858" s="657"/>
      <c r="I858" s="657"/>
      <c r="J858" s="657"/>
      <c r="K858" s="657"/>
      <c r="L858" s="657"/>
      <c r="M858" s="13"/>
    </row>
    <row r="859" spans="1:13">
      <c r="A859" s="658" t="s">
        <v>472</v>
      </c>
      <c r="B859" s="658" t="s">
        <v>2983</v>
      </c>
      <c r="C859" s="658" t="s">
        <v>3279</v>
      </c>
      <c r="D859" s="658" t="s">
        <v>3278</v>
      </c>
      <c r="E859" s="658" t="s">
        <v>239</v>
      </c>
      <c r="F859" s="653"/>
      <c r="G859" s="654"/>
      <c r="H859" s="657">
        <v>1750</v>
      </c>
      <c r="I859" s="657">
        <f t="shared" ref="I859" si="745">H859</f>
        <v>1750</v>
      </c>
      <c r="J859" s="657"/>
      <c r="K859" s="657">
        <v>1750</v>
      </c>
      <c r="L859" s="657">
        <f t="shared" ref="L859" si="746">K859-I859</f>
        <v>0</v>
      </c>
      <c r="M859" s="13"/>
    </row>
    <row r="860" spans="1:13">
      <c r="A860" s="658"/>
      <c r="B860" s="658"/>
      <c r="C860" s="658"/>
      <c r="D860" s="658"/>
      <c r="E860" s="658"/>
      <c r="F860" s="655"/>
      <c r="G860" s="656"/>
      <c r="H860" s="657"/>
      <c r="I860" s="657"/>
      <c r="J860" s="657"/>
      <c r="K860" s="657"/>
      <c r="L860" s="657"/>
      <c r="M860" s="13"/>
    </row>
    <row r="861" spans="1:13">
      <c r="A861" s="658"/>
      <c r="B861" s="658"/>
      <c r="C861" s="658" t="s">
        <v>1052</v>
      </c>
      <c r="D861" s="658" t="s">
        <v>3273</v>
      </c>
      <c r="E861" s="658" t="s">
        <v>1661</v>
      </c>
      <c r="F861" s="653"/>
      <c r="G861" s="654"/>
      <c r="H861" s="657">
        <v>580</v>
      </c>
      <c r="I861" s="657">
        <f t="shared" ref="I861" si="747">H861</f>
        <v>580</v>
      </c>
      <c r="J861" s="657"/>
      <c r="K861" s="657">
        <v>580</v>
      </c>
      <c r="L861" s="657">
        <f t="shared" ref="L861" si="748">K861-I861</f>
        <v>0</v>
      </c>
      <c r="M861" s="13"/>
    </row>
    <row r="862" spans="1:13">
      <c r="A862" s="658"/>
      <c r="B862" s="658"/>
      <c r="C862" s="658"/>
      <c r="D862" s="658"/>
      <c r="E862" s="658"/>
      <c r="F862" s="655"/>
      <c r="G862" s="656"/>
      <c r="H862" s="657"/>
      <c r="I862" s="657"/>
      <c r="J862" s="657"/>
      <c r="K862" s="657"/>
      <c r="L862" s="657"/>
      <c r="M862" s="13"/>
    </row>
    <row r="863" spans="1:13">
      <c r="A863" s="658"/>
      <c r="B863" s="658"/>
      <c r="C863" s="658" t="s">
        <v>1053</v>
      </c>
      <c r="D863" s="658" t="s">
        <v>3273</v>
      </c>
      <c r="E863" s="658" t="s">
        <v>117</v>
      </c>
      <c r="F863" s="653"/>
      <c r="G863" s="654"/>
      <c r="H863" s="657">
        <v>110</v>
      </c>
      <c r="I863" s="657">
        <f t="shared" ref="I863" si="749">H863</f>
        <v>110</v>
      </c>
      <c r="J863" s="657"/>
      <c r="K863" s="657"/>
      <c r="L863" s="657">
        <f t="shared" ref="L863" si="750">K863-I863</f>
        <v>-110</v>
      </c>
      <c r="M863" s="13"/>
    </row>
    <row r="864" spans="1:13">
      <c r="A864" s="658"/>
      <c r="B864" s="658"/>
      <c r="C864" s="658"/>
      <c r="D864" s="658"/>
      <c r="E864" s="658"/>
      <c r="F864" s="655"/>
      <c r="G864" s="656"/>
      <c r="H864" s="657"/>
      <c r="I864" s="657"/>
      <c r="J864" s="657"/>
      <c r="K864" s="657"/>
      <c r="L864" s="657"/>
      <c r="M864" s="13"/>
    </row>
    <row r="865" spans="1:14">
      <c r="A865" s="658" t="s">
        <v>485</v>
      </c>
      <c r="B865" s="658" t="s">
        <v>3015</v>
      </c>
      <c r="C865" s="658" t="s">
        <v>3280</v>
      </c>
      <c r="D865" s="659" t="s">
        <v>3278</v>
      </c>
      <c r="E865" s="658" t="s">
        <v>239</v>
      </c>
      <c r="F865" s="653"/>
      <c r="G865" s="654"/>
      <c r="H865" s="657">
        <v>44894</v>
      </c>
      <c r="I865" s="657">
        <v>1350</v>
      </c>
      <c r="J865" s="657"/>
      <c r="K865" s="657">
        <v>1350</v>
      </c>
      <c r="L865" s="657">
        <f t="shared" ref="L865" si="751">K865-I865</f>
        <v>0</v>
      </c>
      <c r="M865" s="13"/>
    </row>
    <row r="866" spans="1:14">
      <c r="A866" s="658"/>
      <c r="B866" s="658"/>
      <c r="C866" s="658"/>
      <c r="D866" s="660"/>
      <c r="E866" s="658"/>
      <c r="F866" s="655"/>
      <c r="G866" s="656"/>
      <c r="H866" s="657"/>
      <c r="I866" s="657"/>
      <c r="J866" s="657"/>
      <c r="K866" s="657"/>
      <c r="L866" s="657"/>
      <c r="M866" s="13"/>
    </row>
    <row r="867" spans="1:14">
      <c r="A867" s="658"/>
      <c r="B867" s="658"/>
      <c r="C867" s="658" t="s">
        <v>1054</v>
      </c>
      <c r="D867" s="658" t="s">
        <v>3273</v>
      </c>
      <c r="E867" s="658" t="s">
        <v>1661</v>
      </c>
      <c r="F867" s="653"/>
      <c r="G867" s="654"/>
      <c r="H867" s="657">
        <v>380</v>
      </c>
      <c r="I867" s="657">
        <f t="shared" ref="I867" si="752">H867</f>
        <v>380</v>
      </c>
      <c r="J867" s="657"/>
      <c r="K867" s="657">
        <v>380</v>
      </c>
      <c r="L867" s="657">
        <f t="shared" ref="L867" si="753">K867-I867</f>
        <v>0</v>
      </c>
      <c r="M867" s="13"/>
    </row>
    <row r="868" spans="1:14">
      <c r="A868" s="658"/>
      <c r="B868" s="658"/>
      <c r="C868" s="658"/>
      <c r="D868" s="658"/>
      <c r="E868" s="658"/>
      <c r="F868" s="655"/>
      <c r="G868" s="656"/>
      <c r="H868" s="657"/>
      <c r="I868" s="657"/>
      <c r="J868" s="657"/>
      <c r="K868" s="657"/>
      <c r="L868" s="657"/>
      <c r="M868" s="13"/>
    </row>
    <row r="869" spans="1:14">
      <c r="A869" s="658"/>
      <c r="B869" s="658"/>
      <c r="C869" s="658" t="s">
        <v>1049</v>
      </c>
      <c r="D869" s="658" t="s">
        <v>3273</v>
      </c>
      <c r="E869" s="658" t="s">
        <v>1601</v>
      </c>
      <c r="F869" s="653"/>
      <c r="G869" s="654"/>
      <c r="H869" s="657">
        <v>250</v>
      </c>
      <c r="I869" s="657">
        <f t="shared" ref="I869" si="754">H869</f>
        <v>250</v>
      </c>
      <c r="J869" s="657"/>
      <c r="K869" s="657">
        <v>250</v>
      </c>
      <c r="L869" s="657">
        <f t="shared" ref="L869" si="755">K869-I869</f>
        <v>0</v>
      </c>
      <c r="M869" s="13"/>
    </row>
    <row r="870" spans="1:14">
      <c r="A870" s="658"/>
      <c r="B870" s="658"/>
      <c r="C870" s="658"/>
      <c r="D870" s="658"/>
      <c r="E870" s="658"/>
      <c r="F870" s="655"/>
      <c r="G870" s="656"/>
      <c r="H870" s="657"/>
      <c r="I870" s="657"/>
      <c r="J870" s="657"/>
      <c r="K870" s="657"/>
      <c r="L870" s="657"/>
      <c r="M870" s="13"/>
    </row>
    <row r="871" spans="1:14">
      <c r="A871" s="658" t="s">
        <v>486</v>
      </c>
      <c r="B871" s="658" t="s">
        <v>3281</v>
      </c>
      <c r="C871" s="658" t="s">
        <v>3285</v>
      </c>
      <c r="D871" s="658" t="s">
        <v>3273</v>
      </c>
      <c r="E871" s="658" t="s">
        <v>239</v>
      </c>
      <c r="F871" s="653"/>
      <c r="G871" s="654"/>
      <c r="H871" s="657">
        <v>1400</v>
      </c>
      <c r="I871" s="657">
        <f t="shared" ref="I871" si="756">H871</f>
        <v>1400</v>
      </c>
      <c r="J871" s="657"/>
      <c r="K871" s="657">
        <v>1400</v>
      </c>
      <c r="L871" s="657">
        <f t="shared" ref="L871" si="757">K871-I871</f>
        <v>0</v>
      </c>
      <c r="M871" s="13"/>
    </row>
    <row r="872" spans="1:14">
      <c r="A872" s="658"/>
      <c r="B872" s="658"/>
      <c r="C872" s="658"/>
      <c r="D872" s="658"/>
      <c r="E872" s="658"/>
      <c r="F872" s="655"/>
      <c r="G872" s="656"/>
      <c r="H872" s="657"/>
      <c r="I872" s="657"/>
      <c r="J872" s="657"/>
      <c r="K872" s="657"/>
      <c r="L872" s="657"/>
      <c r="M872" s="13"/>
    </row>
    <row r="873" spans="1:14">
      <c r="A873" s="658"/>
      <c r="B873" s="658"/>
      <c r="C873" s="658" t="s">
        <v>1055</v>
      </c>
      <c r="D873" s="658" t="s">
        <v>3284</v>
      </c>
      <c r="E873" s="658" t="s">
        <v>3260</v>
      </c>
      <c r="F873" s="653"/>
      <c r="G873" s="654"/>
      <c r="H873" s="657">
        <v>280</v>
      </c>
      <c r="I873" s="657">
        <f t="shared" ref="I873" si="758">H873</f>
        <v>280</v>
      </c>
      <c r="J873" s="657"/>
      <c r="K873" s="657">
        <v>280</v>
      </c>
      <c r="L873" s="657">
        <f t="shared" ref="L873" si="759">K873-I873</f>
        <v>0</v>
      </c>
      <c r="M873" s="13"/>
    </row>
    <row r="874" spans="1:14">
      <c r="A874" s="658"/>
      <c r="B874" s="658"/>
      <c r="C874" s="658"/>
      <c r="D874" s="658"/>
      <c r="E874" s="658"/>
      <c r="F874" s="655"/>
      <c r="G874" s="656"/>
      <c r="H874" s="657"/>
      <c r="I874" s="657"/>
      <c r="J874" s="657"/>
      <c r="K874" s="657"/>
      <c r="L874" s="657"/>
      <c r="M874" s="13"/>
    </row>
    <row r="875" spans="1:14">
      <c r="A875" s="658"/>
      <c r="B875" s="658"/>
      <c r="C875" s="658" t="s">
        <v>1056</v>
      </c>
      <c r="D875" s="658" t="s">
        <v>3284</v>
      </c>
      <c r="E875" s="658" t="s">
        <v>3282</v>
      </c>
      <c r="F875" s="653"/>
      <c r="G875" s="654"/>
      <c r="H875" s="657">
        <v>310</v>
      </c>
      <c r="I875" s="657">
        <f t="shared" ref="I875" si="760">H875</f>
        <v>310</v>
      </c>
      <c r="J875" s="657"/>
      <c r="K875" s="657">
        <v>310</v>
      </c>
      <c r="L875" s="657">
        <f t="shared" ref="L875" si="761">K875-I875</f>
        <v>0</v>
      </c>
      <c r="M875" s="13"/>
    </row>
    <row r="876" spans="1:14">
      <c r="A876" s="658"/>
      <c r="B876" s="658"/>
      <c r="C876" s="658"/>
      <c r="D876" s="658"/>
      <c r="E876" s="658"/>
      <c r="F876" s="655"/>
      <c r="G876" s="656"/>
      <c r="H876" s="657"/>
      <c r="I876" s="657"/>
      <c r="J876" s="657"/>
      <c r="K876" s="657"/>
      <c r="L876" s="657"/>
      <c r="M876" s="13"/>
    </row>
    <row r="877" spans="1:14">
      <c r="A877" s="658"/>
      <c r="B877" s="658"/>
      <c r="C877" s="658" t="s">
        <v>1057</v>
      </c>
      <c r="D877" s="658" t="s">
        <v>3284</v>
      </c>
      <c r="E877" s="658" t="s">
        <v>3283</v>
      </c>
      <c r="F877" s="653"/>
      <c r="G877" s="654"/>
      <c r="H877" s="657">
        <v>11000</v>
      </c>
      <c r="I877" s="657">
        <v>302</v>
      </c>
      <c r="J877" s="657"/>
      <c r="K877" s="657">
        <v>302</v>
      </c>
      <c r="L877" s="657">
        <f t="shared" ref="L877" si="762">K877-I877</f>
        <v>0</v>
      </c>
      <c r="M877" s="13" t="s">
        <v>3262</v>
      </c>
      <c r="N877" t="s">
        <v>3291</v>
      </c>
    </row>
    <row r="878" spans="1:14">
      <c r="A878" s="658"/>
      <c r="B878" s="658"/>
      <c r="C878" s="658"/>
      <c r="D878" s="658"/>
      <c r="E878" s="658"/>
      <c r="F878" s="655"/>
      <c r="G878" s="656"/>
      <c r="H878" s="657"/>
      <c r="I878" s="657"/>
      <c r="J878" s="657"/>
      <c r="K878" s="657"/>
      <c r="L878" s="657"/>
      <c r="M878" s="13"/>
      <c r="N878" s="602">
        <v>42678</v>
      </c>
    </row>
    <row r="879" spans="1:14">
      <c r="A879" s="658" t="s">
        <v>489</v>
      </c>
      <c r="B879" s="658" t="s">
        <v>3098</v>
      </c>
      <c r="C879" s="658" t="s">
        <v>3293</v>
      </c>
      <c r="D879" s="658" t="s">
        <v>3273</v>
      </c>
      <c r="E879" s="658" t="s">
        <v>239</v>
      </c>
      <c r="F879" s="653"/>
      <c r="G879" s="654"/>
      <c r="H879" s="657">
        <v>44619</v>
      </c>
      <c r="I879" s="657">
        <v>1350</v>
      </c>
      <c r="J879" s="657"/>
      <c r="K879" s="657">
        <v>1350</v>
      </c>
      <c r="L879" s="657">
        <f t="shared" ref="L879" si="763">K879-I879</f>
        <v>0</v>
      </c>
      <c r="M879" s="13"/>
    </row>
    <row r="880" spans="1:14">
      <c r="A880" s="658"/>
      <c r="B880" s="658"/>
      <c r="C880" s="658"/>
      <c r="D880" s="658"/>
      <c r="E880" s="658"/>
      <c r="F880" s="655"/>
      <c r="G880" s="656"/>
      <c r="H880" s="657"/>
      <c r="I880" s="657"/>
      <c r="J880" s="657"/>
      <c r="K880" s="657"/>
      <c r="L880" s="657"/>
      <c r="M880" s="13"/>
    </row>
    <row r="881" spans="1:13">
      <c r="A881" s="658"/>
      <c r="B881" s="658"/>
      <c r="C881" s="658" t="s">
        <v>1072</v>
      </c>
      <c r="D881" s="658" t="s">
        <v>3284</v>
      </c>
      <c r="E881" s="658" t="s">
        <v>2348</v>
      </c>
      <c r="F881" s="653"/>
      <c r="G881" s="654"/>
      <c r="H881" s="657">
        <v>100</v>
      </c>
      <c r="I881" s="657">
        <f t="shared" ref="I881" si="764">H881</f>
        <v>100</v>
      </c>
      <c r="J881" s="657"/>
      <c r="K881" s="657">
        <v>100</v>
      </c>
      <c r="L881" s="657">
        <f t="shared" ref="L881" si="765">K881-I881</f>
        <v>0</v>
      </c>
      <c r="M881" s="13"/>
    </row>
    <row r="882" spans="1:13">
      <c r="A882" s="658"/>
      <c r="B882" s="658"/>
      <c r="C882" s="658"/>
      <c r="D882" s="658"/>
      <c r="E882" s="658"/>
      <c r="F882" s="655"/>
      <c r="G882" s="656"/>
      <c r="H882" s="657"/>
      <c r="I882" s="657"/>
      <c r="J882" s="657"/>
      <c r="K882" s="657"/>
      <c r="L882" s="657"/>
      <c r="M882" s="13"/>
    </row>
    <row r="883" spans="1:13">
      <c r="A883" s="658"/>
      <c r="B883" s="658"/>
      <c r="C883" s="658" t="s">
        <v>1073</v>
      </c>
      <c r="D883" s="658" t="s">
        <v>3284</v>
      </c>
      <c r="E883" s="658" t="s">
        <v>3286</v>
      </c>
      <c r="F883" s="653"/>
      <c r="G883" s="654"/>
      <c r="H883" s="657">
        <v>300</v>
      </c>
      <c r="I883" s="657">
        <f t="shared" ref="I883" si="766">H883</f>
        <v>300</v>
      </c>
      <c r="J883" s="657"/>
      <c r="K883" s="657">
        <v>300</v>
      </c>
      <c r="L883" s="657">
        <f t="shared" ref="L883" si="767">K883-I883</f>
        <v>0</v>
      </c>
      <c r="M883" s="13"/>
    </row>
    <row r="884" spans="1:13">
      <c r="A884" s="658"/>
      <c r="B884" s="658"/>
      <c r="C884" s="658"/>
      <c r="D884" s="658"/>
      <c r="E884" s="658"/>
      <c r="F884" s="655"/>
      <c r="G884" s="656"/>
      <c r="H884" s="657"/>
      <c r="I884" s="657"/>
      <c r="J884" s="657"/>
      <c r="K884" s="657"/>
      <c r="L884" s="657"/>
      <c r="M884" s="13"/>
    </row>
    <row r="885" spans="1:13">
      <c r="A885" s="658"/>
      <c r="B885" s="658"/>
      <c r="C885" s="658" t="s">
        <v>1083</v>
      </c>
      <c r="D885" s="658" t="s">
        <v>3284</v>
      </c>
      <c r="E885" s="658" t="s">
        <v>2409</v>
      </c>
      <c r="F885" s="653"/>
      <c r="G885" s="654"/>
      <c r="H885" s="657">
        <v>300</v>
      </c>
      <c r="I885" s="657">
        <f t="shared" ref="I885" si="768">H885</f>
        <v>300</v>
      </c>
      <c r="J885" s="657"/>
      <c r="K885" s="657">
        <v>300</v>
      </c>
      <c r="L885" s="657">
        <f t="shared" ref="L885" si="769">K885-I885</f>
        <v>0</v>
      </c>
      <c r="M885" s="13"/>
    </row>
    <row r="886" spans="1:13">
      <c r="A886" s="658"/>
      <c r="B886" s="658"/>
      <c r="C886" s="658"/>
      <c r="D886" s="658"/>
      <c r="E886" s="658"/>
      <c r="F886" s="655"/>
      <c r="G886" s="656"/>
      <c r="H886" s="657"/>
      <c r="I886" s="657"/>
      <c r="J886" s="657"/>
      <c r="K886" s="657"/>
      <c r="L886" s="657"/>
      <c r="M886" s="13"/>
    </row>
    <row r="887" spans="1:13">
      <c r="A887" s="658"/>
      <c r="B887" s="658"/>
      <c r="C887" s="658" t="s">
        <v>1084</v>
      </c>
      <c r="D887" s="658" t="s">
        <v>3284</v>
      </c>
      <c r="E887" s="658" t="s">
        <v>3216</v>
      </c>
      <c r="F887" s="653"/>
      <c r="G887" s="654"/>
      <c r="H887" s="657">
        <v>310</v>
      </c>
      <c r="I887" s="657">
        <f t="shared" ref="I887" si="770">H887</f>
        <v>310</v>
      </c>
      <c r="J887" s="657"/>
      <c r="K887" s="657">
        <v>310</v>
      </c>
      <c r="L887" s="657">
        <f t="shared" ref="L887" si="771">K887-I887</f>
        <v>0</v>
      </c>
      <c r="M887" s="13"/>
    </row>
    <row r="888" spans="1:13">
      <c r="A888" s="658"/>
      <c r="B888" s="658"/>
      <c r="C888" s="658"/>
      <c r="D888" s="658"/>
      <c r="E888" s="658"/>
      <c r="F888" s="655"/>
      <c r="G888" s="656"/>
      <c r="H888" s="657"/>
      <c r="I888" s="657"/>
      <c r="J888" s="657"/>
      <c r="K888" s="657"/>
      <c r="L888" s="657"/>
      <c r="M888" s="13"/>
    </row>
    <row r="889" spans="1:13">
      <c r="A889" s="658" t="s">
        <v>490</v>
      </c>
      <c r="B889" s="658" t="s">
        <v>3008</v>
      </c>
      <c r="C889" s="658" t="s">
        <v>3295</v>
      </c>
      <c r="D889" s="658" t="s">
        <v>3294</v>
      </c>
      <c r="E889" s="658" t="s">
        <v>239</v>
      </c>
      <c r="F889" s="653"/>
      <c r="G889" s="654"/>
      <c r="H889" s="657">
        <v>1350</v>
      </c>
      <c r="I889" s="657">
        <f t="shared" ref="I889" si="772">H889</f>
        <v>1350</v>
      </c>
      <c r="J889" s="657"/>
      <c r="K889" s="657">
        <v>1350</v>
      </c>
      <c r="L889" s="657">
        <f t="shared" ref="L889" si="773">K889-I889</f>
        <v>0</v>
      </c>
      <c r="M889" s="13"/>
    </row>
    <row r="890" spans="1:13">
      <c r="A890" s="658"/>
      <c r="B890" s="658"/>
      <c r="C890" s="658"/>
      <c r="D890" s="658"/>
      <c r="E890" s="658"/>
      <c r="F890" s="655"/>
      <c r="G890" s="656"/>
      <c r="H890" s="657"/>
      <c r="I890" s="657"/>
      <c r="J890" s="657"/>
      <c r="K890" s="657"/>
      <c r="L890" s="657"/>
      <c r="M890" s="13"/>
    </row>
    <row r="891" spans="1:13">
      <c r="A891" s="815" t="s">
        <v>542</v>
      </c>
      <c r="B891" s="704"/>
      <c r="C891" s="704"/>
      <c r="D891" s="704"/>
      <c r="E891" s="704"/>
      <c r="F891" s="704"/>
      <c r="G891" s="704"/>
      <c r="H891" s="704"/>
      <c r="I891" s="704"/>
      <c r="J891" s="704"/>
      <c r="K891" s="704"/>
      <c r="L891" s="705"/>
      <c r="M891" s="13"/>
    </row>
    <row r="892" spans="1:13">
      <c r="A892" s="706"/>
      <c r="B892" s="707"/>
      <c r="C892" s="707"/>
      <c r="D892" s="707"/>
      <c r="E892" s="707"/>
      <c r="F892" s="707"/>
      <c r="G892" s="707"/>
      <c r="H892" s="707"/>
      <c r="I892" s="707"/>
      <c r="J892" s="707"/>
      <c r="K892" s="707"/>
      <c r="L892" s="708"/>
      <c r="M892" s="620">
        <f>SUM(I893:I896,I901:I986,I989:I998)</f>
        <v>27569</v>
      </c>
    </row>
    <row r="893" spans="1:13">
      <c r="A893" s="658"/>
      <c r="B893" s="658"/>
      <c r="C893" s="658" t="s">
        <v>1085</v>
      </c>
      <c r="D893" s="658" t="s">
        <v>3292</v>
      </c>
      <c r="E893" s="658" t="s">
        <v>2723</v>
      </c>
      <c r="F893" s="653"/>
      <c r="G893" s="654"/>
      <c r="H893" s="657">
        <v>330</v>
      </c>
      <c r="I893" s="657">
        <f t="shared" ref="I893" si="774">H893</f>
        <v>330</v>
      </c>
      <c r="J893" s="657"/>
      <c r="K893" s="657">
        <v>330</v>
      </c>
      <c r="L893" s="657">
        <f t="shared" ref="L893" si="775">K893-I893</f>
        <v>0</v>
      </c>
      <c r="M893" s="13"/>
    </row>
    <row r="894" spans="1:13">
      <c r="A894" s="658"/>
      <c r="B894" s="658"/>
      <c r="C894" s="658"/>
      <c r="D894" s="658"/>
      <c r="E894" s="658"/>
      <c r="F894" s="655"/>
      <c r="G894" s="656"/>
      <c r="H894" s="657"/>
      <c r="I894" s="657"/>
      <c r="J894" s="657"/>
      <c r="K894" s="657"/>
      <c r="L894" s="657"/>
      <c r="M894" s="13" t="s">
        <v>3377</v>
      </c>
    </row>
    <row r="895" spans="1:13">
      <c r="A895" s="658"/>
      <c r="B895" s="658"/>
      <c r="C895" s="658" t="s">
        <v>2633</v>
      </c>
      <c r="D895" s="658" t="s">
        <v>3292</v>
      </c>
      <c r="E895" s="658" t="s">
        <v>3287</v>
      </c>
      <c r="F895" s="653"/>
      <c r="G895" s="654"/>
      <c r="H895" s="657">
        <v>330</v>
      </c>
      <c r="I895" s="657">
        <f t="shared" ref="I895" si="776">H895</f>
        <v>330</v>
      </c>
      <c r="J895" s="657"/>
      <c r="K895" s="657">
        <v>330</v>
      </c>
      <c r="L895" s="657">
        <f t="shared" ref="L895" si="777">K895-I895</f>
        <v>0</v>
      </c>
      <c r="M895" s="13"/>
    </row>
    <row r="896" spans="1:13">
      <c r="A896" s="658"/>
      <c r="B896" s="658"/>
      <c r="C896" s="658"/>
      <c r="D896" s="658"/>
      <c r="E896" s="658"/>
      <c r="F896" s="655"/>
      <c r="G896" s="656"/>
      <c r="H896" s="657"/>
      <c r="I896" s="657"/>
      <c r="J896" s="657"/>
      <c r="K896" s="657"/>
      <c r="L896" s="657"/>
      <c r="M896" s="13" t="s">
        <v>2627</v>
      </c>
    </row>
    <row r="897" spans="1:13">
      <c r="A897" s="658"/>
      <c r="B897" s="658"/>
      <c r="C897" s="658" t="s">
        <v>2634</v>
      </c>
      <c r="D897" s="658" t="s">
        <v>3288</v>
      </c>
      <c r="E897" s="658" t="s">
        <v>117</v>
      </c>
      <c r="F897" s="653"/>
      <c r="G897" s="654"/>
      <c r="H897" s="657">
        <v>110</v>
      </c>
      <c r="I897" s="657">
        <f t="shared" ref="I897" si="778">H897</f>
        <v>110</v>
      </c>
      <c r="J897" s="657"/>
      <c r="K897" s="657"/>
      <c r="L897" s="657">
        <f t="shared" ref="L897" si="779">K897-I897</f>
        <v>-110</v>
      </c>
      <c r="M897" s="13" t="s">
        <v>2795</v>
      </c>
    </row>
    <row r="898" spans="1:13">
      <c r="A898" s="658"/>
      <c r="B898" s="658"/>
      <c r="C898" s="658"/>
      <c r="D898" s="658"/>
      <c r="E898" s="658"/>
      <c r="F898" s="655"/>
      <c r="G898" s="656"/>
      <c r="H898" s="657"/>
      <c r="I898" s="657"/>
      <c r="J898" s="657"/>
      <c r="K898" s="657"/>
      <c r="L898" s="657"/>
      <c r="M898" s="13"/>
    </row>
    <row r="899" spans="1:13">
      <c r="A899" s="658" t="s">
        <v>491</v>
      </c>
      <c r="B899" s="658" t="s">
        <v>3290</v>
      </c>
      <c r="C899" s="658" t="s">
        <v>3296</v>
      </c>
      <c r="D899" s="658" t="s">
        <v>3294</v>
      </c>
      <c r="E899" s="658" t="s">
        <v>239</v>
      </c>
      <c r="F899" s="653"/>
      <c r="G899" s="654"/>
      <c r="H899" s="657">
        <v>44615</v>
      </c>
      <c r="I899" s="657">
        <v>1350</v>
      </c>
      <c r="J899" s="657"/>
      <c r="K899" s="657">
        <v>1350</v>
      </c>
      <c r="L899" s="657">
        <f t="shared" ref="L899" si="780">K899-I899</f>
        <v>0</v>
      </c>
      <c r="M899" s="13"/>
    </row>
    <row r="900" spans="1:13">
      <c r="A900" s="658"/>
      <c r="B900" s="658"/>
      <c r="C900" s="658"/>
      <c r="D900" s="658"/>
      <c r="E900" s="658"/>
      <c r="F900" s="655"/>
      <c r="G900" s="656"/>
      <c r="H900" s="657"/>
      <c r="I900" s="657"/>
      <c r="J900" s="657"/>
      <c r="K900" s="657"/>
      <c r="L900" s="657"/>
      <c r="M900" s="13"/>
    </row>
    <row r="901" spans="1:13">
      <c r="A901" s="658"/>
      <c r="B901" s="658"/>
      <c r="C901" s="658" t="s">
        <v>2637</v>
      </c>
      <c r="D901" s="658" t="s">
        <v>3292</v>
      </c>
      <c r="E901" s="658" t="s">
        <v>3289</v>
      </c>
      <c r="F901" s="653"/>
      <c r="G901" s="654"/>
      <c r="H901" s="657">
        <v>200</v>
      </c>
      <c r="I901" s="657">
        <f t="shared" ref="I901" si="781">H901</f>
        <v>200</v>
      </c>
      <c r="J901" s="657"/>
      <c r="K901" s="657">
        <v>200</v>
      </c>
      <c r="L901" s="657">
        <f t="shared" ref="L901" si="782">K901-I901</f>
        <v>0</v>
      </c>
      <c r="M901" s="13"/>
    </row>
    <row r="902" spans="1:13">
      <c r="A902" s="658"/>
      <c r="B902" s="658"/>
      <c r="C902" s="658"/>
      <c r="D902" s="658"/>
      <c r="E902" s="658"/>
      <c r="F902" s="655"/>
      <c r="G902" s="656"/>
      <c r="H902" s="657"/>
      <c r="I902" s="657"/>
      <c r="J902" s="657"/>
      <c r="K902" s="657"/>
      <c r="L902" s="657"/>
      <c r="M902" s="13"/>
    </row>
    <row r="903" spans="1:13">
      <c r="A903" s="658"/>
      <c r="B903" s="658"/>
      <c r="C903" s="658" t="s">
        <v>1867</v>
      </c>
      <c r="D903" s="658" t="s">
        <v>3292</v>
      </c>
      <c r="E903" s="658" t="s">
        <v>2723</v>
      </c>
      <c r="F903" s="653"/>
      <c r="G903" s="654"/>
      <c r="H903" s="657">
        <v>350</v>
      </c>
      <c r="I903" s="657">
        <f t="shared" ref="I903" si="783">H903</f>
        <v>350</v>
      </c>
      <c r="J903" s="657"/>
      <c r="K903" s="657"/>
      <c r="L903" s="657">
        <f t="shared" ref="L903" si="784">K903-I903</f>
        <v>-350</v>
      </c>
      <c r="M903" s="13"/>
    </row>
    <row r="904" spans="1:13">
      <c r="A904" s="658"/>
      <c r="B904" s="658"/>
      <c r="C904" s="658"/>
      <c r="D904" s="658"/>
      <c r="E904" s="658"/>
      <c r="F904" s="655"/>
      <c r="G904" s="656"/>
      <c r="H904" s="657"/>
      <c r="I904" s="657"/>
      <c r="J904" s="657"/>
      <c r="K904" s="657"/>
      <c r="L904" s="657"/>
      <c r="M904" s="13"/>
    </row>
    <row r="905" spans="1:13">
      <c r="A905" s="658"/>
      <c r="B905" s="658"/>
      <c r="C905" s="658" t="s">
        <v>2646</v>
      </c>
      <c r="D905" s="658" t="s">
        <v>3292</v>
      </c>
      <c r="E905" s="658" t="s">
        <v>3226</v>
      </c>
      <c r="F905" s="653"/>
      <c r="G905" s="654"/>
      <c r="H905" s="657">
        <v>570</v>
      </c>
      <c r="I905" s="657">
        <f t="shared" ref="I905" si="785">H905</f>
        <v>570</v>
      </c>
      <c r="J905" s="657"/>
      <c r="K905" s="657">
        <v>570</v>
      </c>
      <c r="L905" s="657">
        <f t="shared" ref="L905" si="786">K905-I905</f>
        <v>0</v>
      </c>
      <c r="M905" s="13"/>
    </row>
    <row r="906" spans="1:13">
      <c r="A906" s="658"/>
      <c r="B906" s="658"/>
      <c r="C906" s="658"/>
      <c r="D906" s="658"/>
      <c r="E906" s="658"/>
      <c r="F906" s="655"/>
      <c r="G906" s="656"/>
      <c r="H906" s="657"/>
      <c r="I906" s="657"/>
      <c r="J906" s="657"/>
      <c r="K906" s="657"/>
      <c r="L906" s="657"/>
      <c r="M906" s="13"/>
    </row>
    <row r="907" spans="1:13">
      <c r="A907" s="658"/>
      <c r="B907" s="658"/>
      <c r="C907" s="658" t="s">
        <v>2653</v>
      </c>
      <c r="D907" s="658" t="s">
        <v>3292</v>
      </c>
      <c r="E907" s="658" t="s">
        <v>2376</v>
      </c>
      <c r="F907" s="653"/>
      <c r="G907" s="654"/>
      <c r="H907" s="657">
        <v>50</v>
      </c>
      <c r="I907" s="657">
        <f t="shared" ref="I907" si="787">H907</f>
        <v>50</v>
      </c>
      <c r="J907" s="657"/>
      <c r="K907" s="657"/>
      <c r="L907" s="657">
        <f t="shared" ref="L907" si="788">K907-I907</f>
        <v>-50</v>
      </c>
      <c r="M907" s="13"/>
    </row>
    <row r="908" spans="1:13">
      <c r="A908" s="658"/>
      <c r="B908" s="658"/>
      <c r="C908" s="658"/>
      <c r="D908" s="658"/>
      <c r="E908" s="658"/>
      <c r="F908" s="655"/>
      <c r="G908" s="656"/>
      <c r="H908" s="657"/>
      <c r="I908" s="657"/>
      <c r="J908" s="657"/>
      <c r="K908" s="657"/>
      <c r="L908" s="657"/>
      <c r="M908" s="13"/>
    </row>
    <row r="909" spans="1:13">
      <c r="A909" s="658" t="s">
        <v>494</v>
      </c>
      <c r="B909" s="658" t="s">
        <v>3298</v>
      </c>
      <c r="C909" s="658" t="s">
        <v>3303</v>
      </c>
      <c r="D909" s="658" t="s">
        <v>3292</v>
      </c>
      <c r="E909" s="658" t="s">
        <v>239</v>
      </c>
      <c r="F909" s="653"/>
      <c r="G909" s="654"/>
      <c r="H909" s="657">
        <v>1350</v>
      </c>
      <c r="I909" s="657">
        <f t="shared" ref="I909" si="789">H909</f>
        <v>1350</v>
      </c>
      <c r="J909" s="657"/>
      <c r="K909" s="657">
        <v>1350</v>
      </c>
      <c r="L909" s="657">
        <f t="shared" ref="L909" si="790">K909-I909</f>
        <v>0</v>
      </c>
      <c r="M909" s="13"/>
    </row>
    <row r="910" spans="1:13">
      <c r="A910" s="658"/>
      <c r="B910" s="658"/>
      <c r="C910" s="658"/>
      <c r="D910" s="658"/>
      <c r="E910" s="658"/>
      <c r="F910" s="655"/>
      <c r="G910" s="656"/>
      <c r="H910" s="657"/>
      <c r="I910" s="657"/>
      <c r="J910" s="657"/>
      <c r="K910" s="657"/>
      <c r="L910" s="657"/>
      <c r="M910" s="13"/>
    </row>
    <row r="911" spans="1:13">
      <c r="A911" s="658"/>
      <c r="B911" s="658"/>
      <c r="C911" s="658" t="s">
        <v>1866</v>
      </c>
      <c r="D911" s="658" t="s">
        <v>3301</v>
      </c>
      <c r="E911" s="658" t="s">
        <v>1140</v>
      </c>
      <c r="F911" s="653"/>
      <c r="G911" s="654"/>
      <c r="H911" s="657">
        <v>300</v>
      </c>
      <c r="I911" s="657">
        <f t="shared" ref="I911" si="791">H911</f>
        <v>300</v>
      </c>
      <c r="J911" s="657"/>
      <c r="K911" s="657">
        <v>300</v>
      </c>
      <c r="L911" s="657">
        <f t="shared" ref="L911" si="792">K911-I911</f>
        <v>0</v>
      </c>
      <c r="M911" s="13"/>
    </row>
    <row r="912" spans="1:13">
      <c r="A912" s="658"/>
      <c r="B912" s="658"/>
      <c r="C912" s="658"/>
      <c r="D912" s="658"/>
      <c r="E912" s="658"/>
      <c r="F912" s="655"/>
      <c r="G912" s="656"/>
      <c r="H912" s="657"/>
      <c r="I912" s="657"/>
      <c r="J912" s="657"/>
      <c r="K912" s="657"/>
      <c r="L912" s="657"/>
      <c r="M912" s="13"/>
    </row>
    <row r="913" spans="1:13">
      <c r="A913" s="658"/>
      <c r="B913" s="658"/>
      <c r="C913" s="658" t="s">
        <v>2668</v>
      </c>
      <c r="D913" s="658" t="s">
        <v>3301</v>
      </c>
      <c r="E913" s="658" t="s">
        <v>3299</v>
      </c>
      <c r="F913" s="653"/>
      <c r="G913" s="654"/>
      <c r="H913" s="657">
        <v>13000</v>
      </c>
      <c r="I913" s="657">
        <v>399</v>
      </c>
      <c r="J913" s="657"/>
      <c r="K913" s="657">
        <v>399</v>
      </c>
      <c r="L913" s="657">
        <f t="shared" ref="L913" si="793">K913-I913</f>
        <v>0</v>
      </c>
      <c r="M913" s="13" t="s">
        <v>3262</v>
      </c>
    </row>
    <row r="914" spans="1:13">
      <c r="A914" s="658"/>
      <c r="B914" s="658"/>
      <c r="C914" s="658"/>
      <c r="D914" s="658"/>
      <c r="E914" s="658"/>
      <c r="F914" s="655"/>
      <c r="G914" s="656"/>
      <c r="H914" s="657"/>
      <c r="I914" s="657"/>
      <c r="J914" s="657"/>
      <c r="K914" s="657"/>
      <c r="L914" s="657"/>
      <c r="M914" s="13" t="s">
        <v>3300</v>
      </c>
    </row>
    <row r="915" spans="1:13">
      <c r="A915" s="658"/>
      <c r="B915" s="658"/>
      <c r="C915" s="658" t="s">
        <v>2670</v>
      </c>
      <c r="D915" s="658" t="s">
        <v>3301</v>
      </c>
      <c r="E915" s="658" t="s">
        <v>2723</v>
      </c>
      <c r="F915" s="653"/>
      <c r="G915" s="654"/>
      <c r="H915" s="657">
        <v>260</v>
      </c>
      <c r="I915" s="657">
        <f t="shared" ref="I915" si="794">H915</f>
        <v>260</v>
      </c>
      <c r="J915" s="657"/>
      <c r="K915" s="657">
        <v>260</v>
      </c>
      <c r="L915" s="657">
        <f t="shared" ref="L915" si="795">K915-I915</f>
        <v>0</v>
      </c>
      <c r="M915" s="13"/>
    </row>
    <row r="916" spans="1:13">
      <c r="A916" s="658"/>
      <c r="B916" s="658"/>
      <c r="C916" s="658"/>
      <c r="D916" s="658"/>
      <c r="E916" s="658"/>
      <c r="F916" s="655"/>
      <c r="G916" s="656"/>
      <c r="H916" s="657"/>
      <c r="I916" s="657"/>
      <c r="J916" s="657"/>
      <c r="K916" s="657"/>
      <c r="L916" s="657"/>
      <c r="M916" s="13"/>
    </row>
    <row r="917" spans="1:13">
      <c r="A917" s="658"/>
      <c r="B917" s="658"/>
      <c r="C917" s="658" t="s">
        <v>2671</v>
      </c>
      <c r="D917" s="658" t="s">
        <v>3301</v>
      </c>
      <c r="E917" s="658" t="s">
        <v>2723</v>
      </c>
      <c r="F917" s="653"/>
      <c r="G917" s="654"/>
      <c r="H917" s="657">
        <v>90</v>
      </c>
      <c r="I917" s="657">
        <f t="shared" ref="I917" si="796">H917</f>
        <v>90</v>
      </c>
      <c r="J917" s="657"/>
      <c r="K917" s="657">
        <v>90</v>
      </c>
      <c r="L917" s="657">
        <f t="shared" ref="L917" si="797">K917-I917</f>
        <v>0</v>
      </c>
      <c r="M917" s="13"/>
    </row>
    <row r="918" spans="1:13">
      <c r="A918" s="658"/>
      <c r="B918" s="658"/>
      <c r="C918" s="658"/>
      <c r="D918" s="658"/>
      <c r="E918" s="658"/>
      <c r="F918" s="655"/>
      <c r="G918" s="656"/>
      <c r="H918" s="657"/>
      <c r="I918" s="657"/>
      <c r="J918" s="657"/>
      <c r="K918" s="657"/>
      <c r="L918" s="657"/>
      <c r="M918" s="13"/>
    </row>
    <row r="919" spans="1:13">
      <c r="A919" s="658" t="s">
        <v>495</v>
      </c>
      <c r="B919" s="658" t="s">
        <v>2983</v>
      </c>
      <c r="C919" s="658" t="s">
        <v>3305</v>
      </c>
      <c r="D919" s="658" t="s">
        <v>3304</v>
      </c>
      <c r="E919" s="658" t="s">
        <v>239</v>
      </c>
      <c r="F919" s="653"/>
      <c r="G919" s="654"/>
      <c r="H919" s="657">
        <v>43964</v>
      </c>
      <c r="I919" s="657">
        <v>1350</v>
      </c>
      <c r="J919" s="657"/>
      <c r="K919" s="657">
        <v>1350</v>
      </c>
      <c r="L919" s="657">
        <f t="shared" ref="L919" si="798">K919-I919</f>
        <v>0</v>
      </c>
      <c r="M919" s="13"/>
    </row>
    <row r="920" spans="1:13">
      <c r="A920" s="658"/>
      <c r="B920" s="658"/>
      <c r="C920" s="658"/>
      <c r="D920" s="658"/>
      <c r="E920" s="658"/>
      <c r="F920" s="655"/>
      <c r="G920" s="656"/>
      <c r="H920" s="657"/>
      <c r="I920" s="657"/>
      <c r="J920" s="657"/>
      <c r="K920" s="657"/>
      <c r="L920" s="657"/>
      <c r="M920" s="13"/>
    </row>
    <row r="921" spans="1:13">
      <c r="A921" s="658"/>
      <c r="B921" s="658"/>
      <c r="C921" s="658" t="s">
        <v>2673</v>
      </c>
      <c r="D921" s="658" t="s">
        <v>3302</v>
      </c>
      <c r="E921" s="658" t="s">
        <v>1661</v>
      </c>
      <c r="F921" s="653"/>
      <c r="G921" s="654"/>
      <c r="H921" s="657">
        <v>400</v>
      </c>
      <c r="I921" s="657">
        <f t="shared" ref="I921" si="799">H921</f>
        <v>400</v>
      </c>
      <c r="J921" s="657"/>
      <c r="K921" s="657">
        <v>400</v>
      </c>
      <c r="L921" s="657">
        <f t="shared" ref="L921" si="800">K921-I921</f>
        <v>0</v>
      </c>
      <c r="M921" s="13"/>
    </row>
    <row r="922" spans="1:13">
      <c r="A922" s="658"/>
      <c r="B922" s="658"/>
      <c r="C922" s="658"/>
      <c r="D922" s="658"/>
      <c r="E922" s="658"/>
      <c r="F922" s="655"/>
      <c r="G922" s="656"/>
      <c r="H922" s="657"/>
      <c r="I922" s="657"/>
      <c r="J922" s="657"/>
      <c r="K922" s="657"/>
      <c r="L922" s="657"/>
      <c r="M922" s="13"/>
    </row>
    <row r="923" spans="1:13">
      <c r="A923" s="658"/>
      <c r="B923" s="658"/>
      <c r="C923" s="658" t="s">
        <v>2674</v>
      </c>
      <c r="D923" s="658" t="s">
        <v>3302</v>
      </c>
      <c r="E923" s="658" t="s">
        <v>3187</v>
      </c>
      <c r="F923" s="653"/>
      <c r="G923" s="654"/>
      <c r="H923" s="657">
        <v>360</v>
      </c>
      <c r="I923" s="657">
        <f t="shared" ref="I923" si="801">H923</f>
        <v>360</v>
      </c>
      <c r="J923" s="657"/>
      <c r="K923" s="657">
        <v>360</v>
      </c>
      <c r="L923" s="657">
        <f t="shared" ref="L923" si="802">K923-I923</f>
        <v>0</v>
      </c>
      <c r="M923" s="13"/>
    </row>
    <row r="924" spans="1:13">
      <c r="A924" s="658"/>
      <c r="B924" s="658"/>
      <c r="C924" s="658"/>
      <c r="D924" s="658"/>
      <c r="E924" s="658"/>
      <c r="F924" s="655"/>
      <c r="G924" s="656"/>
      <c r="H924" s="657"/>
      <c r="I924" s="657"/>
      <c r="J924" s="657"/>
      <c r="K924" s="657"/>
      <c r="L924" s="657"/>
      <c r="M924" s="13"/>
    </row>
    <row r="925" spans="1:13">
      <c r="A925" s="658"/>
      <c r="B925" s="658"/>
      <c r="C925" s="658" t="s">
        <v>2675</v>
      </c>
      <c r="D925" s="658" t="s">
        <v>3302</v>
      </c>
      <c r="E925" s="658" t="s">
        <v>117</v>
      </c>
      <c r="F925" s="653"/>
      <c r="G925" s="654"/>
      <c r="H925" s="657">
        <v>110</v>
      </c>
      <c r="I925" s="657">
        <f t="shared" ref="I925" si="803">H925</f>
        <v>110</v>
      </c>
      <c r="J925" s="657"/>
      <c r="K925" s="657"/>
      <c r="L925" s="657">
        <f t="shared" ref="L925" si="804">K925-I925</f>
        <v>-110</v>
      </c>
      <c r="M925" s="13"/>
    </row>
    <row r="926" spans="1:13">
      <c r="A926" s="658"/>
      <c r="B926" s="658"/>
      <c r="C926" s="658"/>
      <c r="D926" s="658"/>
      <c r="E926" s="658"/>
      <c r="F926" s="655"/>
      <c r="G926" s="656"/>
      <c r="H926" s="657"/>
      <c r="I926" s="657"/>
      <c r="J926" s="657"/>
      <c r="K926" s="657"/>
      <c r="L926" s="657"/>
      <c r="M926" s="13"/>
    </row>
    <row r="927" spans="1:13">
      <c r="A927" s="658" t="s">
        <v>503</v>
      </c>
      <c r="B927" s="658" t="s">
        <v>2969</v>
      </c>
      <c r="C927" s="658" t="s">
        <v>3306</v>
      </c>
      <c r="D927" s="658" t="s">
        <v>3304</v>
      </c>
      <c r="E927" s="658" t="s">
        <v>239</v>
      </c>
      <c r="F927" s="653"/>
      <c r="G927" s="654"/>
      <c r="H927" s="657">
        <v>1350</v>
      </c>
      <c r="I927" s="657">
        <f t="shared" ref="I927" si="805">H927</f>
        <v>1350</v>
      </c>
      <c r="J927" s="657"/>
      <c r="K927" s="657">
        <v>1350</v>
      </c>
      <c r="L927" s="657">
        <f t="shared" ref="L927" si="806">K927-I927</f>
        <v>0</v>
      </c>
      <c r="M927" s="13"/>
    </row>
    <row r="928" spans="1:13">
      <c r="A928" s="658"/>
      <c r="B928" s="658"/>
      <c r="C928" s="658"/>
      <c r="D928" s="658"/>
      <c r="E928" s="658"/>
      <c r="F928" s="655"/>
      <c r="G928" s="656"/>
      <c r="H928" s="657"/>
      <c r="I928" s="657"/>
      <c r="J928" s="657"/>
      <c r="K928" s="657"/>
      <c r="L928" s="657"/>
      <c r="M928" s="13"/>
    </row>
    <row r="929" spans="1:13">
      <c r="A929" s="658"/>
      <c r="B929" s="658"/>
      <c r="C929" s="658" t="s">
        <v>2676</v>
      </c>
      <c r="D929" s="658" t="s">
        <v>3302</v>
      </c>
      <c r="E929" s="658" t="s">
        <v>1601</v>
      </c>
      <c r="F929" s="653"/>
      <c r="G929" s="654"/>
      <c r="H929" s="657">
        <v>1180</v>
      </c>
      <c r="I929" s="657">
        <f t="shared" ref="I929" si="807">H929</f>
        <v>1180</v>
      </c>
      <c r="J929" s="657"/>
      <c r="K929" s="657">
        <v>1180</v>
      </c>
      <c r="L929" s="657">
        <f t="shared" ref="L929" si="808">K929-I929</f>
        <v>0</v>
      </c>
      <c r="M929" s="13"/>
    </row>
    <row r="930" spans="1:13">
      <c r="A930" s="658"/>
      <c r="B930" s="658"/>
      <c r="C930" s="658"/>
      <c r="D930" s="658"/>
      <c r="E930" s="658"/>
      <c r="F930" s="655"/>
      <c r="G930" s="656"/>
      <c r="H930" s="657"/>
      <c r="I930" s="657"/>
      <c r="J930" s="657"/>
      <c r="K930" s="657"/>
      <c r="L930" s="657"/>
      <c r="M930" s="13"/>
    </row>
    <row r="931" spans="1:13">
      <c r="A931" s="658" t="s">
        <v>505</v>
      </c>
      <c r="B931" s="658" t="s">
        <v>3098</v>
      </c>
      <c r="C931" s="658" t="s">
        <v>3308</v>
      </c>
      <c r="D931" s="658" t="s">
        <v>3302</v>
      </c>
      <c r="E931" s="658" t="s">
        <v>239</v>
      </c>
      <c r="F931" s="653"/>
      <c r="G931" s="654"/>
      <c r="H931" s="657">
        <v>1350</v>
      </c>
      <c r="I931" s="657">
        <v>1350</v>
      </c>
      <c r="J931" s="657"/>
      <c r="K931" s="657">
        <v>1350</v>
      </c>
      <c r="L931" s="657">
        <f t="shared" ref="L931" si="809">K931-I931</f>
        <v>0</v>
      </c>
      <c r="M931" s="13"/>
    </row>
    <row r="932" spans="1:13">
      <c r="A932" s="658"/>
      <c r="B932" s="658"/>
      <c r="C932" s="658"/>
      <c r="D932" s="658"/>
      <c r="E932" s="658"/>
      <c r="F932" s="655"/>
      <c r="G932" s="656"/>
      <c r="H932" s="657"/>
      <c r="I932" s="657"/>
      <c r="J932" s="657"/>
      <c r="K932" s="657"/>
      <c r="L932" s="657"/>
      <c r="M932" s="13"/>
    </row>
    <row r="933" spans="1:13">
      <c r="A933" s="658"/>
      <c r="B933" s="658"/>
      <c r="C933" s="658" t="s">
        <v>2677</v>
      </c>
      <c r="D933" s="658" t="s">
        <v>3307</v>
      </c>
      <c r="E933" s="658" t="s">
        <v>1140</v>
      </c>
      <c r="F933" s="653"/>
      <c r="G933" s="654"/>
      <c r="H933" s="657">
        <v>200</v>
      </c>
      <c r="I933" s="657">
        <f t="shared" ref="I933" si="810">H933</f>
        <v>200</v>
      </c>
      <c r="J933" s="657"/>
      <c r="K933" s="657">
        <v>200</v>
      </c>
      <c r="L933" s="657">
        <f t="shared" ref="L933" si="811">K933-I933</f>
        <v>0</v>
      </c>
      <c r="M933" s="13"/>
    </row>
    <row r="934" spans="1:13">
      <c r="A934" s="658"/>
      <c r="B934" s="658"/>
      <c r="C934" s="658"/>
      <c r="D934" s="658"/>
      <c r="E934" s="658"/>
      <c r="F934" s="655"/>
      <c r="G934" s="656"/>
      <c r="H934" s="657"/>
      <c r="I934" s="657"/>
      <c r="J934" s="657"/>
      <c r="K934" s="657"/>
      <c r="L934" s="657"/>
      <c r="M934" s="13"/>
    </row>
    <row r="935" spans="1:13">
      <c r="A935" s="658"/>
      <c r="B935" s="658"/>
      <c r="C935" s="658" t="s">
        <v>2683</v>
      </c>
      <c r="D935" s="658" t="s">
        <v>3307</v>
      </c>
      <c r="E935" s="658" t="s">
        <v>2517</v>
      </c>
      <c r="F935" s="653"/>
      <c r="G935" s="654"/>
      <c r="H935" s="657">
        <v>200</v>
      </c>
      <c r="I935" s="657">
        <f t="shared" ref="I935" si="812">H935</f>
        <v>200</v>
      </c>
      <c r="J935" s="657"/>
      <c r="K935" s="657">
        <v>200</v>
      </c>
      <c r="L935" s="657">
        <f t="shared" ref="L935" si="813">K935-I935</f>
        <v>0</v>
      </c>
      <c r="M935" s="13"/>
    </row>
    <row r="936" spans="1:13">
      <c r="A936" s="658"/>
      <c r="B936" s="658"/>
      <c r="C936" s="658"/>
      <c r="D936" s="658"/>
      <c r="E936" s="658"/>
      <c r="F936" s="655"/>
      <c r="G936" s="656"/>
      <c r="H936" s="657"/>
      <c r="I936" s="657"/>
      <c r="J936" s="657"/>
      <c r="K936" s="657"/>
      <c r="L936" s="657"/>
      <c r="M936" s="13"/>
    </row>
    <row r="937" spans="1:13">
      <c r="A937" s="658"/>
      <c r="B937" s="658"/>
      <c r="C937" s="658" t="s">
        <v>2693</v>
      </c>
      <c r="D937" s="658" t="s">
        <v>3307</v>
      </c>
      <c r="E937" s="658" t="s">
        <v>2517</v>
      </c>
      <c r="F937" s="653"/>
      <c r="G937" s="654"/>
      <c r="H937" s="657">
        <v>200</v>
      </c>
      <c r="I937" s="657">
        <f t="shared" ref="I937" si="814">H937</f>
        <v>200</v>
      </c>
      <c r="J937" s="657"/>
      <c r="K937" s="657">
        <v>200</v>
      </c>
      <c r="L937" s="657">
        <f t="shared" ref="L937" si="815">K937-I937</f>
        <v>0</v>
      </c>
      <c r="M937" s="13"/>
    </row>
    <row r="938" spans="1:13">
      <c r="A938" s="658"/>
      <c r="B938" s="658"/>
      <c r="C938" s="658"/>
      <c r="D938" s="658"/>
      <c r="E938" s="658"/>
      <c r="F938" s="655"/>
      <c r="G938" s="656"/>
      <c r="H938" s="657"/>
      <c r="I938" s="657"/>
      <c r="J938" s="657"/>
      <c r="K938" s="657"/>
      <c r="L938" s="657"/>
      <c r="M938" s="13"/>
    </row>
    <row r="939" spans="1:13">
      <c r="A939" s="658" t="s">
        <v>3345</v>
      </c>
      <c r="B939" s="658" t="s">
        <v>3008</v>
      </c>
      <c r="C939" s="658" t="s">
        <v>3359</v>
      </c>
      <c r="D939" s="658" t="s">
        <v>3358</v>
      </c>
      <c r="E939" s="658" t="s">
        <v>239</v>
      </c>
      <c r="F939" s="653"/>
      <c r="G939" s="654"/>
      <c r="H939" s="657">
        <v>1350</v>
      </c>
      <c r="I939" s="657">
        <v>1350</v>
      </c>
      <c r="J939" s="657"/>
      <c r="K939" s="657">
        <v>1350</v>
      </c>
      <c r="L939" s="657">
        <f t="shared" ref="L939" si="816">K939-I939</f>
        <v>0</v>
      </c>
      <c r="M939" s="13"/>
    </row>
    <row r="940" spans="1:13">
      <c r="A940" s="658"/>
      <c r="B940" s="658"/>
      <c r="C940" s="658"/>
      <c r="D940" s="658"/>
      <c r="E940" s="658"/>
      <c r="F940" s="655"/>
      <c r="G940" s="656"/>
      <c r="H940" s="657"/>
      <c r="I940" s="657"/>
      <c r="J940" s="657"/>
      <c r="K940" s="657"/>
      <c r="L940" s="657"/>
      <c r="M940" s="13"/>
    </row>
    <row r="941" spans="1:13">
      <c r="A941" s="658"/>
      <c r="B941" s="658"/>
      <c r="C941" s="658" t="s">
        <v>2699</v>
      </c>
      <c r="D941" s="658" t="s">
        <v>3348</v>
      </c>
      <c r="E941" s="658" t="s">
        <v>117</v>
      </c>
      <c r="F941" s="653"/>
      <c r="G941" s="654"/>
      <c r="H941" s="657">
        <v>110</v>
      </c>
      <c r="I941" s="657">
        <f t="shared" ref="I941" si="817">H941</f>
        <v>110</v>
      </c>
      <c r="J941" s="657"/>
      <c r="K941" s="657">
        <v>110</v>
      </c>
      <c r="L941" s="657">
        <f t="shared" ref="L941" si="818">K941-I941</f>
        <v>0</v>
      </c>
      <c r="M941" s="13"/>
    </row>
    <row r="942" spans="1:13">
      <c r="A942" s="658"/>
      <c r="B942" s="658"/>
      <c r="C942" s="658"/>
      <c r="D942" s="658"/>
      <c r="E942" s="658"/>
      <c r="F942" s="655"/>
      <c r="G942" s="656"/>
      <c r="H942" s="657"/>
      <c r="I942" s="657"/>
      <c r="J942" s="657"/>
      <c r="K942" s="657"/>
      <c r="L942" s="657"/>
      <c r="M942" s="13"/>
    </row>
    <row r="943" spans="1:13">
      <c r="A943" s="658"/>
      <c r="B943" s="658"/>
      <c r="C943" s="658" t="s">
        <v>2702</v>
      </c>
      <c r="D943" s="658" t="s">
        <v>3348</v>
      </c>
      <c r="E943" s="658" t="s">
        <v>3309</v>
      </c>
      <c r="F943" s="653"/>
      <c r="G943" s="654"/>
      <c r="H943" s="657">
        <v>320</v>
      </c>
      <c r="I943" s="657">
        <f t="shared" ref="I943" si="819">H943</f>
        <v>320</v>
      </c>
      <c r="J943" s="657"/>
      <c r="K943" s="657">
        <v>320</v>
      </c>
      <c r="L943" s="657">
        <f t="shared" ref="L943" si="820">K943-I943</f>
        <v>0</v>
      </c>
      <c r="M943" s="13"/>
    </row>
    <row r="944" spans="1:13">
      <c r="A944" s="658"/>
      <c r="B944" s="658"/>
      <c r="C944" s="658"/>
      <c r="D944" s="658"/>
      <c r="E944" s="658"/>
      <c r="F944" s="655"/>
      <c r="G944" s="656"/>
      <c r="H944" s="657"/>
      <c r="I944" s="657"/>
      <c r="J944" s="657"/>
      <c r="K944" s="657"/>
      <c r="L944" s="657"/>
      <c r="M944" s="13"/>
    </row>
    <row r="945" spans="1:13">
      <c r="A945" s="658"/>
      <c r="B945" s="658"/>
      <c r="C945" s="658" t="s">
        <v>2705</v>
      </c>
      <c r="D945" s="658" t="s">
        <v>3348</v>
      </c>
      <c r="E945" s="658" t="s">
        <v>3346</v>
      </c>
      <c r="F945" s="653"/>
      <c r="G945" s="654"/>
      <c r="H945" s="657">
        <v>300</v>
      </c>
      <c r="I945" s="657">
        <f t="shared" ref="I945" si="821">H945</f>
        <v>300</v>
      </c>
      <c r="J945" s="657"/>
      <c r="K945" s="657">
        <v>300</v>
      </c>
      <c r="L945" s="657">
        <f t="shared" ref="L945" si="822">K945-I945</f>
        <v>0</v>
      </c>
      <c r="M945" s="13"/>
    </row>
    <row r="946" spans="1:13">
      <c r="A946" s="658"/>
      <c r="B946" s="658"/>
      <c r="C946" s="658"/>
      <c r="D946" s="658"/>
      <c r="E946" s="658"/>
      <c r="F946" s="655"/>
      <c r="G946" s="656"/>
      <c r="H946" s="657"/>
      <c r="I946" s="657"/>
      <c r="J946" s="657"/>
      <c r="K946" s="657"/>
      <c r="L946" s="657"/>
      <c r="M946" s="13"/>
    </row>
    <row r="947" spans="1:13">
      <c r="A947" s="658" t="s">
        <v>507</v>
      </c>
      <c r="B947" s="658" t="s">
        <v>3015</v>
      </c>
      <c r="C947" s="658" t="s">
        <v>3357</v>
      </c>
      <c r="D947" s="658" t="s">
        <v>3356</v>
      </c>
      <c r="E947" s="658" t="s">
        <v>239</v>
      </c>
      <c r="F947" s="653"/>
      <c r="G947" s="654"/>
      <c r="H947" s="657">
        <v>44000</v>
      </c>
      <c r="I947" s="657">
        <v>1350</v>
      </c>
      <c r="J947" s="657"/>
      <c r="K947" s="657">
        <v>1350</v>
      </c>
      <c r="L947" s="657">
        <f t="shared" ref="L947" si="823">K947-I947</f>
        <v>0</v>
      </c>
      <c r="M947" s="13"/>
    </row>
    <row r="948" spans="1:13">
      <c r="A948" s="658"/>
      <c r="B948" s="658"/>
      <c r="C948" s="658"/>
      <c r="D948" s="658"/>
      <c r="E948" s="658"/>
      <c r="F948" s="655"/>
      <c r="G948" s="656"/>
      <c r="H948" s="657"/>
      <c r="I948" s="657"/>
      <c r="J948" s="657"/>
      <c r="K948" s="657"/>
      <c r="L948" s="657"/>
      <c r="M948" s="13"/>
    </row>
    <row r="949" spans="1:13">
      <c r="A949" s="658"/>
      <c r="B949" s="658"/>
      <c r="C949" s="658" t="s">
        <v>2706</v>
      </c>
      <c r="D949" s="658" t="s">
        <v>3348</v>
      </c>
      <c r="E949" s="658" t="s">
        <v>2723</v>
      </c>
      <c r="F949" s="653"/>
      <c r="G949" s="654"/>
      <c r="H949" s="657">
        <v>330</v>
      </c>
      <c r="I949" s="657">
        <f t="shared" ref="I949" si="824">H949</f>
        <v>330</v>
      </c>
      <c r="J949" s="657"/>
      <c r="K949" s="657">
        <v>330</v>
      </c>
      <c r="L949" s="657">
        <f t="shared" ref="L949" si="825">K949-I949</f>
        <v>0</v>
      </c>
      <c r="M949" s="13"/>
    </row>
    <row r="950" spans="1:13">
      <c r="A950" s="658"/>
      <c r="B950" s="658"/>
      <c r="C950" s="658"/>
      <c r="D950" s="658"/>
      <c r="E950" s="658"/>
      <c r="F950" s="655"/>
      <c r="G950" s="656"/>
      <c r="H950" s="657"/>
      <c r="I950" s="657"/>
      <c r="J950" s="657"/>
      <c r="K950" s="657"/>
      <c r="L950" s="657"/>
      <c r="M950" s="13"/>
    </row>
    <row r="951" spans="1:13">
      <c r="A951" s="658" t="s">
        <v>509</v>
      </c>
      <c r="B951" s="658" t="s">
        <v>3281</v>
      </c>
      <c r="C951" s="658" t="s">
        <v>3360</v>
      </c>
      <c r="D951" s="658" t="s">
        <v>3348</v>
      </c>
      <c r="E951" s="658" t="s">
        <v>4258</v>
      </c>
      <c r="F951" s="653"/>
      <c r="G951" s="654"/>
      <c r="H951" s="657">
        <v>45792</v>
      </c>
      <c r="I951" s="657">
        <v>1400</v>
      </c>
      <c r="J951" s="657"/>
      <c r="K951" s="657">
        <v>1400</v>
      </c>
      <c r="L951" s="657">
        <f t="shared" ref="L951" si="826">K951-I951</f>
        <v>0</v>
      </c>
      <c r="M951" s="13"/>
    </row>
    <row r="952" spans="1:13">
      <c r="A952" s="658"/>
      <c r="B952" s="658"/>
      <c r="C952" s="658"/>
      <c r="D952" s="658"/>
      <c r="E952" s="658"/>
      <c r="F952" s="655"/>
      <c r="G952" s="656"/>
      <c r="H952" s="657"/>
      <c r="I952" s="657"/>
      <c r="J952" s="657"/>
      <c r="K952" s="657"/>
      <c r="L952" s="657"/>
      <c r="M952" s="13"/>
    </row>
    <row r="953" spans="1:13">
      <c r="A953" s="658"/>
      <c r="B953" s="658"/>
      <c r="C953" s="658" t="s">
        <v>2735</v>
      </c>
      <c r="D953" s="658" t="s">
        <v>3351</v>
      </c>
      <c r="E953" s="658" t="s">
        <v>3349</v>
      </c>
      <c r="F953" s="653"/>
      <c r="G953" s="654"/>
      <c r="H953" s="657">
        <v>50</v>
      </c>
      <c r="I953" s="657">
        <f t="shared" ref="I953" si="827">H953</f>
        <v>50</v>
      </c>
      <c r="J953" s="657"/>
      <c r="K953" s="657">
        <v>50</v>
      </c>
      <c r="L953" s="657">
        <f t="shared" ref="L953" si="828">K953-I953</f>
        <v>0</v>
      </c>
      <c r="M953" s="13"/>
    </row>
    <row r="954" spans="1:13">
      <c r="A954" s="658"/>
      <c r="B954" s="658"/>
      <c r="C954" s="658"/>
      <c r="D954" s="658"/>
      <c r="E954" s="658"/>
      <c r="F954" s="655"/>
      <c r="G954" s="656"/>
      <c r="H954" s="657"/>
      <c r="I954" s="657"/>
      <c r="J954" s="657"/>
      <c r="K954" s="657"/>
      <c r="L954" s="657"/>
      <c r="M954" s="13"/>
    </row>
    <row r="955" spans="1:13">
      <c r="A955" s="658"/>
      <c r="B955" s="658"/>
      <c r="C955" s="658" t="s">
        <v>2708</v>
      </c>
      <c r="D955" s="658" t="s">
        <v>3351</v>
      </c>
      <c r="E955" s="658" t="s">
        <v>2866</v>
      </c>
      <c r="F955" s="653"/>
      <c r="G955" s="654"/>
      <c r="H955" s="657">
        <v>330</v>
      </c>
      <c r="I955" s="657">
        <f t="shared" ref="I955" si="829">H955</f>
        <v>330</v>
      </c>
      <c r="J955" s="657"/>
      <c r="K955" s="657">
        <v>330</v>
      </c>
      <c r="L955" s="657">
        <f t="shared" ref="L955" si="830">K955-I955</f>
        <v>0</v>
      </c>
      <c r="M955" s="13"/>
    </row>
    <row r="956" spans="1:13">
      <c r="A956" s="658"/>
      <c r="B956" s="658"/>
      <c r="C956" s="658"/>
      <c r="D956" s="658"/>
      <c r="E956" s="658"/>
      <c r="F956" s="655"/>
      <c r="G956" s="656"/>
      <c r="H956" s="657"/>
      <c r="I956" s="657"/>
      <c r="J956" s="657"/>
      <c r="K956" s="657"/>
      <c r="L956" s="657"/>
      <c r="M956" s="13"/>
    </row>
    <row r="957" spans="1:13">
      <c r="A957" s="658"/>
      <c r="B957" s="658"/>
      <c r="C957" s="658" t="s">
        <v>2717</v>
      </c>
      <c r="D957" s="658" t="s">
        <v>3351</v>
      </c>
      <c r="E957" s="658" t="s">
        <v>3350</v>
      </c>
      <c r="F957" s="653"/>
      <c r="G957" s="654"/>
      <c r="H957" s="657">
        <v>400</v>
      </c>
      <c r="I957" s="657">
        <f t="shared" ref="I957" si="831">H957</f>
        <v>400</v>
      </c>
      <c r="J957" s="657"/>
      <c r="K957" s="657">
        <v>400</v>
      </c>
      <c r="L957" s="657">
        <f t="shared" ref="L957" si="832">K957-I957</f>
        <v>0</v>
      </c>
      <c r="M957" s="13"/>
    </row>
    <row r="958" spans="1:13">
      <c r="A958" s="658"/>
      <c r="B958" s="658"/>
      <c r="C958" s="658"/>
      <c r="D958" s="658"/>
      <c r="E958" s="658"/>
      <c r="F958" s="655"/>
      <c r="G958" s="656"/>
      <c r="H958" s="657"/>
      <c r="I958" s="657"/>
      <c r="J958" s="657"/>
      <c r="K958" s="657"/>
      <c r="L958" s="657"/>
      <c r="M958" s="13"/>
    </row>
    <row r="959" spans="1:13">
      <c r="A959" s="658" t="s">
        <v>510</v>
      </c>
      <c r="B959" s="658" t="s">
        <v>3298</v>
      </c>
      <c r="C959" s="658" t="s">
        <v>3362</v>
      </c>
      <c r="D959" s="658" t="s">
        <v>3361</v>
      </c>
      <c r="E959" s="658" t="s">
        <v>239</v>
      </c>
      <c r="F959" s="653"/>
      <c r="G959" s="654"/>
      <c r="H959" s="657">
        <v>1350</v>
      </c>
      <c r="I959" s="657">
        <f t="shared" ref="I959" si="833">H959</f>
        <v>1350</v>
      </c>
      <c r="J959" s="657"/>
      <c r="K959" s="657">
        <v>1350</v>
      </c>
      <c r="L959" s="657">
        <f t="shared" ref="L959" si="834">K959-I959</f>
        <v>0</v>
      </c>
      <c r="M959" s="13"/>
    </row>
    <row r="960" spans="1:13">
      <c r="A960" s="658"/>
      <c r="B960" s="658"/>
      <c r="C960" s="658"/>
      <c r="D960" s="658"/>
      <c r="E960" s="658"/>
      <c r="F960" s="655"/>
      <c r="G960" s="656"/>
      <c r="H960" s="657"/>
      <c r="I960" s="657"/>
      <c r="J960" s="657"/>
      <c r="K960" s="657"/>
      <c r="L960" s="657"/>
      <c r="M960" s="13"/>
    </row>
    <row r="961" spans="1:13">
      <c r="A961" s="658"/>
      <c r="B961" s="658"/>
      <c r="C961" s="658" t="s">
        <v>2718</v>
      </c>
      <c r="D961" s="658" t="s">
        <v>3353</v>
      </c>
      <c r="E961" s="658" t="s">
        <v>3352</v>
      </c>
      <c r="F961" s="653"/>
      <c r="G961" s="654"/>
      <c r="H961" s="657">
        <v>500</v>
      </c>
      <c r="I961" s="657">
        <f t="shared" ref="I961" si="835">H961</f>
        <v>500</v>
      </c>
      <c r="J961" s="657"/>
      <c r="K961" s="657">
        <v>500</v>
      </c>
      <c r="L961" s="657">
        <f t="shared" ref="L961" si="836">K961-I961</f>
        <v>0</v>
      </c>
      <c r="M961" s="13"/>
    </row>
    <row r="962" spans="1:13">
      <c r="A962" s="658"/>
      <c r="B962" s="658"/>
      <c r="C962" s="658"/>
      <c r="D962" s="658"/>
      <c r="E962" s="658"/>
      <c r="F962" s="655"/>
      <c r="G962" s="656"/>
      <c r="H962" s="657"/>
      <c r="I962" s="657"/>
      <c r="J962" s="657"/>
      <c r="K962" s="657"/>
      <c r="L962" s="657"/>
      <c r="M962" s="13"/>
    </row>
    <row r="963" spans="1:13">
      <c r="A963" s="658"/>
      <c r="B963" s="658"/>
      <c r="C963" s="658" t="s">
        <v>2719</v>
      </c>
      <c r="D963" s="658" t="s">
        <v>3353</v>
      </c>
      <c r="E963" s="658" t="s">
        <v>3365</v>
      </c>
      <c r="F963" s="653"/>
      <c r="G963" s="654"/>
      <c r="H963" s="657">
        <v>250</v>
      </c>
      <c r="I963" s="657">
        <f t="shared" ref="I963" si="837">H963</f>
        <v>250</v>
      </c>
      <c r="J963" s="657"/>
      <c r="K963" s="657">
        <v>250</v>
      </c>
      <c r="L963" s="657">
        <f t="shared" ref="L963" si="838">K963-I963</f>
        <v>0</v>
      </c>
      <c r="M963" s="13"/>
    </row>
    <row r="964" spans="1:13">
      <c r="A964" s="658"/>
      <c r="B964" s="658"/>
      <c r="C964" s="658"/>
      <c r="D964" s="658"/>
      <c r="E964" s="658"/>
      <c r="F964" s="655"/>
      <c r="G964" s="656"/>
      <c r="H964" s="657"/>
      <c r="I964" s="657"/>
      <c r="J964" s="657"/>
      <c r="K964" s="657"/>
      <c r="L964" s="657"/>
      <c r="M964" s="13"/>
    </row>
    <row r="965" spans="1:13">
      <c r="A965" s="658"/>
      <c r="B965" s="658"/>
      <c r="C965" s="658" t="s">
        <v>2729</v>
      </c>
      <c r="D965" s="658" t="s">
        <v>3353</v>
      </c>
      <c r="E965" s="658" t="s">
        <v>2376</v>
      </c>
      <c r="F965" s="653"/>
      <c r="G965" s="654"/>
      <c r="H965" s="657">
        <v>70</v>
      </c>
      <c r="I965" s="657">
        <f t="shared" ref="I965" si="839">H965</f>
        <v>70</v>
      </c>
      <c r="J965" s="657"/>
      <c r="K965" s="657">
        <v>70</v>
      </c>
      <c r="L965" s="657">
        <f t="shared" ref="L965" si="840">K965-I965</f>
        <v>0</v>
      </c>
      <c r="M965" s="13"/>
    </row>
    <row r="966" spans="1:13">
      <c r="A966" s="658"/>
      <c r="B966" s="658"/>
      <c r="C966" s="658"/>
      <c r="D966" s="658"/>
      <c r="E966" s="658"/>
      <c r="F966" s="655"/>
      <c r="G966" s="656"/>
      <c r="H966" s="657"/>
      <c r="I966" s="657"/>
      <c r="J966" s="657"/>
      <c r="K966" s="657"/>
      <c r="L966" s="657"/>
      <c r="M966" s="13"/>
    </row>
    <row r="967" spans="1:13">
      <c r="A967" s="658"/>
      <c r="B967" s="658"/>
      <c r="C967" s="658" t="s">
        <v>2730</v>
      </c>
      <c r="D967" s="658" t="s">
        <v>3353</v>
      </c>
      <c r="E967" s="658" t="s">
        <v>2517</v>
      </c>
      <c r="F967" s="653"/>
      <c r="G967" s="654"/>
      <c r="H967" s="657">
        <v>100</v>
      </c>
      <c r="I967" s="657">
        <f t="shared" ref="I967" si="841">H967</f>
        <v>100</v>
      </c>
      <c r="J967" s="657"/>
      <c r="K967" s="657">
        <v>100</v>
      </c>
      <c r="L967" s="657">
        <f t="shared" ref="L967" si="842">K967-I967</f>
        <v>0</v>
      </c>
      <c r="M967" s="13"/>
    </row>
    <row r="968" spans="1:13">
      <c r="A968" s="658"/>
      <c r="B968" s="658"/>
      <c r="C968" s="658"/>
      <c r="D968" s="658"/>
      <c r="E968" s="658"/>
      <c r="F968" s="655"/>
      <c r="G968" s="656"/>
      <c r="H968" s="657"/>
      <c r="I968" s="657"/>
      <c r="J968" s="657"/>
      <c r="K968" s="657"/>
      <c r="L968" s="657"/>
      <c r="M968" s="13"/>
    </row>
    <row r="969" spans="1:13">
      <c r="A969" s="658"/>
      <c r="B969" s="658"/>
      <c r="C969" s="658" t="s">
        <v>2731</v>
      </c>
      <c r="D969" s="658" t="s">
        <v>3353</v>
      </c>
      <c r="E969" s="658" t="s">
        <v>2375</v>
      </c>
      <c r="F969" s="653"/>
      <c r="G969" s="654"/>
      <c r="H969" s="657">
        <v>60</v>
      </c>
      <c r="I969" s="657">
        <f t="shared" ref="I969" si="843">H969</f>
        <v>60</v>
      </c>
      <c r="J969" s="657"/>
      <c r="K969" s="657">
        <v>60</v>
      </c>
      <c r="L969" s="657">
        <f t="shared" ref="L969" si="844">K969-I969</f>
        <v>0</v>
      </c>
      <c r="M969" s="13"/>
    </row>
    <row r="970" spans="1:13">
      <c r="A970" s="658"/>
      <c r="B970" s="658"/>
      <c r="C970" s="658"/>
      <c r="D970" s="658"/>
      <c r="E970" s="658"/>
      <c r="F970" s="655"/>
      <c r="G970" s="656"/>
      <c r="H970" s="657"/>
      <c r="I970" s="657"/>
      <c r="J970" s="657"/>
      <c r="K970" s="657"/>
      <c r="L970" s="657"/>
      <c r="M970" s="13"/>
    </row>
    <row r="971" spans="1:13">
      <c r="A971" s="658" t="s">
        <v>526</v>
      </c>
      <c r="B971" s="658" t="s">
        <v>3015</v>
      </c>
      <c r="C971" s="658" t="s">
        <v>3364</v>
      </c>
      <c r="D971" s="658" t="s">
        <v>3363</v>
      </c>
      <c r="E971" s="658" t="s">
        <v>239</v>
      </c>
      <c r="F971" s="653"/>
      <c r="G971" s="654"/>
      <c r="H971" s="657">
        <v>44241</v>
      </c>
      <c r="I971" s="657">
        <v>1350</v>
      </c>
      <c r="J971" s="657"/>
      <c r="K971" s="657">
        <v>1350</v>
      </c>
      <c r="L971" s="657">
        <f t="shared" ref="L971" si="845">K971-I971</f>
        <v>0</v>
      </c>
      <c r="M971" s="13"/>
    </row>
    <row r="972" spans="1:13">
      <c r="A972" s="658"/>
      <c r="B972" s="658"/>
      <c r="C972" s="658"/>
      <c r="D972" s="658"/>
      <c r="E972" s="658"/>
      <c r="F972" s="655"/>
      <c r="G972" s="656"/>
      <c r="H972" s="657"/>
      <c r="I972" s="657"/>
      <c r="J972" s="657"/>
      <c r="K972" s="657"/>
      <c r="L972" s="657"/>
      <c r="M972" s="13"/>
    </row>
    <row r="973" spans="1:13">
      <c r="A973" s="658"/>
      <c r="B973" s="658"/>
      <c r="C973" s="658" t="s">
        <v>2732</v>
      </c>
      <c r="D973" s="658" t="s">
        <v>3353</v>
      </c>
      <c r="E973" s="658" t="s">
        <v>1745</v>
      </c>
      <c r="F973" s="653"/>
      <c r="G973" s="654"/>
      <c r="H973" s="657">
        <v>110</v>
      </c>
      <c r="I973" s="657">
        <f t="shared" ref="I973" si="846">H973</f>
        <v>110</v>
      </c>
      <c r="J973" s="657"/>
      <c r="K973" s="657">
        <v>110</v>
      </c>
      <c r="L973" s="657">
        <f t="shared" ref="L973" si="847">K973-I973</f>
        <v>0</v>
      </c>
      <c r="M973" s="13"/>
    </row>
    <row r="974" spans="1:13">
      <c r="A974" s="658"/>
      <c r="B974" s="658"/>
      <c r="C974" s="658"/>
      <c r="D974" s="658"/>
      <c r="E974" s="658"/>
      <c r="F974" s="655"/>
      <c r="G974" s="656"/>
      <c r="H974" s="657"/>
      <c r="I974" s="657"/>
      <c r="J974" s="657"/>
      <c r="K974" s="657"/>
      <c r="L974" s="657"/>
      <c r="M974" s="13"/>
    </row>
    <row r="975" spans="1:13">
      <c r="A975" s="658"/>
      <c r="B975" s="658"/>
      <c r="C975" s="658" t="s">
        <v>2733</v>
      </c>
      <c r="D975" s="658" t="s">
        <v>3353</v>
      </c>
      <c r="E975" s="658" t="s">
        <v>2723</v>
      </c>
      <c r="F975" s="653"/>
      <c r="G975" s="654"/>
      <c r="H975" s="657">
        <v>370</v>
      </c>
      <c r="I975" s="657">
        <f t="shared" ref="I975" si="848">H975</f>
        <v>370</v>
      </c>
      <c r="J975" s="657"/>
      <c r="K975" s="657">
        <v>370</v>
      </c>
      <c r="L975" s="657">
        <f t="shared" ref="L975" si="849">K975-I975</f>
        <v>0</v>
      </c>
      <c r="M975" s="13"/>
    </row>
    <row r="976" spans="1:13">
      <c r="A976" s="658"/>
      <c r="B976" s="658"/>
      <c r="C976" s="658"/>
      <c r="D976" s="658"/>
      <c r="E976" s="658"/>
      <c r="F976" s="655"/>
      <c r="G976" s="656"/>
      <c r="H976" s="657"/>
      <c r="I976" s="657"/>
      <c r="J976" s="657"/>
      <c r="K976" s="657"/>
      <c r="L976" s="657"/>
      <c r="M976" s="13"/>
    </row>
    <row r="977" spans="1:13">
      <c r="A977" s="658"/>
      <c r="B977" s="658"/>
      <c r="C977" s="658" t="s">
        <v>2734</v>
      </c>
      <c r="D977" s="658" t="s">
        <v>3353</v>
      </c>
      <c r="E977" s="658" t="s">
        <v>3260</v>
      </c>
      <c r="F977" s="653"/>
      <c r="G977" s="654"/>
      <c r="H977" s="657">
        <v>300</v>
      </c>
      <c r="I977" s="657">
        <f t="shared" ref="I977" si="850">H977</f>
        <v>300</v>
      </c>
      <c r="J977" s="657"/>
      <c r="K977" s="657">
        <v>300</v>
      </c>
      <c r="L977" s="657">
        <f t="shared" ref="L977" si="851">K977-I977</f>
        <v>0</v>
      </c>
      <c r="M977" s="13"/>
    </row>
    <row r="978" spans="1:13">
      <c r="A978" s="658"/>
      <c r="B978" s="658"/>
      <c r="C978" s="658"/>
      <c r="D978" s="658"/>
      <c r="E978" s="658"/>
      <c r="F978" s="655"/>
      <c r="G978" s="656"/>
      <c r="H978" s="657"/>
      <c r="I978" s="657"/>
      <c r="J978" s="657"/>
      <c r="K978" s="657"/>
      <c r="L978" s="657"/>
      <c r="M978" s="13"/>
    </row>
    <row r="979" spans="1:13">
      <c r="A979" s="658"/>
      <c r="B979" s="658" t="s">
        <v>218</v>
      </c>
      <c r="C979" s="658" t="s">
        <v>2707</v>
      </c>
      <c r="D979" s="658" t="s">
        <v>3354</v>
      </c>
      <c r="E979" s="658" t="s">
        <v>1140</v>
      </c>
      <c r="F979" s="653"/>
      <c r="G979" s="654"/>
      <c r="H979" s="657">
        <v>500</v>
      </c>
      <c r="I979" s="657">
        <v>200</v>
      </c>
      <c r="J979" s="657"/>
      <c r="K979" s="657">
        <v>200</v>
      </c>
      <c r="L979" s="657">
        <v>200</v>
      </c>
      <c r="M979" s="13"/>
    </row>
    <row r="980" spans="1:13">
      <c r="A980" s="658"/>
      <c r="B980" s="658"/>
      <c r="C980" s="658"/>
      <c r="D980" s="658"/>
      <c r="E980" s="658"/>
      <c r="F980" s="655"/>
      <c r="G980" s="656"/>
      <c r="H980" s="657"/>
      <c r="I980" s="657"/>
      <c r="J980" s="657"/>
      <c r="K980" s="657"/>
      <c r="L980" s="657"/>
      <c r="M980" s="13"/>
    </row>
    <row r="981" spans="1:13">
      <c r="A981" s="658" t="s">
        <v>529</v>
      </c>
      <c r="B981" s="658" t="s">
        <v>3281</v>
      </c>
      <c r="C981" s="658" t="s">
        <v>3397</v>
      </c>
      <c r="D981" s="658" t="s">
        <v>3396</v>
      </c>
      <c r="E981" s="658" t="s">
        <v>239</v>
      </c>
      <c r="F981" s="653"/>
      <c r="G981" s="654"/>
      <c r="H981" s="657">
        <v>1350</v>
      </c>
      <c r="I981" s="657">
        <v>1350</v>
      </c>
      <c r="J981" s="657"/>
      <c r="K981" s="657">
        <v>1350</v>
      </c>
      <c r="L981" s="657">
        <f t="shared" ref="L981" si="852">K981-I981</f>
        <v>0</v>
      </c>
      <c r="M981" s="13"/>
    </row>
    <row r="982" spans="1:13">
      <c r="A982" s="658"/>
      <c r="B982" s="658"/>
      <c r="C982" s="658"/>
      <c r="D982" s="658"/>
      <c r="E982" s="658"/>
      <c r="F982" s="655"/>
      <c r="G982" s="656"/>
      <c r="H982" s="657"/>
      <c r="I982" s="657"/>
      <c r="J982" s="657"/>
      <c r="K982" s="657"/>
      <c r="L982" s="657"/>
      <c r="M982" s="13"/>
    </row>
    <row r="983" spans="1:13">
      <c r="A983" s="658"/>
      <c r="B983" s="658"/>
      <c r="C983" s="658" t="s">
        <v>2743</v>
      </c>
      <c r="D983" s="658" t="s">
        <v>3366</v>
      </c>
      <c r="E983" s="658" t="s">
        <v>1601</v>
      </c>
      <c r="F983" s="653"/>
      <c r="G983" s="654"/>
      <c r="H983" s="657">
        <v>1000</v>
      </c>
      <c r="I983" s="657">
        <f t="shared" ref="I983" si="853">H983</f>
        <v>1000</v>
      </c>
      <c r="J983" s="657"/>
      <c r="K983" s="657">
        <v>1000</v>
      </c>
      <c r="L983" s="657">
        <f t="shared" ref="L983" si="854">K983-I983</f>
        <v>0</v>
      </c>
      <c r="M983" s="13"/>
    </row>
    <row r="984" spans="1:13">
      <c r="A984" s="658"/>
      <c r="B984" s="658"/>
      <c r="C984" s="658"/>
      <c r="D984" s="658"/>
      <c r="E984" s="658"/>
      <c r="F984" s="655"/>
      <c r="G984" s="656"/>
      <c r="H984" s="657"/>
      <c r="I984" s="657"/>
      <c r="J984" s="657"/>
      <c r="K984" s="657"/>
      <c r="L984" s="657"/>
      <c r="M984" s="13"/>
    </row>
    <row r="985" spans="1:13">
      <c r="A985" s="658" t="s">
        <v>530</v>
      </c>
      <c r="B985" s="658" t="s">
        <v>3298</v>
      </c>
      <c r="C985" s="658" t="s">
        <v>3374</v>
      </c>
      <c r="D985" s="658" t="s">
        <v>3373</v>
      </c>
      <c r="E985" s="658" t="s">
        <v>239</v>
      </c>
      <c r="F985" s="653"/>
      <c r="G985" s="654"/>
      <c r="H985" s="657">
        <v>44095</v>
      </c>
      <c r="I985" s="657">
        <v>1350</v>
      </c>
      <c r="J985" s="657"/>
      <c r="K985" s="657">
        <v>1350</v>
      </c>
      <c r="L985" s="657">
        <f t="shared" ref="L985" si="855">K985-I985</f>
        <v>0</v>
      </c>
      <c r="M985" s="13"/>
    </row>
    <row r="986" spans="1:13">
      <c r="A986" s="658"/>
      <c r="B986" s="658"/>
      <c r="C986" s="658"/>
      <c r="D986" s="658"/>
      <c r="E986" s="658"/>
      <c r="F986" s="655"/>
      <c r="G986" s="656"/>
      <c r="H986" s="657"/>
      <c r="I986" s="657"/>
      <c r="J986" s="657"/>
      <c r="K986" s="657"/>
      <c r="L986" s="657"/>
      <c r="M986" s="13"/>
    </row>
    <row r="987" spans="1:13">
      <c r="A987" s="658"/>
      <c r="B987" s="658"/>
      <c r="C987" s="658" t="s">
        <v>2744</v>
      </c>
      <c r="D987" s="658" t="s">
        <v>3370</v>
      </c>
      <c r="E987" s="658" t="s">
        <v>1601</v>
      </c>
      <c r="F987" s="653"/>
      <c r="G987" s="654"/>
      <c r="H987" s="657">
        <v>700</v>
      </c>
      <c r="I987" s="657">
        <f t="shared" ref="I987" si="856">H987</f>
        <v>700</v>
      </c>
      <c r="J987" s="657"/>
      <c r="K987" s="657">
        <v>700</v>
      </c>
      <c r="L987" s="657">
        <f t="shared" ref="L987" si="857">K987-I987</f>
        <v>0</v>
      </c>
      <c r="M987" s="13"/>
    </row>
    <row r="988" spans="1:13">
      <c r="A988" s="658"/>
      <c r="B988" s="658"/>
      <c r="C988" s="658"/>
      <c r="D988" s="658"/>
      <c r="E988" s="658"/>
      <c r="F988" s="655"/>
      <c r="G988" s="656"/>
      <c r="H988" s="657"/>
      <c r="I988" s="657"/>
      <c r="J988" s="657"/>
      <c r="K988" s="657"/>
      <c r="L988" s="657"/>
      <c r="M988" s="13"/>
    </row>
    <row r="989" spans="1:13">
      <c r="A989" s="658"/>
      <c r="B989" s="658"/>
      <c r="C989" s="658" t="s">
        <v>2747</v>
      </c>
      <c r="D989" s="658" t="s">
        <v>3371</v>
      </c>
      <c r="E989" s="658" t="s">
        <v>2348</v>
      </c>
      <c r="F989" s="653"/>
      <c r="G989" s="654"/>
      <c r="H989" s="657">
        <v>100</v>
      </c>
      <c r="I989" s="657">
        <f t="shared" ref="I989" si="858">H989</f>
        <v>100</v>
      </c>
      <c r="J989" s="657"/>
      <c r="K989" s="657">
        <v>100</v>
      </c>
      <c r="L989" s="657">
        <f t="shared" ref="L989" si="859">K989-I989</f>
        <v>0</v>
      </c>
      <c r="M989" s="13"/>
    </row>
    <row r="990" spans="1:13">
      <c r="A990" s="658"/>
      <c r="B990" s="658"/>
      <c r="C990" s="658"/>
      <c r="D990" s="658"/>
      <c r="E990" s="658"/>
      <c r="F990" s="655"/>
      <c r="G990" s="656"/>
      <c r="H990" s="657"/>
      <c r="I990" s="657"/>
      <c r="J990" s="657"/>
      <c r="K990" s="657"/>
      <c r="L990" s="657"/>
      <c r="M990" s="13"/>
    </row>
    <row r="991" spans="1:13">
      <c r="A991" s="658" t="s">
        <v>531</v>
      </c>
      <c r="B991" s="658" t="s">
        <v>3015</v>
      </c>
      <c r="C991" s="658" t="s">
        <v>3375</v>
      </c>
      <c r="D991" s="658" t="s">
        <v>3373</v>
      </c>
      <c r="E991" s="658" t="s">
        <v>239</v>
      </c>
      <c r="F991" s="653"/>
      <c r="G991" s="654"/>
      <c r="H991" s="657">
        <v>1350</v>
      </c>
      <c r="I991" s="657">
        <f t="shared" ref="I991" si="860">H991</f>
        <v>1350</v>
      </c>
      <c r="J991" s="657"/>
      <c r="K991" s="657">
        <v>1350</v>
      </c>
      <c r="L991" s="657">
        <f t="shared" ref="L991" si="861">K991-I991</f>
        <v>0</v>
      </c>
      <c r="M991" s="13"/>
    </row>
    <row r="992" spans="1:13">
      <c r="A992" s="658"/>
      <c r="B992" s="658"/>
      <c r="C992" s="658"/>
      <c r="D992" s="658"/>
      <c r="E992" s="658"/>
      <c r="F992" s="655"/>
      <c r="G992" s="656"/>
      <c r="H992" s="657"/>
      <c r="I992" s="657"/>
      <c r="J992" s="657"/>
      <c r="K992" s="657"/>
      <c r="L992" s="657"/>
      <c r="M992" s="13"/>
    </row>
    <row r="993" spans="1:13">
      <c r="A993" s="658"/>
      <c r="B993" s="658"/>
      <c r="C993" s="658" t="s">
        <v>2751</v>
      </c>
      <c r="D993" s="658" t="s">
        <v>3371</v>
      </c>
      <c r="E993" s="658" t="s">
        <v>3309</v>
      </c>
      <c r="F993" s="653"/>
      <c r="G993" s="654"/>
      <c r="H993" s="657">
        <v>360</v>
      </c>
      <c r="I993" s="657">
        <f t="shared" ref="I993" si="862">H993</f>
        <v>360</v>
      </c>
      <c r="J993" s="657"/>
      <c r="K993" s="657">
        <v>360</v>
      </c>
      <c r="L993" s="657">
        <f t="shared" ref="L993" si="863">K993-I993</f>
        <v>0</v>
      </c>
      <c r="M993" s="13"/>
    </row>
    <row r="994" spans="1:13">
      <c r="A994" s="658"/>
      <c r="B994" s="658"/>
      <c r="C994" s="658"/>
      <c r="D994" s="658"/>
      <c r="E994" s="658"/>
      <c r="F994" s="655"/>
      <c r="G994" s="656"/>
      <c r="H994" s="657"/>
      <c r="I994" s="657"/>
      <c r="J994" s="657"/>
      <c r="K994" s="657"/>
      <c r="L994" s="657"/>
      <c r="M994" s="13"/>
    </row>
    <row r="995" spans="1:13">
      <c r="A995" s="658"/>
      <c r="B995" s="658"/>
      <c r="C995" s="658" t="s">
        <v>2752</v>
      </c>
      <c r="D995" s="658" t="s">
        <v>3378</v>
      </c>
      <c r="E995" s="658" t="s">
        <v>3369</v>
      </c>
      <c r="F995" s="653"/>
      <c r="G995" s="654"/>
      <c r="H995" s="657">
        <v>420</v>
      </c>
      <c r="I995" s="657">
        <f t="shared" ref="I995" si="864">H995</f>
        <v>420</v>
      </c>
      <c r="J995" s="657"/>
      <c r="K995" s="657">
        <v>420</v>
      </c>
      <c r="L995" s="657">
        <f t="shared" ref="L995" si="865">K995-I995</f>
        <v>0</v>
      </c>
      <c r="M995" s="13"/>
    </row>
    <row r="996" spans="1:13">
      <c r="A996" s="658"/>
      <c r="B996" s="658"/>
      <c r="C996" s="658"/>
      <c r="D996" s="658"/>
      <c r="E996" s="658"/>
      <c r="F996" s="655"/>
      <c r="G996" s="656"/>
      <c r="H996" s="657"/>
      <c r="I996" s="657"/>
      <c r="J996" s="657"/>
      <c r="K996" s="657"/>
      <c r="L996" s="657"/>
      <c r="M996" s="13"/>
    </row>
    <row r="997" spans="1:13">
      <c r="A997" s="658"/>
      <c r="B997" s="658"/>
      <c r="C997" s="658" t="s">
        <v>2758</v>
      </c>
      <c r="D997" s="658" t="s">
        <v>3371</v>
      </c>
      <c r="E997" s="658" t="s">
        <v>117</v>
      </c>
      <c r="F997" s="653"/>
      <c r="G997" s="654"/>
      <c r="H997" s="657">
        <v>110</v>
      </c>
      <c r="I997" s="657">
        <f t="shared" ref="I997" si="866">H997</f>
        <v>110</v>
      </c>
      <c r="J997" s="657"/>
      <c r="K997" s="657">
        <v>110</v>
      </c>
      <c r="L997" s="657">
        <f t="shared" ref="L997" si="867">K997-I997</f>
        <v>0</v>
      </c>
      <c r="M997" s="13"/>
    </row>
    <row r="998" spans="1:13">
      <c r="A998" s="658"/>
      <c r="B998" s="658"/>
      <c r="C998" s="658"/>
      <c r="D998" s="658"/>
      <c r="E998" s="658"/>
      <c r="F998" s="655"/>
      <c r="G998" s="656"/>
      <c r="H998" s="657"/>
      <c r="I998" s="657"/>
      <c r="J998" s="657"/>
      <c r="K998" s="657"/>
      <c r="L998" s="657"/>
      <c r="M998" s="13"/>
    </row>
    <row r="999" spans="1:13">
      <c r="A999" s="809" t="s">
        <v>555</v>
      </c>
      <c r="B999" s="810"/>
      <c r="C999" s="810"/>
      <c r="D999" s="810"/>
      <c r="E999" s="810"/>
      <c r="F999" s="810"/>
      <c r="G999" s="810"/>
      <c r="H999" s="810"/>
      <c r="I999" s="810"/>
      <c r="J999" s="810"/>
      <c r="K999" s="810"/>
      <c r="L999" s="811"/>
      <c r="M999" s="13"/>
    </row>
    <row r="1000" spans="1:13">
      <c r="A1000" s="812"/>
      <c r="B1000" s="813"/>
      <c r="C1000" s="813"/>
      <c r="D1000" s="813"/>
      <c r="E1000" s="813"/>
      <c r="F1000" s="813"/>
      <c r="G1000" s="813"/>
      <c r="H1000" s="813"/>
      <c r="I1000" s="813"/>
      <c r="J1000" s="813"/>
      <c r="K1000" s="813"/>
      <c r="L1000" s="814"/>
      <c r="M1000" s="13"/>
    </row>
    <row r="1001" spans="1:13">
      <c r="A1001" s="658" t="s">
        <v>535</v>
      </c>
      <c r="B1001" s="658" t="s">
        <v>3008</v>
      </c>
      <c r="C1001" s="658" t="s">
        <v>3383</v>
      </c>
      <c r="D1001" s="658" t="s">
        <v>3370</v>
      </c>
      <c r="E1001" s="658" t="s">
        <v>239</v>
      </c>
      <c r="F1001" s="653"/>
      <c r="G1001" s="654"/>
      <c r="H1001" s="657">
        <v>44781</v>
      </c>
      <c r="I1001" s="657">
        <v>1350</v>
      </c>
      <c r="J1001" s="657"/>
      <c r="K1001" s="657">
        <v>1350</v>
      </c>
      <c r="L1001" s="657">
        <f t="shared" ref="L1001" si="868">K1001-I1001</f>
        <v>0</v>
      </c>
      <c r="M1001" s="643">
        <f>SUM(I987,I1001:I1096,I1105)</f>
        <v>32709</v>
      </c>
    </row>
    <row r="1002" spans="1:13">
      <c r="A1002" s="658"/>
      <c r="B1002" s="658"/>
      <c r="C1002" s="658"/>
      <c r="D1002" s="658"/>
      <c r="E1002" s="658"/>
      <c r="F1002" s="655"/>
      <c r="G1002" s="656"/>
      <c r="H1002" s="657"/>
      <c r="I1002" s="657"/>
      <c r="J1002" s="657"/>
      <c r="K1002" s="657"/>
      <c r="L1002" s="657"/>
      <c r="M1002" s="13"/>
    </row>
    <row r="1003" spans="1:13">
      <c r="A1003" s="658"/>
      <c r="B1003" s="658"/>
      <c r="C1003" s="658" t="s">
        <v>2759</v>
      </c>
      <c r="D1003" s="658" t="s">
        <v>3381</v>
      </c>
      <c r="E1003" s="658" t="s">
        <v>3261</v>
      </c>
      <c r="F1003" s="653"/>
      <c r="G1003" s="654"/>
      <c r="H1003" s="657">
        <v>14000</v>
      </c>
      <c r="I1003" s="657">
        <v>420</v>
      </c>
      <c r="J1003" s="657"/>
      <c r="K1003" s="657">
        <v>420</v>
      </c>
      <c r="L1003" s="657">
        <f t="shared" ref="L1003" si="869">K1003-I1003</f>
        <v>0</v>
      </c>
      <c r="M1003" s="13"/>
    </row>
    <row r="1004" spans="1:13">
      <c r="A1004" s="658"/>
      <c r="B1004" s="658"/>
      <c r="C1004" s="658"/>
      <c r="D1004" s="658"/>
      <c r="E1004" s="658"/>
      <c r="F1004" s="655"/>
      <c r="G1004" s="656"/>
      <c r="H1004" s="657"/>
      <c r="I1004" s="657"/>
      <c r="J1004" s="657"/>
      <c r="K1004" s="657"/>
      <c r="L1004" s="657"/>
      <c r="M1004" s="13"/>
    </row>
    <row r="1005" spans="1:13">
      <c r="A1005" s="658"/>
      <c r="B1005" s="658"/>
      <c r="C1005" s="658" t="s">
        <v>2760</v>
      </c>
      <c r="D1005" s="658" t="s">
        <v>3381</v>
      </c>
      <c r="E1005" s="658" t="s">
        <v>2723</v>
      </c>
      <c r="F1005" s="653"/>
      <c r="G1005" s="654"/>
      <c r="H1005" s="657">
        <v>180</v>
      </c>
      <c r="I1005" s="657">
        <f t="shared" ref="I1005" si="870">H1005</f>
        <v>180</v>
      </c>
      <c r="J1005" s="657"/>
      <c r="K1005" s="657">
        <v>180</v>
      </c>
      <c r="L1005" s="657">
        <f t="shared" ref="L1005" si="871">K1005-I1005</f>
        <v>0</v>
      </c>
      <c r="M1005" s="13"/>
    </row>
    <row r="1006" spans="1:13">
      <c r="A1006" s="658"/>
      <c r="B1006" s="658"/>
      <c r="C1006" s="658"/>
      <c r="D1006" s="658"/>
      <c r="E1006" s="658"/>
      <c r="F1006" s="655"/>
      <c r="G1006" s="656"/>
      <c r="H1006" s="657"/>
      <c r="I1006" s="657"/>
      <c r="J1006" s="657"/>
      <c r="K1006" s="657"/>
      <c r="L1006" s="657"/>
      <c r="M1006" s="13"/>
    </row>
    <row r="1007" spans="1:13">
      <c r="A1007" s="658"/>
      <c r="B1007" s="658"/>
      <c r="C1007" s="658" t="s">
        <v>2765</v>
      </c>
      <c r="D1007" s="658" t="s">
        <v>3381</v>
      </c>
      <c r="E1007" s="658" t="s">
        <v>2723</v>
      </c>
      <c r="F1007" s="653"/>
      <c r="G1007" s="654"/>
      <c r="H1007" s="657">
        <v>370</v>
      </c>
      <c r="I1007" s="657">
        <f t="shared" ref="I1007" si="872">H1007</f>
        <v>370</v>
      </c>
      <c r="J1007" s="657"/>
      <c r="K1007" s="657">
        <v>370</v>
      </c>
      <c r="L1007" s="657">
        <f t="shared" ref="L1007" si="873">K1007-I1007</f>
        <v>0</v>
      </c>
      <c r="M1007" s="13"/>
    </row>
    <row r="1008" spans="1:13">
      <c r="A1008" s="658"/>
      <c r="B1008" s="658"/>
      <c r="C1008" s="658"/>
      <c r="D1008" s="658"/>
      <c r="E1008" s="658"/>
      <c r="F1008" s="655"/>
      <c r="G1008" s="656"/>
      <c r="H1008" s="657"/>
      <c r="I1008" s="657"/>
      <c r="J1008" s="657"/>
      <c r="K1008" s="657"/>
      <c r="L1008" s="657"/>
      <c r="M1008" s="13"/>
    </row>
    <row r="1009" spans="1:13">
      <c r="A1009" s="658" t="s">
        <v>536</v>
      </c>
      <c r="B1009" s="658" t="s">
        <v>3281</v>
      </c>
      <c r="C1009" s="658" t="s">
        <v>3384</v>
      </c>
      <c r="D1009" s="658" t="s">
        <v>3370</v>
      </c>
      <c r="E1009" s="658" t="s">
        <v>239</v>
      </c>
      <c r="F1009" s="653"/>
      <c r="G1009" s="654"/>
      <c r="H1009" s="657">
        <v>1400</v>
      </c>
      <c r="I1009" s="657">
        <f t="shared" ref="I1009" si="874">H1009</f>
        <v>1400</v>
      </c>
      <c r="J1009" s="657"/>
      <c r="K1009" s="657"/>
      <c r="L1009" s="657">
        <f t="shared" ref="L1009" si="875">K1009-I1009</f>
        <v>-1400</v>
      </c>
      <c r="M1009" s="13"/>
    </row>
    <row r="1010" spans="1:13">
      <c r="A1010" s="658"/>
      <c r="B1010" s="658"/>
      <c r="C1010" s="658"/>
      <c r="D1010" s="658"/>
      <c r="E1010" s="658"/>
      <c r="F1010" s="655"/>
      <c r="G1010" s="656"/>
      <c r="H1010" s="657"/>
      <c r="I1010" s="657"/>
      <c r="J1010" s="657"/>
      <c r="K1010" s="657"/>
      <c r="L1010" s="657"/>
      <c r="M1010" s="13"/>
    </row>
    <row r="1011" spans="1:13">
      <c r="A1011" s="658"/>
      <c r="B1011" s="658"/>
      <c r="C1011" s="658" t="s">
        <v>2766</v>
      </c>
      <c r="D1011" s="658" t="s">
        <v>3381</v>
      </c>
      <c r="E1011" s="658" t="s">
        <v>3261</v>
      </c>
      <c r="F1011" s="653"/>
      <c r="G1011" s="654"/>
      <c r="H1011" s="657">
        <v>10000</v>
      </c>
      <c r="I1011" s="657">
        <v>300</v>
      </c>
      <c r="J1011" s="657"/>
      <c r="K1011" s="657">
        <v>300</v>
      </c>
      <c r="L1011" s="657">
        <f t="shared" ref="L1011" si="876">K1011-I1011</f>
        <v>0</v>
      </c>
      <c r="M1011" s="13"/>
    </row>
    <row r="1012" spans="1:13">
      <c r="A1012" s="658"/>
      <c r="B1012" s="658"/>
      <c r="C1012" s="658"/>
      <c r="D1012" s="658"/>
      <c r="E1012" s="658"/>
      <c r="F1012" s="655"/>
      <c r="G1012" s="656"/>
      <c r="H1012" s="657"/>
      <c r="I1012" s="657"/>
      <c r="J1012" s="657"/>
      <c r="K1012" s="657"/>
      <c r="L1012" s="657"/>
      <c r="M1012" s="13"/>
    </row>
    <row r="1013" spans="1:13">
      <c r="A1013" s="658"/>
      <c r="B1013" s="658"/>
      <c r="C1013" s="658" t="s">
        <v>2768</v>
      </c>
      <c r="D1013" s="658" t="s">
        <v>3382</v>
      </c>
      <c r="E1013" s="658" t="s">
        <v>3379</v>
      </c>
      <c r="F1013" s="653"/>
      <c r="G1013" s="654"/>
      <c r="H1013" s="657">
        <v>650</v>
      </c>
      <c r="I1013" s="657">
        <f t="shared" ref="I1013" si="877">H1013</f>
        <v>650</v>
      </c>
      <c r="J1013" s="657"/>
      <c r="K1013" s="657">
        <v>650</v>
      </c>
      <c r="L1013" s="657">
        <f t="shared" ref="L1013" si="878">K1013-I1013</f>
        <v>0</v>
      </c>
      <c r="M1013" s="13"/>
    </row>
    <row r="1014" spans="1:13">
      <c r="A1014" s="658"/>
      <c r="B1014" s="658"/>
      <c r="C1014" s="658"/>
      <c r="D1014" s="658"/>
      <c r="E1014" s="658"/>
      <c r="F1014" s="655"/>
      <c r="G1014" s="656"/>
      <c r="H1014" s="657"/>
      <c r="I1014" s="657"/>
      <c r="J1014" s="657"/>
      <c r="K1014" s="657"/>
      <c r="L1014" s="657"/>
      <c r="M1014" s="13"/>
    </row>
    <row r="1015" spans="1:13">
      <c r="A1015" s="658" t="s">
        <v>607</v>
      </c>
      <c r="B1015" s="658" t="s">
        <v>3015</v>
      </c>
      <c r="C1015" s="658" t="s">
        <v>3386</v>
      </c>
      <c r="D1015" s="658" t="s">
        <v>3385</v>
      </c>
      <c r="E1015" s="658" t="s">
        <v>239</v>
      </c>
      <c r="F1015" s="653"/>
      <c r="G1015" s="654"/>
      <c r="H1015" s="657">
        <v>44790</v>
      </c>
      <c r="I1015" s="657">
        <v>1350</v>
      </c>
      <c r="J1015" s="657"/>
      <c r="K1015" s="657"/>
      <c r="L1015" s="657">
        <f t="shared" ref="L1015" si="879">K1015-I1015</f>
        <v>-1350</v>
      </c>
      <c r="M1015" s="13"/>
    </row>
    <row r="1016" spans="1:13">
      <c r="A1016" s="658"/>
      <c r="B1016" s="658"/>
      <c r="C1016" s="658"/>
      <c r="D1016" s="658"/>
      <c r="E1016" s="658"/>
      <c r="F1016" s="655"/>
      <c r="G1016" s="656"/>
      <c r="H1016" s="657"/>
      <c r="I1016" s="657"/>
      <c r="J1016" s="657"/>
      <c r="K1016" s="657"/>
      <c r="L1016" s="657"/>
      <c r="M1016" s="13"/>
    </row>
    <row r="1017" spans="1:13">
      <c r="A1017" s="658"/>
      <c r="B1017" s="658"/>
      <c r="C1017" s="658" t="s">
        <v>2769</v>
      </c>
      <c r="D1017" s="658" t="s">
        <v>3381</v>
      </c>
      <c r="E1017" s="658" t="s">
        <v>3380</v>
      </c>
      <c r="F1017" s="653"/>
      <c r="G1017" s="654"/>
      <c r="H1017" s="657">
        <v>600</v>
      </c>
      <c r="I1017" s="657">
        <f t="shared" ref="I1017" si="880">H1017</f>
        <v>600</v>
      </c>
      <c r="J1017" s="657"/>
      <c r="K1017" s="657">
        <v>600</v>
      </c>
      <c r="L1017" s="657">
        <f t="shared" ref="L1017" si="881">K1017-I1017</f>
        <v>0</v>
      </c>
      <c r="M1017" s="13"/>
    </row>
    <row r="1018" spans="1:13">
      <c r="A1018" s="658"/>
      <c r="B1018" s="658"/>
      <c r="C1018" s="658"/>
      <c r="D1018" s="658"/>
      <c r="E1018" s="658"/>
      <c r="F1018" s="655"/>
      <c r="G1018" s="656"/>
      <c r="H1018" s="657"/>
      <c r="I1018" s="657"/>
      <c r="J1018" s="657"/>
      <c r="K1018" s="657"/>
      <c r="L1018" s="657"/>
      <c r="M1018" s="13"/>
    </row>
    <row r="1019" spans="1:13">
      <c r="A1019" s="658" t="s">
        <v>613</v>
      </c>
      <c r="B1019" s="658" t="s">
        <v>3281</v>
      </c>
      <c r="C1019" s="658" t="s">
        <v>3391</v>
      </c>
      <c r="D1019" s="658" t="s">
        <v>3390</v>
      </c>
      <c r="E1019" s="658" t="s">
        <v>239</v>
      </c>
      <c r="F1019" s="653"/>
      <c r="G1019" s="654"/>
      <c r="H1019" s="657">
        <v>1350</v>
      </c>
      <c r="I1019" s="657">
        <f t="shared" ref="I1019" si="882">H1019</f>
        <v>1350</v>
      </c>
      <c r="J1019" s="657"/>
      <c r="K1019" s="657">
        <v>1350</v>
      </c>
      <c r="L1019" s="657">
        <f t="shared" ref="L1019" si="883">K1019-I1019</f>
        <v>0</v>
      </c>
      <c r="M1019" s="13"/>
    </row>
    <row r="1020" spans="1:13">
      <c r="A1020" s="658"/>
      <c r="B1020" s="658"/>
      <c r="C1020" s="658"/>
      <c r="D1020" s="658"/>
      <c r="E1020" s="658"/>
      <c r="F1020" s="655"/>
      <c r="G1020" s="656"/>
      <c r="H1020" s="657"/>
      <c r="I1020" s="657"/>
      <c r="J1020" s="657"/>
      <c r="K1020" s="657"/>
      <c r="L1020" s="657"/>
      <c r="M1020" s="13"/>
    </row>
    <row r="1021" spans="1:13">
      <c r="A1021" s="658"/>
      <c r="B1021" s="658"/>
      <c r="C1021" s="658" t="s">
        <v>2775</v>
      </c>
      <c r="D1021" s="658" t="s">
        <v>3387</v>
      </c>
      <c r="E1021" s="658" t="s">
        <v>1140</v>
      </c>
      <c r="F1021" s="653"/>
      <c r="G1021" s="654"/>
      <c r="H1021" s="657">
        <v>500</v>
      </c>
      <c r="I1021" s="657">
        <f t="shared" ref="I1021" si="884">H1021</f>
        <v>500</v>
      </c>
      <c r="J1021" s="657"/>
      <c r="K1021" s="657">
        <v>500</v>
      </c>
      <c r="L1021" s="657">
        <f t="shared" ref="L1021" si="885">K1021-I1021</f>
        <v>0</v>
      </c>
      <c r="M1021" s="13"/>
    </row>
    <row r="1022" spans="1:13">
      <c r="A1022" s="658"/>
      <c r="B1022" s="658"/>
      <c r="C1022" s="658"/>
      <c r="D1022" s="658"/>
      <c r="E1022" s="658"/>
      <c r="F1022" s="655"/>
      <c r="G1022" s="656"/>
      <c r="H1022" s="657"/>
      <c r="I1022" s="657"/>
      <c r="J1022" s="657"/>
      <c r="K1022" s="657"/>
      <c r="L1022" s="657"/>
      <c r="M1022" s="13"/>
    </row>
    <row r="1023" spans="1:13">
      <c r="A1023" s="658"/>
      <c r="B1023" s="658"/>
      <c r="C1023" s="658" t="s">
        <v>2776</v>
      </c>
      <c r="D1023" s="658" t="s">
        <v>3387</v>
      </c>
      <c r="E1023" s="658" t="s">
        <v>117</v>
      </c>
      <c r="F1023" s="653"/>
      <c r="G1023" s="654"/>
      <c r="H1023" s="657">
        <v>110</v>
      </c>
      <c r="I1023" s="657">
        <f t="shared" ref="I1023" si="886">H1023</f>
        <v>110</v>
      </c>
      <c r="J1023" s="657"/>
      <c r="K1023" s="657">
        <v>110</v>
      </c>
      <c r="L1023" s="657">
        <f t="shared" ref="L1023" si="887">K1023-I1023</f>
        <v>0</v>
      </c>
      <c r="M1023" s="13"/>
    </row>
    <row r="1024" spans="1:13">
      <c r="A1024" s="658"/>
      <c r="B1024" s="658"/>
      <c r="C1024" s="658"/>
      <c r="D1024" s="658"/>
      <c r="E1024" s="658"/>
      <c r="F1024" s="655"/>
      <c r="G1024" s="656"/>
      <c r="H1024" s="657"/>
      <c r="I1024" s="657"/>
      <c r="J1024" s="657"/>
      <c r="K1024" s="657"/>
      <c r="L1024" s="657"/>
      <c r="M1024" s="13"/>
    </row>
    <row r="1025" spans="1:13">
      <c r="A1025" s="658"/>
      <c r="B1025" s="658"/>
      <c r="C1025" s="658" t="s">
        <v>2783</v>
      </c>
      <c r="D1025" s="658" t="s">
        <v>3387</v>
      </c>
      <c r="E1025" s="658" t="s">
        <v>3309</v>
      </c>
      <c r="F1025" s="653"/>
      <c r="G1025" s="654"/>
      <c r="H1025" s="657">
        <v>450</v>
      </c>
      <c r="I1025" s="657">
        <f t="shared" ref="I1025" si="888">H1025</f>
        <v>450</v>
      </c>
      <c r="J1025" s="657"/>
      <c r="K1025" s="657">
        <v>450</v>
      </c>
      <c r="L1025" s="657">
        <f t="shared" ref="L1025" si="889">K1025-I1025</f>
        <v>0</v>
      </c>
      <c r="M1025" s="13"/>
    </row>
    <row r="1026" spans="1:13">
      <c r="A1026" s="658"/>
      <c r="B1026" s="658"/>
      <c r="C1026" s="658"/>
      <c r="D1026" s="658"/>
      <c r="E1026" s="658"/>
      <c r="F1026" s="655"/>
      <c r="G1026" s="656"/>
      <c r="H1026" s="657"/>
      <c r="I1026" s="657"/>
      <c r="J1026" s="657"/>
      <c r="K1026" s="657"/>
      <c r="L1026" s="657"/>
      <c r="M1026" s="13"/>
    </row>
    <row r="1027" spans="1:13">
      <c r="A1027" s="658" t="s">
        <v>614</v>
      </c>
      <c r="B1027" s="658" t="s">
        <v>3015</v>
      </c>
      <c r="C1027" s="658" t="s">
        <v>3393</v>
      </c>
      <c r="D1027" s="658" t="s">
        <v>3392</v>
      </c>
      <c r="E1027" s="658" t="s">
        <v>239</v>
      </c>
      <c r="F1027" s="653"/>
      <c r="G1027" s="654"/>
      <c r="H1027" s="657">
        <v>46834</v>
      </c>
      <c r="I1027" s="657">
        <v>1400</v>
      </c>
      <c r="J1027" s="657"/>
      <c r="K1027" s="657">
        <v>1400</v>
      </c>
      <c r="L1027" s="657">
        <f t="shared" ref="L1027" si="890">K1027-I1027</f>
        <v>0</v>
      </c>
      <c r="M1027" s="13"/>
    </row>
    <row r="1028" spans="1:13">
      <c r="A1028" s="658"/>
      <c r="B1028" s="658"/>
      <c r="C1028" s="658"/>
      <c r="D1028" s="658"/>
      <c r="E1028" s="658"/>
      <c r="F1028" s="655"/>
      <c r="G1028" s="656"/>
      <c r="H1028" s="657"/>
      <c r="I1028" s="657"/>
      <c r="J1028" s="657"/>
      <c r="K1028" s="657"/>
      <c r="L1028" s="657"/>
      <c r="M1028" s="13"/>
    </row>
    <row r="1029" spans="1:13">
      <c r="A1029" s="658"/>
      <c r="B1029" s="658"/>
      <c r="C1029" s="658" t="s">
        <v>2784</v>
      </c>
      <c r="D1029" s="658" t="s">
        <v>2835</v>
      </c>
      <c r="E1029" s="658" t="s">
        <v>2723</v>
      </c>
      <c r="F1029" s="653"/>
      <c r="G1029" s="654"/>
      <c r="H1029" s="657">
        <v>300</v>
      </c>
      <c r="I1029" s="657">
        <f t="shared" ref="I1029" si="891">H1029</f>
        <v>300</v>
      </c>
      <c r="J1029" s="657"/>
      <c r="K1029" s="657">
        <v>300</v>
      </c>
      <c r="L1029" s="657">
        <f t="shared" ref="L1029" si="892">K1029-I1029</f>
        <v>0</v>
      </c>
      <c r="M1029" s="13"/>
    </row>
    <row r="1030" spans="1:13">
      <c r="A1030" s="658"/>
      <c r="B1030" s="658"/>
      <c r="C1030" s="658"/>
      <c r="D1030" s="658"/>
      <c r="E1030" s="658"/>
      <c r="F1030" s="655"/>
      <c r="G1030" s="656"/>
      <c r="H1030" s="657"/>
      <c r="I1030" s="657"/>
      <c r="J1030" s="657"/>
      <c r="K1030" s="657"/>
      <c r="L1030" s="657"/>
      <c r="M1030" s="13"/>
    </row>
    <row r="1031" spans="1:13">
      <c r="A1031" s="658"/>
      <c r="B1031" s="658"/>
      <c r="C1031" s="658" t="s">
        <v>2785</v>
      </c>
      <c r="D1031" s="658" t="s">
        <v>2835</v>
      </c>
      <c r="E1031" s="658" t="s">
        <v>2723</v>
      </c>
      <c r="F1031" s="653"/>
      <c r="G1031" s="654"/>
      <c r="H1031" s="657">
        <v>200</v>
      </c>
      <c r="I1031" s="657">
        <f t="shared" ref="I1031" si="893">H1031</f>
        <v>200</v>
      </c>
      <c r="J1031" s="657"/>
      <c r="K1031" s="657">
        <v>200</v>
      </c>
      <c r="L1031" s="657">
        <f t="shared" ref="L1031" si="894">K1031-I1031</f>
        <v>0</v>
      </c>
      <c r="M1031" s="13"/>
    </row>
    <row r="1032" spans="1:13">
      <c r="A1032" s="658"/>
      <c r="B1032" s="658"/>
      <c r="C1032" s="658"/>
      <c r="D1032" s="658"/>
      <c r="E1032" s="658"/>
      <c r="F1032" s="655"/>
      <c r="G1032" s="656"/>
      <c r="H1032" s="657"/>
      <c r="I1032" s="657"/>
      <c r="J1032" s="657"/>
      <c r="K1032" s="657"/>
      <c r="L1032" s="657"/>
      <c r="M1032" s="13"/>
    </row>
    <row r="1033" spans="1:13">
      <c r="A1033" s="658"/>
      <c r="B1033" s="658"/>
      <c r="C1033" s="658" t="s">
        <v>2786</v>
      </c>
      <c r="D1033" s="658" t="s">
        <v>2835</v>
      </c>
      <c r="E1033" s="658" t="s">
        <v>2723</v>
      </c>
      <c r="F1033" s="653"/>
      <c r="G1033" s="654"/>
      <c r="H1033" s="657">
        <v>300</v>
      </c>
      <c r="I1033" s="657">
        <f t="shared" ref="I1033" si="895">H1033</f>
        <v>300</v>
      </c>
      <c r="J1033" s="657"/>
      <c r="K1033" s="657">
        <v>300</v>
      </c>
      <c r="L1033" s="657">
        <f t="shared" ref="L1033" si="896">K1033-I1033</f>
        <v>0</v>
      </c>
      <c r="M1033" s="13"/>
    </row>
    <row r="1034" spans="1:13">
      <c r="A1034" s="658"/>
      <c r="B1034" s="658"/>
      <c r="C1034" s="658"/>
      <c r="D1034" s="658"/>
      <c r="E1034" s="658"/>
      <c r="F1034" s="655"/>
      <c r="G1034" s="656"/>
      <c r="H1034" s="657"/>
      <c r="I1034" s="657"/>
      <c r="J1034" s="657"/>
      <c r="K1034" s="657"/>
      <c r="L1034" s="657"/>
      <c r="M1034" s="13"/>
    </row>
    <row r="1035" spans="1:13">
      <c r="A1035" s="658"/>
      <c r="B1035" s="658"/>
      <c r="C1035" s="658" t="s">
        <v>2787</v>
      </c>
      <c r="D1035" s="658" t="s">
        <v>2835</v>
      </c>
      <c r="E1035" s="658" t="s">
        <v>2723</v>
      </c>
      <c r="F1035" s="653"/>
      <c r="G1035" s="654"/>
      <c r="H1035" s="657">
        <v>270</v>
      </c>
      <c r="I1035" s="657">
        <f t="shared" ref="I1035" si="897">H1035</f>
        <v>270</v>
      </c>
      <c r="J1035" s="657"/>
      <c r="K1035" s="657">
        <v>270</v>
      </c>
      <c r="L1035" s="657">
        <f t="shared" ref="L1035" si="898">K1035-I1035</f>
        <v>0</v>
      </c>
      <c r="M1035" s="13"/>
    </row>
    <row r="1036" spans="1:13">
      <c r="A1036" s="658"/>
      <c r="B1036" s="658"/>
      <c r="C1036" s="658"/>
      <c r="D1036" s="658"/>
      <c r="E1036" s="658"/>
      <c r="F1036" s="655"/>
      <c r="G1036" s="656"/>
      <c r="H1036" s="657"/>
      <c r="I1036" s="657"/>
      <c r="J1036" s="657"/>
      <c r="K1036" s="657"/>
      <c r="L1036" s="657"/>
      <c r="M1036" s="13"/>
    </row>
    <row r="1037" spans="1:13">
      <c r="A1037" s="658" t="s">
        <v>619</v>
      </c>
      <c r="B1037" s="658" t="s">
        <v>3008</v>
      </c>
      <c r="C1037" s="658" t="s">
        <v>3395</v>
      </c>
      <c r="D1037" s="658" t="s">
        <v>3394</v>
      </c>
      <c r="E1037" s="658" t="s">
        <v>239</v>
      </c>
      <c r="F1037" s="653"/>
      <c r="G1037" s="654"/>
      <c r="H1037" s="657">
        <v>1350</v>
      </c>
      <c r="I1037" s="657">
        <f t="shared" ref="I1037" si="899">H1037</f>
        <v>1350</v>
      </c>
      <c r="J1037" s="657"/>
      <c r="K1037" s="657">
        <v>1350</v>
      </c>
      <c r="L1037" s="657">
        <f t="shared" ref="L1037" si="900">K1037-I1037</f>
        <v>0</v>
      </c>
      <c r="M1037" s="13"/>
    </row>
    <row r="1038" spans="1:13">
      <c r="A1038" s="658"/>
      <c r="B1038" s="658"/>
      <c r="C1038" s="658"/>
      <c r="D1038" s="658"/>
      <c r="E1038" s="658"/>
      <c r="F1038" s="655"/>
      <c r="G1038" s="656"/>
      <c r="H1038" s="657"/>
      <c r="I1038" s="657"/>
      <c r="J1038" s="657"/>
      <c r="K1038" s="657"/>
      <c r="L1038" s="657"/>
      <c r="M1038" s="13"/>
    </row>
    <row r="1039" spans="1:13">
      <c r="A1039" s="658"/>
      <c r="B1039" s="658"/>
      <c r="C1039" s="658" t="s">
        <v>2788</v>
      </c>
      <c r="D1039" s="658" t="s">
        <v>2835</v>
      </c>
      <c r="E1039" s="658" t="s">
        <v>3388</v>
      </c>
      <c r="F1039" s="653"/>
      <c r="G1039" s="654"/>
      <c r="H1039" s="657">
        <v>370</v>
      </c>
      <c r="I1039" s="657">
        <f t="shared" ref="I1039" si="901">H1039</f>
        <v>370</v>
      </c>
      <c r="J1039" s="657"/>
      <c r="K1039" s="657">
        <v>370</v>
      </c>
      <c r="L1039" s="657">
        <f t="shared" ref="L1039" si="902">K1039-I1039</f>
        <v>0</v>
      </c>
      <c r="M1039" s="13"/>
    </row>
    <row r="1040" spans="1:13">
      <c r="A1040" s="658"/>
      <c r="B1040" s="658"/>
      <c r="C1040" s="658"/>
      <c r="D1040" s="658"/>
      <c r="E1040" s="658"/>
      <c r="F1040" s="655"/>
      <c r="G1040" s="656"/>
      <c r="H1040" s="657"/>
      <c r="I1040" s="657"/>
      <c r="J1040" s="657"/>
      <c r="K1040" s="657"/>
      <c r="L1040" s="657"/>
      <c r="M1040" s="13"/>
    </row>
    <row r="1041" spans="1:13">
      <c r="A1041" s="658"/>
      <c r="B1041" s="658"/>
      <c r="C1041" s="658" t="s">
        <v>2789</v>
      </c>
      <c r="D1041" s="658" t="s">
        <v>2835</v>
      </c>
      <c r="E1041" s="658" t="s">
        <v>3260</v>
      </c>
      <c r="F1041" s="653"/>
      <c r="G1041" s="654"/>
      <c r="H1041" s="657">
        <v>270</v>
      </c>
      <c r="I1041" s="657">
        <f t="shared" ref="I1041" si="903">H1041</f>
        <v>270</v>
      </c>
      <c r="J1041" s="657"/>
      <c r="K1041" s="657">
        <v>270</v>
      </c>
      <c r="L1041" s="657">
        <f t="shared" ref="L1041" si="904">K1041-I1041</f>
        <v>0</v>
      </c>
      <c r="M1041" s="13"/>
    </row>
    <row r="1042" spans="1:13">
      <c r="A1042" s="658"/>
      <c r="B1042" s="658"/>
      <c r="C1042" s="658"/>
      <c r="D1042" s="658"/>
      <c r="E1042" s="658"/>
      <c r="F1042" s="655"/>
      <c r="G1042" s="656"/>
      <c r="H1042" s="657"/>
      <c r="I1042" s="657"/>
      <c r="J1042" s="657"/>
      <c r="K1042" s="657"/>
      <c r="L1042" s="657"/>
      <c r="M1042" s="13"/>
    </row>
    <row r="1043" spans="1:13">
      <c r="A1043" s="658"/>
      <c r="B1043" s="658"/>
      <c r="C1043" s="658" t="s">
        <v>2805</v>
      </c>
      <c r="D1043" s="658" t="s">
        <v>2835</v>
      </c>
      <c r="E1043" s="658" t="s">
        <v>3261</v>
      </c>
      <c r="F1043" s="653"/>
      <c r="G1043" s="654"/>
      <c r="H1043" s="657">
        <v>250</v>
      </c>
      <c r="I1043" s="657">
        <f t="shared" ref="I1043" si="905">H1043</f>
        <v>250</v>
      </c>
      <c r="J1043" s="657"/>
      <c r="K1043" s="657"/>
      <c r="L1043" s="657">
        <f t="shared" ref="L1043" si="906">K1043-I1043</f>
        <v>-250</v>
      </c>
      <c r="M1043" s="13"/>
    </row>
    <row r="1044" spans="1:13">
      <c r="A1044" s="658"/>
      <c r="B1044" s="658"/>
      <c r="C1044" s="658"/>
      <c r="D1044" s="658"/>
      <c r="E1044" s="658"/>
      <c r="F1044" s="655"/>
      <c r="G1044" s="656"/>
      <c r="H1044" s="657"/>
      <c r="I1044" s="657"/>
      <c r="J1044" s="657"/>
      <c r="K1044" s="657"/>
      <c r="L1044" s="657"/>
      <c r="M1044" s="13"/>
    </row>
    <row r="1045" spans="1:13">
      <c r="A1045" s="658"/>
      <c r="B1045" s="658"/>
      <c r="C1045" s="658" t="s">
        <v>2806</v>
      </c>
      <c r="D1045" s="658" t="s">
        <v>2835</v>
      </c>
      <c r="E1045" s="658" t="s">
        <v>3389</v>
      </c>
      <c r="F1045" s="653"/>
      <c r="G1045" s="654"/>
      <c r="H1045" s="657">
        <v>280</v>
      </c>
      <c r="I1045" s="657">
        <f t="shared" ref="I1045" si="907">H1045</f>
        <v>280</v>
      </c>
      <c r="J1045" s="657"/>
      <c r="K1045" s="657">
        <v>280</v>
      </c>
      <c r="L1045" s="657">
        <f t="shared" ref="L1045" si="908">K1045-I1045</f>
        <v>0</v>
      </c>
      <c r="M1045" s="13"/>
    </row>
    <row r="1046" spans="1:13">
      <c r="A1046" s="658"/>
      <c r="B1046" s="658"/>
      <c r="C1046" s="658"/>
      <c r="D1046" s="658"/>
      <c r="E1046" s="658"/>
      <c r="F1046" s="655"/>
      <c r="G1046" s="656"/>
      <c r="H1046" s="657"/>
      <c r="I1046" s="657"/>
      <c r="J1046" s="657"/>
      <c r="K1046" s="657"/>
      <c r="L1046" s="657"/>
      <c r="M1046" s="13"/>
    </row>
    <row r="1047" spans="1:13">
      <c r="A1047" s="658" t="s">
        <v>620</v>
      </c>
      <c r="B1047" s="658" t="s">
        <v>3298</v>
      </c>
      <c r="C1047" s="658" t="s">
        <v>3412</v>
      </c>
      <c r="D1047" s="658" t="s">
        <v>3387</v>
      </c>
      <c r="E1047" s="658" t="s">
        <v>239</v>
      </c>
      <c r="F1047" s="653"/>
      <c r="G1047" s="654"/>
      <c r="H1047" s="657">
        <v>47090</v>
      </c>
      <c r="I1047" s="657">
        <v>1400</v>
      </c>
      <c r="J1047" s="657"/>
      <c r="K1047" s="657">
        <v>1400</v>
      </c>
      <c r="L1047" s="657">
        <f t="shared" ref="L1047" si="909">K1047-I1047</f>
        <v>0</v>
      </c>
      <c r="M1047" s="13"/>
    </row>
    <row r="1048" spans="1:13">
      <c r="A1048" s="658"/>
      <c r="B1048" s="658"/>
      <c r="C1048" s="658"/>
      <c r="D1048" s="658"/>
      <c r="E1048" s="658"/>
      <c r="F1048" s="655"/>
      <c r="G1048" s="656"/>
      <c r="H1048" s="657"/>
      <c r="I1048" s="657"/>
      <c r="J1048" s="657"/>
      <c r="K1048" s="657"/>
      <c r="L1048" s="657"/>
      <c r="M1048" s="13"/>
    </row>
    <row r="1049" spans="1:13">
      <c r="A1049" s="658"/>
      <c r="B1049" s="658"/>
      <c r="C1049" s="658" t="s">
        <v>3402</v>
      </c>
      <c r="D1049" s="658" t="s">
        <v>3404</v>
      </c>
      <c r="E1049" s="658" t="s">
        <v>2517</v>
      </c>
      <c r="F1049" s="653"/>
      <c r="G1049" s="654"/>
      <c r="H1049" s="657">
        <v>200</v>
      </c>
      <c r="I1049" s="657">
        <f t="shared" ref="I1049" si="910">H1049</f>
        <v>200</v>
      </c>
      <c r="J1049" s="657"/>
      <c r="K1049" s="657">
        <v>200</v>
      </c>
      <c r="L1049" s="657">
        <f t="shared" ref="L1049" si="911">K1049-I1049</f>
        <v>0</v>
      </c>
      <c r="M1049" s="13"/>
    </row>
    <row r="1050" spans="1:13">
      <c r="A1050" s="658"/>
      <c r="B1050" s="658"/>
      <c r="C1050" s="658"/>
      <c r="D1050" s="658"/>
      <c r="E1050" s="658"/>
      <c r="F1050" s="655"/>
      <c r="G1050" s="656"/>
      <c r="H1050" s="657"/>
      <c r="I1050" s="657"/>
      <c r="J1050" s="657"/>
      <c r="K1050" s="657"/>
      <c r="L1050" s="657"/>
      <c r="M1050" s="13"/>
    </row>
    <row r="1051" spans="1:13">
      <c r="A1051" s="658"/>
      <c r="B1051" s="658"/>
      <c r="C1051" s="658" t="s">
        <v>3403</v>
      </c>
      <c r="D1051" s="658" t="s">
        <v>3404</v>
      </c>
      <c r="E1051" s="658" t="s">
        <v>2517</v>
      </c>
      <c r="F1051" s="653"/>
      <c r="G1051" s="654"/>
      <c r="H1051" s="657">
        <v>200</v>
      </c>
      <c r="I1051" s="657">
        <f t="shared" ref="I1051" si="912">H1051</f>
        <v>200</v>
      </c>
      <c r="J1051" s="657"/>
      <c r="K1051" s="657">
        <v>200</v>
      </c>
      <c r="L1051" s="657">
        <f t="shared" ref="L1051" si="913">K1051-I1051</f>
        <v>0</v>
      </c>
      <c r="M1051" s="13"/>
    </row>
    <row r="1052" spans="1:13">
      <c r="A1052" s="658"/>
      <c r="B1052" s="658"/>
      <c r="C1052" s="658"/>
      <c r="D1052" s="658"/>
      <c r="E1052" s="658"/>
      <c r="F1052" s="655"/>
      <c r="G1052" s="656"/>
      <c r="H1052" s="657"/>
      <c r="I1052" s="657"/>
      <c r="J1052" s="657"/>
      <c r="K1052" s="657"/>
      <c r="L1052" s="657"/>
      <c r="M1052" s="13"/>
    </row>
    <row r="1053" spans="1:13">
      <c r="A1053" s="658"/>
      <c r="B1053" s="658"/>
      <c r="C1053" s="658" t="s">
        <v>3405</v>
      </c>
      <c r="D1053" s="658" t="s">
        <v>3404</v>
      </c>
      <c r="E1053" s="658" t="s">
        <v>3398</v>
      </c>
      <c r="F1053" s="653"/>
      <c r="G1053" s="654"/>
      <c r="H1053" s="657">
        <v>17000</v>
      </c>
      <c r="I1053" s="657">
        <v>513</v>
      </c>
      <c r="J1053" s="657" t="s">
        <v>2258</v>
      </c>
      <c r="K1053" s="657">
        <v>543</v>
      </c>
      <c r="L1053" s="657">
        <f t="shared" ref="L1053" si="914">K1053-I1053</f>
        <v>30</v>
      </c>
      <c r="M1053" s="13"/>
    </row>
    <row r="1054" spans="1:13">
      <c r="A1054" s="658"/>
      <c r="B1054" s="658"/>
      <c r="C1054" s="658"/>
      <c r="D1054" s="658"/>
      <c r="E1054" s="658"/>
      <c r="F1054" s="655"/>
      <c r="G1054" s="656"/>
      <c r="H1054" s="657"/>
      <c r="I1054" s="657"/>
      <c r="J1054" s="657"/>
      <c r="K1054" s="657"/>
      <c r="L1054" s="657"/>
      <c r="M1054" s="13" t="s">
        <v>2258</v>
      </c>
    </row>
    <row r="1055" spans="1:13">
      <c r="A1055" s="658" t="s">
        <v>621</v>
      </c>
      <c r="B1055" s="658" t="s">
        <v>2969</v>
      </c>
      <c r="C1055" s="658" t="s">
        <v>3414</v>
      </c>
      <c r="D1055" s="658" t="s">
        <v>3413</v>
      </c>
      <c r="E1055" s="658" t="s">
        <v>239</v>
      </c>
      <c r="F1055" s="653"/>
      <c r="G1055" s="654"/>
      <c r="H1055" s="657">
        <v>1350</v>
      </c>
      <c r="I1055" s="657">
        <f t="shared" ref="I1055" si="915">H1055</f>
        <v>1350</v>
      </c>
      <c r="J1055" s="657"/>
      <c r="K1055" s="657">
        <v>1350</v>
      </c>
      <c r="L1055" s="657">
        <f t="shared" ref="L1055" si="916">K1055-I1055</f>
        <v>0</v>
      </c>
      <c r="M1055" s="13"/>
    </row>
    <row r="1056" spans="1:13">
      <c r="A1056" s="658"/>
      <c r="B1056" s="658"/>
      <c r="C1056" s="658"/>
      <c r="D1056" s="658"/>
      <c r="E1056" s="658"/>
      <c r="F1056" s="655"/>
      <c r="G1056" s="656"/>
      <c r="H1056" s="657"/>
      <c r="I1056" s="657"/>
      <c r="J1056" s="657"/>
      <c r="K1056" s="657"/>
      <c r="L1056" s="657"/>
      <c r="M1056" s="13"/>
    </row>
    <row r="1057" spans="1:13">
      <c r="A1057" s="658"/>
      <c r="B1057" s="658"/>
      <c r="C1057" s="658" t="s">
        <v>3401</v>
      </c>
      <c r="D1057" s="658" t="s">
        <v>3400</v>
      </c>
      <c r="E1057" s="658" t="s">
        <v>1601</v>
      </c>
      <c r="F1057" s="653"/>
      <c r="G1057" s="654"/>
      <c r="H1057" s="657">
        <v>1150</v>
      </c>
      <c r="I1057" s="657">
        <f t="shared" ref="I1057" si="917">H1057</f>
        <v>1150</v>
      </c>
      <c r="J1057" s="657"/>
      <c r="K1057" s="657">
        <v>1150</v>
      </c>
      <c r="L1057" s="657">
        <f t="shared" ref="L1057" si="918">K1057-I1057</f>
        <v>0</v>
      </c>
      <c r="M1057" s="13"/>
    </row>
    <row r="1058" spans="1:13">
      <c r="A1058" s="658"/>
      <c r="B1058" s="658"/>
      <c r="C1058" s="658"/>
      <c r="D1058" s="658"/>
      <c r="E1058" s="658"/>
      <c r="F1058" s="655"/>
      <c r="G1058" s="656"/>
      <c r="H1058" s="657"/>
      <c r="I1058" s="657"/>
      <c r="J1058" s="657"/>
      <c r="K1058" s="657"/>
      <c r="L1058" s="657"/>
      <c r="M1058" s="13"/>
    </row>
    <row r="1059" spans="1:13">
      <c r="A1059" s="658" t="s">
        <v>623</v>
      </c>
      <c r="B1059" s="658" t="s">
        <v>2983</v>
      </c>
      <c r="C1059" s="658" t="s">
        <v>3416</v>
      </c>
      <c r="D1059" s="658" t="s">
        <v>3415</v>
      </c>
      <c r="E1059" s="658" t="s">
        <v>239</v>
      </c>
      <c r="F1059" s="653"/>
      <c r="G1059" s="654"/>
      <c r="H1059" s="657">
        <v>46856</v>
      </c>
      <c r="I1059" s="657">
        <v>1400</v>
      </c>
      <c r="J1059" s="657"/>
      <c r="K1059" s="657">
        <v>1400</v>
      </c>
      <c r="L1059" s="657">
        <f t="shared" ref="L1059" si="919">K1059-I1059</f>
        <v>0</v>
      </c>
      <c r="M1059" s="13"/>
    </row>
    <row r="1060" spans="1:13">
      <c r="A1060" s="658"/>
      <c r="B1060" s="658"/>
      <c r="C1060" s="658"/>
      <c r="D1060" s="658"/>
      <c r="E1060" s="658"/>
      <c r="F1060" s="655"/>
      <c r="G1060" s="656"/>
      <c r="H1060" s="657"/>
      <c r="I1060" s="657"/>
      <c r="J1060" s="657"/>
      <c r="K1060" s="657"/>
      <c r="L1060" s="657"/>
      <c r="M1060" s="13"/>
    </row>
    <row r="1061" spans="1:13">
      <c r="A1061" s="658"/>
      <c r="B1061" s="658"/>
      <c r="C1061" s="658" t="s">
        <v>3407</v>
      </c>
      <c r="D1061" s="658" t="s">
        <v>3406</v>
      </c>
      <c r="E1061" s="658" t="s">
        <v>3349</v>
      </c>
      <c r="F1061" s="653"/>
      <c r="G1061" s="654"/>
      <c r="H1061" s="657">
        <v>300</v>
      </c>
      <c r="I1061" s="657">
        <f t="shared" ref="I1061" si="920">H1061</f>
        <v>300</v>
      </c>
      <c r="J1061" s="657"/>
      <c r="K1061" s="657">
        <v>300</v>
      </c>
      <c r="L1061" s="657">
        <f t="shared" ref="L1061" si="921">K1061-I1061</f>
        <v>0</v>
      </c>
      <c r="M1061" s="13" t="s">
        <v>3503</v>
      </c>
    </row>
    <row r="1062" spans="1:13">
      <c r="A1062" s="658"/>
      <c r="B1062" s="658"/>
      <c r="C1062" s="658"/>
      <c r="D1062" s="658"/>
      <c r="E1062" s="658"/>
      <c r="F1062" s="655"/>
      <c r="G1062" s="656"/>
      <c r="H1062" s="657"/>
      <c r="I1062" s="657"/>
      <c r="J1062" s="657"/>
      <c r="K1062" s="657"/>
      <c r="L1062" s="657"/>
      <c r="M1062" s="13"/>
    </row>
    <row r="1063" spans="1:13">
      <c r="A1063" s="658"/>
      <c r="B1063" s="658"/>
      <c r="C1063" s="658" t="s">
        <v>3408</v>
      </c>
      <c r="D1063" s="658" t="s">
        <v>3406</v>
      </c>
      <c r="E1063" s="658" t="s">
        <v>3349</v>
      </c>
      <c r="F1063" s="653"/>
      <c r="G1063" s="654"/>
      <c r="H1063" s="657">
        <v>100</v>
      </c>
      <c r="I1063" s="657">
        <f t="shared" ref="I1063" si="922">H1063</f>
        <v>100</v>
      </c>
      <c r="J1063" s="657"/>
      <c r="K1063" s="657">
        <v>100</v>
      </c>
      <c r="L1063" s="657">
        <f t="shared" ref="L1063" si="923">K1063-I1063</f>
        <v>0</v>
      </c>
      <c r="M1063" s="13"/>
    </row>
    <row r="1064" spans="1:13">
      <c r="A1064" s="658"/>
      <c r="B1064" s="658"/>
      <c r="C1064" s="658"/>
      <c r="D1064" s="658"/>
      <c r="E1064" s="658"/>
      <c r="F1064" s="655"/>
      <c r="G1064" s="656"/>
      <c r="H1064" s="657"/>
      <c r="I1064" s="657"/>
      <c r="J1064" s="657"/>
      <c r="K1064" s="657"/>
      <c r="L1064" s="657"/>
      <c r="M1064" s="13"/>
    </row>
    <row r="1065" spans="1:13">
      <c r="A1065" s="658"/>
      <c r="B1065" s="658"/>
      <c r="C1065" s="658" t="s">
        <v>3409</v>
      </c>
      <c r="D1065" s="658" t="s">
        <v>3406</v>
      </c>
      <c r="E1065" s="658" t="s">
        <v>2772</v>
      </c>
      <c r="F1065" s="653"/>
      <c r="G1065" s="654"/>
      <c r="H1065" s="657">
        <v>240</v>
      </c>
      <c r="I1065" s="657">
        <f t="shared" ref="I1065" si="924">H1065</f>
        <v>240</v>
      </c>
      <c r="J1065" s="657"/>
      <c r="K1065" s="657">
        <v>240</v>
      </c>
      <c r="L1065" s="657">
        <f t="shared" ref="L1065" si="925">K1065-I1065</f>
        <v>0</v>
      </c>
      <c r="M1065" s="13"/>
    </row>
    <row r="1066" spans="1:13">
      <c r="A1066" s="658"/>
      <c r="B1066" s="658"/>
      <c r="C1066" s="658"/>
      <c r="D1066" s="658"/>
      <c r="E1066" s="658"/>
      <c r="F1066" s="655"/>
      <c r="G1066" s="656"/>
      <c r="H1066" s="657"/>
      <c r="I1066" s="657"/>
      <c r="J1066" s="657"/>
      <c r="K1066" s="657"/>
      <c r="L1066" s="657"/>
      <c r="M1066" s="13"/>
    </row>
    <row r="1067" spans="1:13">
      <c r="A1067" s="658"/>
      <c r="B1067" s="658"/>
      <c r="C1067" s="658" t="s">
        <v>3399</v>
      </c>
      <c r="D1067" s="658" t="s">
        <v>3406</v>
      </c>
      <c r="E1067" s="658" t="s">
        <v>2376</v>
      </c>
      <c r="F1067" s="653"/>
      <c r="G1067" s="654"/>
      <c r="H1067" s="657">
        <v>100</v>
      </c>
      <c r="I1067" s="657">
        <f t="shared" ref="I1067" si="926">H1067</f>
        <v>100</v>
      </c>
      <c r="J1067" s="657"/>
      <c r="K1067" s="657">
        <v>100</v>
      </c>
      <c r="L1067" s="657">
        <f t="shared" ref="L1067" si="927">K1067-I1067</f>
        <v>0</v>
      </c>
      <c r="M1067" s="13"/>
    </row>
    <row r="1068" spans="1:13">
      <c r="A1068" s="658"/>
      <c r="B1068" s="658"/>
      <c r="C1068" s="658"/>
      <c r="D1068" s="658"/>
      <c r="E1068" s="658"/>
      <c r="F1068" s="655"/>
      <c r="G1068" s="656"/>
      <c r="H1068" s="657"/>
      <c r="I1068" s="657"/>
      <c r="J1068" s="657"/>
      <c r="K1068" s="657"/>
      <c r="L1068" s="657"/>
      <c r="M1068" s="13"/>
    </row>
    <row r="1069" spans="1:13">
      <c r="A1069" s="658" t="s">
        <v>624</v>
      </c>
      <c r="B1069" s="658" t="s">
        <v>3281</v>
      </c>
      <c r="C1069" s="658" t="s">
        <v>3417</v>
      </c>
      <c r="D1069" s="658" t="s">
        <v>3415</v>
      </c>
      <c r="E1069" s="658" t="s">
        <v>239</v>
      </c>
      <c r="F1069" s="653"/>
      <c r="G1069" s="654"/>
      <c r="H1069" s="657">
        <v>1350</v>
      </c>
      <c r="I1069" s="657">
        <f t="shared" ref="I1069" si="928">H1069</f>
        <v>1350</v>
      </c>
      <c r="J1069" s="657"/>
      <c r="K1069" s="657">
        <v>1350</v>
      </c>
      <c r="L1069" s="657">
        <f t="shared" ref="L1069" si="929">K1069-I1069</f>
        <v>0</v>
      </c>
      <c r="M1069" s="13"/>
    </row>
    <row r="1070" spans="1:13">
      <c r="A1070" s="658"/>
      <c r="B1070" s="658"/>
      <c r="C1070" s="658"/>
      <c r="D1070" s="658"/>
      <c r="E1070" s="658"/>
      <c r="F1070" s="655"/>
      <c r="G1070" s="656"/>
      <c r="H1070" s="657"/>
      <c r="I1070" s="657"/>
      <c r="J1070" s="657"/>
      <c r="K1070" s="657"/>
      <c r="L1070" s="657"/>
      <c r="M1070" s="13"/>
    </row>
    <row r="1071" spans="1:13">
      <c r="A1071" s="658"/>
      <c r="B1071" s="658"/>
      <c r="C1071" s="658" t="s">
        <v>3410</v>
      </c>
      <c r="D1071" s="658" t="s">
        <v>3406</v>
      </c>
      <c r="E1071" s="658" t="s">
        <v>3389</v>
      </c>
      <c r="F1071" s="653"/>
      <c r="G1071" s="654"/>
      <c r="H1071" s="657">
        <v>150</v>
      </c>
      <c r="I1071" s="657">
        <f t="shared" ref="I1071" si="930">H1071</f>
        <v>150</v>
      </c>
      <c r="J1071" s="657"/>
      <c r="K1071" s="657">
        <v>150</v>
      </c>
      <c r="L1071" s="657">
        <f t="shared" ref="L1071" si="931">K1071-I1071</f>
        <v>0</v>
      </c>
      <c r="M1071" s="13"/>
    </row>
    <row r="1072" spans="1:13">
      <c r="A1072" s="658"/>
      <c r="B1072" s="658"/>
      <c r="C1072" s="658"/>
      <c r="D1072" s="658"/>
      <c r="E1072" s="658"/>
      <c r="F1072" s="655"/>
      <c r="G1072" s="656"/>
      <c r="H1072" s="657"/>
      <c r="I1072" s="657"/>
      <c r="J1072" s="657"/>
      <c r="K1072" s="657"/>
      <c r="L1072" s="657"/>
      <c r="M1072" s="13"/>
    </row>
    <row r="1073" spans="1:13">
      <c r="A1073" s="658"/>
      <c r="B1073" s="658"/>
      <c r="C1073" s="658" t="s">
        <v>3411</v>
      </c>
      <c r="D1073" s="658" t="s">
        <v>3406</v>
      </c>
      <c r="E1073" s="658" t="s">
        <v>3025</v>
      </c>
      <c r="F1073" s="653"/>
      <c r="G1073" s="654"/>
      <c r="H1073" s="657">
        <v>98</v>
      </c>
      <c r="I1073" s="657">
        <f t="shared" ref="I1073" si="932">H1073</f>
        <v>98</v>
      </c>
      <c r="J1073" s="657"/>
      <c r="K1073" s="657">
        <v>98</v>
      </c>
      <c r="L1073" s="657">
        <f t="shared" ref="L1073" si="933">K1073-I1073</f>
        <v>0</v>
      </c>
      <c r="M1073" s="13"/>
    </row>
    <row r="1074" spans="1:13">
      <c r="A1074" s="658"/>
      <c r="B1074" s="658"/>
      <c r="C1074" s="658"/>
      <c r="D1074" s="658"/>
      <c r="E1074" s="658"/>
      <c r="F1074" s="655"/>
      <c r="G1074" s="656"/>
      <c r="H1074" s="657"/>
      <c r="I1074" s="657"/>
      <c r="J1074" s="657"/>
      <c r="K1074" s="657"/>
      <c r="L1074" s="657"/>
      <c r="M1074" s="13"/>
    </row>
    <row r="1075" spans="1:13">
      <c r="A1075" s="658" t="s">
        <v>631</v>
      </c>
      <c r="B1075" s="658" t="s">
        <v>3298</v>
      </c>
      <c r="C1075" s="658" t="s">
        <v>3431</v>
      </c>
      <c r="D1075" s="658" t="s">
        <v>3406</v>
      </c>
      <c r="E1075" s="658" t="s">
        <v>239</v>
      </c>
      <c r="F1075" s="653"/>
      <c r="G1075" s="654"/>
      <c r="H1075" s="657">
        <v>44888</v>
      </c>
      <c r="I1075" s="657">
        <v>1350</v>
      </c>
      <c r="J1075" s="657"/>
      <c r="K1075" s="657"/>
      <c r="L1075" s="657">
        <f t="shared" ref="L1075" si="934">K1075-I1075</f>
        <v>-1350</v>
      </c>
      <c r="M1075" s="13"/>
    </row>
    <row r="1076" spans="1:13">
      <c r="A1076" s="658"/>
      <c r="B1076" s="658"/>
      <c r="C1076" s="658"/>
      <c r="D1076" s="658"/>
      <c r="E1076" s="658"/>
      <c r="F1076" s="655"/>
      <c r="G1076" s="656"/>
      <c r="H1076" s="657"/>
      <c r="I1076" s="657"/>
      <c r="J1076" s="657"/>
      <c r="K1076" s="657"/>
      <c r="L1076" s="657"/>
      <c r="M1076" s="13"/>
    </row>
    <row r="1077" spans="1:13">
      <c r="A1077" s="658"/>
      <c r="B1077" s="658"/>
      <c r="C1077" s="658" t="s">
        <v>3419</v>
      </c>
      <c r="D1077" s="658" t="s">
        <v>3421</v>
      </c>
      <c r="E1077" s="658" t="s">
        <v>3418</v>
      </c>
      <c r="F1077" s="653"/>
      <c r="G1077" s="654"/>
      <c r="H1077" s="657">
        <v>550</v>
      </c>
      <c r="I1077" s="657">
        <f t="shared" ref="I1077" si="935">H1077</f>
        <v>550</v>
      </c>
      <c r="J1077" s="657"/>
      <c r="K1077" s="657">
        <v>550</v>
      </c>
      <c r="L1077" s="657">
        <f t="shared" ref="L1077" si="936">K1077-I1077</f>
        <v>0</v>
      </c>
      <c r="M1077" s="13"/>
    </row>
    <row r="1078" spans="1:13">
      <c r="A1078" s="658"/>
      <c r="B1078" s="658"/>
      <c r="C1078" s="658"/>
      <c r="D1078" s="658"/>
      <c r="E1078" s="658"/>
      <c r="F1078" s="655"/>
      <c r="G1078" s="656"/>
      <c r="H1078" s="657"/>
      <c r="I1078" s="657"/>
      <c r="J1078" s="657"/>
      <c r="K1078" s="657"/>
      <c r="L1078" s="657"/>
      <c r="M1078" s="13"/>
    </row>
    <row r="1079" spans="1:13">
      <c r="A1079" s="658"/>
      <c r="B1079" s="658"/>
      <c r="C1079" s="658" t="s">
        <v>3420</v>
      </c>
      <c r="D1079" s="658" t="s">
        <v>3421</v>
      </c>
      <c r="E1079" s="658" t="s">
        <v>1655</v>
      </c>
      <c r="F1079" s="653"/>
      <c r="G1079" s="654"/>
      <c r="H1079" s="657">
        <v>350</v>
      </c>
      <c r="I1079" s="657">
        <f t="shared" ref="I1079" si="937">H1079</f>
        <v>350</v>
      </c>
      <c r="J1079" s="657"/>
      <c r="K1079" s="657">
        <v>350</v>
      </c>
      <c r="L1079" s="657">
        <f t="shared" ref="L1079" si="938">K1079-I1079</f>
        <v>0</v>
      </c>
      <c r="M1079" s="13"/>
    </row>
    <row r="1080" spans="1:13">
      <c r="A1080" s="658"/>
      <c r="B1080" s="658"/>
      <c r="C1080" s="658"/>
      <c r="D1080" s="658"/>
      <c r="E1080" s="658"/>
      <c r="F1080" s="655"/>
      <c r="G1080" s="656"/>
      <c r="H1080" s="657"/>
      <c r="I1080" s="657"/>
      <c r="J1080" s="657"/>
      <c r="K1080" s="657"/>
      <c r="L1080" s="657"/>
      <c r="M1080" s="13"/>
    </row>
    <row r="1081" spans="1:13">
      <c r="A1081" s="658" t="s">
        <v>632</v>
      </c>
      <c r="B1081" s="658" t="s">
        <v>3008</v>
      </c>
      <c r="C1081" s="658" t="s">
        <v>3433</v>
      </c>
      <c r="D1081" s="658" t="s">
        <v>3432</v>
      </c>
      <c r="E1081" s="658" t="s">
        <v>239</v>
      </c>
      <c r="F1081" s="653"/>
      <c r="G1081" s="654"/>
      <c r="H1081" s="657">
        <v>1350</v>
      </c>
      <c r="I1081" s="657">
        <f t="shared" ref="I1081" si="939">H1081</f>
        <v>1350</v>
      </c>
      <c r="J1081" s="657"/>
      <c r="K1081" s="657">
        <v>1350</v>
      </c>
      <c r="L1081" s="657">
        <f t="shared" ref="L1081" si="940">K1081-I1081</f>
        <v>0</v>
      </c>
      <c r="M1081" s="13"/>
    </row>
    <row r="1082" spans="1:13">
      <c r="A1082" s="658"/>
      <c r="B1082" s="658"/>
      <c r="C1082" s="658"/>
      <c r="D1082" s="658"/>
      <c r="E1082" s="658"/>
      <c r="F1082" s="655"/>
      <c r="G1082" s="656"/>
      <c r="H1082" s="657"/>
      <c r="I1082" s="657"/>
      <c r="J1082" s="657"/>
      <c r="K1082" s="657"/>
      <c r="L1082" s="657"/>
      <c r="M1082" s="13"/>
    </row>
    <row r="1083" spans="1:13">
      <c r="A1083" s="658"/>
      <c r="B1083" s="658"/>
      <c r="C1083" s="658" t="s">
        <v>3424</v>
      </c>
      <c r="D1083" s="658" t="s">
        <v>3423</v>
      </c>
      <c r="E1083" s="658" t="s">
        <v>1601</v>
      </c>
      <c r="F1083" s="653"/>
      <c r="G1083" s="654"/>
      <c r="H1083" s="657">
        <v>700</v>
      </c>
      <c r="I1083" s="657">
        <f t="shared" ref="I1083" si="941">H1083</f>
        <v>700</v>
      </c>
      <c r="J1083" s="657"/>
      <c r="K1083" s="657">
        <v>700</v>
      </c>
      <c r="L1083" s="657">
        <f t="shared" ref="L1083" si="942">K1083-I1083</f>
        <v>0</v>
      </c>
      <c r="M1083" s="13"/>
    </row>
    <row r="1084" spans="1:13">
      <c r="A1084" s="658"/>
      <c r="B1084" s="658"/>
      <c r="C1084" s="658"/>
      <c r="D1084" s="658"/>
      <c r="E1084" s="658"/>
      <c r="F1084" s="655"/>
      <c r="G1084" s="656"/>
      <c r="H1084" s="657"/>
      <c r="I1084" s="657"/>
      <c r="J1084" s="657"/>
      <c r="K1084" s="657"/>
      <c r="L1084" s="657"/>
      <c r="M1084" s="13"/>
    </row>
    <row r="1085" spans="1:13">
      <c r="A1085" s="658"/>
      <c r="B1085" s="658"/>
      <c r="C1085" s="658" t="s">
        <v>3425</v>
      </c>
      <c r="D1085" s="658" t="s">
        <v>3423</v>
      </c>
      <c r="E1085" s="658" t="s">
        <v>3422</v>
      </c>
      <c r="F1085" s="653"/>
      <c r="G1085" s="654"/>
      <c r="H1085" s="657">
        <v>350</v>
      </c>
      <c r="I1085" s="657">
        <f t="shared" ref="I1085" si="943">H1085</f>
        <v>350</v>
      </c>
      <c r="J1085" s="657"/>
      <c r="K1085" s="657">
        <v>350</v>
      </c>
      <c r="L1085" s="657">
        <f t="shared" ref="L1085" si="944">K1085-I1085</f>
        <v>0</v>
      </c>
      <c r="M1085" s="13"/>
    </row>
    <row r="1086" spans="1:13">
      <c r="A1086" s="658"/>
      <c r="B1086" s="658"/>
      <c r="C1086" s="658"/>
      <c r="D1086" s="658"/>
      <c r="E1086" s="658"/>
      <c r="F1086" s="655"/>
      <c r="G1086" s="656"/>
      <c r="H1086" s="657"/>
      <c r="I1086" s="657"/>
      <c r="J1086" s="657"/>
      <c r="K1086" s="657"/>
      <c r="L1086" s="657"/>
      <c r="M1086" s="13"/>
    </row>
    <row r="1087" spans="1:13">
      <c r="A1087" s="658" t="s">
        <v>633</v>
      </c>
      <c r="B1087" s="658" t="s">
        <v>3281</v>
      </c>
      <c r="C1087" s="658" t="s">
        <v>3434</v>
      </c>
      <c r="D1087" s="658" t="s">
        <v>3432</v>
      </c>
      <c r="E1087" s="658" t="s">
        <v>239</v>
      </c>
      <c r="F1087" s="653"/>
      <c r="G1087" s="654"/>
      <c r="H1087" s="657">
        <v>44234</v>
      </c>
      <c r="I1087" s="657">
        <v>1350</v>
      </c>
      <c r="J1087" s="657"/>
      <c r="K1087" s="657">
        <v>1350</v>
      </c>
      <c r="L1087" s="657">
        <f t="shared" ref="L1087" si="945">K1087-I1087</f>
        <v>0</v>
      </c>
      <c r="M1087" s="13"/>
    </row>
    <row r="1088" spans="1:13">
      <c r="A1088" s="658"/>
      <c r="B1088" s="658"/>
      <c r="C1088" s="658"/>
      <c r="D1088" s="658"/>
      <c r="E1088" s="658"/>
      <c r="F1088" s="655"/>
      <c r="G1088" s="656"/>
      <c r="H1088" s="657"/>
      <c r="I1088" s="657"/>
      <c r="J1088" s="657"/>
      <c r="K1088" s="657"/>
      <c r="L1088" s="657"/>
      <c r="M1088" s="13"/>
    </row>
    <row r="1089" spans="1:13">
      <c r="A1089" s="658"/>
      <c r="B1089" s="658"/>
      <c r="C1089" s="658" t="s">
        <v>3426</v>
      </c>
      <c r="D1089" s="658" t="s">
        <v>3423</v>
      </c>
      <c r="E1089" s="658" t="s">
        <v>3025</v>
      </c>
      <c r="F1089" s="653"/>
      <c r="G1089" s="654"/>
      <c r="H1089" s="657">
        <v>98</v>
      </c>
      <c r="I1089" s="657">
        <f t="shared" ref="I1089" si="946">H1089</f>
        <v>98</v>
      </c>
      <c r="J1089" s="657"/>
      <c r="K1089" s="657">
        <v>98</v>
      </c>
      <c r="L1089" s="657">
        <f t="shared" ref="L1089" si="947">K1089-I1089</f>
        <v>0</v>
      </c>
      <c r="M1089" s="13"/>
    </row>
    <row r="1090" spans="1:13">
      <c r="A1090" s="658"/>
      <c r="B1090" s="658"/>
      <c r="C1090" s="658"/>
      <c r="D1090" s="658"/>
      <c r="E1090" s="658"/>
      <c r="F1090" s="655"/>
      <c r="G1090" s="656"/>
      <c r="H1090" s="657"/>
      <c r="I1090" s="657"/>
      <c r="J1090" s="657"/>
      <c r="K1090" s="657"/>
      <c r="L1090" s="657"/>
      <c r="M1090" s="13"/>
    </row>
    <row r="1091" spans="1:13">
      <c r="A1091" s="658"/>
      <c r="B1091" s="658"/>
      <c r="C1091" s="658" t="s">
        <v>3428</v>
      </c>
      <c r="D1091" s="658" t="s">
        <v>3423</v>
      </c>
      <c r="E1091" s="658" t="s">
        <v>3427</v>
      </c>
      <c r="F1091" s="653"/>
      <c r="G1091" s="654"/>
      <c r="H1091" s="657">
        <v>370</v>
      </c>
      <c r="I1091" s="657">
        <f t="shared" ref="I1091" si="948">H1091</f>
        <v>370</v>
      </c>
      <c r="J1091" s="657"/>
      <c r="K1091" s="657">
        <v>370</v>
      </c>
      <c r="L1091" s="657">
        <f t="shared" ref="L1091" si="949">K1091-I1091</f>
        <v>0</v>
      </c>
      <c r="M1091" s="13"/>
    </row>
    <row r="1092" spans="1:13">
      <c r="A1092" s="658"/>
      <c r="B1092" s="658"/>
      <c r="C1092" s="658"/>
      <c r="D1092" s="658"/>
      <c r="E1092" s="658"/>
      <c r="F1092" s="655"/>
      <c r="G1092" s="656"/>
      <c r="H1092" s="657"/>
      <c r="I1092" s="657"/>
      <c r="J1092" s="657"/>
      <c r="K1092" s="657"/>
      <c r="L1092" s="657"/>
      <c r="M1092" s="13"/>
    </row>
    <row r="1093" spans="1:13">
      <c r="A1093" s="658"/>
      <c r="B1093" s="658"/>
      <c r="C1093" s="658" t="s">
        <v>3429</v>
      </c>
      <c r="D1093" s="658" t="s">
        <v>3423</v>
      </c>
      <c r="E1093" s="658" t="s">
        <v>3430</v>
      </c>
      <c r="F1093" s="653"/>
      <c r="G1093" s="654"/>
      <c r="H1093" s="657">
        <v>270</v>
      </c>
      <c r="I1093" s="657">
        <f t="shared" ref="I1093" si="950">H1093</f>
        <v>270</v>
      </c>
      <c r="J1093" s="657"/>
      <c r="K1093" s="657">
        <v>270</v>
      </c>
      <c r="L1093" s="657">
        <f t="shared" ref="L1093" si="951">K1093-I1093</f>
        <v>0</v>
      </c>
      <c r="M1093" s="13"/>
    </row>
    <row r="1094" spans="1:13">
      <c r="A1094" s="658"/>
      <c r="B1094" s="658"/>
      <c r="C1094" s="658"/>
      <c r="D1094" s="658"/>
      <c r="E1094" s="658"/>
      <c r="F1094" s="655"/>
      <c r="G1094" s="656"/>
      <c r="H1094" s="657"/>
      <c r="I1094" s="657"/>
      <c r="J1094" s="657"/>
      <c r="K1094" s="657"/>
      <c r="L1094" s="657"/>
      <c r="M1094" s="13"/>
    </row>
    <row r="1095" spans="1:13">
      <c r="A1095" s="658" t="s">
        <v>634</v>
      </c>
      <c r="B1095" s="658" t="s">
        <v>3298</v>
      </c>
      <c r="C1095" s="658" t="s">
        <v>3438</v>
      </c>
      <c r="D1095" s="658" t="s">
        <v>3423</v>
      </c>
      <c r="E1095" s="658" t="s">
        <v>239</v>
      </c>
      <c r="F1095" s="653"/>
      <c r="G1095" s="654"/>
      <c r="H1095" s="657">
        <v>1350</v>
      </c>
      <c r="I1095" s="657">
        <f t="shared" ref="I1095" si="952">H1095</f>
        <v>1350</v>
      </c>
      <c r="J1095" s="657"/>
      <c r="K1095" s="657">
        <v>1350</v>
      </c>
      <c r="L1095" s="657">
        <f t="shared" ref="L1095" si="953">K1095-I1095</f>
        <v>0</v>
      </c>
      <c r="M1095" s="13"/>
    </row>
    <row r="1096" spans="1:13">
      <c r="A1096" s="658"/>
      <c r="B1096" s="658"/>
      <c r="C1096" s="658"/>
      <c r="D1096" s="658"/>
      <c r="E1096" s="658"/>
      <c r="F1096" s="655"/>
      <c r="G1096" s="656"/>
      <c r="H1096" s="657"/>
      <c r="I1096" s="657"/>
      <c r="J1096" s="657"/>
      <c r="K1096" s="657"/>
      <c r="L1096" s="657"/>
      <c r="M1096" s="13"/>
    </row>
    <row r="1097" spans="1:13">
      <c r="A1097" s="815" t="s">
        <v>572</v>
      </c>
      <c r="B1097" s="843"/>
      <c r="C1097" s="843"/>
      <c r="D1097" s="843"/>
      <c r="E1097" s="843"/>
      <c r="F1097" s="843"/>
      <c r="G1097" s="843"/>
      <c r="H1097" s="843"/>
      <c r="I1097" s="843"/>
      <c r="J1097" s="843"/>
      <c r="K1097" s="843"/>
      <c r="L1097" s="844"/>
      <c r="M1097" s="13"/>
    </row>
    <row r="1098" spans="1:13">
      <c r="A1098" s="845"/>
      <c r="B1098" s="846"/>
      <c r="C1098" s="846"/>
      <c r="D1098" s="846"/>
      <c r="E1098" s="846"/>
      <c r="F1098" s="846"/>
      <c r="G1098" s="846"/>
      <c r="H1098" s="846"/>
      <c r="I1098" s="846"/>
      <c r="J1098" s="846"/>
      <c r="K1098" s="846"/>
      <c r="L1098" s="847"/>
      <c r="M1098" s="13"/>
    </row>
    <row r="1099" spans="1:13">
      <c r="A1099" s="658"/>
      <c r="B1099" s="658"/>
      <c r="C1099" s="658" t="s">
        <v>3437</v>
      </c>
      <c r="D1099" s="658" t="s">
        <v>3436</v>
      </c>
      <c r="E1099" s="658" t="s">
        <v>1140</v>
      </c>
      <c r="F1099" s="653"/>
      <c r="G1099" s="654"/>
      <c r="H1099" s="657">
        <v>500</v>
      </c>
      <c r="I1099" s="657">
        <f t="shared" ref="I1099" si="954">H1099</f>
        <v>500</v>
      </c>
      <c r="J1099" s="657"/>
      <c r="K1099" s="657">
        <v>500</v>
      </c>
      <c r="L1099" s="657">
        <f t="shared" ref="L1099" si="955">K1099-I1099</f>
        <v>0</v>
      </c>
      <c r="M1099" s="13"/>
    </row>
    <row r="1100" spans="1:13">
      <c r="A1100" s="658"/>
      <c r="B1100" s="658"/>
      <c r="C1100" s="658"/>
      <c r="D1100" s="658"/>
      <c r="E1100" s="658"/>
      <c r="F1100" s="655"/>
      <c r="G1100" s="656"/>
      <c r="H1100" s="657"/>
      <c r="I1100" s="657"/>
      <c r="J1100" s="657"/>
      <c r="K1100" s="657"/>
      <c r="L1100" s="657"/>
      <c r="M1100" s="13"/>
    </row>
    <row r="1101" spans="1:13">
      <c r="A1101" s="658"/>
      <c r="B1101" s="658"/>
      <c r="C1101" s="658" t="s">
        <v>3441</v>
      </c>
      <c r="D1101" s="658" t="s">
        <v>3436</v>
      </c>
      <c r="E1101" s="658" t="s">
        <v>3261</v>
      </c>
      <c r="F1101" s="653"/>
      <c r="G1101" s="654"/>
      <c r="H1101" s="657">
        <v>17000</v>
      </c>
      <c r="I1101" s="657">
        <v>516</v>
      </c>
      <c r="J1101" s="657"/>
      <c r="K1101" s="657">
        <v>516</v>
      </c>
      <c r="L1101" s="657">
        <f t="shared" ref="L1101" si="956">K1101-I1101</f>
        <v>0</v>
      </c>
      <c r="M1101" s="638" t="s">
        <v>3533</v>
      </c>
    </row>
    <row r="1102" spans="1:13">
      <c r="A1102" s="658"/>
      <c r="B1102" s="658"/>
      <c r="C1102" s="658"/>
      <c r="D1102" s="658"/>
      <c r="E1102" s="658"/>
      <c r="F1102" s="655"/>
      <c r="G1102" s="656"/>
      <c r="H1102" s="657"/>
      <c r="I1102" s="657"/>
      <c r="J1102" s="657"/>
      <c r="K1102" s="657"/>
      <c r="L1102" s="657"/>
      <c r="M1102" s="13"/>
    </row>
    <row r="1103" spans="1:13">
      <c r="A1103" s="658"/>
      <c r="B1103" s="658"/>
      <c r="C1103" s="658" t="s">
        <v>3442</v>
      </c>
      <c r="D1103" s="658" t="s">
        <v>3436</v>
      </c>
      <c r="E1103" s="658" t="s">
        <v>2348</v>
      </c>
      <c r="F1103" s="653"/>
      <c r="G1103" s="654"/>
      <c r="H1103" s="657">
        <v>100</v>
      </c>
      <c r="I1103" s="657">
        <f t="shared" ref="I1103" si="957">H1103</f>
        <v>100</v>
      </c>
      <c r="J1103" s="657"/>
      <c r="K1103" s="657">
        <v>100</v>
      </c>
      <c r="L1103" s="657">
        <f t="shared" ref="L1103" si="958">K1103-I1103</f>
        <v>0</v>
      </c>
      <c r="M1103" s="13"/>
    </row>
    <row r="1104" spans="1:13">
      <c r="A1104" s="658"/>
      <c r="B1104" s="658"/>
      <c r="C1104" s="658"/>
      <c r="D1104" s="658"/>
      <c r="E1104" s="658"/>
      <c r="F1104" s="655"/>
      <c r="G1104" s="656"/>
      <c r="H1104" s="657"/>
      <c r="I1104" s="657"/>
      <c r="J1104" s="657"/>
      <c r="K1104" s="657"/>
      <c r="L1104" s="657"/>
      <c r="M1104" s="620">
        <f>SUM(I1099:I1104,I1107:I1222)</f>
        <v>35800</v>
      </c>
    </row>
    <row r="1105" spans="1:13">
      <c r="A1105" s="658" t="s">
        <v>642</v>
      </c>
      <c r="B1105" s="658" t="s">
        <v>3008</v>
      </c>
      <c r="C1105" s="658" t="s">
        <v>3440</v>
      </c>
      <c r="D1105" s="658" t="s">
        <v>3439</v>
      </c>
      <c r="E1105" s="658" t="s">
        <v>239</v>
      </c>
      <c r="F1105" s="653"/>
      <c r="G1105" s="654"/>
      <c r="H1105" s="657">
        <v>44463</v>
      </c>
      <c r="I1105" s="657">
        <v>1350</v>
      </c>
      <c r="J1105" s="657"/>
      <c r="K1105" s="657">
        <v>1350</v>
      </c>
      <c r="L1105" s="657">
        <f t="shared" ref="L1105" si="959">K1105-I1105</f>
        <v>0</v>
      </c>
      <c r="M1105" s="13"/>
    </row>
    <row r="1106" spans="1:13">
      <c r="A1106" s="658"/>
      <c r="B1106" s="658"/>
      <c r="C1106" s="658"/>
      <c r="D1106" s="658"/>
      <c r="E1106" s="658"/>
      <c r="F1106" s="655"/>
      <c r="G1106" s="656"/>
      <c r="H1106" s="657"/>
      <c r="I1106" s="657"/>
      <c r="J1106" s="657"/>
      <c r="K1106" s="657"/>
      <c r="L1106" s="657"/>
      <c r="M1106" s="13"/>
    </row>
    <row r="1107" spans="1:13">
      <c r="A1107" s="658"/>
      <c r="B1107" s="658"/>
      <c r="C1107" s="658" t="s">
        <v>3446</v>
      </c>
      <c r="D1107" s="658" t="s">
        <v>3444</v>
      </c>
      <c r="E1107" s="658" t="s">
        <v>3369</v>
      </c>
      <c r="F1107" s="653"/>
      <c r="G1107" s="654"/>
      <c r="H1107" s="657">
        <v>410</v>
      </c>
      <c r="I1107" s="657">
        <f t="shared" ref="I1107" si="960">H1107</f>
        <v>410</v>
      </c>
      <c r="J1107" s="657"/>
      <c r="K1107" s="657">
        <v>410</v>
      </c>
      <c r="L1107" s="657">
        <f t="shared" ref="L1107" si="961">K1107-I1107</f>
        <v>0</v>
      </c>
      <c r="M1107" s="13"/>
    </row>
    <row r="1108" spans="1:13">
      <c r="A1108" s="658"/>
      <c r="B1108" s="658"/>
      <c r="C1108" s="658"/>
      <c r="D1108" s="658"/>
      <c r="E1108" s="658"/>
      <c r="F1108" s="655"/>
      <c r="G1108" s="656"/>
      <c r="H1108" s="657"/>
      <c r="I1108" s="657"/>
      <c r="J1108" s="657"/>
      <c r="K1108" s="657"/>
      <c r="L1108" s="657"/>
      <c r="M1108" s="13"/>
    </row>
    <row r="1109" spans="1:13">
      <c r="A1109" s="658"/>
      <c r="B1109" s="658"/>
      <c r="C1109" s="658" t="s">
        <v>3447</v>
      </c>
      <c r="D1109" s="658" t="s">
        <v>3445</v>
      </c>
      <c r="E1109" s="658" t="s">
        <v>3389</v>
      </c>
      <c r="F1109" s="653"/>
      <c r="G1109" s="654"/>
      <c r="H1109" s="657">
        <v>280</v>
      </c>
      <c r="I1109" s="657">
        <f t="shared" ref="I1109" si="962">H1109</f>
        <v>280</v>
      </c>
      <c r="J1109" s="657"/>
      <c r="K1109" s="657">
        <v>280</v>
      </c>
      <c r="L1109" s="657">
        <f t="shared" ref="L1109" si="963">K1109-I1109</f>
        <v>0</v>
      </c>
      <c r="M1109" s="13"/>
    </row>
    <row r="1110" spans="1:13">
      <c r="A1110" s="658"/>
      <c r="B1110" s="658"/>
      <c r="C1110" s="658"/>
      <c r="D1110" s="658"/>
      <c r="E1110" s="658"/>
      <c r="F1110" s="655"/>
      <c r="G1110" s="656"/>
      <c r="H1110" s="657"/>
      <c r="I1110" s="657"/>
      <c r="J1110" s="657"/>
      <c r="K1110" s="657"/>
      <c r="L1110" s="657"/>
      <c r="M1110" s="13"/>
    </row>
    <row r="1111" spans="1:13">
      <c r="A1111" s="658"/>
      <c r="B1111" s="658"/>
      <c r="C1111" s="658" t="s">
        <v>3448</v>
      </c>
      <c r="D1111" s="658" t="s">
        <v>3445</v>
      </c>
      <c r="E1111" s="658" t="s">
        <v>1661</v>
      </c>
      <c r="F1111" s="653"/>
      <c r="G1111" s="654"/>
      <c r="H1111" s="657">
        <v>430</v>
      </c>
      <c r="I1111" s="657">
        <f t="shared" ref="I1111" si="964">H1111</f>
        <v>430</v>
      </c>
      <c r="J1111" s="657"/>
      <c r="K1111" s="657">
        <v>430</v>
      </c>
      <c r="L1111" s="657">
        <f t="shared" ref="L1111" si="965">K1111-I1111</f>
        <v>0</v>
      </c>
      <c r="M1111" s="13"/>
    </row>
    <row r="1112" spans="1:13">
      <c r="A1112" s="658"/>
      <c r="B1112" s="658"/>
      <c r="C1112" s="658"/>
      <c r="D1112" s="658"/>
      <c r="E1112" s="658"/>
      <c r="F1112" s="655"/>
      <c r="G1112" s="656"/>
      <c r="H1112" s="657"/>
      <c r="I1112" s="657"/>
      <c r="J1112" s="657"/>
      <c r="K1112" s="657"/>
      <c r="L1112" s="657"/>
      <c r="M1112" s="13"/>
    </row>
    <row r="1113" spans="1:13">
      <c r="A1113" s="658" t="s">
        <v>646</v>
      </c>
      <c r="B1113" s="658" t="s">
        <v>3281</v>
      </c>
      <c r="C1113" s="658" t="s">
        <v>3452</v>
      </c>
      <c r="D1113" s="658" t="s">
        <v>3436</v>
      </c>
      <c r="E1113" s="658" t="s">
        <v>239</v>
      </c>
      <c r="F1113" s="653"/>
      <c r="G1113" s="654"/>
      <c r="H1113" s="657">
        <v>1350</v>
      </c>
      <c r="I1113" s="657">
        <f t="shared" ref="I1113" si="966">H1113</f>
        <v>1350</v>
      </c>
      <c r="J1113" s="657"/>
      <c r="K1113" s="657">
        <v>1350</v>
      </c>
      <c r="L1113" s="657">
        <f t="shared" ref="L1113" si="967">K1113-I1113</f>
        <v>0</v>
      </c>
      <c r="M1113" s="13"/>
    </row>
    <row r="1114" spans="1:13">
      <c r="A1114" s="658"/>
      <c r="B1114" s="658"/>
      <c r="C1114" s="658"/>
      <c r="D1114" s="658"/>
      <c r="E1114" s="658"/>
      <c r="F1114" s="655"/>
      <c r="G1114" s="656"/>
      <c r="H1114" s="657"/>
      <c r="I1114" s="657"/>
      <c r="J1114" s="657"/>
      <c r="K1114" s="657"/>
      <c r="L1114" s="657"/>
      <c r="M1114" s="13"/>
    </row>
    <row r="1115" spans="1:13">
      <c r="A1115" s="658"/>
      <c r="B1115" s="658"/>
      <c r="C1115" s="658" t="s">
        <v>3449</v>
      </c>
      <c r="D1115" s="658" t="s">
        <v>3445</v>
      </c>
      <c r="E1115" s="658" t="s">
        <v>3025</v>
      </c>
      <c r="F1115" s="653"/>
      <c r="G1115" s="654"/>
      <c r="H1115" s="657">
        <v>99</v>
      </c>
      <c r="I1115" s="657">
        <f t="shared" ref="I1115" si="968">H1115</f>
        <v>99</v>
      </c>
      <c r="J1115" s="657"/>
      <c r="K1115" s="657">
        <v>99</v>
      </c>
      <c r="L1115" s="657">
        <f t="shared" ref="L1115" si="969">K1115-I1115</f>
        <v>0</v>
      </c>
      <c r="M1115" s="13"/>
    </row>
    <row r="1116" spans="1:13">
      <c r="A1116" s="658"/>
      <c r="B1116" s="658"/>
      <c r="C1116" s="658"/>
      <c r="D1116" s="658"/>
      <c r="E1116" s="658"/>
      <c r="F1116" s="655"/>
      <c r="G1116" s="656"/>
      <c r="H1116" s="657"/>
      <c r="I1116" s="657"/>
      <c r="J1116" s="657"/>
      <c r="K1116" s="657"/>
      <c r="L1116" s="657"/>
      <c r="M1116" s="13"/>
    </row>
    <row r="1117" spans="1:13">
      <c r="A1117" s="658"/>
      <c r="B1117" s="658"/>
      <c r="C1117" s="658" t="s">
        <v>3450</v>
      </c>
      <c r="D1117" s="658" t="s">
        <v>3445</v>
      </c>
      <c r="E1117" s="658" t="s">
        <v>3443</v>
      </c>
      <c r="F1117" s="653"/>
      <c r="G1117" s="654"/>
      <c r="H1117" s="657">
        <v>100</v>
      </c>
      <c r="I1117" s="657">
        <f t="shared" ref="I1117" si="970">H1117</f>
        <v>100</v>
      </c>
      <c r="J1117" s="657"/>
      <c r="K1117" s="657">
        <v>100</v>
      </c>
      <c r="L1117" s="657">
        <f t="shared" ref="L1117" si="971">K1117-I1117</f>
        <v>0</v>
      </c>
      <c r="M1117" s="13"/>
    </row>
    <row r="1118" spans="1:13">
      <c r="A1118" s="658"/>
      <c r="B1118" s="658"/>
      <c r="C1118" s="658"/>
      <c r="D1118" s="658"/>
      <c r="E1118" s="658"/>
      <c r="F1118" s="655"/>
      <c r="G1118" s="656"/>
      <c r="H1118" s="657"/>
      <c r="I1118" s="657"/>
      <c r="J1118" s="657"/>
      <c r="K1118" s="657"/>
      <c r="L1118" s="657"/>
      <c r="M1118" s="13"/>
    </row>
    <row r="1119" spans="1:13">
      <c r="A1119" s="658"/>
      <c r="B1119" s="658"/>
      <c r="C1119" s="658" t="s">
        <v>3451</v>
      </c>
      <c r="D1119" s="658" t="s">
        <v>3445</v>
      </c>
      <c r="E1119" s="658" t="s">
        <v>2517</v>
      </c>
      <c r="F1119" s="653"/>
      <c r="G1119" s="654"/>
      <c r="H1119" s="657">
        <v>110</v>
      </c>
      <c r="I1119" s="657">
        <f t="shared" ref="I1119" si="972">H1119</f>
        <v>110</v>
      </c>
      <c r="J1119" s="657"/>
      <c r="K1119" s="657">
        <v>110</v>
      </c>
      <c r="L1119" s="657">
        <f t="shared" ref="L1119" si="973">K1119-I1119</f>
        <v>0</v>
      </c>
      <c r="M1119" s="13"/>
    </row>
    <row r="1120" spans="1:13">
      <c r="A1120" s="658"/>
      <c r="B1120" s="658"/>
      <c r="C1120" s="658"/>
      <c r="D1120" s="658"/>
      <c r="E1120" s="658"/>
      <c r="F1120" s="655"/>
      <c r="G1120" s="656"/>
      <c r="H1120" s="657"/>
      <c r="I1120" s="657"/>
      <c r="J1120" s="657"/>
      <c r="K1120" s="657"/>
      <c r="L1120" s="657"/>
      <c r="M1120" s="13"/>
    </row>
    <row r="1121" spans="1:13">
      <c r="A1121" s="658" t="s">
        <v>650</v>
      </c>
      <c r="B1121" s="658" t="s">
        <v>3098</v>
      </c>
      <c r="C1121" s="658" t="s">
        <v>3464</v>
      </c>
      <c r="D1121" s="658" t="s">
        <v>3445</v>
      </c>
      <c r="E1121" s="658" t="s">
        <v>239</v>
      </c>
      <c r="F1121" s="653"/>
      <c r="G1121" s="654"/>
      <c r="H1121" s="657">
        <v>43950</v>
      </c>
      <c r="I1121" s="657">
        <v>1350</v>
      </c>
      <c r="J1121" s="657"/>
      <c r="K1121" s="657">
        <v>1350</v>
      </c>
      <c r="L1121" s="657">
        <f t="shared" ref="L1121" si="974">K1121-I1121</f>
        <v>0</v>
      </c>
      <c r="M1121" s="13"/>
    </row>
    <row r="1122" spans="1:13">
      <c r="A1122" s="658"/>
      <c r="B1122" s="658"/>
      <c r="C1122" s="658"/>
      <c r="D1122" s="658"/>
      <c r="E1122" s="658"/>
      <c r="F1122" s="655"/>
      <c r="G1122" s="656"/>
      <c r="H1122" s="657"/>
      <c r="I1122" s="657"/>
      <c r="J1122" s="657"/>
      <c r="K1122" s="657"/>
      <c r="L1122" s="657"/>
      <c r="M1122" s="13"/>
    </row>
    <row r="1123" spans="1:13">
      <c r="A1123" s="658"/>
      <c r="B1123" s="658"/>
      <c r="C1123" s="658" t="s">
        <v>3456</v>
      </c>
      <c r="D1123" s="658" t="s">
        <v>3455</v>
      </c>
      <c r="E1123" s="658" t="s">
        <v>2723</v>
      </c>
      <c r="F1123" s="653"/>
      <c r="G1123" s="654"/>
      <c r="H1123" s="657">
        <v>350</v>
      </c>
      <c r="I1123" s="657">
        <f t="shared" ref="I1123" si="975">H1123</f>
        <v>350</v>
      </c>
      <c r="J1123" s="657"/>
      <c r="K1123" s="657">
        <v>350</v>
      </c>
      <c r="L1123" s="657">
        <f t="shared" ref="L1123" si="976">K1123-I1123</f>
        <v>0</v>
      </c>
      <c r="M1123" s="13"/>
    </row>
    <row r="1124" spans="1:13">
      <c r="A1124" s="658"/>
      <c r="B1124" s="658"/>
      <c r="C1124" s="658"/>
      <c r="D1124" s="658"/>
      <c r="E1124" s="658"/>
      <c r="F1124" s="655"/>
      <c r="G1124" s="656"/>
      <c r="H1124" s="657"/>
      <c r="I1124" s="657"/>
      <c r="J1124" s="657"/>
      <c r="K1124" s="657"/>
      <c r="L1124" s="657"/>
      <c r="M1124" s="13"/>
    </row>
    <row r="1125" spans="1:13">
      <c r="A1125" s="658"/>
      <c r="B1125" s="658"/>
      <c r="C1125" s="658" t="s">
        <v>3457</v>
      </c>
      <c r="D1125" s="658" t="s">
        <v>3453</v>
      </c>
      <c r="E1125" s="658" t="s">
        <v>2723</v>
      </c>
      <c r="F1125" s="653"/>
      <c r="G1125" s="654"/>
      <c r="H1125" s="657">
        <v>100</v>
      </c>
      <c r="I1125" s="657">
        <f t="shared" ref="I1125" si="977">H1125</f>
        <v>100</v>
      </c>
      <c r="J1125" s="657"/>
      <c r="K1125" s="657">
        <v>100</v>
      </c>
      <c r="L1125" s="657">
        <f t="shared" ref="L1125" si="978">K1125-I1125</f>
        <v>0</v>
      </c>
      <c r="M1125" s="13"/>
    </row>
    <row r="1126" spans="1:13">
      <c r="A1126" s="658"/>
      <c r="B1126" s="658"/>
      <c r="C1126" s="658"/>
      <c r="D1126" s="658"/>
      <c r="E1126" s="658"/>
      <c r="F1126" s="655"/>
      <c r="G1126" s="656"/>
      <c r="H1126" s="657"/>
      <c r="I1126" s="657"/>
      <c r="J1126" s="657"/>
      <c r="K1126" s="657"/>
      <c r="L1126" s="657"/>
      <c r="M1126" s="13"/>
    </row>
    <row r="1127" spans="1:13">
      <c r="A1127" s="658"/>
      <c r="B1127" s="658"/>
      <c r="C1127" s="658" t="s">
        <v>3458</v>
      </c>
      <c r="D1127" s="658" t="s">
        <v>3453</v>
      </c>
      <c r="E1127" s="658" t="s">
        <v>3388</v>
      </c>
      <c r="F1127" s="653"/>
      <c r="G1127" s="654"/>
      <c r="H1127" s="657">
        <v>350</v>
      </c>
      <c r="I1127" s="657">
        <f t="shared" ref="I1127" si="979">H1127</f>
        <v>350</v>
      </c>
      <c r="J1127" s="657"/>
      <c r="K1127" s="657">
        <v>350</v>
      </c>
      <c r="L1127" s="657">
        <f t="shared" ref="L1127" si="980">K1127-I1127</f>
        <v>0</v>
      </c>
      <c r="M1127" s="13"/>
    </row>
    <row r="1128" spans="1:13">
      <c r="A1128" s="658"/>
      <c r="B1128" s="658"/>
      <c r="C1128" s="658"/>
      <c r="D1128" s="658"/>
      <c r="E1128" s="658"/>
      <c r="F1128" s="655"/>
      <c r="G1128" s="656"/>
      <c r="H1128" s="657"/>
      <c r="I1128" s="657"/>
      <c r="J1128" s="657"/>
      <c r="K1128" s="657"/>
      <c r="L1128" s="657"/>
      <c r="M1128" s="13"/>
    </row>
    <row r="1129" spans="1:13">
      <c r="A1129" s="658"/>
      <c r="B1129" s="658"/>
      <c r="C1129" s="658" t="s">
        <v>3459</v>
      </c>
      <c r="D1129" s="658" t="s">
        <v>3453</v>
      </c>
      <c r="E1129" s="658" t="s">
        <v>2772</v>
      </c>
      <c r="F1129" s="653"/>
      <c r="G1129" s="654"/>
      <c r="H1129" s="657">
        <v>280</v>
      </c>
      <c r="I1129" s="657">
        <f t="shared" ref="I1129" si="981">H1129</f>
        <v>280</v>
      </c>
      <c r="J1129" s="657"/>
      <c r="K1129" s="657">
        <v>280</v>
      </c>
      <c r="L1129" s="657">
        <f t="shared" ref="L1129" si="982">K1129-I1129</f>
        <v>0</v>
      </c>
      <c r="M1129" s="13"/>
    </row>
    <row r="1130" spans="1:13">
      <c r="A1130" s="658"/>
      <c r="B1130" s="658"/>
      <c r="C1130" s="658"/>
      <c r="D1130" s="658"/>
      <c r="E1130" s="658"/>
      <c r="F1130" s="655"/>
      <c r="G1130" s="656"/>
      <c r="H1130" s="657"/>
      <c r="I1130" s="657"/>
      <c r="J1130" s="657"/>
      <c r="K1130" s="657"/>
      <c r="L1130" s="657"/>
      <c r="M1130" s="13"/>
    </row>
    <row r="1131" spans="1:13">
      <c r="A1131" s="658" t="s">
        <v>652</v>
      </c>
      <c r="B1131" s="658" t="s">
        <v>3015</v>
      </c>
      <c r="C1131" s="658" t="s">
        <v>3466</v>
      </c>
      <c r="D1131" s="658" t="s">
        <v>3465</v>
      </c>
      <c r="E1131" s="658" t="s">
        <v>239</v>
      </c>
      <c r="F1131" s="653"/>
      <c r="G1131" s="654"/>
      <c r="H1131" s="657">
        <v>1350</v>
      </c>
      <c r="I1131" s="657">
        <f t="shared" ref="I1131" si="983">H1131</f>
        <v>1350</v>
      </c>
      <c r="J1131" s="657"/>
      <c r="K1131" s="657">
        <v>1350</v>
      </c>
      <c r="L1131" s="657">
        <f t="shared" ref="L1131" si="984">K1131-I1131</f>
        <v>0</v>
      </c>
      <c r="M1131" s="13"/>
    </row>
    <row r="1132" spans="1:13">
      <c r="A1132" s="658"/>
      <c r="B1132" s="658"/>
      <c r="C1132" s="658"/>
      <c r="D1132" s="658"/>
      <c r="E1132" s="658"/>
      <c r="F1132" s="655"/>
      <c r="G1132" s="656"/>
      <c r="H1132" s="657"/>
      <c r="I1132" s="657"/>
      <c r="J1132" s="657"/>
      <c r="K1132" s="657"/>
      <c r="L1132" s="657"/>
      <c r="M1132" s="13"/>
    </row>
    <row r="1133" spans="1:13">
      <c r="A1133" s="658"/>
      <c r="B1133" s="658"/>
      <c r="C1133" s="658" t="s">
        <v>3460</v>
      </c>
      <c r="D1133" s="658" t="s">
        <v>3454</v>
      </c>
      <c r="E1133" s="658" t="s">
        <v>1601</v>
      </c>
      <c r="F1133" s="653"/>
      <c r="G1133" s="654"/>
      <c r="H1133" s="657">
        <v>1100</v>
      </c>
      <c r="I1133" s="657">
        <f t="shared" ref="I1133" si="985">H1133</f>
        <v>1100</v>
      </c>
      <c r="J1133" s="657"/>
      <c r="K1133" s="657">
        <v>1100</v>
      </c>
      <c r="L1133" s="657">
        <f t="shared" ref="L1133" si="986">K1133-I1133</f>
        <v>0</v>
      </c>
      <c r="M1133" s="13"/>
    </row>
    <row r="1134" spans="1:13">
      <c r="A1134" s="658"/>
      <c r="B1134" s="658"/>
      <c r="C1134" s="658"/>
      <c r="D1134" s="658"/>
      <c r="E1134" s="658"/>
      <c r="F1134" s="655"/>
      <c r="G1134" s="656"/>
      <c r="H1134" s="657"/>
      <c r="I1134" s="657"/>
      <c r="J1134" s="657"/>
      <c r="K1134" s="657"/>
      <c r="L1134" s="657"/>
      <c r="M1134" s="13"/>
    </row>
    <row r="1135" spans="1:13">
      <c r="A1135" s="658" t="s">
        <v>653</v>
      </c>
      <c r="B1135" s="658" t="s">
        <v>3008</v>
      </c>
      <c r="C1135" s="658" t="s">
        <v>3468</v>
      </c>
      <c r="D1135" s="658" t="s">
        <v>3467</v>
      </c>
      <c r="E1135" s="658" t="s">
        <v>239</v>
      </c>
      <c r="F1135" s="653"/>
      <c r="G1135" s="654"/>
      <c r="H1135" s="657">
        <v>43784</v>
      </c>
      <c r="I1135" s="657">
        <v>1350</v>
      </c>
      <c r="J1135" s="657"/>
      <c r="K1135" s="657">
        <v>1350</v>
      </c>
      <c r="L1135" s="657">
        <f t="shared" ref="L1135" si="987">K1135-I1135</f>
        <v>0</v>
      </c>
      <c r="M1135" s="13"/>
    </row>
    <row r="1136" spans="1:13">
      <c r="A1136" s="658"/>
      <c r="B1136" s="658"/>
      <c r="C1136" s="658"/>
      <c r="D1136" s="658"/>
      <c r="E1136" s="658"/>
      <c r="F1136" s="655"/>
      <c r="G1136" s="656"/>
      <c r="H1136" s="657"/>
      <c r="I1136" s="657"/>
      <c r="J1136" s="657"/>
      <c r="K1136" s="657"/>
      <c r="L1136" s="657"/>
      <c r="M1136" s="13"/>
    </row>
    <row r="1137" spans="1:13">
      <c r="A1137" s="658"/>
      <c r="B1137" s="658"/>
      <c r="C1137" s="658" t="s">
        <v>3461</v>
      </c>
      <c r="D1137" s="658" t="s">
        <v>3454</v>
      </c>
      <c r="E1137" s="658" t="s">
        <v>1601</v>
      </c>
      <c r="F1137" s="653"/>
      <c r="G1137" s="654"/>
      <c r="H1137" s="657">
        <v>470</v>
      </c>
      <c r="I1137" s="657">
        <f t="shared" ref="I1137" si="988">H1137</f>
        <v>470</v>
      </c>
      <c r="J1137" s="657"/>
      <c r="K1137" s="657">
        <v>470</v>
      </c>
      <c r="L1137" s="657">
        <f t="shared" ref="L1137" si="989">K1137-I1137</f>
        <v>0</v>
      </c>
      <c r="M1137" s="13"/>
    </row>
    <row r="1138" spans="1:13">
      <c r="A1138" s="658"/>
      <c r="B1138" s="658"/>
      <c r="C1138" s="658"/>
      <c r="D1138" s="658"/>
      <c r="E1138" s="658"/>
      <c r="F1138" s="655"/>
      <c r="G1138" s="656"/>
      <c r="H1138" s="657"/>
      <c r="I1138" s="657"/>
      <c r="J1138" s="657"/>
      <c r="K1138" s="657"/>
      <c r="L1138" s="657"/>
      <c r="M1138" s="13"/>
    </row>
    <row r="1139" spans="1:13">
      <c r="A1139" s="658"/>
      <c r="B1139" s="658"/>
      <c r="C1139" s="658" t="s">
        <v>3462</v>
      </c>
      <c r="D1139" s="658" t="s">
        <v>3454</v>
      </c>
      <c r="E1139" s="658" t="s">
        <v>3025</v>
      </c>
      <c r="F1139" s="653"/>
      <c r="G1139" s="654"/>
      <c r="H1139" s="657">
        <v>99</v>
      </c>
      <c r="I1139" s="657">
        <f t="shared" ref="I1139" si="990">H1139</f>
        <v>99</v>
      </c>
      <c r="J1139" s="657"/>
      <c r="K1139" s="657">
        <v>99</v>
      </c>
      <c r="L1139" s="657">
        <f t="shared" ref="L1139" si="991">K1139-I1139</f>
        <v>0</v>
      </c>
      <c r="M1139" s="13"/>
    </row>
    <row r="1140" spans="1:13">
      <c r="A1140" s="658"/>
      <c r="B1140" s="658"/>
      <c r="C1140" s="658"/>
      <c r="D1140" s="658"/>
      <c r="E1140" s="658"/>
      <c r="F1140" s="655"/>
      <c r="G1140" s="656"/>
      <c r="H1140" s="657"/>
      <c r="I1140" s="657"/>
      <c r="J1140" s="657"/>
      <c r="K1140" s="657"/>
      <c r="L1140" s="657"/>
      <c r="M1140" s="13"/>
    </row>
    <row r="1141" spans="1:13">
      <c r="A1141" s="658"/>
      <c r="B1141" s="658"/>
      <c r="C1141" s="13"/>
      <c r="D1141" s="658" t="s">
        <v>3454</v>
      </c>
      <c r="E1141" s="658" t="s">
        <v>2375</v>
      </c>
      <c r="F1141" s="653"/>
      <c r="G1141" s="654"/>
      <c r="H1141" s="657">
        <v>80</v>
      </c>
      <c r="I1141" s="657">
        <f t="shared" ref="I1141" si="992">H1141</f>
        <v>80</v>
      </c>
      <c r="J1141" s="657"/>
      <c r="K1141" s="657">
        <v>80</v>
      </c>
      <c r="L1141" s="657">
        <f t="shared" ref="L1141" si="993">K1141-I1141</f>
        <v>0</v>
      </c>
      <c r="M1141" s="13"/>
    </row>
    <row r="1142" spans="1:13">
      <c r="A1142" s="658"/>
      <c r="B1142" s="658"/>
      <c r="C1142" s="13">
        <v>392</v>
      </c>
      <c r="D1142" s="658"/>
      <c r="E1142" s="658"/>
      <c r="F1142" s="655"/>
      <c r="G1142" s="656"/>
      <c r="H1142" s="657"/>
      <c r="I1142" s="657"/>
      <c r="J1142" s="657"/>
      <c r="K1142" s="657"/>
      <c r="L1142" s="657"/>
      <c r="M1142" s="13"/>
    </row>
    <row r="1143" spans="1:13">
      <c r="A1143" s="658"/>
      <c r="B1143" s="658"/>
      <c r="C1143" s="658" t="s">
        <v>3463</v>
      </c>
      <c r="D1143" s="658" t="s">
        <v>3454</v>
      </c>
      <c r="E1143" s="658" t="s">
        <v>2376</v>
      </c>
      <c r="F1143" s="653"/>
      <c r="G1143" s="654"/>
      <c r="H1143" s="657">
        <v>60</v>
      </c>
      <c r="I1143" s="657">
        <f t="shared" ref="I1143" si="994">H1143</f>
        <v>60</v>
      </c>
      <c r="J1143" s="657"/>
      <c r="K1143" s="657">
        <v>60</v>
      </c>
      <c r="L1143" s="657">
        <f t="shared" ref="L1143" si="995">K1143-I1143</f>
        <v>0</v>
      </c>
      <c r="M1143" s="13"/>
    </row>
    <row r="1144" spans="1:13">
      <c r="A1144" s="658"/>
      <c r="B1144" s="658"/>
      <c r="C1144" s="658"/>
      <c r="D1144" s="658"/>
      <c r="E1144" s="658"/>
      <c r="F1144" s="655"/>
      <c r="G1144" s="656"/>
      <c r="H1144" s="657"/>
      <c r="I1144" s="657"/>
      <c r="J1144" s="657"/>
      <c r="K1144" s="657"/>
      <c r="L1144" s="657"/>
      <c r="M1144" s="13"/>
    </row>
    <row r="1145" spans="1:13">
      <c r="A1145" s="658" t="s">
        <v>655</v>
      </c>
      <c r="B1145" s="658" t="s">
        <v>3281</v>
      </c>
      <c r="C1145" s="658" t="s">
        <v>3486</v>
      </c>
      <c r="D1145" s="658" t="s">
        <v>3454</v>
      </c>
      <c r="E1145" s="658" t="s">
        <v>239</v>
      </c>
      <c r="F1145" s="653"/>
      <c r="G1145" s="654"/>
      <c r="H1145" s="657">
        <v>1350</v>
      </c>
      <c r="I1145" s="657">
        <f t="shared" ref="I1145" si="996">H1145</f>
        <v>1350</v>
      </c>
      <c r="J1145" s="657"/>
      <c r="K1145" s="657">
        <v>1350</v>
      </c>
      <c r="L1145" s="657">
        <f t="shared" ref="L1145" si="997">K1145-I1145</f>
        <v>0</v>
      </c>
      <c r="M1145" s="13"/>
    </row>
    <row r="1146" spans="1:13">
      <c r="A1146" s="658"/>
      <c r="B1146" s="658"/>
      <c r="C1146" s="658"/>
      <c r="D1146" s="658"/>
      <c r="E1146" s="658"/>
      <c r="F1146" s="655"/>
      <c r="G1146" s="656"/>
      <c r="H1146" s="657"/>
      <c r="I1146" s="657"/>
      <c r="J1146" s="657"/>
      <c r="K1146" s="657"/>
      <c r="L1146" s="657"/>
      <c r="M1146" s="13"/>
    </row>
    <row r="1147" spans="1:13">
      <c r="A1147" s="658"/>
      <c r="B1147" s="658"/>
      <c r="C1147" s="658" t="s">
        <v>3473</v>
      </c>
      <c r="D1147" s="658" t="s">
        <v>3484</v>
      </c>
      <c r="E1147" s="658" t="s">
        <v>3469</v>
      </c>
      <c r="F1147" s="653"/>
      <c r="G1147" s="654"/>
      <c r="H1147" s="657">
        <v>350</v>
      </c>
      <c r="I1147" s="657">
        <f t="shared" ref="I1147" si="998">H1147</f>
        <v>350</v>
      </c>
      <c r="J1147" s="657"/>
      <c r="K1147" s="657">
        <v>350</v>
      </c>
      <c r="L1147" s="657">
        <f t="shared" ref="L1147" si="999">K1147-I1147</f>
        <v>0</v>
      </c>
      <c r="M1147" s="13"/>
    </row>
    <row r="1148" spans="1:13">
      <c r="A1148" s="658"/>
      <c r="B1148" s="658"/>
      <c r="C1148" s="658"/>
      <c r="D1148" s="658"/>
      <c r="E1148" s="658"/>
      <c r="F1148" s="655"/>
      <c r="G1148" s="656"/>
      <c r="H1148" s="657"/>
      <c r="I1148" s="657"/>
      <c r="J1148" s="657"/>
      <c r="K1148" s="657"/>
      <c r="L1148" s="657"/>
      <c r="M1148" s="13"/>
    </row>
    <row r="1149" spans="1:13">
      <c r="A1149" s="658"/>
      <c r="B1149" s="658"/>
      <c r="C1149" s="658" t="s">
        <v>3474</v>
      </c>
      <c r="D1149" s="658" t="s">
        <v>3484</v>
      </c>
      <c r="E1149" s="658" t="s">
        <v>2535</v>
      </c>
      <c r="F1149" s="653"/>
      <c r="G1149" s="654"/>
      <c r="H1149" s="657">
        <v>200</v>
      </c>
      <c r="I1149" s="657">
        <f t="shared" ref="I1149" si="1000">H1149</f>
        <v>200</v>
      </c>
      <c r="J1149" s="657"/>
      <c r="K1149" s="657">
        <v>200</v>
      </c>
      <c r="L1149" s="657">
        <f t="shared" ref="L1149" si="1001">K1149-I1149</f>
        <v>0</v>
      </c>
      <c r="M1149" s="13"/>
    </row>
    <row r="1150" spans="1:13">
      <c r="A1150" s="658"/>
      <c r="B1150" s="658"/>
      <c r="C1150" s="658"/>
      <c r="D1150" s="658"/>
      <c r="E1150" s="658"/>
      <c r="F1150" s="655"/>
      <c r="G1150" s="656"/>
      <c r="H1150" s="657"/>
      <c r="I1150" s="657"/>
      <c r="J1150" s="657"/>
      <c r="K1150" s="657"/>
      <c r="L1150" s="657"/>
      <c r="M1150" s="13"/>
    </row>
    <row r="1151" spans="1:13">
      <c r="A1151" s="658"/>
      <c r="B1151" s="658"/>
      <c r="C1151" s="658" t="s">
        <v>3481</v>
      </c>
      <c r="D1151" s="658" t="s">
        <v>3484</v>
      </c>
      <c r="E1151" s="658" t="s">
        <v>2723</v>
      </c>
      <c r="F1151" s="653"/>
      <c r="G1151" s="654"/>
      <c r="H1151" s="657">
        <v>330</v>
      </c>
      <c r="I1151" s="657">
        <f t="shared" ref="I1151" si="1002">H1151</f>
        <v>330</v>
      </c>
      <c r="J1151" s="657"/>
      <c r="K1151" s="657">
        <v>330</v>
      </c>
      <c r="L1151" s="657">
        <f t="shared" ref="L1151" si="1003">K1151-I1151</f>
        <v>0</v>
      </c>
      <c r="M1151" s="13"/>
    </row>
    <row r="1152" spans="1:13">
      <c r="A1152" s="658"/>
      <c r="B1152" s="658"/>
      <c r="C1152" s="658"/>
      <c r="D1152" s="658"/>
      <c r="E1152" s="658"/>
      <c r="F1152" s="655"/>
      <c r="G1152" s="656"/>
      <c r="H1152" s="657"/>
      <c r="I1152" s="657"/>
      <c r="J1152" s="657"/>
      <c r="K1152" s="657"/>
      <c r="L1152" s="657"/>
      <c r="M1152" s="13"/>
    </row>
    <row r="1153" spans="1:13">
      <c r="A1153" s="658"/>
      <c r="B1153" s="658"/>
      <c r="C1153" s="658" t="s">
        <v>3475</v>
      </c>
      <c r="D1153" s="658" t="s">
        <v>3485</v>
      </c>
      <c r="E1153" s="658" t="s">
        <v>3470</v>
      </c>
      <c r="F1153" s="653"/>
      <c r="G1153" s="654"/>
      <c r="H1153" s="657">
        <v>400</v>
      </c>
      <c r="I1153" s="657">
        <f t="shared" ref="I1153" si="1004">H1153</f>
        <v>400</v>
      </c>
      <c r="J1153" s="657"/>
      <c r="K1153" s="657">
        <v>400</v>
      </c>
      <c r="L1153" s="657">
        <f t="shared" ref="L1153" si="1005">K1153-I1153</f>
        <v>0</v>
      </c>
      <c r="M1153" s="13"/>
    </row>
    <row r="1154" spans="1:13">
      <c r="A1154" s="658"/>
      <c r="B1154" s="658"/>
      <c r="C1154" s="658"/>
      <c r="D1154" s="658"/>
      <c r="E1154" s="658"/>
      <c r="F1154" s="655"/>
      <c r="G1154" s="656"/>
      <c r="H1154" s="657"/>
      <c r="I1154" s="657"/>
      <c r="J1154" s="657"/>
      <c r="K1154" s="657"/>
      <c r="L1154" s="657"/>
      <c r="M1154" s="13"/>
    </row>
    <row r="1155" spans="1:13">
      <c r="A1155" s="658" t="s">
        <v>659</v>
      </c>
      <c r="B1155" s="658" t="s">
        <v>3298</v>
      </c>
      <c r="C1155" s="658" t="s">
        <v>3488</v>
      </c>
      <c r="D1155" s="658" t="s">
        <v>3487</v>
      </c>
      <c r="E1155" s="658" t="s">
        <v>239</v>
      </c>
      <c r="F1155" s="653"/>
      <c r="G1155" s="654"/>
      <c r="H1155" s="657">
        <v>42520</v>
      </c>
      <c r="I1155" s="657">
        <v>1350</v>
      </c>
      <c r="J1155" s="657"/>
      <c r="K1155" s="657">
        <v>1350</v>
      </c>
      <c r="L1155" s="657">
        <f t="shared" ref="L1155" si="1006">K1155-I1155</f>
        <v>0</v>
      </c>
      <c r="M1155" s="13"/>
    </row>
    <row r="1156" spans="1:13">
      <c r="A1156" s="658"/>
      <c r="B1156" s="658"/>
      <c r="C1156" s="658"/>
      <c r="D1156" s="658"/>
      <c r="E1156" s="658"/>
      <c r="F1156" s="655"/>
      <c r="G1156" s="656"/>
      <c r="H1156" s="657"/>
      <c r="I1156" s="657"/>
      <c r="J1156" s="657"/>
      <c r="K1156" s="657"/>
      <c r="L1156" s="657"/>
      <c r="M1156" s="13"/>
    </row>
    <row r="1157" spans="1:13">
      <c r="A1157" s="658"/>
      <c r="B1157" s="658"/>
      <c r="C1157" s="658" t="s">
        <v>3476</v>
      </c>
      <c r="D1157" s="658" t="s">
        <v>3483</v>
      </c>
      <c r="E1157" s="658" t="s">
        <v>3158</v>
      </c>
      <c r="F1157" s="653"/>
      <c r="G1157" s="654"/>
      <c r="H1157" s="657">
        <v>300</v>
      </c>
      <c r="I1157" s="657">
        <f t="shared" ref="I1157" si="1007">H1157</f>
        <v>300</v>
      </c>
      <c r="J1157" s="657"/>
      <c r="K1157" s="657">
        <v>300</v>
      </c>
      <c r="L1157" s="657">
        <f t="shared" ref="L1157" si="1008">K1157-I1157</f>
        <v>0</v>
      </c>
      <c r="M1157" s="13"/>
    </row>
    <row r="1158" spans="1:13">
      <c r="A1158" s="658"/>
      <c r="B1158" s="658"/>
      <c r="C1158" s="658"/>
      <c r="D1158" s="658"/>
      <c r="E1158" s="658"/>
      <c r="F1158" s="655"/>
      <c r="G1158" s="656"/>
      <c r="H1158" s="657"/>
      <c r="I1158" s="657"/>
      <c r="J1158" s="657"/>
      <c r="K1158" s="657"/>
      <c r="L1158" s="657"/>
      <c r="M1158" s="13"/>
    </row>
    <row r="1159" spans="1:13">
      <c r="A1159" s="658"/>
      <c r="B1159" s="658"/>
      <c r="C1159" s="658" t="s">
        <v>3477</v>
      </c>
      <c r="D1159" s="658" t="s">
        <v>3483</v>
      </c>
      <c r="E1159" s="658" t="s">
        <v>3261</v>
      </c>
      <c r="F1159" s="653"/>
      <c r="G1159" s="654"/>
      <c r="H1159" s="657">
        <v>12650</v>
      </c>
      <c r="I1159" s="657">
        <v>404</v>
      </c>
      <c r="J1159" s="657"/>
      <c r="K1159" s="657">
        <v>404</v>
      </c>
      <c r="L1159" s="657">
        <f t="shared" ref="L1159" si="1009">K1159-I1159</f>
        <v>0</v>
      </c>
      <c r="M1159" s="13"/>
    </row>
    <row r="1160" spans="1:13">
      <c r="A1160" s="658"/>
      <c r="B1160" s="658"/>
      <c r="C1160" s="658"/>
      <c r="D1160" s="658"/>
      <c r="E1160" s="658"/>
      <c r="F1160" s="655"/>
      <c r="G1160" s="656"/>
      <c r="H1160" s="657"/>
      <c r="I1160" s="657"/>
      <c r="J1160" s="657"/>
      <c r="K1160" s="657"/>
      <c r="L1160" s="657"/>
      <c r="M1160" s="13"/>
    </row>
    <row r="1161" spans="1:13">
      <c r="A1161" s="658"/>
      <c r="B1161" s="658"/>
      <c r="C1161" s="658" t="s">
        <v>3478</v>
      </c>
      <c r="D1161" s="658" t="s">
        <v>3483</v>
      </c>
      <c r="E1161" s="658" t="s">
        <v>3471</v>
      </c>
      <c r="F1161" s="653"/>
      <c r="G1161" s="654"/>
      <c r="H1161" s="657">
        <v>480</v>
      </c>
      <c r="I1161" s="657">
        <f t="shared" ref="I1161" si="1010">H1161</f>
        <v>480</v>
      </c>
      <c r="J1161" s="657"/>
      <c r="K1161" s="657">
        <v>480</v>
      </c>
      <c r="L1161" s="657">
        <f t="shared" ref="L1161" si="1011">K1161-I1161</f>
        <v>0</v>
      </c>
      <c r="M1161" s="13"/>
    </row>
    <row r="1162" spans="1:13">
      <c r="A1162" s="658"/>
      <c r="B1162" s="658"/>
      <c r="C1162" s="658"/>
      <c r="D1162" s="658"/>
      <c r="E1162" s="658"/>
      <c r="F1162" s="655"/>
      <c r="G1162" s="656"/>
      <c r="H1162" s="657"/>
      <c r="I1162" s="657"/>
      <c r="J1162" s="657"/>
      <c r="K1162" s="657"/>
      <c r="L1162" s="657"/>
      <c r="M1162" s="13"/>
    </row>
    <row r="1163" spans="1:13">
      <c r="A1163" s="658" t="s">
        <v>660</v>
      </c>
      <c r="B1163" s="658" t="s">
        <v>3008</v>
      </c>
      <c r="C1163" s="658" t="s">
        <v>3490</v>
      </c>
      <c r="D1163" s="658" t="s">
        <v>3489</v>
      </c>
      <c r="E1163" s="658" t="s">
        <v>239</v>
      </c>
      <c r="F1163" s="653"/>
      <c r="G1163" s="654"/>
      <c r="H1163" s="657">
        <v>1350</v>
      </c>
      <c r="I1163" s="657">
        <f t="shared" ref="I1163" si="1012">H1163</f>
        <v>1350</v>
      </c>
      <c r="J1163" s="657"/>
      <c r="K1163" s="657">
        <v>1350</v>
      </c>
      <c r="L1163" s="657">
        <f t="shared" ref="L1163" si="1013">K1163-I1163</f>
        <v>0</v>
      </c>
    </row>
    <row r="1164" spans="1:13">
      <c r="A1164" s="658"/>
      <c r="B1164" s="658"/>
      <c r="C1164" s="658"/>
      <c r="D1164" s="658"/>
      <c r="E1164" s="658"/>
      <c r="F1164" s="655"/>
      <c r="G1164" s="656"/>
      <c r="H1164" s="657"/>
      <c r="I1164" s="657"/>
      <c r="J1164" s="657"/>
      <c r="K1164" s="657"/>
      <c r="L1164" s="657"/>
    </row>
    <row r="1165" spans="1:13">
      <c r="A1165" s="658"/>
      <c r="B1165" s="658"/>
      <c r="C1165" s="658" t="s">
        <v>3479</v>
      </c>
      <c r="D1165" s="658" t="s">
        <v>3483</v>
      </c>
      <c r="E1165" s="658" t="s">
        <v>3472</v>
      </c>
      <c r="F1165" s="653"/>
      <c r="G1165" s="654"/>
      <c r="H1165" s="657">
        <v>99</v>
      </c>
      <c r="I1165" s="657">
        <f t="shared" ref="I1165" si="1014">H1165</f>
        <v>99</v>
      </c>
      <c r="J1165" s="657"/>
      <c r="K1165" s="657">
        <v>99</v>
      </c>
      <c r="L1165" s="657">
        <f t="shared" ref="L1165" si="1015">K1165-I1165</f>
        <v>0</v>
      </c>
    </row>
    <row r="1166" spans="1:13">
      <c r="A1166" s="658"/>
      <c r="B1166" s="658"/>
      <c r="C1166" s="658"/>
      <c r="D1166" s="658"/>
      <c r="E1166" s="658"/>
      <c r="F1166" s="655"/>
      <c r="G1166" s="656"/>
      <c r="H1166" s="657"/>
      <c r="I1166" s="657"/>
      <c r="J1166" s="657"/>
      <c r="K1166" s="657"/>
      <c r="L1166" s="657"/>
    </row>
    <row r="1167" spans="1:13">
      <c r="A1167" s="658"/>
      <c r="B1167" s="658"/>
      <c r="C1167" s="658" t="s">
        <v>3480</v>
      </c>
      <c r="D1167" s="658" t="s">
        <v>3483</v>
      </c>
      <c r="E1167" s="658" t="s">
        <v>1140</v>
      </c>
      <c r="F1167" s="653"/>
      <c r="G1167" s="654"/>
      <c r="H1167" s="657">
        <v>750</v>
      </c>
      <c r="I1167" s="657">
        <f t="shared" ref="I1167" si="1016">H1167</f>
        <v>750</v>
      </c>
      <c r="J1167" s="657"/>
      <c r="K1167" s="657">
        <v>750</v>
      </c>
      <c r="L1167" s="657">
        <f t="shared" ref="L1167" si="1017">K1167-I1167</f>
        <v>0</v>
      </c>
    </row>
    <row r="1168" spans="1:13">
      <c r="A1168" s="658"/>
      <c r="B1168" s="658"/>
      <c r="C1168" s="658"/>
      <c r="D1168" s="658"/>
      <c r="E1168" s="658"/>
      <c r="F1168" s="655"/>
      <c r="G1168" s="656"/>
      <c r="H1168" s="657"/>
      <c r="I1168" s="657"/>
      <c r="J1168" s="657"/>
      <c r="K1168" s="657"/>
      <c r="L1168" s="657"/>
    </row>
    <row r="1169" spans="1:12">
      <c r="A1169" s="658"/>
      <c r="B1169" s="658"/>
      <c r="C1169" s="658" t="s">
        <v>3482</v>
      </c>
      <c r="D1169" s="658" t="s">
        <v>3483</v>
      </c>
      <c r="E1169" s="658" t="s">
        <v>3365</v>
      </c>
      <c r="F1169" s="653"/>
      <c r="G1169" s="654"/>
      <c r="H1169" s="657">
        <v>250</v>
      </c>
      <c r="I1169" s="657">
        <f t="shared" ref="I1169" si="1018">H1169</f>
        <v>250</v>
      </c>
      <c r="J1169" s="657"/>
      <c r="K1169" s="657">
        <v>250</v>
      </c>
      <c r="L1169" s="657">
        <f t="shared" ref="L1169" si="1019">K1169-I1169</f>
        <v>0</v>
      </c>
    </row>
    <row r="1170" spans="1:12">
      <c r="A1170" s="658"/>
      <c r="B1170" s="658"/>
      <c r="C1170" s="658"/>
      <c r="D1170" s="658"/>
      <c r="E1170" s="658"/>
      <c r="F1170" s="655"/>
      <c r="G1170" s="656"/>
      <c r="H1170" s="657"/>
      <c r="I1170" s="657"/>
      <c r="J1170" s="657"/>
      <c r="K1170" s="657"/>
      <c r="L1170" s="657"/>
    </row>
    <row r="1171" spans="1:12">
      <c r="A1171" s="658" t="s">
        <v>666</v>
      </c>
      <c r="B1171" s="658" t="s">
        <v>3015</v>
      </c>
      <c r="C1171" s="658" t="s">
        <v>3506</v>
      </c>
      <c r="D1171" s="658" t="s">
        <v>3483</v>
      </c>
      <c r="E1171" s="658" t="s">
        <v>239</v>
      </c>
      <c r="F1171" s="653"/>
      <c r="G1171" s="654"/>
      <c r="H1171" s="657">
        <v>42288</v>
      </c>
      <c r="I1171" s="657">
        <v>1350</v>
      </c>
      <c r="J1171" s="657"/>
      <c r="K1171" s="657">
        <v>1350</v>
      </c>
      <c r="L1171" s="657">
        <f t="shared" ref="L1171" si="1020">K1171-I1171</f>
        <v>0</v>
      </c>
    </row>
    <row r="1172" spans="1:12">
      <c r="A1172" s="658"/>
      <c r="B1172" s="658"/>
      <c r="C1172" s="658"/>
      <c r="D1172" s="658"/>
      <c r="E1172" s="658"/>
      <c r="F1172" s="655"/>
      <c r="G1172" s="656"/>
      <c r="H1172" s="657"/>
      <c r="I1172" s="657"/>
      <c r="J1172" s="657"/>
      <c r="K1172" s="657"/>
      <c r="L1172" s="657"/>
    </row>
    <row r="1173" spans="1:12">
      <c r="A1173" s="658"/>
      <c r="B1173" s="658"/>
      <c r="C1173" s="658" t="s">
        <v>3491</v>
      </c>
      <c r="D1173" s="658" t="s">
        <v>3501</v>
      </c>
      <c r="E1173" s="658" t="s">
        <v>2517</v>
      </c>
      <c r="F1173" s="653"/>
      <c r="G1173" s="654"/>
      <c r="H1173" s="657">
        <v>270</v>
      </c>
      <c r="I1173" s="657">
        <f t="shared" ref="I1173" si="1021">H1173</f>
        <v>270</v>
      </c>
      <c r="J1173" s="657"/>
      <c r="K1173" s="657">
        <v>270</v>
      </c>
      <c r="L1173" s="657">
        <f t="shared" ref="L1173" si="1022">K1173-I1173</f>
        <v>0</v>
      </c>
    </row>
    <row r="1174" spans="1:12">
      <c r="A1174" s="658"/>
      <c r="B1174" s="658"/>
      <c r="C1174" s="658"/>
      <c r="D1174" s="658"/>
      <c r="E1174" s="658"/>
      <c r="F1174" s="655"/>
      <c r="G1174" s="656"/>
      <c r="H1174" s="657"/>
      <c r="I1174" s="657"/>
      <c r="J1174" s="657"/>
      <c r="K1174" s="657"/>
      <c r="L1174" s="657"/>
    </row>
    <row r="1175" spans="1:12">
      <c r="A1175" s="658"/>
      <c r="B1175" s="658"/>
      <c r="C1175" s="658" t="s">
        <v>3492</v>
      </c>
      <c r="D1175" s="658" t="s">
        <v>3501</v>
      </c>
      <c r="E1175" s="658" t="s">
        <v>2517</v>
      </c>
      <c r="F1175" s="653"/>
      <c r="G1175" s="654"/>
      <c r="H1175" s="657">
        <v>270</v>
      </c>
      <c r="I1175" s="657">
        <f t="shared" ref="I1175" si="1023">H1175</f>
        <v>270</v>
      </c>
      <c r="J1175" s="657"/>
      <c r="K1175" s="657">
        <v>207</v>
      </c>
      <c r="L1175" s="657">
        <f t="shared" ref="L1175" si="1024">K1175-I1175</f>
        <v>-63</v>
      </c>
    </row>
    <row r="1176" spans="1:12">
      <c r="A1176" s="658"/>
      <c r="B1176" s="658"/>
      <c r="C1176" s="658"/>
      <c r="D1176" s="658"/>
      <c r="E1176" s="658"/>
      <c r="F1176" s="655"/>
      <c r="G1176" s="656"/>
      <c r="H1176" s="657"/>
      <c r="I1176" s="657"/>
      <c r="J1176" s="657"/>
      <c r="K1176" s="657"/>
      <c r="L1176" s="657"/>
    </row>
    <row r="1177" spans="1:12">
      <c r="A1177" s="658"/>
      <c r="B1177" s="658"/>
      <c r="C1177" s="658" t="s">
        <v>3493</v>
      </c>
      <c r="D1177" s="658" t="s">
        <v>3501</v>
      </c>
      <c r="E1177" s="658" t="s">
        <v>2723</v>
      </c>
      <c r="F1177" s="653"/>
      <c r="G1177" s="654"/>
      <c r="H1177" s="657">
        <v>460</v>
      </c>
      <c r="I1177" s="657">
        <f t="shared" ref="I1177" si="1025">H1177</f>
        <v>460</v>
      </c>
      <c r="J1177" s="657"/>
      <c r="K1177" s="657">
        <v>460</v>
      </c>
      <c r="L1177" s="657">
        <f t="shared" ref="L1177" si="1026">K1177-I1177</f>
        <v>0</v>
      </c>
    </row>
    <row r="1178" spans="1:12">
      <c r="A1178" s="658"/>
      <c r="B1178" s="658"/>
      <c r="C1178" s="658"/>
      <c r="D1178" s="658"/>
      <c r="E1178" s="658"/>
      <c r="F1178" s="655"/>
      <c r="G1178" s="656"/>
      <c r="H1178" s="657"/>
      <c r="I1178" s="657"/>
      <c r="J1178" s="657"/>
      <c r="K1178" s="657"/>
      <c r="L1178" s="657"/>
    </row>
    <row r="1179" spans="1:12">
      <c r="A1179" s="658"/>
      <c r="B1179" s="658"/>
      <c r="C1179" s="658" t="s">
        <v>3494</v>
      </c>
      <c r="D1179" s="658" t="s">
        <v>3501</v>
      </c>
      <c r="E1179" s="658" t="s">
        <v>2723</v>
      </c>
      <c r="F1179" s="653"/>
      <c r="G1179" s="654"/>
      <c r="H1179" s="657">
        <v>200</v>
      </c>
      <c r="I1179" s="657">
        <f t="shared" ref="I1179" si="1027">H1179</f>
        <v>200</v>
      </c>
      <c r="J1179" s="657"/>
      <c r="K1179" s="657">
        <v>200</v>
      </c>
      <c r="L1179" s="657">
        <f t="shared" ref="L1179" si="1028">K1179-I1179</f>
        <v>0</v>
      </c>
    </row>
    <row r="1180" spans="1:12">
      <c r="A1180" s="658"/>
      <c r="B1180" s="658"/>
      <c r="C1180" s="658"/>
      <c r="D1180" s="658"/>
      <c r="E1180" s="658"/>
      <c r="F1180" s="655"/>
      <c r="G1180" s="656"/>
      <c r="H1180" s="657"/>
      <c r="I1180" s="657"/>
      <c r="J1180" s="657"/>
      <c r="K1180" s="657"/>
      <c r="L1180" s="657"/>
    </row>
    <row r="1181" spans="1:12">
      <c r="A1181" s="658" t="s">
        <v>668</v>
      </c>
      <c r="B1181" s="658" t="s">
        <v>3176</v>
      </c>
      <c r="C1181" s="658" t="s">
        <v>3511</v>
      </c>
      <c r="D1181" s="658" t="s">
        <v>3483</v>
      </c>
      <c r="E1181" s="658" t="s">
        <v>239</v>
      </c>
      <c r="F1181" s="653"/>
      <c r="G1181" s="654"/>
      <c r="H1181" s="657">
        <v>60</v>
      </c>
      <c r="I1181" s="657">
        <f t="shared" ref="I1181" si="1029">H1181</f>
        <v>60</v>
      </c>
      <c r="J1181" s="781" t="s">
        <v>3505</v>
      </c>
      <c r="K1181" s="657">
        <v>60</v>
      </c>
      <c r="L1181" s="657">
        <f t="shared" ref="L1181" si="1030">K1181-I1181</f>
        <v>0</v>
      </c>
    </row>
    <row r="1182" spans="1:12">
      <c r="A1182" s="658"/>
      <c r="B1182" s="658"/>
      <c r="C1182" s="658"/>
      <c r="D1182" s="658"/>
      <c r="E1182" s="658"/>
      <c r="F1182" s="655"/>
      <c r="G1182" s="656"/>
      <c r="H1182" s="657"/>
      <c r="I1182" s="657"/>
      <c r="J1182" s="781"/>
      <c r="K1182" s="657"/>
      <c r="L1182" s="657"/>
    </row>
    <row r="1183" spans="1:12">
      <c r="A1183" s="658"/>
      <c r="B1183" s="658"/>
      <c r="C1183" s="658" t="s">
        <v>3508</v>
      </c>
      <c r="D1183" s="658" t="s">
        <v>3507</v>
      </c>
      <c r="E1183" s="658" t="s">
        <v>239</v>
      </c>
      <c r="F1183" s="653"/>
      <c r="G1183" s="654"/>
      <c r="H1183" s="657">
        <v>1350</v>
      </c>
      <c r="I1183" s="657">
        <f t="shared" ref="I1183" si="1031">H1183</f>
        <v>1350</v>
      </c>
      <c r="J1183" s="657"/>
      <c r="K1183" s="657">
        <v>1350</v>
      </c>
      <c r="L1183" s="657">
        <f t="shared" ref="L1183" si="1032">K1183-I1183</f>
        <v>0</v>
      </c>
    </row>
    <row r="1184" spans="1:12">
      <c r="A1184" s="658"/>
      <c r="B1184" s="658"/>
      <c r="C1184" s="658"/>
      <c r="D1184" s="658"/>
      <c r="E1184" s="658"/>
      <c r="F1184" s="655"/>
      <c r="G1184" s="656"/>
      <c r="H1184" s="657"/>
      <c r="I1184" s="657"/>
      <c r="J1184" s="657"/>
      <c r="K1184" s="657"/>
      <c r="L1184" s="657"/>
    </row>
    <row r="1185" spans="1:13">
      <c r="A1185" s="658"/>
      <c r="B1185" s="658"/>
      <c r="C1185" s="658" t="s">
        <v>3496</v>
      </c>
      <c r="D1185" s="658" t="s">
        <v>3502</v>
      </c>
      <c r="E1185" s="658" t="s">
        <v>1601</v>
      </c>
      <c r="F1185" s="653"/>
      <c r="G1185" s="654"/>
      <c r="H1185" s="657">
        <v>150</v>
      </c>
      <c r="I1185" s="657">
        <f t="shared" ref="I1185" si="1033">H1185</f>
        <v>150</v>
      </c>
      <c r="J1185" s="657"/>
      <c r="K1185" s="657">
        <v>150</v>
      </c>
      <c r="L1185" s="657">
        <f t="shared" ref="L1185" si="1034">K1185-I1185</f>
        <v>0</v>
      </c>
    </row>
    <row r="1186" spans="1:13">
      <c r="A1186" s="658"/>
      <c r="B1186" s="658"/>
      <c r="C1186" s="658"/>
      <c r="D1186" s="658"/>
      <c r="E1186" s="658"/>
      <c r="F1186" s="655"/>
      <c r="G1186" s="656"/>
      <c r="H1186" s="657"/>
      <c r="I1186" s="657"/>
      <c r="J1186" s="657"/>
      <c r="K1186" s="657"/>
      <c r="L1186" s="657"/>
    </row>
    <row r="1187" spans="1:13">
      <c r="A1187" s="658"/>
      <c r="B1187" s="658"/>
      <c r="C1187" s="658" t="s">
        <v>3497</v>
      </c>
      <c r="D1187" s="658" t="s">
        <v>3502</v>
      </c>
      <c r="E1187" s="658" t="s">
        <v>3309</v>
      </c>
      <c r="F1187" s="653"/>
      <c r="G1187" s="654"/>
      <c r="H1187" s="657">
        <v>600</v>
      </c>
      <c r="I1187" s="657">
        <f t="shared" ref="I1187" si="1035">H1187</f>
        <v>600</v>
      </c>
      <c r="J1187" s="657"/>
      <c r="K1187" s="657">
        <v>600</v>
      </c>
      <c r="L1187" s="657">
        <f t="shared" ref="L1187" si="1036">K1187-I1187</f>
        <v>0</v>
      </c>
    </row>
    <row r="1188" spans="1:13">
      <c r="A1188" s="658"/>
      <c r="B1188" s="658"/>
      <c r="C1188" s="658"/>
      <c r="D1188" s="658"/>
      <c r="E1188" s="658"/>
      <c r="F1188" s="655"/>
      <c r="G1188" s="656"/>
      <c r="H1188" s="657"/>
      <c r="I1188" s="657"/>
      <c r="J1188" s="657"/>
      <c r="K1188" s="657"/>
      <c r="L1188" s="657"/>
    </row>
    <row r="1189" spans="1:13">
      <c r="A1189" s="658" t="s">
        <v>675</v>
      </c>
      <c r="B1189" s="658" t="s">
        <v>3008</v>
      </c>
      <c r="C1189" s="658" t="s">
        <v>3509</v>
      </c>
      <c r="D1189" s="658" t="s">
        <v>3507</v>
      </c>
      <c r="E1189" s="658" t="s">
        <v>239</v>
      </c>
      <c r="F1189" s="653"/>
      <c r="G1189" s="654"/>
      <c r="H1189" s="657">
        <v>42284</v>
      </c>
      <c r="I1189" s="657">
        <v>1350</v>
      </c>
      <c r="J1189" s="657"/>
      <c r="K1189" s="657">
        <v>1350</v>
      </c>
      <c r="L1189" s="657">
        <f t="shared" ref="L1189" si="1037">K1189-I1189</f>
        <v>0</v>
      </c>
    </row>
    <row r="1190" spans="1:13">
      <c r="A1190" s="658"/>
      <c r="B1190" s="658"/>
      <c r="C1190" s="658"/>
      <c r="D1190" s="658"/>
      <c r="E1190" s="658"/>
      <c r="F1190" s="655"/>
      <c r="G1190" s="656"/>
      <c r="H1190" s="657"/>
      <c r="I1190" s="657"/>
      <c r="J1190" s="657"/>
      <c r="K1190" s="657"/>
      <c r="L1190" s="657"/>
    </row>
    <row r="1191" spans="1:13">
      <c r="A1191" s="658"/>
      <c r="B1191" s="658"/>
      <c r="C1191" s="658" t="s">
        <v>3498</v>
      </c>
      <c r="D1191" s="658" t="s">
        <v>3502</v>
      </c>
      <c r="E1191" s="658" t="s">
        <v>3025</v>
      </c>
      <c r="F1191" s="653"/>
      <c r="G1191" s="654"/>
      <c r="H1191" s="657">
        <v>97</v>
      </c>
      <c r="I1191" s="657">
        <f t="shared" ref="I1191" si="1038">H1191</f>
        <v>97</v>
      </c>
      <c r="J1191" s="657"/>
      <c r="K1191" s="657">
        <v>97</v>
      </c>
      <c r="L1191" s="657">
        <f t="shared" ref="L1191" si="1039">K1191-I1191</f>
        <v>0</v>
      </c>
    </row>
    <row r="1192" spans="1:13">
      <c r="A1192" s="658"/>
      <c r="B1192" s="658"/>
      <c r="C1192" s="658"/>
      <c r="D1192" s="658"/>
      <c r="E1192" s="658"/>
      <c r="F1192" s="655"/>
      <c r="G1192" s="656"/>
      <c r="H1192" s="657"/>
      <c r="I1192" s="657"/>
      <c r="J1192" s="657"/>
      <c r="K1192" s="657"/>
      <c r="L1192" s="657"/>
    </row>
    <row r="1193" spans="1:13">
      <c r="A1193" s="658"/>
      <c r="B1193" s="658"/>
      <c r="C1193" s="658" t="s">
        <v>3499</v>
      </c>
      <c r="D1193" s="658" t="s">
        <v>3502</v>
      </c>
      <c r="E1193" s="658" t="s">
        <v>3504</v>
      </c>
      <c r="F1193" s="653"/>
      <c r="G1193" s="654"/>
      <c r="H1193" s="657">
        <v>13000</v>
      </c>
      <c r="I1193" s="657">
        <v>416</v>
      </c>
      <c r="J1193" s="657"/>
      <c r="K1193" s="657">
        <v>416</v>
      </c>
      <c r="L1193" s="657">
        <f t="shared" ref="L1193" si="1040">K1193-I1193</f>
        <v>0</v>
      </c>
      <c r="M1193" t="s">
        <v>2258</v>
      </c>
    </row>
    <row r="1194" spans="1:13">
      <c r="A1194" s="658"/>
      <c r="B1194" s="658"/>
      <c r="C1194" s="658"/>
      <c r="D1194" s="658"/>
      <c r="E1194" s="658"/>
      <c r="F1194" s="655"/>
      <c r="G1194" s="656"/>
      <c r="H1194" s="657"/>
      <c r="I1194" s="657"/>
      <c r="J1194" s="657"/>
      <c r="K1194" s="657"/>
      <c r="L1194" s="657"/>
    </row>
    <row r="1195" spans="1:13">
      <c r="A1195" s="658" t="s">
        <v>676</v>
      </c>
      <c r="B1195" s="658" t="s">
        <v>3298</v>
      </c>
      <c r="C1195" s="658" t="s">
        <v>3510</v>
      </c>
      <c r="D1195" s="658" t="s">
        <v>3507</v>
      </c>
      <c r="E1195" s="658" t="s">
        <v>239</v>
      </c>
      <c r="F1195" s="653"/>
      <c r="G1195" s="654"/>
      <c r="H1195" s="657">
        <v>1350</v>
      </c>
      <c r="I1195" s="657">
        <f t="shared" ref="I1195" si="1041">H1195</f>
        <v>1350</v>
      </c>
      <c r="J1195" s="657"/>
      <c r="K1195" s="657">
        <v>1350</v>
      </c>
      <c r="L1195" s="657">
        <f t="shared" ref="L1195" si="1042">K1195-I1195</f>
        <v>0</v>
      </c>
    </row>
    <row r="1196" spans="1:13">
      <c r="A1196" s="658"/>
      <c r="B1196" s="658"/>
      <c r="C1196" s="658"/>
      <c r="D1196" s="658"/>
      <c r="E1196" s="658"/>
      <c r="F1196" s="655"/>
      <c r="G1196" s="656"/>
      <c r="H1196" s="657"/>
      <c r="I1196" s="657"/>
      <c r="J1196" s="657"/>
      <c r="K1196" s="657"/>
      <c r="L1196" s="657"/>
    </row>
    <row r="1197" spans="1:13">
      <c r="A1197" s="658"/>
      <c r="B1197" s="658"/>
      <c r="C1197" s="658" t="s">
        <v>3495</v>
      </c>
      <c r="D1197" s="658" t="s">
        <v>3500</v>
      </c>
      <c r="E1197" s="658" t="s">
        <v>1601</v>
      </c>
      <c r="F1197" s="653"/>
      <c r="G1197" s="654"/>
      <c r="H1197" s="657">
        <v>1300</v>
      </c>
      <c r="I1197" s="657">
        <f t="shared" ref="I1197" si="1043">H1197</f>
        <v>1300</v>
      </c>
      <c r="J1197" s="657"/>
      <c r="K1197" s="657">
        <v>1300</v>
      </c>
      <c r="L1197" s="657">
        <f t="shared" ref="L1197" si="1044">K1197-I1197</f>
        <v>0</v>
      </c>
    </row>
    <row r="1198" spans="1:13">
      <c r="A1198" s="658"/>
      <c r="B1198" s="658"/>
      <c r="C1198" s="658"/>
      <c r="D1198" s="658"/>
      <c r="E1198" s="658"/>
      <c r="F1198" s="655"/>
      <c r="G1198" s="656"/>
      <c r="H1198" s="657"/>
      <c r="I1198" s="657"/>
      <c r="J1198" s="657"/>
      <c r="K1198" s="657"/>
      <c r="L1198" s="657"/>
    </row>
    <row r="1199" spans="1:13">
      <c r="A1199" s="658" t="s">
        <v>679</v>
      </c>
      <c r="B1199" s="658" t="s">
        <v>3015</v>
      </c>
      <c r="C1199" s="658" t="s">
        <v>3522</v>
      </c>
      <c r="D1199" s="658" t="s">
        <v>3500</v>
      </c>
      <c r="E1199" s="658" t="s">
        <v>239</v>
      </c>
      <c r="F1199" s="653"/>
      <c r="G1199" s="654"/>
      <c r="H1199" s="657">
        <v>120</v>
      </c>
      <c r="I1199" s="657">
        <f t="shared" ref="I1199" si="1045">H1199</f>
        <v>120</v>
      </c>
      <c r="J1199" s="781" t="s">
        <v>3505</v>
      </c>
      <c r="K1199" s="657">
        <v>120</v>
      </c>
      <c r="L1199" s="657">
        <f t="shared" ref="L1199" si="1046">K1199-I1199</f>
        <v>0</v>
      </c>
    </row>
    <row r="1200" spans="1:13">
      <c r="A1200" s="658"/>
      <c r="B1200" s="658"/>
      <c r="C1200" s="658"/>
      <c r="D1200" s="658"/>
      <c r="E1200" s="658"/>
      <c r="F1200" s="655"/>
      <c r="G1200" s="656"/>
      <c r="H1200" s="657"/>
      <c r="I1200" s="657"/>
      <c r="J1200" s="781"/>
      <c r="K1200" s="657"/>
      <c r="L1200" s="657"/>
    </row>
    <row r="1201" spans="1:12">
      <c r="C1201" s="658" t="s">
        <v>3523</v>
      </c>
      <c r="D1201" s="658" t="s">
        <v>3502</v>
      </c>
      <c r="E1201" s="658" t="s">
        <v>239</v>
      </c>
      <c r="F1201" s="653"/>
      <c r="G1201" s="654"/>
      <c r="H1201" s="657">
        <v>42177</v>
      </c>
      <c r="I1201" s="657">
        <v>1350</v>
      </c>
      <c r="J1201" s="657"/>
      <c r="K1201" s="657">
        <v>1350</v>
      </c>
      <c r="L1201" s="657">
        <f t="shared" ref="L1201" si="1047">K1201-I1201</f>
        <v>0</v>
      </c>
    </row>
    <row r="1202" spans="1:12">
      <c r="C1202" s="658"/>
      <c r="D1202" s="658"/>
      <c r="E1202" s="658"/>
      <c r="F1202" s="655"/>
      <c r="G1202" s="656"/>
      <c r="H1202" s="657"/>
      <c r="I1202" s="657"/>
      <c r="J1202" s="657"/>
      <c r="K1202" s="657"/>
      <c r="L1202" s="657"/>
    </row>
    <row r="1203" spans="1:12">
      <c r="A1203" s="658"/>
      <c r="B1203" s="658"/>
      <c r="C1203" s="658" t="s">
        <v>3517</v>
      </c>
      <c r="D1203" s="658" t="s">
        <v>3520</v>
      </c>
      <c r="E1203" s="658" t="s">
        <v>3512</v>
      </c>
      <c r="F1203" s="653"/>
      <c r="G1203" s="654"/>
      <c r="H1203" s="657">
        <v>400</v>
      </c>
      <c r="I1203" s="657">
        <f t="shared" ref="I1203" si="1048">H1203</f>
        <v>400</v>
      </c>
      <c r="J1203" s="657"/>
      <c r="K1203" s="657">
        <v>400</v>
      </c>
      <c r="L1203" s="657">
        <f t="shared" ref="L1203" si="1049">K1203-I1203</f>
        <v>0</v>
      </c>
    </row>
    <row r="1204" spans="1:12">
      <c r="A1204" s="658"/>
      <c r="B1204" s="658"/>
      <c r="C1204" s="658"/>
      <c r="D1204" s="658"/>
      <c r="E1204" s="658"/>
      <c r="F1204" s="655"/>
      <c r="G1204" s="656"/>
      <c r="H1204" s="657"/>
      <c r="I1204" s="657"/>
      <c r="J1204" s="657"/>
      <c r="K1204" s="657"/>
      <c r="L1204" s="657"/>
    </row>
    <row r="1205" spans="1:12">
      <c r="A1205" s="658"/>
      <c r="B1205" s="658"/>
      <c r="C1205" s="658" t="s">
        <v>3518</v>
      </c>
      <c r="D1205" s="658" t="s">
        <v>3520</v>
      </c>
      <c r="E1205" s="658" t="s">
        <v>3513</v>
      </c>
      <c r="F1205" s="653"/>
      <c r="G1205" s="654"/>
      <c r="H1205" s="657">
        <v>350</v>
      </c>
      <c r="I1205" s="657">
        <f t="shared" ref="I1205" si="1050">H1205</f>
        <v>350</v>
      </c>
      <c r="J1205" s="657"/>
      <c r="K1205" s="657">
        <v>350</v>
      </c>
      <c r="L1205" s="657">
        <f t="shared" ref="L1205" si="1051">K1205-I1205</f>
        <v>0</v>
      </c>
    </row>
    <row r="1206" spans="1:12">
      <c r="A1206" s="658"/>
      <c r="B1206" s="658"/>
      <c r="C1206" s="658"/>
      <c r="D1206" s="658"/>
      <c r="E1206" s="658"/>
      <c r="F1206" s="655"/>
      <c r="G1206" s="656"/>
      <c r="H1206" s="657"/>
      <c r="I1206" s="657"/>
      <c r="J1206" s="657"/>
      <c r="K1206" s="657"/>
      <c r="L1206" s="657"/>
    </row>
    <row r="1207" spans="1:12">
      <c r="A1207" s="658" t="s">
        <v>681</v>
      </c>
      <c r="B1207" s="658" t="s">
        <v>3298</v>
      </c>
      <c r="C1207" s="658" t="s">
        <v>3524</v>
      </c>
      <c r="D1207" s="658" t="s">
        <v>3502</v>
      </c>
      <c r="E1207" s="658" t="s">
        <v>239</v>
      </c>
      <c r="F1207" s="653"/>
      <c r="G1207" s="654"/>
      <c r="H1207" s="657">
        <v>1350</v>
      </c>
      <c r="I1207" s="657">
        <f t="shared" ref="I1207" si="1052">H1207</f>
        <v>1350</v>
      </c>
      <c r="J1207" s="657"/>
      <c r="K1207" s="657">
        <v>1350</v>
      </c>
      <c r="L1207" s="657">
        <f t="shared" ref="L1207" si="1053">K1207-I1207</f>
        <v>0</v>
      </c>
    </row>
    <row r="1208" spans="1:12">
      <c r="A1208" s="658"/>
      <c r="B1208" s="658"/>
      <c r="C1208" s="658"/>
      <c r="D1208" s="658"/>
      <c r="E1208" s="658"/>
      <c r="F1208" s="655"/>
      <c r="G1208" s="656"/>
      <c r="H1208" s="657"/>
      <c r="I1208" s="657"/>
      <c r="J1208" s="657"/>
      <c r="K1208" s="657"/>
      <c r="L1208" s="657"/>
    </row>
    <row r="1209" spans="1:12">
      <c r="A1209" s="658"/>
      <c r="B1209" s="658"/>
      <c r="C1209" s="658" t="s">
        <v>3519</v>
      </c>
      <c r="D1209" s="658" t="s">
        <v>3516</v>
      </c>
      <c r="E1209" s="658" t="s">
        <v>2376</v>
      </c>
      <c r="F1209" s="653"/>
      <c r="G1209" s="654"/>
      <c r="H1209" s="657">
        <v>60</v>
      </c>
      <c r="I1209" s="657">
        <f t="shared" ref="I1209" si="1054">H1209</f>
        <v>60</v>
      </c>
      <c r="J1209" s="657"/>
      <c r="K1209" s="657">
        <v>60</v>
      </c>
      <c r="L1209" s="657">
        <f t="shared" ref="L1209" si="1055">K1209-I1209</f>
        <v>0</v>
      </c>
    </row>
    <row r="1210" spans="1:12">
      <c r="A1210" s="658"/>
      <c r="B1210" s="658"/>
      <c r="C1210" s="658"/>
      <c r="D1210" s="658"/>
      <c r="E1210" s="658"/>
      <c r="F1210" s="655"/>
      <c r="G1210" s="656"/>
      <c r="H1210" s="657"/>
      <c r="I1210" s="657"/>
      <c r="J1210" s="657"/>
      <c r="K1210" s="657"/>
      <c r="L1210" s="657"/>
    </row>
    <row r="1211" spans="1:12">
      <c r="A1211" s="658"/>
      <c r="B1211" s="658"/>
      <c r="C1211" s="658" t="s">
        <v>3530</v>
      </c>
      <c r="D1211" s="658" t="s">
        <v>3516</v>
      </c>
      <c r="E1211" s="658" t="s">
        <v>3309</v>
      </c>
      <c r="F1211" s="653"/>
      <c r="G1211" s="654"/>
      <c r="H1211" s="657">
        <v>480</v>
      </c>
      <c r="I1211" s="657">
        <f t="shared" ref="I1211" si="1056">H1211</f>
        <v>480</v>
      </c>
      <c r="J1211" s="657"/>
      <c r="K1211" s="657">
        <v>480</v>
      </c>
      <c r="L1211" s="657">
        <f t="shared" ref="L1211" si="1057">K1211-I1211</f>
        <v>0</v>
      </c>
    </row>
    <row r="1212" spans="1:12">
      <c r="A1212" s="658"/>
      <c r="B1212" s="658"/>
      <c r="C1212" s="658"/>
      <c r="D1212" s="658"/>
      <c r="E1212" s="658"/>
      <c r="F1212" s="655"/>
      <c r="G1212" s="656"/>
      <c r="H1212" s="657"/>
      <c r="I1212" s="657"/>
      <c r="J1212" s="657"/>
      <c r="K1212" s="657"/>
      <c r="L1212" s="657"/>
    </row>
    <row r="1213" spans="1:12">
      <c r="A1213" s="658" t="s">
        <v>682</v>
      </c>
      <c r="B1213" s="658" t="s">
        <v>3008</v>
      </c>
      <c r="C1213" s="658" t="s">
        <v>3525</v>
      </c>
      <c r="D1213" s="658" t="s">
        <v>3516</v>
      </c>
      <c r="E1213" s="658" t="s">
        <v>239</v>
      </c>
      <c r="F1213" s="653"/>
      <c r="G1213" s="654"/>
      <c r="H1213" s="657">
        <v>42159</v>
      </c>
      <c r="I1213" s="657">
        <v>1350</v>
      </c>
      <c r="J1213" s="657"/>
      <c r="K1213" s="657">
        <v>1350</v>
      </c>
      <c r="L1213" s="657">
        <f t="shared" ref="L1213" si="1058">K1213-I1213</f>
        <v>0</v>
      </c>
    </row>
    <row r="1214" spans="1:12">
      <c r="A1214" s="658"/>
      <c r="B1214" s="658"/>
      <c r="C1214" s="658"/>
      <c r="D1214" s="658"/>
      <c r="E1214" s="658"/>
      <c r="F1214" s="655"/>
      <c r="G1214" s="656"/>
      <c r="H1214" s="657"/>
      <c r="I1214" s="657"/>
      <c r="J1214" s="657"/>
      <c r="K1214" s="657"/>
      <c r="L1214" s="657"/>
    </row>
    <row r="1215" spans="1:12">
      <c r="A1215" s="674"/>
      <c r="B1215" s="674"/>
      <c r="C1215" s="674" t="s">
        <v>3517</v>
      </c>
      <c r="D1215" s="674" t="s">
        <v>3529</v>
      </c>
      <c r="E1215" s="674" t="s">
        <v>3514</v>
      </c>
      <c r="F1215" s="777"/>
      <c r="G1215" s="778"/>
      <c r="H1215" s="781">
        <v>600</v>
      </c>
      <c r="I1215" s="781">
        <f t="shared" ref="I1215" si="1059">H1215</f>
        <v>600</v>
      </c>
      <c r="J1215" s="781"/>
      <c r="K1215" s="781"/>
      <c r="L1215" s="781">
        <f t="shared" ref="L1215" si="1060">K1215-I1215</f>
        <v>-600</v>
      </c>
    </row>
    <row r="1216" spans="1:12">
      <c r="A1216" s="674"/>
      <c r="B1216" s="674"/>
      <c r="C1216" s="674"/>
      <c r="D1216" s="674"/>
      <c r="E1216" s="674"/>
      <c r="F1216" s="779"/>
      <c r="G1216" s="780"/>
      <c r="H1216" s="781"/>
      <c r="I1216" s="781"/>
      <c r="J1216" s="781"/>
      <c r="K1216" s="781"/>
      <c r="L1216" s="781"/>
    </row>
    <row r="1217" spans="1:12">
      <c r="A1217" s="658" t="s">
        <v>683</v>
      </c>
      <c r="B1217" s="658" t="s">
        <v>3281</v>
      </c>
      <c r="C1217" s="658" t="s">
        <v>3526</v>
      </c>
      <c r="D1217" s="658" t="s">
        <v>3527</v>
      </c>
      <c r="E1217" s="658" t="s">
        <v>239</v>
      </c>
      <c r="F1217" s="653"/>
      <c r="G1217" s="654"/>
      <c r="H1217" s="657">
        <v>1350</v>
      </c>
      <c r="I1217" s="657">
        <f t="shared" ref="I1217" si="1061">H1217</f>
        <v>1350</v>
      </c>
      <c r="J1217" s="657"/>
      <c r="K1217" s="657">
        <v>1350</v>
      </c>
      <c r="L1217" s="657">
        <f t="shared" ref="L1217" si="1062">K1217-I1217</f>
        <v>0</v>
      </c>
    </row>
    <row r="1218" spans="1:12">
      <c r="A1218" s="658"/>
      <c r="B1218" s="658"/>
      <c r="C1218" s="658"/>
      <c r="D1218" s="658"/>
      <c r="E1218" s="658"/>
      <c r="F1218" s="655"/>
      <c r="G1218" s="656"/>
      <c r="H1218" s="657"/>
      <c r="I1218" s="657"/>
      <c r="J1218" s="657"/>
      <c r="K1218" s="657"/>
      <c r="L1218" s="657"/>
    </row>
    <row r="1219" spans="1:12">
      <c r="A1219" s="658"/>
      <c r="B1219" s="658"/>
      <c r="C1219" s="658" t="s">
        <v>3531</v>
      </c>
      <c r="D1219" s="658" t="s">
        <v>3521</v>
      </c>
      <c r="E1219" s="658" t="s">
        <v>3515</v>
      </c>
      <c r="F1219" s="653"/>
      <c r="G1219" s="654"/>
      <c r="H1219" s="657">
        <v>320</v>
      </c>
      <c r="I1219" s="657">
        <f t="shared" ref="I1219" si="1063">H1219</f>
        <v>320</v>
      </c>
      <c r="J1219" s="657"/>
      <c r="K1219" s="657">
        <v>320</v>
      </c>
      <c r="L1219" s="657">
        <f t="shared" ref="L1219" si="1064">K1219-I1219</f>
        <v>0</v>
      </c>
    </row>
    <row r="1220" spans="1:12">
      <c r="A1220" s="658"/>
      <c r="B1220" s="658"/>
      <c r="C1220" s="658"/>
      <c r="D1220" s="658"/>
      <c r="E1220" s="658"/>
      <c r="F1220" s="655"/>
      <c r="G1220" s="656"/>
      <c r="H1220" s="657"/>
      <c r="I1220" s="657"/>
      <c r="J1220" s="657"/>
      <c r="K1220" s="657"/>
      <c r="L1220" s="657"/>
    </row>
    <row r="1221" spans="1:12">
      <c r="A1221" s="658"/>
      <c r="B1221" s="658"/>
      <c r="C1221" s="658" t="s">
        <v>3532</v>
      </c>
      <c r="D1221" s="658" t="s">
        <v>3521</v>
      </c>
      <c r="E1221" s="658" t="s">
        <v>3257</v>
      </c>
      <c r="F1221" s="653"/>
      <c r="G1221" s="654"/>
      <c r="H1221" s="657">
        <v>400</v>
      </c>
      <c r="I1221" s="657">
        <f t="shared" ref="I1221" si="1065">H1221</f>
        <v>400</v>
      </c>
      <c r="J1221" s="657"/>
      <c r="K1221" s="657">
        <v>400</v>
      </c>
      <c r="L1221" s="657">
        <f t="shared" ref="L1221" si="1066">K1221-I1221</f>
        <v>0</v>
      </c>
    </row>
    <row r="1222" spans="1:12">
      <c r="A1222" s="658"/>
      <c r="B1222" s="658"/>
      <c r="C1222" s="658"/>
      <c r="D1222" s="658"/>
      <c r="E1222" s="658"/>
      <c r="F1222" s="655"/>
      <c r="G1222" s="656"/>
      <c r="H1222" s="657"/>
      <c r="I1222" s="657"/>
      <c r="J1222" s="657"/>
      <c r="K1222" s="657"/>
      <c r="L1222" s="657"/>
    </row>
    <row r="1223" spans="1:12">
      <c r="A1223" s="658"/>
      <c r="B1223" s="658"/>
      <c r="C1223" s="658"/>
      <c r="D1223" s="658"/>
      <c r="E1223" s="691"/>
      <c r="F1223" s="653"/>
      <c r="G1223" s="654"/>
      <c r="H1223" s="657"/>
      <c r="I1223" s="657">
        <f t="shared" ref="I1223" si="1067">H1223</f>
        <v>0</v>
      </c>
      <c r="J1223" s="657"/>
      <c r="K1223" s="657"/>
      <c r="L1223" s="657">
        <f t="shared" ref="L1223" si="1068">K1223-I1223</f>
        <v>0</v>
      </c>
    </row>
    <row r="1224" spans="1:12">
      <c r="A1224" s="658"/>
      <c r="B1224" s="658"/>
      <c r="C1224" s="658"/>
      <c r="D1224" s="658"/>
      <c r="E1224" s="691"/>
      <c r="F1224" s="655"/>
      <c r="G1224" s="656"/>
      <c r="H1224" s="657"/>
      <c r="I1224" s="657"/>
      <c r="J1224" s="657"/>
      <c r="K1224" s="657"/>
      <c r="L1224" s="657"/>
    </row>
    <row r="1225" spans="1:12">
      <c r="A1225" s="658"/>
      <c r="B1225" s="658"/>
      <c r="C1225" s="658"/>
      <c r="D1225" s="658"/>
      <c r="E1225" s="691"/>
      <c r="F1225" s="653"/>
      <c r="G1225" s="654"/>
      <c r="H1225" s="657"/>
      <c r="I1225" s="657">
        <f t="shared" ref="I1225" si="1069">H1225</f>
        <v>0</v>
      </c>
      <c r="J1225" s="657"/>
      <c r="K1225" s="657"/>
      <c r="L1225" s="657">
        <f t="shared" ref="L1225" si="1070">K1225-I1225</f>
        <v>0</v>
      </c>
    </row>
    <row r="1226" spans="1:12">
      <c r="A1226" s="658"/>
      <c r="B1226" s="658"/>
      <c r="C1226" s="658"/>
      <c r="D1226" s="658"/>
      <c r="E1226" s="691"/>
      <c r="F1226" s="655"/>
      <c r="G1226" s="656"/>
      <c r="H1226" s="657"/>
      <c r="I1226" s="657"/>
      <c r="J1226" s="657"/>
      <c r="K1226" s="657"/>
      <c r="L1226" s="657"/>
    </row>
    <row r="1227" spans="1:12">
      <c r="A1227" s="658"/>
      <c r="B1227" s="658"/>
      <c r="C1227" s="658"/>
      <c r="D1227" s="658"/>
      <c r="E1227" s="691"/>
      <c r="F1227" s="653"/>
      <c r="G1227" s="654"/>
      <c r="H1227" s="657"/>
      <c r="I1227" s="657">
        <f t="shared" ref="I1227" si="1071">H1227</f>
        <v>0</v>
      </c>
      <c r="J1227" s="657"/>
      <c r="K1227" s="657"/>
      <c r="L1227" s="657">
        <f t="shared" ref="L1227" si="1072">K1227-I1227</f>
        <v>0</v>
      </c>
    </row>
    <row r="1228" spans="1:12">
      <c r="A1228" s="658"/>
      <c r="B1228" s="658"/>
      <c r="C1228" s="658"/>
      <c r="D1228" s="658"/>
      <c r="E1228" s="691"/>
      <c r="F1228" s="655"/>
      <c r="G1228" s="656"/>
      <c r="H1228" s="657"/>
      <c r="I1228" s="657"/>
      <c r="J1228" s="657"/>
      <c r="K1228" s="657"/>
      <c r="L1228" s="657"/>
    </row>
  </sheetData>
  <mergeCells count="6769">
    <mergeCell ref="A1155:A1156"/>
    <mergeCell ref="B1155:B1156"/>
    <mergeCell ref="C1155:C1156"/>
    <mergeCell ref="D1155:D1156"/>
    <mergeCell ref="E1155:E1156"/>
    <mergeCell ref="F1155:G1156"/>
    <mergeCell ref="H1155:H1156"/>
    <mergeCell ref="I1155:I1156"/>
    <mergeCell ref="J1155:J1156"/>
    <mergeCell ref="K1155:K1156"/>
    <mergeCell ref="L1155:L1156"/>
    <mergeCell ref="A1097:L1098"/>
    <mergeCell ref="A1149:A1150"/>
    <mergeCell ref="B1149:B1150"/>
    <mergeCell ref="C1149:C1150"/>
    <mergeCell ref="D1149:D1150"/>
    <mergeCell ref="E1149:E1150"/>
    <mergeCell ref="F1149:G1150"/>
    <mergeCell ref="H1149:H1150"/>
    <mergeCell ref="I1149:I1150"/>
    <mergeCell ref="J1149:J1150"/>
    <mergeCell ref="K1149:K1150"/>
    <mergeCell ref="L1149:L1150"/>
    <mergeCell ref="A1153:A1154"/>
    <mergeCell ref="B1153:B1154"/>
    <mergeCell ref="C1153:C1154"/>
    <mergeCell ref="D1153:D1154"/>
    <mergeCell ref="E1153:E1154"/>
    <mergeCell ref="F1153:G1154"/>
    <mergeCell ref="H1153:H1154"/>
    <mergeCell ref="I1153:I1154"/>
    <mergeCell ref="J1153:J1154"/>
    <mergeCell ref="K1153:K1154"/>
    <mergeCell ref="L1153:L1154"/>
    <mergeCell ref="A1145:A1146"/>
    <mergeCell ref="B1145:B1146"/>
    <mergeCell ref="C1145:C1146"/>
    <mergeCell ref="D1145:D1146"/>
    <mergeCell ref="E1145:E1146"/>
    <mergeCell ref="F1145:G1146"/>
    <mergeCell ref="H1145:H1146"/>
    <mergeCell ref="I1145:I1146"/>
    <mergeCell ref="J1145:J1146"/>
    <mergeCell ref="K1145:K1146"/>
    <mergeCell ref="L1145:L1146"/>
    <mergeCell ref="A1147:A1148"/>
    <mergeCell ref="B1147:B1148"/>
    <mergeCell ref="C1147:C1148"/>
    <mergeCell ref="D1147:D1148"/>
    <mergeCell ref="E1147:E1148"/>
    <mergeCell ref="F1147:G1148"/>
    <mergeCell ref="H1147:H1148"/>
    <mergeCell ref="I1147:I1148"/>
    <mergeCell ref="J1147:J1148"/>
    <mergeCell ref="K1147:K1148"/>
    <mergeCell ref="L1147:L1148"/>
    <mergeCell ref="A1151:A1152"/>
    <mergeCell ref="B1151:B1152"/>
    <mergeCell ref="C1151:C1152"/>
    <mergeCell ref="D1151:D1152"/>
    <mergeCell ref="E1151:E1152"/>
    <mergeCell ref="F1151:G1152"/>
    <mergeCell ref="H1151:H1152"/>
    <mergeCell ref="I1151:I1152"/>
    <mergeCell ref="A1141:A1142"/>
    <mergeCell ref="B1141:B1142"/>
    <mergeCell ref="D1141:D1142"/>
    <mergeCell ref="E1141:E1142"/>
    <mergeCell ref="F1141:G1142"/>
    <mergeCell ref="H1141:H1142"/>
    <mergeCell ref="I1141:I1142"/>
    <mergeCell ref="J1141:J1142"/>
    <mergeCell ref="K1141:K1142"/>
    <mergeCell ref="L1141:L1142"/>
    <mergeCell ref="A1143:A1144"/>
    <mergeCell ref="B1143:B1144"/>
    <mergeCell ref="C1143:C1144"/>
    <mergeCell ref="D1143:D1144"/>
    <mergeCell ref="E1143:E1144"/>
    <mergeCell ref="F1143:G1144"/>
    <mergeCell ref="H1143:H1144"/>
    <mergeCell ref="I1143:I1144"/>
    <mergeCell ref="J1143:J1144"/>
    <mergeCell ref="K1143:K1144"/>
    <mergeCell ref="L1143:L1144"/>
    <mergeCell ref="A1137:A1138"/>
    <mergeCell ref="B1137:B1138"/>
    <mergeCell ref="C1137:C1138"/>
    <mergeCell ref="D1137:D1138"/>
    <mergeCell ref="E1137:E1138"/>
    <mergeCell ref="F1137:G1138"/>
    <mergeCell ref="H1137:H1138"/>
    <mergeCell ref="I1137:I1138"/>
    <mergeCell ref="J1137:J1138"/>
    <mergeCell ref="K1137:K1138"/>
    <mergeCell ref="L1137:L1138"/>
    <mergeCell ref="A1139:A1140"/>
    <mergeCell ref="B1139:B1140"/>
    <mergeCell ref="C1139:C1140"/>
    <mergeCell ref="D1139:D1140"/>
    <mergeCell ref="E1139:E1140"/>
    <mergeCell ref="F1139:G1140"/>
    <mergeCell ref="H1139:H1140"/>
    <mergeCell ref="I1139:I1140"/>
    <mergeCell ref="J1139:J1140"/>
    <mergeCell ref="K1139:K1140"/>
    <mergeCell ref="L1139:L1140"/>
    <mergeCell ref="A1133:A1134"/>
    <mergeCell ref="B1133:B1134"/>
    <mergeCell ref="C1133:C1134"/>
    <mergeCell ref="D1133:D1134"/>
    <mergeCell ref="E1133:E1134"/>
    <mergeCell ref="F1133:G1134"/>
    <mergeCell ref="H1133:H1134"/>
    <mergeCell ref="I1133:I1134"/>
    <mergeCell ref="J1133:J1134"/>
    <mergeCell ref="K1133:K1134"/>
    <mergeCell ref="L1133:L1134"/>
    <mergeCell ref="A1135:A1136"/>
    <mergeCell ref="B1135:B1136"/>
    <mergeCell ref="C1135:C1136"/>
    <mergeCell ref="D1135:D1136"/>
    <mergeCell ref="E1135:E1136"/>
    <mergeCell ref="F1135:G1136"/>
    <mergeCell ref="H1135:H1136"/>
    <mergeCell ref="I1135:I1136"/>
    <mergeCell ref="J1135:J1136"/>
    <mergeCell ref="K1135:K1136"/>
    <mergeCell ref="L1135:L1136"/>
    <mergeCell ref="A1129:A1130"/>
    <mergeCell ref="B1129:B1130"/>
    <mergeCell ref="C1129:C1130"/>
    <mergeCell ref="D1129:D1130"/>
    <mergeCell ref="E1129:E1130"/>
    <mergeCell ref="F1129:G1130"/>
    <mergeCell ref="H1129:H1130"/>
    <mergeCell ref="I1129:I1130"/>
    <mergeCell ref="J1129:J1130"/>
    <mergeCell ref="K1129:K1130"/>
    <mergeCell ref="L1129:L1130"/>
    <mergeCell ref="A1131:A1132"/>
    <mergeCell ref="B1131:B1132"/>
    <mergeCell ref="C1131:C1132"/>
    <mergeCell ref="D1131:D1132"/>
    <mergeCell ref="E1131:E1132"/>
    <mergeCell ref="F1131:G1132"/>
    <mergeCell ref="H1131:H1132"/>
    <mergeCell ref="I1131:I1132"/>
    <mergeCell ref="J1131:J1132"/>
    <mergeCell ref="K1131:K1132"/>
    <mergeCell ref="L1131:L1132"/>
    <mergeCell ref="A1125:A1126"/>
    <mergeCell ref="B1125:B1126"/>
    <mergeCell ref="C1125:C1126"/>
    <mergeCell ref="D1125:D1126"/>
    <mergeCell ref="E1125:E1126"/>
    <mergeCell ref="F1125:G1126"/>
    <mergeCell ref="H1125:H1126"/>
    <mergeCell ref="I1125:I1126"/>
    <mergeCell ref="J1125:J1126"/>
    <mergeCell ref="K1125:K1126"/>
    <mergeCell ref="L1125:L1126"/>
    <mergeCell ref="A1127:A1128"/>
    <mergeCell ref="B1127:B1128"/>
    <mergeCell ref="C1127:C1128"/>
    <mergeCell ref="D1127:D1128"/>
    <mergeCell ref="E1127:E1128"/>
    <mergeCell ref="F1127:G1128"/>
    <mergeCell ref="H1127:H1128"/>
    <mergeCell ref="I1127:I1128"/>
    <mergeCell ref="J1127:J1128"/>
    <mergeCell ref="K1127:K1128"/>
    <mergeCell ref="L1127:L1128"/>
    <mergeCell ref="A1121:A1122"/>
    <mergeCell ref="B1121:B1122"/>
    <mergeCell ref="C1121:C1122"/>
    <mergeCell ref="D1121:D1122"/>
    <mergeCell ref="E1121:E1122"/>
    <mergeCell ref="F1121:G1122"/>
    <mergeCell ref="H1121:H1122"/>
    <mergeCell ref="I1121:I1122"/>
    <mergeCell ref="J1121:J1122"/>
    <mergeCell ref="K1121:K1122"/>
    <mergeCell ref="L1121:L1122"/>
    <mergeCell ref="A1123:A1124"/>
    <mergeCell ref="B1123:B1124"/>
    <mergeCell ref="C1123:C1124"/>
    <mergeCell ref="D1123:D1124"/>
    <mergeCell ref="E1123:E1124"/>
    <mergeCell ref="F1123:G1124"/>
    <mergeCell ref="H1123:H1124"/>
    <mergeCell ref="I1123:I1124"/>
    <mergeCell ref="J1123:J1124"/>
    <mergeCell ref="K1123:K1124"/>
    <mergeCell ref="L1123:L1124"/>
    <mergeCell ref="A1117:A1118"/>
    <mergeCell ref="B1117:B1118"/>
    <mergeCell ref="C1117:C1118"/>
    <mergeCell ref="D1117:D1118"/>
    <mergeCell ref="E1117:E1118"/>
    <mergeCell ref="F1117:G1118"/>
    <mergeCell ref="H1117:H1118"/>
    <mergeCell ref="I1117:I1118"/>
    <mergeCell ref="J1117:J1118"/>
    <mergeCell ref="K1117:K1118"/>
    <mergeCell ref="L1117:L1118"/>
    <mergeCell ref="A1119:A1120"/>
    <mergeCell ref="B1119:B1120"/>
    <mergeCell ref="C1119:C1120"/>
    <mergeCell ref="D1119:D1120"/>
    <mergeCell ref="E1119:E1120"/>
    <mergeCell ref="F1119:G1120"/>
    <mergeCell ref="H1119:H1120"/>
    <mergeCell ref="I1119:I1120"/>
    <mergeCell ref="J1119:J1120"/>
    <mergeCell ref="K1119:K1120"/>
    <mergeCell ref="L1119:L1120"/>
    <mergeCell ref="A1113:A1114"/>
    <mergeCell ref="B1113:B1114"/>
    <mergeCell ref="C1113:C1114"/>
    <mergeCell ref="D1113:D1114"/>
    <mergeCell ref="E1113:E1114"/>
    <mergeCell ref="F1113:G1114"/>
    <mergeCell ref="H1113:H1114"/>
    <mergeCell ref="I1113:I1114"/>
    <mergeCell ref="J1113:J1114"/>
    <mergeCell ref="K1113:K1114"/>
    <mergeCell ref="L1113:L1114"/>
    <mergeCell ref="A1115:A1116"/>
    <mergeCell ref="B1115:B1116"/>
    <mergeCell ref="C1115:C1116"/>
    <mergeCell ref="D1115:D1116"/>
    <mergeCell ref="E1115:E1116"/>
    <mergeCell ref="F1115:G1116"/>
    <mergeCell ref="H1115:H1116"/>
    <mergeCell ref="I1115:I1116"/>
    <mergeCell ref="J1115:J1116"/>
    <mergeCell ref="K1115:K1116"/>
    <mergeCell ref="L1115:L1116"/>
    <mergeCell ref="A1109:A1110"/>
    <mergeCell ref="B1109:B1110"/>
    <mergeCell ref="C1109:C1110"/>
    <mergeCell ref="D1109:D1110"/>
    <mergeCell ref="E1109:E1110"/>
    <mergeCell ref="F1109:G1110"/>
    <mergeCell ref="H1109:H1110"/>
    <mergeCell ref="I1109:I1110"/>
    <mergeCell ref="J1109:J1110"/>
    <mergeCell ref="K1109:K1110"/>
    <mergeCell ref="L1109:L1110"/>
    <mergeCell ref="A1111:A1112"/>
    <mergeCell ref="B1111:B1112"/>
    <mergeCell ref="C1111:C1112"/>
    <mergeCell ref="D1111:D1112"/>
    <mergeCell ref="E1111:E1112"/>
    <mergeCell ref="F1111:G1112"/>
    <mergeCell ref="H1111:H1112"/>
    <mergeCell ref="I1111:I1112"/>
    <mergeCell ref="J1111:J1112"/>
    <mergeCell ref="K1111:K1112"/>
    <mergeCell ref="L1111:L1112"/>
    <mergeCell ref="A1105:A1106"/>
    <mergeCell ref="B1105:B1106"/>
    <mergeCell ref="C1105:C1106"/>
    <mergeCell ref="D1105:D1106"/>
    <mergeCell ref="E1105:E1106"/>
    <mergeCell ref="F1105:G1106"/>
    <mergeCell ref="H1105:H1106"/>
    <mergeCell ref="I1105:I1106"/>
    <mergeCell ref="J1105:J1106"/>
    <mergeCell ref="K1105:K1106"/>
    <mergeCell ref="L1105:L1106"/>
    <mergeCell ref="A1107:A1108"/>
    <mergeCell ref="B1107:B1108"/>
    <mergeCell ref="C1107:C1108"/>
    <mergeCell ref="D1107:D1108"/>
    <mergeCell ref="E1107:E1108"/>
    <mergeCell ref="F1107:G1108"/>
    <mergeCell ref="H1107:H1108"/>
    <mergeCell ref="I1107:I1108"/>
    <mergeCell ref="J1107:J1108"/>
    <mergeCell ref="K1107:K1108"/>
    <mergeCell ref="L1107:L1108"/>
    <mergeCell ref="A1101:A1102"/>
    <mergeCell ref="B1101:B1102"/>
    <mergeCell ref="C1101:C1102"/>
    <mergeCell ref="D1101:D1102"/>
    <mergeCell ref="E1101:E1102"/>
    <mergeCell ref="F1101:G1102"/>
    <mergeCell ref="H1101:H1102"/>
    <mergeCell ref="I1101:I1102"/>
    <mergeCell ref="J1101:J1102"/>
    <mergeCell ref="K1101:K1102"/>
    <mergeCell ref="L1101:L1102"/>
    <mergeCell ref="A1103:A1104"/>
    <mergeCell ref="B1103:B1104"/>
    <mergeCell ref="C1103:C1104"/>
    <mergeCell ref="D1103:D1104"/>
    <mergeCell ref="E1103:E1104"/>
    <mergeCell ref="F1103:G1104"/>
    <mergeCell ref="H1103:H1104"/>
    <mergeCell ref="I1103:I1104"/>
    <mergeCell ref="J1103:J1104"/>
    <mergeCell ref="K1103:K1104"/>
    <mergeCell ref="L1103:L1104"/>
    <mergeCell ref="A1095:A1096"/>
    <mergeCell ref="B1095:B1096"/>
    <mergeCell ref="C1095:C1096"/>
    <mergeCell ref="D1095:D1096"/>
    <mergeCell ref="E1095:E1096"/>
    <mergeCell ref="F1095:G1096"/>
    <mergeCell ref="H1095:H1096"/>
    <mergeCell ref="I1095:I1096"/>
    <mergeCell ref="J1095:J1096"/>
    <mergeCell ref="K1095:K1096"/>
    <mergeCell ref="L1095:L1096"/>
    <mergeCell ref="A1099:A1100"/>
    <mergeCell ref="B1099:B1100"/>
    <mergeCell ref="C1099:C1100"/>
    <mergeCell ref="D1099:D1100"/>
    <mergeCell ref="E1099:E1100"/>
    <mergeCell ref="F1099:G1100"/>
    <mergeCell ref="H1099:H1100"/>
    <mergeCell ref="I1099:I1100"/>
    <mergeCell ref="J1099:J1100"/>
    <mergeCell ref="K1099:K1100"/>
    <mergeCell ref="L1099:L1100"/>
    <mergeCell ref="A1091:A1092"/>
    <mergeCell ref="B1091:B1092"/>
    <mergeCell ref="C1091:C1092"/>
    <mergeCell ref="D1091:D1092"/>
    <mergeCell ref="E1091:E1092"/>
    <mergeCell ref="F1091:G1092"/>
    <mergeCell ref="H1091:H1092"/>
    <mergeCell ref="I1091:I1092"/>
    <mergeCell ref="J1091:J1092"/>
    <mergeCell ref="K1091:K1092"/>
    <mergeCell ref="L1091:L1092"/>
    <mergeCell ref="A1093:A1094"/>
    <mergeCell ref="B1093:B1094"/>
    <mergeCell ref="C1093:C1094"/>
    <mergeCell ref="D1093:D1094"/>
    <mergeCell ref="E1093:E1094"/>
    <mergeCell ref="F1093:G1094"/>
    <mergeCell ref="H1093:H1094"/>
    <mergeCell ref="I1093:I1094"/>
    <mergeCell ref="J1093:J1094"/>
    <mergeCell ref="K1093:K1094"/>
    <mergeCell ref="L1093:L1094"/>
    <mergeCell ref="A1087:A1088"/>
    <mergeCell ref="B1087:B1088"/>
    <mergeCell ref="C1087:C1088"/>
    <mergeCell ref="D1087:D1088"/>
    <mergeCell ref="E1087:E1088"/>
    <mergeCell ref="F1087:G1088"/>
    <mergeCell ref="H1087:H1088"/>
    <mergeCell ref="I1087:I1088"/>
    <mergeCell ref="J1087:J1088"/>
    <mergeCell ref="K1087:K1088"/>
    <mergeCell ref="L1087:L1088"/>
    <mergeCell ref="A1089:A1090"/>
    <mergeCell ref="B1089:B1090"/>
    <mergeCell ref="C1089:C1090"/>
    <mergeCell ref="D1089:D1090"/>
    <mergeCell ref="E1089:E1090"/>
    <mergeCell ref="F1089:G1090"/>
    <mergeCell ref="H1089:H1090"/>
    <mergeCell ref="I1089:I1090"/>
    <mergeCell ref="J1089:J1090"/>
    <mergeCell ref="K1089:K1090"/>
    <mergeCell ref="L1089:L1090"/>
    <mergeCell ref="A1083:A1084"/>
    <mergeCell ref="B1083:B1084"/>
    <mergeCell ref="C1083:C1084"/>
    <mergeCell ref="D1083:D1084"/>
    <mergeCell ref="E1083:E1084"/>
    <mergeCell ref="F1083:G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F1085:G1086"/>
    <mergeCell ref="H1085:H1086"/>
    <mergeCell ref="I1085:I1086"/>
    <mergeCell ref="J1085:J1086"/>
    <mergeCell ref="K1085:K1086"/>
    <mergeCell ref="L1085:L1086"/>
    <mergeCell ref="A1079:A1080"/>
    <mergeCell ref="B1079:B1080"/>
    <mergeCell ref="C1079:C1080"/>
    <mergeCell ref="D1079:D1080"/>
    <mergeCell ref="E1079:E1080"/>
    <mergeCell ref="F1079:G1080"/>
    <mergeCell ref="H1079:H1080"/>
    <mergeCell ref="I1079:I1080"/>
    <mergeCell ref="J1079:J1080"/>
    <mergeCell ref="K1079:K1080"/>
    <mergeCell ref="L1079:L1080"/>
    <mergeCell ref="A1081:A1082"/>
    <mergeCell ref="B1081:B1082"/>
    <mergeCell ref="C1081:C1082"/>
    <mergeCell ref="D1081:D1082"/>
    <mergeCell ref="E1081:E1082"/>
    <mergeCell ref="F1081:G1082"/>
    <mergeCell ref="H1081:H1082"/>
    <mergeCell ref="I1081:I1082"/>
    <mergeCell ref="J1081:J1082"/>
    <mergeCell ref="K1081:K1082"/>
    <mergeCell ref="L1081:L1082"/>
    <mergeCell ref="A1075:A1076"/>
    <mergeCell ref="B1075:B1076"/>
    <mergeCell ref="C1075:C1076"/>
    <mergeCell ref="D1075:D1076"/>
    <mergeCell ref="E1075:E1076"/>
    <mergeCell ref="F1075:G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G1078"/>
    <mergeCell ref="H1077:H1078"/>
    <mergeCell ref="I1077:I1078"/>
    <mergeCell ref="J1077:J1078"/>
    <mergeCell ref="K1077:K1078"/>
    <mergeCell ref="L1077:L1078"/>
    <mergeCell ref="A1071:A1072"/>
    <mergeCell ref="B1071:B1072"/>
    <mergeCell ref="C1071:C1072"/>
    <mergeCell ref="D1071:D1072"/>
    <mergeCell ref="E1071:E1072"/>
    <mergeCell ref="F1071:G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G1074"/>
    <mergeCell ref="H1073:H1074"/>
    <mergeCell ref="I1073:I1074"/>
    <mergeCell ref="J1073:J1074"/>
    <mergeCell ref="K1073:K1074"/>
    <mergeCell ref="L1073:L1074"/>
    <mergeCell ref="A1067:A1068"/>
    <mergeCell ref="B1067:B1068"/>
    <mergeCell ref="C1067:C1068"/>
    <mergeCell ref="D1067:D1068"/>
    <mergeCell ref="E1067:E1068"/>
    <mergeCell ref="F1067:G1068"/>
    <mergeCell ref="H1067:H1068"/>
    <mergeCell ref="I1067:I1068"/>
    <mergeCell ref="J1067:J1068"/>
    <mergeCell ref="K1067:K1068"/>
    <mergeCell ref="L1067:L1068"/>
    <mergeCell ref="A1069:A1070"/>
    <mergeCell ref="B1069:B1070"/>
    <mergeCell ref="C1069:C1070"/>
    <mergeCell ref="D1069:D1070"/>
    <mergeCell ref="E1069:E1070"/>
    <mergeCell ref="F1069:G1070"/>
    <mergeCell ref="H1069:H1070"/>
    <mergeCell ref="I1069:I1070"/>
    <mergeCell ref="J1069:J1070"/>
    <mergeCell ref="K1069:K1070"/>
    <mergeCell ref="L1069:L1070"/>
    <mergeCell ref="A1063:A1064"/>
    <mergeCell ref="B1063:B1064"/>
    <mergeCell ref="C1063:C1064"/>
    <mergeCell ref="D1063:D1064"/>
    <mergeCell ref="E1063:E1064"/>
    <mergeCell ref="F1063:G1064"/>
    <mergeCell ref="H1063:H1064"/>
    <mergeCell ref="I1063:I1064"/>
    <mergeCell ref="J1063:J1064"/>
    <mergeCell ref="K1063:K1064"/>
    <mergeCell ref="L1063:L1064"/>
    <mergeCell ref="A1065:A1066"/>
    <mergeCell ref="B1065:B1066"/>
    <mergeCell ref="C1065:C1066"/>
    <mergeCell ref="D1065:D1066"/>
    <mergeCell ref="E1065:E1066"/>
    <mergeCell ref="F1065:G1066"/>
    <mergeCell ref="H1065:H1066"/>
    <mergeCell ref="I1065:I1066"/>
    <mergeCell ref="J1065:J1066"/>
    <mergeCell ref="K1065:K1066"/>
    <mergeCell ref="L1065:L1066"/>
    <mergeCell ref="A1059:A1060"/>
    <mergeCell ref="B1059:B1060"/>
    <mergeCell ref="C1059:C1060"/>
    <mergeCell ref="D1059:D1060"/>
    <mergeCell ref="E1059:E1060"/>
    <mergeCell ref="F1059:G1060"/>
    <mergeCell ref="H1059:H1060"/>
    <mergeCell ref="I1059:I1060"/>
    <mergeCell ref="J1059:J1060"/>
    <mergeCell ref="K1059:K1060"/>
    <mergeCell ref="L1059:L1060"/>
    <mergeCell ref="A1061:A1062"/>
    <mergeCell ref="B1061:B1062"/>
    <mergeCell ref="C1061:C1062"/>
    <mergeCell ref="D1061:D1062"/>
    <mergeCell ref="E1061:E1062"/>
    <mergeCell ref="F1061:G1062"/>
    <mergeCell ref="H1061:H1062"/>
    <mergeCell ref="I1061:I1062"/>
    <mergeCell ref="J1061:J1062"/>
    <mergeCell ref="K1061:K1062"/>
    <mergeCell ref="L1061:L1062"/>
    <mergeCell ref="A967:A968"/>
    <mergeCell ref="B967:B968"/>
    <mergeCell ref="C967:C968"/>
    <mergeCell ref="D967:D968"/>
    <mergeCell ref="E967:E968"/>
    <mergeCell ref="F967:G968"/>
    <mergeCell ref="H967:H968"/>
    <mergeCell ref="I967:I968"/>
    <mergeCell ref="J967:J968"/>
    <mergeCell ref="K967:K968"/>
    <mergeCell ref="L967:L968"/>
    <mergeCell ref="A755:L756"/>
    <mergeCell ref="L779:L780"/>
    <mergeCell ref="A589:A590"/>
    <mergeCell ref="B589:B590"/>
    <mergeCell ref="C589:C590"/>
    <mergeCell ref="D589:D590"/>
    <mergeCell ref="E589:E590"/>
    <mergeCell ref="F589:G590"/>
    <mergeCell ref="H589:H590"/>
    <mergeCell ref="I589:I590"/>
    <mergeCell ref="J589:J590"/>
    <mergeCell ref="K589:K590"/>
    <mergeCell ref="L589:L590"/>
    <mergeCell ref="A591:A592"/>
    <mergeCell ref="B591:B592"/>
    <mergeCell ref="C591:C592"/>
    <mergeCell ref="D591:D592"/>
    <mergeCell ref="E591:E592"/>
    <mergeCell ref="F591:G592"/>
    <mergeCell ref="H591:H592"/>
    <mergeCell ref="I591:I592"/>
    <mergeCell ref="A531:L532"/>
    <mergeCell ref="L293:L294"/>
    <mergeCell ref="M265:M266"/>
    <mergeCell ref="M267:M268"/>
    <mergeCell ref="M269:M270"/>
    <mergeCell ref="M271:M272"/>
    <mergeCell ref="M273:M274"/>
    <mergeCell ref="M275:M276"/>
    <mergeCell ref="M277:M278"/>
    <mergeCell ref="M279:M280"/>
    <mergeCell ref="M281:M282"/>
    <mergeCell ref="K267:K268"/>
    <mergeCell ref="L267:L268"/>
    <mergeCell ref="A269:A270"/>
    <mergeCell ref="B269:B270"/>
    <mergeCell ref="C269:C270"/>
    <mergeCell ref="D269:D270"/>
    <mergeCell ref="E269:E270"/>
    <mergeCell ref="F269:G270"/>
    <mergeCell ref="H269:H270"/>
    <mergeCell ref="I269:I270"/>
    <mergeCell ref="J269:J270"/>
    <mergeCell ref="K269:K270"/>
    <mergeCell ref="L269:L270"/>
    <mergeCell ref="A267:A268"/>
    <mergeCell ref="B267:B268"/>
    <mergeCell ref="C267:C268"/>
    <mergeCell ref="D267:D268"/>
    <mergeCell ref="E267:E268"/>
    <mergeCell ref="F267:G268"/>
    <mergeCell ref="H267:H268"/>
    <mergeCell ref="I267:I268"/>
    <mergeCell ref="J267:J268"/>
    <mergeCell ref="M229:M230"/>
    <mergeCell ref="M231:M232"/>
    <mergeCell ref="M233:M234"/>
    <mergeCell ref="M235:M236"/>
    <mergeCell ref="M237:M238"/>
    <mergeCell ref="M239:M240"/>
    <mergeCell ref="M241:M242"/>
    <mergeCell ref="M245:M246"/>
    <mergeCell ref="M247:M248"/>
    <mergeCell ref="M249:M250"/>
    <mergeCell ref="M251:M252"/>
    <mergeCell ref="M253:M254"/>
    <mergeCell ref="M255:M256"/>
    <mergeCell ref="M257:M258"/>
    <mergeCell ref="M259:M260"/>
    <mergeCell ref="M261:M262"/>
    <mergeCell ref="L259:L260"/>
    <mergeCell ref="K263:K264"/>
    <mergeCell ref="M263:M264"/>
    <mergeCell ref="K247:K248"/>
    <mergeCell ref="L247:L248"/>
    <mergeCell ref="K251:K252"/>
    <mergeCell ref="L251:L252"/>
    <mergeCell ref="K255:K256"/>
    <mergeCell ref="L255:L256"/>
    <mergeCell ref="K259:K260"/>
    <mergeCell ref="D231:D232"/>
    <mergeCell ref="E231:E232"/>
    <mergeCell ref="F231:G232"/>
    <mergeCell ref="H231:H232"/>
    <mergeCell ref="I231:I232"/>
    <mergeCell ref="J231:J232"/>
    <mergeCell ref="K231:K232"/>
    <mergeCell ref="L231:L232"/>
    <mergeCell ref="D229:D230"/>
    <mergeCell ref="E229:E230"/>
    <mergeCell ref="F229:G230"/>
    <mergeCell ref="H229:H230"/>
    <mergeCell ref="I229:I230"/>
    <mergeCell ref="J229:J230"/>
    <mergeCell ref="K233:K234"/>
    <mergeCell ref="L233:L234"/>
    <mergeCell ref="D239:D240"/>
    <mergeCell ref="E239:E240"/>
    <mergeCell ref="F239:G240"/>
    <mergeCell ref="H239:H240"/>
    <mergeCell ref="I239:I240"/>
    <mergeCell ref="J239:J240"/>
    <mergeCell ref="K239:K240"/>
    <mergeCell ref="L239:L240"/>
    <mergeCell ref="K229:K230"/>
    <mergeCell ref="L229:L230"/>
    <mergeCell ref="I235:I236"/>
    <mergeCell ref="J235:J236"/>
    <mergeCell ref="K235:K236"/>
    <mergeCell ref="L235:L236"/>
    <mergeCell ref="K237:K238"/>
    <mergeCell ref="L237:L238"/>
    <mergeCell ref="A231:A232"/>
    <mergeCell ref="B231:B232"/>
    <mergeCell ref="C231:C232"/>
    <mergeCell ref="A233:A234"/>
    <mergeCell ref="B233:B234"/>
    <mergeCell ref="C233:C234"/>
    <mergeCell ref="D233:D234"/>
    <mergeCell ref="E233:E234"/>
    <mergeCell ref="F233:G234"/>
    <mergeCell ref="H233:H234"/>
    <mergeCell ref="I233:I234"/>
    <mergeCell ref="J233:J234"/>
    <mergeCell ref="A229:A230"/>
    <mergeCell ref="B229:B230"/>
    <mergeCell ref="C229:C230"/>
    <mergeCell ref="C239:C240"/>
    <mergeCell ref="K133:K134"/>
    <mergeCell ref="A161:A162"/>
    <mergeCell ref="B161:B162"/>
    <mergeCell ref="C161:C162"/>
    <mergeCell ref="D161:D162"/>
    <mergeCell ref="E161:E162"/>
    <mergeCell ref="F161:G162"/>
    <mergeCell ref="H161:H162"/>
    <mergeCell ref="I161:I162"/>
    <mergeCell ref="J161:J162"/>
    <mergeCell ref="K161:K162"/>
    <mergeCell ref="K153:K154"/>
    <mergeCell ref="K149:K150"/>
    <mergeCell ref="K143:K144"/>
    <mergeCell ref="K139:K140"/>
    <mergeCell ref="K135:K136"/>
    <mergeCell ref="L133:L134"/>
    <mergeCell ref="A43:A44"/>
    <mergeCell ref="B43:B44"/>
    <mergeCell ref="C43:C44"/>
    <mergeCell ref="D43:D44"/>
    <mergeCell ref="E43:E44"/>
    <mergeCell ref="F43:G44"/>
    <mergeCell ref="H43:H44"/>
    <mergeCell ref="I43:I44"/>
    <mergeCell ref="J43:J44"/>
    <mergeCell ref="K43:K44"/>
    <mergeCell ref="L43:L44"/>
    <mergeCell ref="A133:A134"/>
    <mergeCell ref="B133:B134"/>
    <mergeCell ref="C133:C134"/>
    <mergeCell ref="D133:D134"/>
    <mergeCell ref="E133:E134"/>
    <mergeCell ref="F133:G134"/>
    <mergeCell ref="H133:H134"/>
    <mergeCell ref="I133:I134"/>
    <mergeCell ref="J133:J134"/>
    <mergeCell ref="K129:K130"/>
    <mergeCell ref="L129:L130"/>
    <mergeCell ref="K131:K132"/>
    <mergeCell ref="L131:L132"/>
    <mergeCell ref="A129:A130"/>
    <mergeCell ref="B129:B130"/>
    <mergeCell ref="C129:C130"/>
    <mergeCell ref="D129:D130"/>
    <mergeCell ref="E129:E130"/>
    <mergeCell ref="F129:G130"/>
    <mergeCell ref="A49:A50"/>
    <mergeCell ref="L161:L162"/>
    <mergeCell ref="K157:K158"/>
    <mergeCell ref="L157:L158"/>
    <mergeCell ref="A159:A160"/>
    <mergeCell ref="B159:B160"/>
    <mergeCell ref="C159:C160"/>
    <mergeCell ref="D159:D160"/>
    <mergeCell ref="E159:E160"/>
    <mergeCell ref="F159:G160"/>
    <mergeCell ref="H159:H160"/>
    <mergeCell ref="I159:I160"/>
    <mergeCell ref="J159:J160"/>
    <mergeCell ref="K159:K160"/>
    <mergeCell ref="L159:L160"/>
    <mergeCell ref="A157:A158"/>
    <mergeCell ref="B157:B158"/>
    <mergeCell ref="C157:C158"/>
    <mergeCell ref="D157:D158"/>
    <mergeCell ref="E157:E158"/>
    <mergeCell ref="F157:G158"/>
    <mergeCell ref="H157:H158"/>
    <mergeCell ref="I157:I158"/>
    <mergeCell ref="J157:J158"/>
    <mergeCell ref="B49:B50"/>
    <mergeCell ref="C49:C50"/>
    <mergeCell ref="D49:D50"/>
    <mergeCell ref="E49:E50"/>
    <mergeCell ref="F49:G50"/>
    <mergeCell ref="H49:H50"/>
    <mergeCell ref="I49:I50"/>
    <mergeCell ref="J49:J50"/>
    <mergeCell ref="K49:K50"/>
    <mergeCell ref="L49:L50"/>
    <mergeCell ref="A51:A52"/>
    <mergeCell ref="B51:B52"/>
    <mergeCell ref="C51:C52"/>
    <mergeCell ref="D51:D52"/>
    <mergeCell ref="E51:E52"/>
    <mergeCell ref="F51:G52"/>
    <mergeCell ref="H51:H52"/>
    <mergeCell ref="I51:I52"/>
    <mergeCell ref="J51:J52"/>
    <mergeCell ref="K51:K52"/>
    <mergeCell ref="L153:L154"/>
    <mergeCell ref="A155:A156"/>
    <mergeCell ref="B155:B156"/>
    <mergeCell ref="C155:C156"/>
    <mergeCell ref="D155:D156"/>
    <mergeCell ref="E155:E156"/>
    <mergeCell ref="F155:G156"/>
    <mergeCell ref="H155:H156"/>
    <mergeCell ref="I155:I156"/>
    <mergeCell ref="J155:J156"/>
    <mergeCell ref="K155:K156"/>
    <mergeCell ref="L155:L156"/>
    <mergeCell ref="A153:A154"/>
    <mergeCell ref="B153:B154"/>
    <mergeCell ref="C153:C154"/>
    <mergeCell ref="D153:D154"/>
    <mergeCell ref="E153:E154"/>
    <mergeCell ref="F153:G154"/>
    <mergeCell ref="H153:H154"/>
    <mergeCell ref="I153:I154"/>
    <mergeCell ref="J153:J154"/>
    <mergeCell ref="L149:L150"/>
    <mergeCell ref="A151:A152"/>
    <mergeCell ref="B151:B152"/>
    <mergeCell ref="C151:C152"/>
    <mergeCell ref="D151:D152"/>
    <mergeCell ref="E151:E152"/>
    <mergeCell ref="F151:G152"/>
    <mergeCell ref="H151:H152"/>
    <mergeCell ref="I151:I152"/>
    <mergeCell ref="J151:J152"/>
    <mergeCell ref="K151:K152"/>
    <mergeCell ref="L151:L152"/>
    <mergeCell ref="A149:A150"/>
    <mergeCell ref="B149:B150"/>
    <mergeCell ref="C149:C150"/>
    <mergeCell ref="D149:D150"/>
    <mergeCell ref="E149:E150"/>
    <mergeCell ref="F149:G150"/>
    <mergeCell ref="H149:H150"/>
    <mergeCell ref="I149:I150"/>
    <mergeCell ref="J149:J150"/>
    <mergeCell ref="L143:L144"/>
    <mergeCell ref="A147:A148"/>
    <mergeCell ref="B147:B148"/>
    <mergeCell ref="C147:C148"/>
    <mergeCell ref="D147:D148"/>
    <mergeCell ref="E147:E148"/>
    <mergeCell ref="F147:G148"/>
    <mergeCell ref="H147:H148"/>
    <mergeCell ref="I147:I148"/>
    <mergeCell ref="J147:J148"/>
    <mergeCell ref="K147:K148"/>
    <mergeCell ref="L147:L148"/>
    <mergeCell ref="A143:A144"/>
    <mergeCell ref="B143:B144"/>
    <mergeCell ref="C143:C144"/>
    <mergeCell ref="D143:D144"/>
    <mergeCell ref="E143:E144"/>
    <mergeCell ref="F143:G144"/>
    <mergeCell ref="H143:H144"/>
    <mergeCell ref="I143:I144"/>
    <mergeCell ref="J143:J144"/>
    <mergeCell ref="A145:L146"/>
    <mergeCell ref="L139:L140"/>
    <mergeCell ref="A141:A142"/>
    <mergeCell ref="B141:B142"/>
    <mergeCell ref="C141:C142"/>
    <mergeCell ref="D141:D142"/>
    <mergeCell ref="E141:E142"/>
    <mergeCell ref="F141:G142"/>
    <mergeCell ref="H141:H142"/>
    <mergeCell ref="I141:I142"/>
    <mergeCell ref="J141:J142"/>
    <mergeCell ref="K141:K142"/>
    <mergeCell ref="L141:L142"/>
    <mergeCell ref="A139:A140"/>
    <mergeCell ref="B139:B140"/>
    <mergeCell ref="C139:C140"/>
    <mergeCell ref="D139:D140"/>
    <mergeCell ref="E139:E140"/>
    <mergeCell ref="F139:G140"/>
    <mergeCell ref="H139:H140"/>
    <mergeCell ref="I139:I140"/>
    <mergeCell ref="J139:J140"/>
    <mergeCell ref="L135:L136"/>
    <mergeCell ref="A137:A138"/>
    <mergeCell ref="B137:B138"/>
    <mergeCell ref="C137:C138"/>
    <mergeCell ref="D137:D138"/>
    <mergeCell ref="E137:E138"/>
    <mergeCell ref="F137:G138"/>
    <mergeCell ref="H137:H138"/>
    <mergeCell ref="I137:I138"/>
    <mergeCell ref="J137:J138"/>
    <mergeCell ref="K137:K138"/>
    <mergeCell ref="L137:L138"/>
    <mergeCell ref="A135:A136"/>
    <mergeCell ref="B135:B136"/>
    <mergeCell ref="C135:C136"/>
    <mergeCell ref="D135:D136"/>
    <mergeCell ref="E135:E136"/>
    <mergeCell ref="F135:G136"/>
    <mergeCell ref="H135:H136"/>
    <mergeCell ref="I135:I136"/>
    <mergeCell ref="J135:J136"/>
    <mergeCell ref="H129:H130"/>
    <mergeCell ref="I129:I130"/>
    <mergeCell ref="J129:J130"/>
    <mergeCell ref="A131:A132"/>
    <mergeCell ref="B131:B132"/>
    <mergeCell ref="C131:C132"/>
    <mergeCell ref="D131:D132"/>
    <mergeCell ref="E131:E132"/>
    <mergeCell ref="F131:G132"/>
    <mergeCell ref="H131:H132"/>
    <mergeCell ref="I131:I132"/>
    <mergeCell ref="J131:J132"/>
    <mergeCell ref="K125:K126"/>
    <mergeCell ref="L125:L126"/>
    <mergeCell ref="A127:A128"/>
    <mergeCell ref="B127:B128"/>
    <mergeCell ref="C127:C128"/>
    <mergeCell ref="D127:D128"/>
    <mergeCell ref="E127:E128"/>
    <mergeCell ref="F127:G128"/>
    <mergeCell ref="H127:H128"/>
    <mergeCell ref="I127:I128"/>
    <mergeCell ref="J127:J128"/>
    <mergeCell ref="K127:K128"/>
    <mergeCell ref="L127:L128"/>
    <mergeCell ref="A125:A126"/>
    <mergeCell ref="B125:B126"/>
    <mergeCell ref="C125:C126"/>
    <mergeCell ref="D125:D126"/>
    <mergeCell ref="E125:E126"/>
    <mergeCell ref="F125:G126"/>
    <mergeCell ref="H125:H126"/>
    <mergeCell ref="I125:I126"/>
    <mergeCell ref="J125:J126"/>
    <mergeCell ref="K121:K122"/>
    <mergeCell ref="L121:L122"/>
    <mergeCell ref="A123:A124"/>
    <mergeCell ref="B123:B124"/>
    <mergeCell ref="C123:C124"/>
    <mergeCell ref="D123:D124"/>
    <mergeCell ref="E123:E124"/>
    <mergeCell ref="F123:G124"/>
    <mergeCell ref="H123:H124"/>
    <mergeCell ref="I123:I124"/>
    <mergeCell ref="J123:J124"/>
    <mergeCell ref="K123:K124"/>
    <mergeCell ref="L123:L124"/>
    <mergeCell ref="A121:A122"/>
    <mergeCell ref="B121:B122"/>
    <mergeCell ref="C121:C122"/>
    <mergeCell ref="D121:D122"/>
    <mergeCell ref="E121:E122"/>
    <mergeCell ref="F121:G122"/>
    <mergeCell ref="H121:H122"/>
    <mergeCell ref="I121:I122"/>
    <mergeCell ref="J121:J122"/>
    <mergeCell ref="K117:K118"/>
    <mergeCell ref="L117:L118"/>
    <mergeCell ref="A119:A120"/>
    <mergeCell ref="B119:B120"/>
    <mergeCell ref="C119:C120"/>
    <mergeCell ref="D119:D120"/>
    <mergeCell ref="E119:E120"/>
    <mergeCell ref="F119:G120"/>
    <mergeCell ref="H119:H120"/>
    <mergeCell ref="I119:I120"/>
    <mergeCell ref="J119:J120"/>
    <mergeCell ref="K119:K120"/>
    <mergeCell ref="L119:L120"/>
    <mergeCell ref="A117:A118"/>
    <mergeCell ref="B117:B118"/>
    <mergeCell ref="C117:C118"/>
    <mergeCell ref="D117:D118"/>
    <mergeCell ref="E117:E118"/>
    <mergeCell ref="F117:G118"/>
    <mergeCell ref="H117:H118"/>
    <mergeCell ref="I117:I118"/>
    <mergeCell ref="J117:J118"/>
    <mergeCell ref="K113:K114"/>
    <mergeCell ref="L113:L114"/>
    <mergeCell ref="A115:A116"/>
    <mergeCell ref="B115:B116"/>
    <mergeCell ref="C115:C116"/>
    <mergeCell ref="D115:D116"/>
    <mergeCell ref="E115:E116"/>
    <mergeCell ref="F115:G116"/>
    <mergeCell ref="H115:H116"/>
    <mergeCell ref="I115:I116"/>
    <mergeCell ref="J115:J116"/>
    <mergeCell ref="K115:K116"/>
    <mergeCell ref="L115:L116"/>
    <mergeCell ref="A113:A114"/>
    <mergeCell ref="B113:B114"/>
    <mergeCell ref="C113:C114"/>
    <mergeCell ref="D113:D114"/>
    <mergeCell ref="E113:E114"/>
    <mergeCell ref="F113:G114"/>
    <mergeCell ref="H113:H114"/>
    <mergeCell ref="I113:I114"/>
    <mergeCell ref="J113:J114"/>
    <mergeCell ref="K109:K110"/>
    <mergeCell ref="L109:L110"/>
    <mergeCell ref="A111:A112"/>
    <mergeCell ref="B111:B112"/>
    <mergeCell ref="C111:C112"/>
    <mergeCell ref="D111:D112"/>
    <mergeCell ref="E111:E112"/>
    <mergeCell ref="F111:G112"/>
    <mergeCell ref="H111:H112"/>
    <mergeCell ref="I111:I112"/>
    <mergeCell ref="J111:J112"/>
    <mergeCell ref="K111:K112"/>
    <mergeCell ref="L111:L112"/>
    <mergeCell ref="A109:A110"/>
    <mergeCell ref="B109:B110"/>
    <mergeCell ref="C109:C110"/>
    <mergeCell ref="D109:D110"/>
    <mergeCell ref="E109:E110"/>
    <mergeCell ref="F109:G110"/>
    <mergeCell ref="H109:H110"/>
    <mergeCell ref="I109:I110"/>
    <mergeCell ref="J109:J110"/>
    <mergeCell ref="K105:K106"/>
    <mergeCell ref="L105:L106"/>
    <mergeCell ref="A107:A108"/>
    <mergeCell ref="B107:B108"/>
    <mergeCell ref="C107:C108"/>
    <mergeCell ref="D107:D108"/>
    <mergeCell ref="E107:E108"/>
    <mergeCell ref="F107:G108"/>
    <mergeCell ref="H107:H108"/>
    <mergeCell ref="I107:I108"/>
    <mergeCell ref="J107:J108"/>
    <mergeCell ref="K107:K108"/>
    <mergeCell ref="L107:L108"/>
    <mergeCell ref="A105:A106"/>
    <mergeCell ref="B105:B106"/>
    <mergeCell ref="C105:C106"/>
    <mergeCell ref="D105:D106"/>
    <mergeCell ref="E105:E106"/>
    <mergeCell ref="F105:G106"/>
    <mergeCell ref="H105:H106"/>
    <mergeCell ref="I105:I106"/>
    <mergeCell ref="J105:J106"/>
    <mergeCell ref="K101:K102"/>
    <mergeCell ref="L101:L102"/>
    <mergeCell ref="A103:A104"/>
    <mergeCell ref="B103:B104"/>
    <mergeCell ref="C103:C104"/>
    <mergeCell ref="D103:D104"/>
    <mergeCell ref="E103:E104"/>
    <mergeCell ref="F103:G104"/>
    <mergeCell ref="H103:H104"/>
    <mergeCell ref="I103:I104"/>
    <mergeCell ref="J103:J104"/>
    <mergeCell ref="K103:K104"/>
    <mergeCell ref="L103:L104"/>
    <mergeCell ref="A101:A102"/>
    <mergeCell ref="B101:B102"/>
    <mergeCell ref="C101:C102"/>
    <mergeCell ref="D101:D102"/>
    <mergeCell ref="E101:E102"/>
    <mergeCell ref="F101:G102"/>
    <mergeCell ref="H101:H102"/>
    <mergeCell ref="I101:I102"/>
    <mergeCell ref="J101:J102"/>
    <mergeCell ref="K97:K98"/>
    <mergeCell ref="L97:L98"/>
    <mergeCell ref="A99:A100"/>
    <mergeCell ref="B99:B100"/>
    <mergeCell ref="C99:C100"/>
    <mergeCell ref="D99:D100"/>
    <mergeCell ref="E99:E100"/>
    <mergeCell ref="F99:G100"/>
    <mergeCell ref="H99:H100"/>
    <mergeCell ref="I99:I100"/>
    <mergeCell ref="J99:J100"/>
    <mergeCell ref="K99:K100"/>
    <mergeCell ref="L99:L100"/>
    <mergeCell ref="A97:A98"/>
    <mergeCell ref="B97:B98"/>
    <mergeCell ref="C97:C98"/>
    <mergeCell ref="D97:D98"/>
    <mergeCell ref="E97:E98"/>
    <mergeCell ref="F97:G98"/>
    <mergeCell ref="H97:H98"/>
    <mergeCell ref="I97:I98"/>
    <mergeCell ref="J97:J98"/>
    <mergeCell ref="K93:K94"/>
    <mergeCell ref="L93:L94"/>
    <mergeCell ref="A95:A96"/>
    <mergeCell ref="B95:B96"/>
    <mergeCell ref="C95:C96"/>
    <mergeCell ref="D95:D96"/>
    <mergeCell ref="E95:E96"/>
    <mergeCell ref="F95:G96"/>
    <mergeCell ref="H95:H96"/>
    <mergeCell ref="I95:I96"/>
    <mergeCell ref="J95:J96"/>
    <mergeCell ref="K95:K96"/>
    <mergeCell ref="L95:L96"/>
    <mergeCell ref="A93:A94"/>
    <mergeCell ref="B93:B94"/>
    <mergeCell ref="C93:C94"/>
    <mergeCell ref="D93:D94"/>
    <mergeCell ref="E93:E94"/>
    <mergeCell ref="F93:G94"/>
    <mergeCell ref="H93:H94"/>
    <mergeCell ref="I93:I94"/>
    <mergeCell ref="J93:J94"/>
    <mergeCell ref="K89:K90"/>
    <mergeCell ref="L89:L90"/>
    <mergeCell ref="A91:A92"/>
    <mergeCell ref="B91:B92"/>
    <mergeCell ref="C91:C92"/>
    <mergeCell ref="D91:D92"/>
    <mergeCell ref="E91:E92"/>
    <mergeCell ref="F91:G92"/>
    <mergeCell ref="H91:H92"/>
    <mergeCell ref="I91:I92"/>
    <mergeCell ref="J91:J92"/>
    <mergeCell ref="K91:K92"/>
    <mergeCell ref="L91:L92"/>
    <mergeCell ref="A89:A90"/>
    <mergeCell ref="B89:B90"/>
    <mergeCell ref="C89:C90"/>
    <mergeCell ref="D89:D90"/>
    <mergeCell ref="E89:E90"/>
    <mergeCell ref="F89:G90"/>
    <mergeCell ref="H89:H90"/>
    <mergeCell ref="I89:I90"/>
    <mergeCell ref="J89:J90"/>
    <mergeCell ref="K85:K86"/>
    <mergeCell ref="L85:L86"/>
    <mergeCell ref="A87:A88"/>
    <mergeCell ref="B87:B88"/>
    <mergeCell ref="C87:C88"/>
    <mergeCell ref="D87:D88"/>
    <mergeCell ref="E87:E88"/>
    <mergeCell ref="F87:G88"/>
    <mergeCell ref="H87:H88"/>
    <mergeCell ref="I87:I88"/>
    <mergeCell ref="J87:J88"/>
    <mergeCell ref="K87:K88"/>
    <mergeCell ref="L87:L88"/>
    <mergeCell ref="A85:A86"/>
    <mergeCell ref="B85:B86"/>
    <mergeCell ref="C85:C86"/>
    <mergeCell ref="D85:D86"/>
    <mergeCell ref="E85:E86"/>
    <mergeCell ref="F85:G86"/>
    <mergeCell ref="H85:H86"/>
    <mergeCell ref="I85:I86"/>
    <mergeCell ref="J85:J86"/>
    <mergeCell ref="K81:K82"/>
    <mergeCell ref="L81:L82"/>
    <mergeCell ref="A83:A84"/>
    <mergeCell ref="B83:B84"/>
    <mergeCell ref="C83:C84"/>
    <mergeCell ref="D83:D84"/>
    <mergeCell ref="E83:E84"/>
    <mergeCell ref="F83:G84"/>
    <mergeCell ref="H83:H84"/>
    <mergeCell ref="I83:I84"/>
    <mergeCell ref="J83:J84"/>
    <mergeCell ref="K83:K84"/>
    <mergeCell ref="L83:L84"/>
    <mergeCell ref="A81:A82"/>
    <mergeCell ref="B81:B82"/>
    <mergeCell ref="C81:C82"/>
    <mergeCell ref="D81:D82"/>
    <mergeCell ref="E81:E82"/>
    <mergeCell ref="F81:G82"/>
    <mergeCell ref="H81:H82"/>
    <mergeCell ref="I81:I82"/>
    <mergeCell ref="J81:J82"/>
    <mergeCell ref="K77:K78"/>
    <mergeCell ref="L77:L78"/>
    <mergeCell ref="A79:A80"/>
    <mergeCell ref="B79:B80"/>
    <mergeCell ref="C79:C80"/>
    <mergeCell ref="D79:D80"/>
    <mergeCell ref="E79:E80"/>
    <mergeCell ref="F79:G80"/>
    <mergeCell ref="H79:H80"/>
    <mergeCell ref="I79:I80"/>
    <mergeCell ref="J79:J80"/>
    <mergeCell ref="K79:K80"/>
    <mergeCell ref="L79:L80"/>
    <mergeCell ref="A77:A78"/>
    <mergeCell ref="B77:B78"/>
    <mergeCell ref="C77:C78"/>
    <mergeCell ref="D77:D78"/>
    <mergeCell ref="E77:E78"/>
    <mergeCell ref="F77:G78"/>
    <mergeCell ref="H77:H78"/>
    <mergeCell ref="I77:I78"/>
    <mergeCell ref="J77:J78"/>
    <mergeCell ref="K73:K74"/>
    <mergeCell ref="L73:L74"/>
    <mergeCell ref="A75:A76"/>
    <mergeCell ref="B75:B76"/>
    <mergeCell ref="C75:C76"/>
    <mergeCell ref="D75:D76"/>
    <mergeCell ref="E75:E76"/>
    <mergeCell ref="F75:G76"/>
    <mergeCell ref="H75:H76"/>
    <mergeCell ref="I75:I76"/>
    <mergeCell ref="J75:J76"/>
    <mergeCell ref="K75:K76"/>
    <mergeCell ref="L75:L76"/>
    <mergeCell ref="A73:A74"/>
    <mergeCell ref="B73:B74"/>
    <mergeCell ref="C73:C74"/>
    <mergeCell ref="D73:D74"/>
    <mergeCell ref="E73:E74"/>
    <mergeCell ref="F73:G74"/>
    <mergeCell ref="H73:H74"/>
    <mergeCell ref="I73:I74"/>
    <mergeCell ref="J73:J74"/>
    <mergeCell ref="K69:K70"/>
    <mergeCell ref="L69:L70"/>
    <mergeCell ref="A71:A72"/>
    <mergeCell ref="B71:B72"/>
    <mergeCell ref="C71:C72"/>
    <mergeCell ref="D71:D72"/>
    <mergeCell ref="E71:E72"/>
    <mergeCell ref="F71:G72"/>
    <mergeCell ref="H71:H72"/>
    <mergeCell ref="I71:I72"/>
    <mergeCell ref="J71:J72"/>
    <mergeCell ref="K71:K72"/>
    <mergeCell ref="L71:L72"/>
    <mergeCell ref="A69:A70"/>
    <mergeCell ref="B69:B70"/>
    <mergeCell ref="C69:C70"/>
    <mergeCell ref="D69:D70"/>
    <mergeCell ref="E69:E70"/>
    <mergeCell ref="F69:G70"/>
    <mergeCell ref="H69:H70"/>
    <mergeCell ref="I69:I70"/>
    <mergeCell ref="J69:J70"/>
    <mergeCell ref="K65:K66"/>
    <mergeCell ref="L65:L66"/>
    <mergeCell ref="A67:A68"/>
    <mergeCell ref="B67:B68"/>
    <mergeCell ref="C67:C68"/>
    <mergeCell ref="D67:D68"/>
    <mergeCell ref="E67:E68"/>
    <mergeCell ref="F67:G68"/>
    <mergeCell ref="H67:H68"/>
    <mergeCell ref="I67:I68"/>
    <mergeCell ref="J67:J68"/>
    <mergeCell ref="K67:K68"/>
    <mergeCell ref="L67:L68"/>
    <mergeCell ref="A65:A66"/>
    <mergeCell ref="B65:B66"/>
    <mergeCell ref="C65:C66"/>
    <mergeCell ref="D65:D66"/>
    <mergeCell ref="E65:E66"/>
    <mergeCell ref="F65:G66"/>
    <mergeCell ref="H65:H66"/>
    <mergeCell ref="I65:I66"/>
    <mergeCell ref="J65:J66"/>
    <mergeCell ref="K61:K62"/>
    <mergeCell ref="L61:L62"/>
    <mergeCell ref="A63:A64"/>
    <mergeCell ref="B63:B64"/>
    <mergeCell ref="C63:C64"/>
    <mergeCell ref="D63:D64"/>
    <mergeCell ref="E63:E64"/>
    <mergeCell ref="F63:G64"/>
    <mergeCell ref="H63:H64"/>
    <mergeCell ref="I63:I64"/>
    <mergeCell ref="J63:J64"/>
    <mergeCell ref="K63:K64"/>
    <mergeCell ref="L63:L64"/>
    <mergeCell ref="A61:A62"/>
    <mergeCell ref="B61:B62"/>
    <mergeCell ref="C61:C62"/>
    <mergeCell ref="D61:D62"/>
    <mergeCell ref="E61:E62"/>
    <mergeCell ref="F61:G62"/>
    <mergeCell ref="H61:H62"/>
    <mergeCell ref="I61:I62"/>
    <mergeCell ref="J61:J62"/>
    <mergeCell ref="A1:L2"/>
    <mergeCell ref="A53:A54"/>
    <mergeCell ref="B53:B54"/>
    <mergeCell ref="C53:C54"/>
    <mergeCell ref="D53:D54"/>
    <mergeCell ref="E53:E54"/>
    <mergeCell ref="F53:G54"/>
    <mergeCell ref="F47:G48"/>
    <mergeCell ref="H47:H48"/>
    <mergeCell ref="I47:I48"/>
    <mergeCell ref="J47:J48"/>
    <mergeCell ref="K47:K48"/>
    <mergeCell ref="L47:L48"/>
    <mergeCell ref="H45:H46"/>
    <mergeCell ref="I45:I46"/>
    <mergeCell ref="J45:J46"/>
    <mergeCell ref="K45:K46"/>
    <mergeCell ref="L45:L46"/>
    <mergeCell ref="A47:A48"/>
    <mergeCell ref="A41:A42"/>
    <mergeCell ref="B41:B42"/>
    <mergeCell ref="C41:C42"/>
    <mergeCell ref="D41:D42"/>
    <mergeCell ref="E41:E42"/>
    <mergeCell ref="L41:L42"/>
    <mergeCell ref="F45:G46"/>
    <mergeCell ref="L51:L52"/>
    <mergeCell ref="A37:A38"/>
    <mergeCell ref="B37:B38"/>
    <mergeCell ref="C37:C38"/>
    <mergeCell ref="D37:D38"/>
    <mergeCell ref="E37:E38"/>
    <mergeCell ref="I39:I40"/>
    <mergeCell ref="J39:J40"/>
    <mergeCell ref="K39:K40"/>
    <mergeCell ref="L39:L40"/>
    <mergeCell ref="F39:G40"/>
    <mergeCell ref="H53:H54"/>
    <mergeCell ref="I53:I54"/>
    <mergeCell ref="J53:J54"/>
    <mergeCell ref="K53:K54"/>
    <mergeCell ref="L53:L54"/>
    <mergeCell ref="K55:K56"/>
    <mergeCell ref="L55:L56"/>
    <mergeCell ref="F41:G42"/>
    <mergeCell ref="H41:H42"/>
    <mergeCell ref="I41:I42"/>
    <mergeCell ref="J41:J42"/>
    <mergeCell ref="K41:K42"/>
    <mergeCell ref="F55:G56"/>
    <mergeCell ref="H55:H56"/>
    <mergeCell ref="I55:I56"/>
    <mergeCell ref="J55:J56"/>
    <mergeCell ref="A59:A60"/>
    <mergeCell ref="B59:B60"/>
    <mergeCell ref="C59:C60"/>
    <mergeCell ref="D59:D60"/>
    <mergeCell ref="E59:E60"/>
    <mergeCell ref="A39:A40"/>
    <mergeCell ref="B39:B40"/>
    <mergeCell ref="C39:C40"/>
    <mergeCell ref="D39:D40"/>
    <mergeCell ref="E39:E40"/>
    <mergeCell ref="B47:B48"/>
    <mergeCell ref="C47:C48"/>
    <mergeCell ref="D47:D48"/>
    <mergeCell ref="E47:E48"/>
    <mergeCell ref="A45:A46"/>
    <mergeCell ref="B45:B46"/>
    <mergeCell ref="C45:C46"/>
    <mergeCell ref="D45:D46"/>
    <mergeCell ref="E45:E46"/>
    <mergeCell ref="A55:A56"/>
    <mergeCell ref="B55:B56"/>
    <mergeCell ref="C55:C56"/>
    <mergeCell ref="D55:D56"/>
    <mergeCell ref="E55:E56"/>
    <mergeCell ref="A57:L58"/>
    <mergeCell ref="F59:G60"/>
    <mergeCell ref="H59:H60"/>
    <mergeCell ref="I59:I60"/>
    <mergeCell ref="J59:J60"/>
    <mergeCell ref="K59:K60"/>
    <mergeCell ref="L59:L60"/>
    <mergeCell ref="H39:H40"/>
    <mergeCell ref="A35:A36"/>
    <mergeCell ref="B35:B36"/>
    <mergeCell ref="C35:C36"/>
    <mergeCell ref="D35:D36"/>
    <mergeCell ref="E35:E36"/>
    <mergeCell ref="F37:G38"/>
    <mergeCell ref="H37:H38"/>
    <mergeCell ref="I37:I38"/>
    <mergeCell ref="J37:J38"/>
    <mergeCell ref="K37:K38"/>
    <mergeCell ref="L37:L38"/>
    <mergeCell ref="H35:H36"/>
    <mergeCell ref="I35:I36"/>
    <mergeCell ref="J35:J36"/>
    <mergeCell ref="K35:K36"/>
    <mergeCell ref="L35:L36"/>
    <mergeCell ref="F35:G36"/>
    <mergeCell ref="H33:H34"/>
    <mergeCell ref="I33:I34"/>
    <mergeCell ref="J33:J34"/>
    <mergeCell ref="K33:K34"/>
    <mergeCell ref="L33:L34"/>
    <mergeCell ref="H29:H30"/>
    <mergeCell ref="I29:I30"/>
    <mergeCell ref="J29:J30"/>
    <mergeCell ref="K29:K30"/>
    <mergeCell ref="L29:L30"/>
    <mergeCell ref="F29:G30"/>
    <mergeCell ref="F31:G32"/>
    <mergeCell ref="H31:H32"/>
    <mergeCell ref="I31:I32"/>
    <mergeCell ref="J31:J32"/>
    <mergeCell ref="K31:K32"/>
    <mergeCell ref="L31:L32"/>
    <mergeCell ref="F25:G26"/>
    <mergeCell ref="A33:A34"/>
    <mergeCell ref="B33:B34"/>
    <mergeCell ref="C33:C34"/>
    <mergeCell ref="D33:D34"/>
    <mergeCell ref="E33:E34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F33:G34"/>
    <mergeCell ref="A23:A24"/>
    <mergeCell ref="B23:B24"/>
    <mergeCell ref="C23:C24"/>
    <mergeCell ref="D23:D24"/>
    <mergeCell ref="E23:E24"/>
    <mergeCell ref="F23:G24"/>
    <mergeCell ref="H23:H24"/>
    <mergeCell ref="I23:I24"/>
    <mergeCell ref="J23:J24"/>
    <mergeCell ref="K23:K24"/>
    <mergeCell ref="L23:L24"/>
    <mergeCell ref="A27:A28"/>
    <mergeCell ref="B27:B28"/>
    <mergeCell ref="C27:C28"/>
    <mergeCell ref="D27:D28"/>
    <mergeCell ref="E27:E28"/>
    <mergeCell ref="A25:A26"/>
    <mergeCell ref="B25:B26"/>
    <mergeCell ref="C25:C26"/>
    <mergeCell ref="D25:D26"/>
    <mergeCell ref="E25:E26"/>
    <mergeCell ref="F27:G28"/>
    <mergeCell ref="H27:H28"/>
    <mergeCell ref="I27:I28"/>
    <mergeCell ref="J27:J28"/>
    <mergeCell ref="K27:K28"/>
    <mergeCell ref="L27:L28"/>
    <mergeCell ref="H25:H26"/>
    <mergeCell ref="I25:I26"/>
    <mergeCell ref="J25:J26"/>
    <mergeCell ref="K25:K26"/>
    <mergeCell ref="L25:L26"/>
    <mergeCell ref="F15:G16"/>
    <mergeCell ref="A21:A22"/>
    <mergeCell ref="B21:B22"/>
    <mergeCell ref="C21:C22"/>
    <mergeCell ref="D21:D22"/>
    <mergeCell ref="E21:E22"/>
    <mergeCell ref="A19:A20"/>
    <mergeCell ref="B19:B20"/>
    <mergeCell ref="C19:C20"/>
    <mergeCell ref="D19:D20"/>
    <mergeCell ref="E19:E20"/>
    <mergeCell ref="F21:G22"/>
    <mergeCell ref="H21:H22"/>
    <mergeCell ref="I21:I22"/>
    <mergeCell ref="J21:J22"/>
    <mergeCell ref="K21:K22"/>
    <mergeCell ref="L21:L22"/>
    <mergeCell ref="H19:H20"/>
    <mergeCell ref="I19:I20"/>
    <mergeCell ref="J19:J20"/>
    <mergeCell ref="K19:K20"/>
    <mergeCell ref="L19:L20"/>
    <mergeCell ref="F19:G20"/>
    <mergeCell ref="A13:A14"/>
    <mergeCell ref="B13:B14"/>
    <mergeCell ref="C13:C14"/>
    <mergeCell ref="D13:D14"/>
    <mergeCell ref="E13:E14"/>
    <mergeCell ref="F13:G14"/>
    <mergeCell ref="H13:H14"/>
    <mergeCell ref="I13:I14"/>
    <mergeCell ref="J13:J14"/>
    <mergeCell ref="K13:K14"/>
    <mergeCell ref="L13:L14"/>
    <mergeCell ref="A17:A18"/>
    <mergeCell ref="B17:B18"/>
    <mergeCell ref="C17:C18"/>
    <mergeCell ref="D17:D18"/>
    <mergeCell ref="E17:E18"/>
    <mergeCell ref="A15:A16"/>
    <mergeCell ref="B15:B16"/>
    <mergeCell ref="C15:C16"/>
    <mergeCell ref="D15:D16"/>
    <mergeCell ref="E15:E16"/>
    <mergeCell ref="F17:G18"/>
    <mergeCell ref="H17:H18"/>
    <mergeCell ref="I17:I18"/>
    <mergeCell ref="J17:J18"/>
    <mergeCell ref="K17:K18"/>
    <mergeCell ref="L17:L18"/>
    <mergeCell ref="H15:H16"/>
    <mergeCell ref="I15:I16"/>
    <mergeCell ref="J15:J16"/>
    <mergeCell ref="K15:K16"/>
    <mergeCell ref="L15:L16"/>
    <mergeCell ref="F5:G6"/>
    <mergeCell ref="A11:A12"/>
    <mergeCell ref="B11:B12"/>
    <mergeCell ref="C11:C12"/>
    <mergeCell ref="D11:D12"/>
    <mergeCell ref="E11:E12"/>
    <mergeCell ref="A9:A10"/>
    <mergeCell ref="B9:B10"/>
    <mergeCell ref="C9:C10"/>
    <mergeCell ref="D9:D10"/>
    <mergeCell ref="E9:E10"/>
    <mergeCell ref="F11:G12"/>
    <mergeCell ref="H11:H12"/>
    <mergeCell ref="I11:I12"/>
    <mergeCell ref="J11:J12"/>
    <mergeCell ref="K11:K12"/>
    <mergeCell ref="L11:L12"/>
    <mergeCell ref="H9:H10"/>
    <mergeCell ref="I9:I10"/>
    <mergeCell ref="J9:J10"/>
    <mergeCell ref="K9:K10"/>
    <mergeCell ref="L9:L10"/>
    <mergeCell ref="F9:G10"/>
    <mergeCell ref="F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A7:A8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F7:G8"/>
    <mergeCell ref="H7:H8"/>
    <mergeCell ref="I7:I8"/>
    <mergeCell ref="J7:J8"/>
    <mergeCell ref="K7:K8"/>
    <mergeCell ref="L7:L8"/>
    <mergeCell ref="H5:H6"/>
    <mergeCell ref="I5:I6"/>
    <mergeCell ref="J5:J6"/>
    <mergeCell ref="K5:K6"/>
    <mergeCell ref="L5:L6"/>
    <mergeCell ref="K163:K164"/>
    <mergeCell ref="L163:L164"/>
    <mergeCell ref="A165:A166"/>
    <mergeCell ref="B165:B166"/>
    <mergeCell ref="C165:C166"/>
    <mergeCell ref="D165:D166"/>
    <mergeCell ref="E165:E166"/>
    <mergeCell ref="F165:G166"/>
    <mergeCell ref="H165:H166"/>
    <mergeCell ref="I165:I166"/>
    <mergeCell ref="J165:J166"/>
    <mergeCell ref="K165:K166"/>
    <mergeCell ref="L165:L166"/>
    <mergeCell ref="A163:A164"/>
    <mergeCell ref="B163:B164"/>
    <mergeCell ref="C163:C164"/>
    <mergeCell ref="D163:D164"/>
    <mergeCell ref="E163:E164"/>
    <mergeCell ref="F163:G164"/>
    <mergeCell ref="H163:H164"/>
    <mergeCell ref="I163:I164"/>
    <mergeCell ref="J163:J164"/>
    <mergeCell ref="K167:K168"/>
    <mergeCell ref="L167:L168"/>
    <mergeCell ref="A169:A170"/>
    <mergeCell ref="B169:B170"/>
    <mergeCell ref="C169:C170"/>
    <mergeCell ref="D169:D170"/>
    <mergeCell ref="E169:E170"/>
    <mergeCell ref="F169:G170"/>
    <mergeCell ref="H169:H170"/>
    <mergeCell ref="I169:I170"/>
    <mergeCell ref="J169:J170"/>
    <mergeCell ref="K169:K170"/>
    <mergeCell ref="L169:L170"/>
    <mergeCell ref="A167:A168"/>
    <mergeCell ref="B167:B168"/>
    <mergeCell ref="C167:C168"/>
    <mergeCell ref="D167:D168"/>
    <mergeCell ref="E167:E168"/>
    <mergeCell ref="F167:G168"/>
    <mergeCell ref="H167:H168"/>
    <mergeCell ref="I167:I168"/>
    <mergeCell ref="J167:J168"/>
    <mergeCell ref="K171:K172"/>
    <mergeCell ref="L171:L172"/>
    <mergeCell ref="A173:A174"/>
    <mergeCell ref="B173:B174"/>
    <mergeCell ref="C173:C174"/>
    <mergeCell ref="D173:D174"/>
    <mergeCell ref="E173:E174"/>
    <mergeCell ref="F173:G174"/>
    <mergeCell ref="H173:H174"/>
    <mergeCell ref="I173:I174"/>
    <mergeCell ref="J173:J174"/>
    <mergeCell ref="K173:K174"/>
    <mergeCell ref="L173:L174"/>
    <mergeCell ref="A171:A172"/>
    <mergeCell ref="B171:B172"/>
    <mergeCell ref="C171:C172"/>
    <mergeCell ref="D171:D172"/>
    <mergeCell ref="E171:E172"/>
    <mergeCell ref="F171:G172"/>
    <mergeCell ref="H171:H172"/>
    <mergeCell ref="I171:I172"/>
    <mergeCell ref="J171:J172"/>
    <mergeCell ref="K175:K176"/>
    <mergeCell ref="L175:L176"/>
    <mergeCell ref="A177:A178"/>
    <mergeCell ref="B177:B178"/>
    <mergeCell ref="C177:C178"/>
    <mergeCell ref="D177:D178"/>
    <mergeCell ref="E177:E178"/>
    <mergeCell ref="F177:G178"/>
    <mergeCell ref="H177:H178"/>
    <mergeCell ref="I177:I178"/>
    <mergeCell ref="J177:J178"/>
    <mergeCell ref="K177:K178"/>
    <mergeCell ref="L177:L178"/>
    <mergeCell ref="A175:A176"/>
    <mergeCell ref="B175:B176"/>
    <mergeCell ref="C175:C176"/>
    <mergeCell ref="D175:D176"/>
    <mergeCell ref="E175:E176"/>
    <mergeCell ref="F175:G176"/>
    <mergeCell ref="H175:H176"/>
    <mergeCell ref="I175:I176"/>
    <mergeCell ref="J175:J176"/>
    <mergeCell ref="K179:K180"/>
    <mergeCell ref="L179:L180"/>
    <mergeCell ref="A181:A182"/>
    <mergeCell ref="B181:B182"/>
    <mergeCell ref="C181:C182"/>
    <mergeCell ref="D181:D182"/>
    <mergeCell ref="E181:E182"/>
    <mergeCell ref="F181:G182"/>
    <mergeCell ref="H181:H182"/>
    <mergeCell ref="I181:I182"/>
    <mergeCell ref="J181:J182"/>
    <mergeCell ref="K181:K182"/>
    <mergeCell ref="L181:L182"/>
    <mergeCell ref="A179:A180"/>
    <mergeCell ref="B179:B180"/>
    <mergeCell ref="C179:C180"/>
    <mergeCell ref="D179:D180"/>
    <mergeCell ref="E179:E180"/>
    <mergeCell ref="F179:G180"/>
    <mergeCell ref="H179:H180"/>
    <mergeCell ref="I179:I180"/>
    <mergeCell ref="J179:J180"/>
    <mergeCell ref="K183:K184"/>
    <mergeCell ref="L183:L184"/>
    <mergeCell ref="A185:A186"/>
    <mergeCell ref="B185:B186"/>
    <mergeCell ref="C185:C186"/>
    <mergeCell ref="D185:D186"/>
    <mergeCell ref="E185:E186"/>
    <mergeCell ref="F185:G186"/>
    <mergeCell ref="H185:H186"/>
    <mergeCell ref="I185:I186"/>
    <mergeCell ref="J185:J186"/>
    <mergeCell ref="K185:K186"/>
    <mergeCell ref="L185:L186"/>
    <mergeCell ref="A183:A184"/>
    <mergeCell ref="B183:B184"/>
    <mergeCell ref="C183:C184"/>
    <mergeCell ref="D183:D184"/>
    <mergeCell ref="E183:E184"/>
    <mergeCell ref="F183:G184"/>
    <mergeCell ref="H183:H184"/>
    <mergeCell ref="I183:I184"/>
    <mergeCell ref="J183:J184"/>
    <mergeCell ref="K187:K188"/>
    <mergeCell ref="L187:L188"/>
    <mergeCell ref="A189:A190"/>
    <mergeCell ref="B189:B190"/>
    <mergeCell ref="C189:C190"/>
    <mergeCell ref="D189:D190"/>
    <mergeCell ref="E189:E190"/>
    <mergeCell ref="F189:G190"/>
    <mergeCell ref="H189:H190"/>
    <mergeCell ref="I189:I190"/>
    <mergeCell ref="J189:J190"/>
    <mergeCell ref="K189:K190"/>
    <mergeCell ref="L189:L190"/>
    <mergeCell ref="A187:A188"/>
    <mergeCell ref="B187:B188"/>
    <mergeCell ref="C187:C188"/>
    <mergeCell ref="D187:D188"/>
    <mergeCell ref="E187:E188"/>
    <mergeCell ref="F187:G188"/>
    <mergeCell ref="H187:H188"/>
    <mergeCell ref="I187:I188"/>
    <mergeCell ref="J187:J188"/>
    <mergeCell ref="K191:K192"/>
    <mergeCell ref="L191:L192"/>
    <mergeCell ref="A193:A194"/>
    <mergeCell ref="B193:B194"/>
    <mergeCell ref="C193:C194"/>
    <mergeCell ref="D193:D194"/>
    <mergeCell ref="E193:E194"/>
    <mergeCell ref="F193:G194"/>
    <mergeCell ref="H193:H194"/>
    <mergeCell ref="I193:I194"/>
    <mergeCell ref="J193:J194"/>
    <mergeCell ref="K193:K194"/>
    <mergeCell ref="L193:L194"/>
    <mergeCell ref="A191:A192"/>
    <mergeCell ref="B191:B192"/>
    <mergeCell ref="C191:C192"/>
    <mergeCell ref="D191:D192"/>
    <mergeCell ref="E191:E192"/>
    <mergeCell ref="F191:G192"/>
    <mergeCell ref="H191:H192"/>
    <mergeCell ref="I191:I192"/>
    <mergeCell ref="J191:J192"/>
    <mergeCell ref="K195:K196"/>
    <mergeCell ref="L195:L196"/>
    <mergeCell ref="A197:A198"/>
    <mergeCell ref="B197:B198"/>
    <mergeCell ref="C197:C198"/>
    <mergeCell ref="D197:D198"/>
    <mergeCell ref="E197:E198"/>
    <mergeCell ref="F197:G198"/>
    <mergeCell ref="H197:H198"/>
    <mergeCell ref="I197:I198"/>
    <mergeCell ref="J197:J198"/>
    <mergeCell ref="K197:K198"/>
    <mergeCell ref="L197:L198"/>
    <mergeCell ref="A195:A196"/>
    <mergeCell ref="B195:B196"/>
    <mergeCell ref="C195:C196"/>
    <mergeCell ref="D195:D196"/>
    <mergeCell ref="E195:E196"/>
    <mergeCell ref="F195:G196"/>
    <mergeCell ref="H195:H196"/>
    <mergeCell ref="I195:I196"/>
    <mergeCell ref="J195:J196"/>
    <mergeCell ref="K201:K202"/>
    <mergeCell ref="L201:L202"/>
    <mergeCell ref="A203:A204"/>
    <mergeCell ref="B203:B204"/>
    <mergeCell ref="C203:C204"/>
    <mergeCell ref="D203:D204"/>
    <mergeCell ref="E203:E204"/>
    <mergeCell ref="F203:G204"/>
    <mergeCell ref="H203:H204"/>
    <mergeCell ref="I203:I204"/>
    <mergeCell ref="J203:J204"/>
    <mergeCell ref="K203:K204"/>
    <mergeCell ref="L203:L204"/>
    <mergeCell ref="A201:A202"/>
    <mergeCell ref="B201:B202"/>
    <mergeCell ref="C201:C202"/>
    <mergeCell ref="D201:D202"/>
    <mergeCell ref="E201:E202"/>
    <mergeCell ref="F201:G202"/>
    <mergeCell ref="H201:H202"/>
    <mergeCell ref="I201:I202"/>
    <mergeCell ref="J201:J202"/>
    <mergeCell ref="K205:K206"/>
    <mergeCell ref="L205:L206"/>
    <mergeCell ref="A207:A208"/>
    <mergeCell ref="B207:B208"/>
    <mergeCell ref="C207:C208"/>
    <mergeCell ref="D207:D208"/>
    <mergeCell ref="E207:E208"/>
    <mergeCell ref="F207:G208"/>
    <mergeCell ref="H207:H208"/>
    <mergeCell ref="I207:I208"/>
    <mergeCell ref="J207:J208"/>
    <mergeCell ref="K207:K208"/>
    <mergeCell ref="L207:L208"/>
    <mergeCell ref="A205:A206"/>
    <mergeCell ref="B205:B206"/>
    <mergeCell ref="C205:C206"/>
    <mergeCell ref="D205:D206"/>
    <mergeCell ref="E205:E206"/>
    <mergeCell ref="F205:G206"/>
    <mergeCell ref="H205:H206"/>
    <mergeCell ref="I205:I206"/>
    <mergeCell ref="J205:J206"/>
    <mergeCell ref="A213:A214"/>
    <mergeCell ref="B213:B214"/>
    <mergeCell ref="C213:C214"/>
    <mergeCell ref="D213:D214"/>
    <mergeCell ref="E213:E214"/>
    <mergeCell ref="F213:G214"/>
    <mergeCell ref="H213:H214"/>
    <mergeCell ref="I213:I214"/>
    <mergeCell ref="J213:J214"/>
    <mergeCell ref="K209:K210"/>
    <mergeCell ref="L209:L210"/>
    <mergeCell ref="A211:A212"/>
    <mergeCell ref="B211:B212"/>
    <mergeCell ref="C211:C212"/>
    <mergeCell ref="D211:D212"/>
    <mergeCell ref="E211:E212"/>
    <mergeCell ref="F211:G212"/>
    <mergeCell ref="H211:H212"/>
    <mergeCell ref="I211:I212"/>
    <mergeCell ref="J211:J212"/>
    <mergeCell ref="K211:K212"/>
    <mergeCell ref="L211:L212"/>
    <mergeCell ref="A209:A210"/>
    <mergeCell ref="B209:B210"/>
    <mergeCell ref="C209:C210"/>
    <mergeCell ref="D209:D210"/>
    <mergeCell ref="E209:E210"/>
    <mergeCell ref="F209:G210"/>
    <mergeCell ref="H209:H210"/>
    <mergeCell ref="I209:I210"/>
    <mergeCell ref="J209:J210"/>
    <mergeCell ref="A219:A220"/>
    <mergeCell ref="B219:B220"/>
    <mergeCell ref="C219:C220"/>
    <mergeCell ref="D219:D220"/>
    <mergeCell ref="E219:E220"/>
    <mergeCell ref="F219:G220"/>
    <mergeCell ref="H219:H220"/>
    <mergeCell ref="I219:I220"/>
    <mergeCell ref="J219:J220"/>
    <mergeCell ref="K219:K220"/>
    <mergeCell ref="L219:L220"/>
    <mergeCell ref="A217:A218"/>
    <mergeCell ref="B217:B218"/>
    <mergeCell ref="C217:C218"/>
    <mergeCell ref="D217:D218"/>
    <mergeCell ref="E217:E218"/>
    <mergeCell ref="F217:G218"/>
    <mergeCell ref="H217:H218"/>
    <mergeCell ref="I217:I218"/>
    <mergeCell ref="J217:J218"/>
    <mergeCell ref="K221:K222"/>
    <mergeCell ref="L221:L222"/>
    <mergeCell ref="A223:A224"/>
    <mergeCell ref="B223:B224"/>
    <mergeCell ref="C223:C224"/>
    <mergeCell ref="D223:D224"/>
    <mergeCell ref="E223:E224"/>
    <mergeCell ref="F223:G224"/>
    <mergeCell ref="H223:H224"/>
    <mergeCell ref="I223:I224"/>
    <mergeCell ref="J223:J224"/>
    <mergeCell ref="K223:K224"/>
    <mergeCell ref="L223:L224"/>
    <mergeCell ref="A221:A222"/>
    <mergeCell ref="B221:B222"/>
    <mergeCell ref="C221:C222"/>
    <mergeCell ref="D221:D222"/>
    <mergeCell ref="E221:E222"/>
    <mergeCell ref="F221:G222"/>
    <mergeCell ref="H221:H222"/>
    <mergeCell ref="I221:I222"/>
    <mergeCell ref="J221:J222"/>
    <mergeCell ref="A227:A228"/>
    <mergeCell ref="B227:B228"/>
    <mergeCell ref="C227:C228"/>
    <mergeCell ref="D227:D228"/>
    <mergeCell ref="E227:E228"/>
    <mergeCell ref="F227:G228"/>
    <mergeCell ref="H227:H228"/>
    <mergeCell ref="I227:I228"/>
    <mergeCell ref="J227:J228"/>
    <mergeCell ref="K227:K228"/>
    <mergeCell ref="L227:L228"/>
    <mergeCell ref="A225:A226"/>
    <mergeCell ref="B225:B226"/>
    <mergeCell ref="C225:C226"/>
    <mergeCell ref="D225:D226"/>
    <mergeCell ref="E225:E226"/>
    <mergeCell ref="F225:G226"/>
    <mergeCell ref="H225:H226"/>
    <mergeCell ref="I225:I226"/>
    <mergeCell ref="J225:J226"/>
    <mergeCell ref="K225:K226"/>
    <mergeCell ref="L225:L226"/>
    <mergeCell ref="A237:A238"/>
    <mergeCell ref="B237:B238"/>
    <mergeCell ref="C237:C238"/>
    <mergeCell ref="D237:D238"/>
    <mergeCell ref="E237:E238"/>
    <mergeCell ref="F237:G238"/>
    <mergeCell ref="H237:H238"/>
    <mergeCell ref="I237:I238"/>
    <mergeCell ref="J237:J238"/>
    <mergeCell ref="A235:A236"/>
    <mergeCell ref="B235:B236"/>
    <mergeCell ref="C235:C236"/>
    <mergeCell ref="D235:D236"/>
    <mergeCell ref="E235:E236"/>
    <mergeCell ref="F235:G236"/>
    <mergeCell ref="H235:H236"/>
    <mergeCell ref="K241:K242"/>
    <mergeCell ref="A239:A240"/>
    <mergeCell ref="B239:B240"/>
    <mergeCell ref="A245:A246"/>
    <mergeCell ref="B245:B246"/>
    <mergeCell ref="C245:C246"/>
    <mergeCell ref="D245:D246"/>
    <mergeCell ref="E245:E246"/>
    <mergeCell ref="F245:G246"/>
    <mergeCell ref="H245:H246"/>
    <mergeCell ref="I245:I246"/>
    <mergeCell ref="J245:J246"/>
    <mergeCell ref="K245:K246"/>
    <mergeCell ref="L245:L246"/>
    <mergeCell ref="A241:A242"/>
    <mergeCell ref="B241:B242"/>
    <mergeCell ref="C241:C242"/>
    <mergeCell ref="D241:D242"/>
    <mergeCell ref="E241:E242"/>
    <mergeCell ref="F241:G242"/>
    <mergeCell ref="H241:H242"/>
    <mergeCell ref="I241:I242"/>
    <mergeCell ref="J241:J242"/>
    <mergeCell ref="A243:M244"/>
    <mergeCell ref="L241:L242"/>
    <mergeCell ref="A249:A250"/>
    <mergeCell ref="B249:B250"/>
    <mergeCell ref="C249:C250"/>
    <mergeCell ref="D249:D250"/>
    <mergeCell ref="E249:E250"/>
    <mergeCell ref="F249:G250"/>
    <mergeCell ref="H249:H250"/>
    <mergeCell ref="I249:I250"/>
    <mergeCell ref="J249:J250"/>
    <mergeCell ref="K249:K250"/>
    <mergeCell ref="L249:L250"/>
    <mergeCell ref="A247:A248"/>
    <mergeCell ref="B247:B248"/>
    <mergeCell ref="C247:C248"/>
    <mergeCell ref="D247:D248"/>
    <mergeCell ref="E247:E248"/>
    <mergeCell ref="F247:G248"/>
    <mergeCell ref="H247:H248"/>
    <mergeCell ref="I247:I248"/>
    <mergeCell ref="J247:J248"/>
    <mergeCell ref="A253:A254"/>
    <mergeCell ref="B253:B254"/>
    <mergeCell ref="C253:C254"/>
    <mergeCell ref="D253:D254"/>
    <mergeCell ref="E253:E254"/>
    <mergeCell ref="F253:G254"/>
    <mergeCell ref="H253:H254"/>
    <mergeCell ref="I253:I254"/>
    <mergeCell ref="J253:J254"/>
    <mergeCell ref="K253:K254"/>
    <mergeCell ref="L253:L254"/>
    <mergeCell ref="A251:A252"/>
    <mergeCell ref="B251:B252"/>
    <mergeCell ref="C251:C252"/>
    <mergeCell ref="D251:D252"/>
    <mergeCell ref="E251:E252"/>
    <mergeCell ref="F251:G252"/>
    <mergeCell ref="H251:H252"/>
    <mergeCell ref="I251:I252"/>
    <mergeCell ref="J251:J252"/>
    <mergeCell ref="A257:A258"/>
    <mergeCell ref="B257:B258"/>
    <mergeCell ref="C257:C258"/>
    <mergeCell ref="D257:D258"/>
    <mergeCell ref="E257:E258"/>
    <mergeCell ref="F257:G258"/>
    <mergeCell ref="H257:H258"/>
    <mergeCell ref="I257:I258"/>
    <mergeCell ref="J257:J258"/>
    <mergeCell ref="K257:K258"/>
    <mergeCell ref="L257:L258"/>
    <mergeCell ref="A255:A256"/>
    <mergeCell ref="B255:B256"/>
    <mergeCell ref="C255:C256"/>
    <mergeCell ref="D255:D256"/>
    <mergeCell ref="E255:E256"/>
    <mergeCell ref="F255:G256"/>
    <mergeCell ref="H255:H256"/>
    <mergeCell ref="I255:I256"/>
    <mergeCell ref="J255:J256"/>
    <mergeCell ref="A261:A262"/>
    <mergeCell ref="B261:B262"/>
    <mergeCell ref="C261:C262"/>
    <mergeCell ref="D261:D262"/>
    <mergeCell ref="E261:E262"/>
    <mergeCell ref="F261:G262"/>
    <mergeCell ref="H261:H262"/>
    <mergeCell ref="I261:I262"/>
    <mergeCell ref="J261:J262"/>
    <mergeCell ref="K261:K262"/>
    <mergeCell ref="L261:L262"/>
    <mergeCell ref="A259:A260"/>
    <mergeCell ref="B259:B260"/>
    <mergeCell ref="C259:C260"/>
    <mergeCell ref="D259:D260"/>
    <mergeCell ref="E259:E260"/>
    <mergeCell ref="F259:G260"/>
    <mergeCell ref="H259:H260"/>
    <mergeCell ref="I259:I260"/>
    <mergeCell ref="J259:J260"/>
    <mergeCell ref="A265:A266"/>
    <mergeCell ref="B265:B266"/>
    <mergeCell ref="C265:C266"/>
    <mergeCell ref="D265:D266"/>
    <mergeCell ref="E265:E266"/>
    <mergeCell ref="F265:G266"/>
    <mergeCell ref="H265:H266"/>
    <mergeCell ref="I265:I266"/>
    <mergeCell ref="J265:J266"/>
    <mergeCell ref="K265:K266"/>
    <mergeCell ref="L265:L266"/>
    <mergeCell ref="A263:A264"/>
    <mergeCell ref="B263:B264"/>
    <mergeCell ref="C263:C264"/>
    <mergeCell ref="D263:D264"/>
    <mergeCell ref="E263:E264"/>
    <mergeCell ref="F263:G264"/>
    <mergeCell ref="H263:H264"/>
    <mergeCell ref="I263:I264"/>
    <mergeCell ref="J263:J264"/>
    <mergeCell ref="L263:L264"/>
    <mergeCell ref="K271:K272"/>
    <mergeCell ref="L271:L272"/>
    <mergeCell ref="A273:A274"/>
    <mergeCell ref="B273:B274"/>
    <mergeCell ref="C273:C274"/>
    <mergeCell ref="D273:D274"/>
    <mergeCell ref="E273:E274"/>
    <mergeCell ref="F273:G274"/>
    <mergeCell ref="H273:H274"/>
    <mergeCell ref="I273:I274"/>
    <mergeCell ref="J273:J274"/>
    <mergeCell ref="K273:K274"/>
    <mergeCell ref="L273:L274"/>
    <mergeCell ref="A271:A272"/>
    <mergeCell ref="B271:B272"/>
    <mergeCell ref="C271:C272"/>
    <mergeCell ref="D271:D272"/>
    <mergeCell ref="E271:E272"/>
    <mergeCell ref="F271:G272"/>
    <mergeCell ref="H271:H272"/>
    <mergeCell ref="I271:I272"/>
    <mergeCell ref="J271:J272"/>
    <mergeCell ref="K275:K276"/>
    <mergeCell ref="L275:L276"/>
    <mergeCell ref="A277:A278"/>
    <mergeCell ref="B277:B278"/>
    <mergeCell ref="C277:C278"/>
    <mergeCell ref="D277:D278"/>
    <mergeCell ref="E277:E278"/>
    <mergeCell ref="F277:G278"/>
    <mergeCell ref="H277:H278"/>
    <mergeCell ref="I277:I278"/>
    <mergeCell ref="J277:J278"/>
    <mergeCell ref="K277:K278"/>
    <mergeCell ref="L277:L278"/>
    <mergeCell ref="A275:A276"/>
    <mergeCell ref="B275:B276"/>
    <mergeCell ref="C275:C276"/>
    <mergeCell ref="D275:D276"/>
    <mergeCell ref="E275:E276"/>
    <mergeCell ref="F275:G276"/>
    <mergeCell ref="H275:H276"/>
    <mergeCell ref="I275:I276"/>
    <mergeCell ref="J275:J276"/>
    <mergeCell ref="K279:K280"/>
    <mergeCell ref="L279:L280"/>
    <mergeCell ref="A281:A282"/>
    <mergeCell ref="B281:B282"/>
    <mergeCell ref="C281:C282"/>
    <mergeCell ref="D281:D282"/>
    <mergeCell ref="E281:E282"/>
    <mergeCell ref="F281:G282"/>
    <mergeCell ref="H281:H282"/>
    <mergeCell ref="I281:I282"/>
    <mergeCell ref="J281:J282"/>
    <mergeCell ref="K281:K282"/>
    <mergeCell ref="L281:L282"/>
    <mergeCell ref="A279:A280"/>
    <mergeCell ref="B279:B280"/>
    <mergeCell ref="C279:C280"/>
    <mergeCell ref="D279:D280"/>
    <mergeCell ref="E279:E280"/>
    <mergeCell ref="F279:G280"/>
    <mergeCell ref="H279:H280"/>
    <mergeCell ref="I279:I280"/>
    <mergeCell ref="J279:J280"/>
    <mergeCell ref="K283:K284"/>
    <mergeCell ref="L283:L284"/>
    <mergeCell ref="A285:A286"/>
    <mergeCell ref="B285:B286"/>
    <mergeCell ref="C285:C286"/>
    <mergeCell ref="D285:D286"/>
    <mergeCell ref="E285:E286"/>
    <mergeCell ref="F285:G286"/>
    <mergeCell ref="H285:H286"/>
    <mergeCell ref="I285:I286"/>
    <mergeCell ref="J285:J286"/>
    <mergeCell ref="K285:K286"/>
    <mergeCell ref="L285:L286"/>
    <mergeCell ref="A283:A284"/>
    <mergeCell ref="B283:B284"/>
    <mergeCell ref="C283:C284"/>
    <mergeCell ref="D283:D284"/>
    <mergeCell ref="E283:E284"/>
    <mergeCell ref="F283:G284"/>
    <mergeCell ref="H283:H284"/>
    <mergeCell ref="I283:I284"/>
    <mergeCell ref="J283:J284"/>
    <mergeCell ref="K287:K288"/>
    <mergeCell ref="L287:L288"/>
    <mergeCell ref="A289:A290"/>
    <mergeCell ref="B289:B290"/>
    <mergeCell ref="C289:C290"/>
    <mergeCell ref="D289:D290"/>
    <mergeCell ref="E289:E290"/>
    <mergeCell ref="F289:G290"/>
    <mergeCell ref="H289:H290"/>
    <mergeCell ref="I289:I290"/>
    <mergeCell ref="J289:J290"/>
    <mergeCell ref="K289:K290"/>
    <mergeCell ref="L289:L290"/>
    <mergeCell ref="A287:A288"/>
    <mergeCell ref="B287:B288"/>
    <mergeCell ref="C287:C288"/>
    <mergeCell ref="D287:D288"/>
    <mergeCell ref="E287:E288"/>
    <mergeCell ref="F287:G288"/>
    <mergeCell ref="H287:H288"/>
    <mergeCell ref="I287:I288"/>
    <mergeCell ref="J287:J288"/>
    <mergeCell ref="K291:K292"/>
    <mergeCell ref="L291:L292"/>
    <mergeCell ref="A295:A296"/>
    <mergeCell ref="B295:B296"/>
    <mergeCell ref="C295:C296"/>
    <mergeCell ref="D295:D296"/>
    <mergeCell ref="E295:E296"/>
    <mergeCell ref="F295:G296"/>
    <mergeCell ref="H295:H296"/>
    <mergeCell ref="I295:I296"/>
    <mergeCell ref="J295:J296"/>
    <mergeCell ref="K295:K296"/>
    <mergeCell ref="L295:L296"/>
    <mergeCell ref="A291:A292"/>
    <mergeCell ref="B291:B292"/>
    <mergeCell ref="C291:C292"/>
    <mergeCell ref="D291:D292"/>
    <mergeCell ref="E291:E292"/>
    <mergeCell ref="F291:G292"/>
    <mergeCell ref="H291:H292"/>
    <mergeCell ref="I291:I292"/>
    <mergeCell ref="J291:J292"/>
    <mergeCell ref="A293:A294"/>
    <mergeCell ref="B293:B294"/>
    <mergeCell ref="C293:C294"/>
    <mergeCell ref="D293:D294"/>
    <mergeCell ref="E293:E294"/>
    <mergeCell ref="F293:G294"/>
    <mergeCell ref="H293:H294"/>
    <mergeCell ref="I293:I294"/>
    <mergeCell ref="J293:J294"/>
    <mergeCell ref="K293:K294"/>
    <mergeCell ref="K297:K298"/>
    <mergeCell ref="L297:L298"/>
    <mergeCell ref="A299:A300"/>
    <mergeCell ref="B299:B300"/>
    <mergeCell ref="C299:C300"/>
    <mergeCell ref="D299:D300"/>
    <mergeCell ref="E299:E300"/>
    <mergeCell ref="F299:G300"/>
    <mergeCell ref="H299:H300"/>
    <mergeCell ref="I299:I300"/>
    <mergeCell ref="J299:J300"/>
    <mergeCell ref="K299:K300"/>
    <mergeCell ref="L299:L300"/>
    <mergeCell ref="A297:A298"/>
    <mergeCell ref="B297:B298"/>
    <mergeCell ref="C297:C298"/>
    <mergeCell ref="D297:D298"/>
    <mergeCell ref="E297:E298"/>
    <mergeCell ref="F297:G298"/>
    <mergeCell ref="H297:H298"/>
    <mergeCell ref="I297:I298"/>
    <mergeCell ref="J297:J298"/>
    <mergeCell ref="K301:K302"/>
    <mergeCell ref="L301:L302"/>
    <mergeCell ref="A303:A304"/>
    <mergeCell ref="B303:B304"/>
    <mergeCell ref="C303:C304"/>
    <mergeCell ref="D303:D304"/>
    <mergeCell ref="E303:E304"/>
    <mergeCell ref="F303:G304"/>
    <mergeCell ref="H303:H304"/>
    <mergeCell ref="I303:I304"/>
    <mergeCell ref="J303:J304"/>
    <mergeCell ref="K303:K304"/>
    <mergeCell ref="L303:L304"/>
    <mergeCell ref="A301:A302"/>
    <mergeCell ref="B301:B302"/>
    <mergeCell ref="C301:C302"/>
    <mergeCell ref="D301:D302"/>
    <mergeCell ref="E301:E302"/>
    <mergeCell ref="F301:G302"/>
    <mergeCell ref="H301:H302"/>
    <mergeCell ref="I301:I302"/>
    <mergeCell ref="J301:J302"/>
    <mergeCell ref="K305:K306"/>
    <mergeCell ref="L305:L306"/>
    <mergeCell ref="A307:A308"/>
    <mergeCell ref="B307:B308"/>
    <mergeCell ref="C307:C308"/>
    <mergeCell ref="D307:D308"/>
    <mergeCell ref="E307:E308"/>
    <mergeCell ref="F307:G308"/>
    <mergeCell ref="H307:H308"/>
    <mergeCell ref="I307:I308"/>
    <mergeCell ref="J307:J308"/>
    <mergeCell ref="K307:K308"/>
    <mergeCell ref="L307:L308"/>
    <mergeCell ref="A305:A306"/>
    <mergeCell ref="B305:B306"/>
    <mergeCell ref="C305:C306"/>
    <mergeCell ref="D305:D306"/>
    <mergeCell ref="E305:E306"/>
    <mergeCell ref="F305:G306"/>
    <mergeCell ref="H305:H306"/>
    <mergeCell ref="I305:I306"/>
    <mergeCell ref="J305:J306"/>
    <mergeCell ref="K309:K310"/>
    <mergeCell ref="L309:L310"/>
    <mergeCell ref="A311:A312"/>
    <mergeCell ref="B311:B312"/>
    <mergeCell ref="C311:C312"/>
    <mergeCell ref="D311:D312"/>
    <mergeCell ref="E311:E312"/>
    <mergeCell ref="F311:G312"/>
    <mergeCell ref="H311:H312"/>
    <mergeCell ref="I311:I312"/>
    <mergeCell ref="J311:J312"/>
    <mergeCell ref="K311:K312"/>
    <mergeCell ref="L311:L312"/>
    <mergeCell ref="A309:A310"/>
    <mergeCell ref="B309:B310"/>
    <mergeCell ref="C309:C310"/>
    <mergeCell ref="D309:D310"/>
    <mergeCell ref="E309:E310"/>
    <mergeCell ref="F309:G310"/>
    <mergeCell ref="H309:H310"/>
    <mergeCell ref="I309:I310"/>
    <mergeCell ref="J309:J310"/>
    <mergeCell ref="K313:K314"/>
    <mergeCell ref="L313:L314"/>
    <mergeCell ref="A315:A316"/>
    <mergeCell ref="B315:B316"/>
    <mergeCell ref="C315:C316"/>
    <mergeCell ref="D315:D316"/>
    <mergeCell ref="E315:E316"/>
    <mergeCell ref="F315:G316"/>
    <mergeCell ref="H315:H316"/>
    <mergeCell ref="I315:I316"/>
    <mergeCell ref="J315:J316"/>
    <mergeCell ref="K315:K316"/>
    <mergeCell ref="L315:L316"/>
    <mergeCell ref="A313:A314"/>
    <mergeCell ref="B313:B314"/>
    <mergeCell ref="C313:C314"/>
    <mergeCell ref="D313:D314"/>
    <mergeCell ref="E313:E314"/>
    <mergeCell ref="F313:G314"/>
    <mergeCell ref="H313:H314"/>
    <mergeCell ref="I313:I314"/>
    <mergeCell ref="J313:J314"/>
    <mergeCell ref="K317:K318"/>
    <mergeCell ref="L317:L318"/>
    <mergeCell ref="A319:A320"/>
    <mergeCell ref="B319:B320"/>
    <mergeCell ref="C319:C320"/>
    <mergeCell ref="D319:D320"/>
    <mergeCell ref="E319:E320"/>
    <mergeCell ref="F319:G320"/>
    <mergeCell ref="H319:H320"/>
    <mergeCell ref="I319:I320"/>
    <mergeCell ref="J319:J320"/>
    <mergeCell ref="K319:K320"/>
    <mergeCell ref="L319:L320"/>
    <mergeCell ref="A317:A318"/>
    <mergeCell ref="B317:B318"/>
    <mergeCell ref="C317:C318"/>
    <mergeCell ref="D317:D318"/>
    <mergeCell ref="E317:E318"/>
    <mergeCell ref="F317:G318"/>
    <mergeCell ref="H317:H318"/>
    <mergeCell ref="I317:I318"/>
    <mergeCell ref="J317:J318"/>
    <mergeCell ref="J325:J326"/>
    <mergeCell ref="K321:K322"/>
    <mergeCell ref="L321:L322"/>
    <mergeCell ref="A323:A324"/>
    <mergeCell ref="B323:B324"/>
    <mergeCell ref="C323:C324"/>
    <mergeCell ref="D323:D324"/>
    <mergeCell ref="E323:E324"/>
    <mergeCell ref="F323:G324"/>
    <mergeCell ref="H323:H324"/>
    <mergeCell ref="I323:I324"/>
    <mergeCell ref="J323:J324"/>
    <mergeCell ref="K323:K324"/>
    <mergeCell ref="L323:L324"/>
    <mergeCell ref="A321:A322"/>
    <mergeCell ref="B321:B322"/>
    <mergeCell ref="C321:C322"/>
    <mergeCell ref="D321:D322"/>
    <mergeCell ref="E321:E322"/>
    <mergeCell ref="F321:G322"/>
    <mergeCell ref="H321:H322"/>
    <mergeCell ref="I321:I322"/>
    <mergeCell ref="J321:J322"/>
    <mergeCell ref="K329:K330"/>
    <mergeCell ref="L329:L330"/>
    <mergeCell ref="A329:A330"/>
    <mergeCell ref="B329:B330"/>
    <mergeCell ref="C329:C330"/>
    <mergeCell ref="D329:D330"/>
    <mergeCell ref="E329:E330"/>
    <mergeCell ref="F329:G330"/>
    <mergeCell ref="H329:H330"/>
    <mergeCell ref="I329:I330"/>
    <mergeCell ref="J329:J330"/>
    <mergeCell ref="K325:K326"/>
    <mergeCell ref="L325:L326"/>
    <mergeCell ref="A327:A328"/>
    <mergeCell ref="B327:B328"/>
    <mergeCell ref="C327:C328"/>
    <mergeCell ref="D327:D328"/>
    <mergeCell ref="E327:E328"/>
    <mergeCell ref="F327:G328"/>
    <mergeCell ref="H327:H328"/>
    <mergeCell ref="I327:I328"/>
    <mergeCell ref="J327:J328"/>
    <mergeCell ref="K327:K328"/>
    <mergeCell ref="L327:L328"/>
    <mergeCell ref="A325:A326"/>
    <mergeCell ref="B325:B326"/>
    <mergeCell ref="C325:C326"/>
    <mergeCell ref="D325:D326"/>
    <mergeCell ref="E325:E326"/>
    <mergeCell ref="F325:G326"/>
    <mergeCell ref="H325:H326"/>
    <mergeCell ref="I325:I326"/>
    <mergeCell ref="A331:A332"/>
    <mergeCell ref="B331:B332"/>
    <mergeCell ref="C331:C332"/>
    <mergeCell ref="D331:D332"/>
    <mergeCell ref="E331:E332"/>
    <mergeCell ref="F331:G332"/>
    <mergeCell ref="H331:H332"/>
    <mergeCell ref="I331:I332"/>
    <mergeCell ref="J331:J332"/>
    <mergeCell ref="K331:K332"/>
    <mergeCell ref="L331:L332"/>
    <mergeCell ref="A341:L342"/>
    <mergeCell ref="K333:K334"/>
    <mergeCell ref="L333:L334"/>
    <mergeCell ref="A335:A336"/>
    <mergeCell ref="B335:B336"/>
    <mergeCell ref="C335:C336"/>
    <mergeCell ref="D335:D336"/>
    <mergeCell ref="E335:E336"/>
    <mergeCell ref="F335:G336"/>
    <mergeCell ref="H335:H336"/>
    <mergeCell ref="I335:I336"/>
    <mergeCell ref="J335:J336"/>
    <mergeCell ref="K335:K336"/>
    <mergeCell ref="L335:L336"/>
    <mergeCell ref="A333:A334"/>
    <mergeCell ref="B333:B334"/>
    <mergeCell ref="C333:C334"/>
    <mergeCell ref="D333:D334"/>
    <mergeCell ref="E333:E334"/>
    <mergeCell ref="F333:G334"/>
    <mergeCell ref="H333:H334"/>
    <mergeCell ref="I333:I334"/>
    <mergeCell ref="J333:J334"/>
    <mergeCell ref="K337:K338"/>
    <mergeCell ref="L337:L338"/>
    <mergeCell ref="A339:A340"/>
    <mergeCell ref="B339:B340"/>
    <mergeCell ref="C339:C340"/>
    <mergeCell ref="D339:D340"/>
    <mergeCell ref="E339:E340"/>
    <mergeCell ref="F339:G340"/>
    <mergeCell ref="H339:H340"/>
    <mergeCell ref="I339:I340"/>
    <mergeCell ref="J339:J340"/>
    <mergeCell ref="K339:K340"/>
    <mergeCell ref="L339:L340"/>
    <mergeCell ref="A337:A338"/>
    <mergeCell ref="B337:B338"/>
    <mergeCell ref="C337:C338"/>
    <mergeCell ref="D337:D338"/>
    <mergeCell ref="E337:E338"/>
    <mergeCell ref="F337:G338"/>
    <mergeCell ref="H337:H338"/>
    <mergeCell ref="I337:I338"/>
    <mergeCell ref="J337:J338"/>
    <mergeCell ref="K343:K344"/>
    <mergeCell ref="L343:L344"/>
    <mergeCell ref="A345:A346"/>
    <mergeCell ref="B345:B346"/>
    <mergeCell ref="C345:C346"/>
    <mergeCell ref="D345:D346"/>
    <mergeCell ref="E345:E346"/>
    <mergeCell ref="F345:G346"/>
    <mergeCell ref="H345:H346"/>
    <mergeCell ref="I345:I346"/>
    <mergeCell ref="J345:J346"/>
    <mergeCell ref="K345:K346"/>
    <mergeCell ref="L345:L346"/>
    <mergeCell ref="A343:A344"/>
    <mergeCell ref="B343:B344"/>
    <mergeCell ref="C343:C344"/>
    <mergeCell ref="D343:D344"/>
    <mergeCell ref="E343:E344"/>
    <mergeCell ref="F343:G344"/>
    <mergeCell ref="H343:H344"/>
    <mergeCell ref="I343:I344"/>
    <mergeCell ref="J343:J344"/>
    <mergeCell ref="K347:K348"/>
    <mergeCell ref="L347:L348"/>
    <mergeCell ref="A349:A350"/>
    <mergeCell ref="B349:B350"/>
    <mergeCell ref="C349:C350"/>
    <mergeCell ref="D349:D350"/>
    <mergeCell ref="E349:E350"/>
    <mergeCell ref="F349:G350"/>
    <mergeCell ref="H349:H350"/>
    <mergeCell ref="I349:I350"/>
    <mergeCell ref="J349:J350"/>
    <mergeCell ref="K349:K350"/>
    <mergeCell ref="L349:L350"/>
    <mergeCell ref="A347:A348"/>
    <mergeCell ref="B347:B348"/>
    <mergeCell ref="C347:C348"/>
    <mergeCell ref="D347:D348"/>
    <mergeCell ref="E347:E348"/>
    <mergeCell ref="F347:G348"/>
    <mergeCell ref="H347:H348"/>
    <mergeCell ref="I347:I348"/>
    <mergeCell ref="J347:J348"/>
    <mergeCell ref="K351:K352"/>
    <mergeCell ref="L351:L352"/>
    <mergeCell ref="A353:A354"/>
    <mergeCell ref="B353:B354"/>
    <mergeCell ref="C353:C354"/>
    <mergeCell ref="D353:D354"/>
    <mergeCell ref="E353:E354"/>
    <mergeCell ref="F353:G354"/>
    <mergeCell ref="H353:H354"/>
    <mergeCell ref="I353:I354"/>
    <mergeCell ref="J353:J354"/>
    <mergeCell ref="K353:K354"/>
    <mergeCell ref="L353:L354"/>
    <mergeCell ref="A351:A352"/>
    <mergeCell ref="B351:B352"/>
    <mergeCell ref="C351:C352"/>
    <mergeCell ref="D351:D352"/>
    <mergeCell ref="E351:E352"/>
    <mergeCell ref="F351:G352"/>
    <mergeCell ref="H351:H352"/>
    <mergeCell ref="I351:I352"/>
    <mergeCell ref="J351:J352"/>
    <mergeCell ref="K355:K356"/>
    <mergeCell ref="L355:L356"/>
    <mergeCell ref="A357:A358"/>
    <mergeCell ref="B357:B358"/>
    <mergeCell ref="C357:C358"/>
    <mergeCell ref="D357:D358"/>
    <mergeCell ref="E357:E358"/>
    <mergeCell ref="F357:G358"/>
    <mergeCell ref="H357:H358"/>
    <mergeCell ref="I357:I358"/>
    <mergeCell ref="J357:J358"/>
    <mergeCell ref="K357:K358"/>
    <mergeCell ref="L357:L358"/>
    <mergeCell ref="A355:A356"/>
    <mergeCell ref="B355:B356"/>
    <mergeCell ref="C355:C356"/>
    <mergeCell ref="D355:D356"/>
    <mergeCell ref="E355:E356"/>
    <mergeCell ref="F355:G356"/>
    <mergeCell ref="H355:H356"/>
    <mergeCell ref="I355:I356"/>
    <mergeCell ref="J355:J356"/>
    <mergeCell ref="K359:K360"/>
    <mergeCell ref="L359:L360"/>
    <mergeCell ref="A361:A362"/>
    <mergeCell ref="B361:B362"/>
    <mergeCell ref="C361:C362"/>
    <mergeCell ref="D361:D362"/>
    <mergeCell ref="E361:E362"/>
    <mergeCell ref="F361:G362"/>
    <mergeCell ref="H361:H362"/>
    <mergeCell ref="I361:I362"/>
    <mergeCell ref="J361:J362"/>
    <mergeCell ref="K361:K362"/>
    <mergeCell ref="L361:L362"/>
    <mergeCell ref="A359:A360"/>
    <mergeCell ref="B359:B360"/>
    <mergeCell ref="C359:C360"/>
    <mergeCell ref="D359:D360"/>
    <mergeCell ref="E359:E360"/>
    <mergeCell ref="F359:G360"/>
    <mergeCell ref="H359:H360"/>
    <mergeCell ref="I359:I360"/>
    <mergeCell ref="J359:J360"/>
    <mergeCell ref="K363:K364"/>
    <mergeCell ref="L363:L364"/>
    <mergeCell ref="A365:A366"/>
    <mergeCell ref="B365:B366"/>
    <mergeCell ref="C365:C366"/>
    <mergeCell ref="D365:D366"/>
    <mergeCell ref="E365:E366"/>
    <mergeCell ref="F365:G366"/>
    <mergeCell ref="H365:H366"/>
    <mergeCell ref="I365:I366"/>
    <mergeCell ref="J365:J366"/>
    <mergeCell ref="K365:K366"/>
    <mergeCell ref="L365:L366"/>
    <mergeCell ref="A363:A364"/>
    <mergeCell ref="B363:B364"/>
    <mergeCell ref="C363:C364"/>
    <mergeCell ref="D363:D364"/>
    <mergeCell ref="E363:E364"/>
    <mergeCell ref="F363:G364"/>
    <mergeCell ref="H363:H364"/>
    <mergeCell ref="I363:I364"/>
    <mergeCell ref="J363:J364"/>
    <mergeCell ref="K367:K368"/>
    <mergeCell ref="L367:L368"/>
    <mergeCell ref="A369:A370"/>
    <mergeCell ref="B369:B370"/>
    <mergeCell ref="C369:C370"/>
    <mergeCell ref="D369:D370"/>
    <mergeCell ref="E369:E370"/>
    <mergeCell ref="F369:G370"/>
    <mergeCell ref="H369:H370"/>
    <mergeCell ref="I369:I370"/>
    <mergeCell ref="J369:J370"/>
    <mergeCell ref="K369:K370"/>
    <mergeCell ref="L369:L370"/>
    <mergeCell ref="A367:A368"/>
    <mergeCell ref="B367:B368"/>
    <mergeCell ref="C367:C368"/>
    <mergeCell ref="D367:D368"/>
    <mergeCell ref="E367:E368"/>
    <mergeCell ref="F367:G368"/>
    <mergeCell ref="H367:H368"/>
    <mergeCell ref="I367:I368"/>
    <mergeCell ref="J367:J368"/>
    <mergeCell ref="K371:K372"/>
    <mergeCell ref="L371:L372"/>
    <mergeCell ref="A373:A374"/>
    <mergeCell ref="B373:B374"/>
    <mergeCell ref="C373:C374"/>
    <mergeCell ref="D373:D374"/>
    <mergeCell ref="E373:E374"/>
    <mergeCell ref="F373:G374"/>
    <mergeCell ref="H373:H374"/>
    <mergeCell ref="I373:I374"/>
    <mergeCell ref="J373:J374"/>
    <mergeCell ref="K373:K374"/>
    <mergeCell ref="L373:L374"/>
    <mergeCell ref="A371:A372"/>
    <mergeCell ref="B371:B372"/>
    <mergeCell ref="C371:C372"/>
    <mergeCell ref="D371:D372"/>
    <mergeCell ref="E371:E372"/>
    <mergeCell ref="F371:G372"/>
    <mergeCell ref="H371:H372"/>
    <mergeCell ref="I371:I372"/>
    <mergeCell ref="J371:J372"/>
    <mergeCell ref="K375:K376"/>
    <mergeCell ref="L375:L376"/>
    <mergeCell ref="A377:A378"/>
    <mergeCell ref="B377:B378"/>
    <mergeCell ref="C377:C378"/>
    <mergeCell ref="D377:D378"/>
    <mergeCell ref="E377:E378"/>
    <mergeCell ref="F377:G378"/>
    <mergeCell ref="H377:H378"/>
    <mergeCell ref="I377:I378"/>
    <mergeCell ref="J377:J378"/>
    <mergeCell ref="K377:K378"/>
    <mergeCell ref="L377:L378"/>
    <mergeCell ref="A375:A376"/>
    <mergeCell ref="B375:B376"/>
    <mergeCell ref="C375:C376"/>
    <mergeCell ref="D375:D376"/>
    <mergeCell ref="E375:E376"/>
    <mergeCell ref="F375:G376"/>
    <mergeCell ref="H375:H376"/>
    <mergeCell ref="I375:I376"/>
    <mergeCell ref="J375:J376"/>
    <mergeCell ref="K379:K380"/>
    <mergeCell ref="L379:L380"/>
    <mergeCell ref="A381:A382"/>
    <mergeCell ref="B381:B382"/>
    <mergeCell ref="C381:C382"/>
    <mergeCell ref="D381:D382"/>
    <mergeCell ref="E381:E382"/>
    <mergeCell ref="F381:G382"/>
    <mergeCell ref="H381:H382"/>
    <mergeCell ref="I381:I382"/>
    <mergeCell ref="J381:J382"/>
    <mergeCell ref="K381:K382"/>
    <mergeCell ref="L381:L382"/>
    <mergeCell ref="A379:A380"/>
    <mergeCell ref="B379:B380"/>
    <mergeCell ref="C379:C380"/>
    <mergeCell ref="D379:D380"/>
    <mergeCell ref="E379:E380"/>
    <mergeCell ref="F379:G380"/>
    <mergeCell ref="H379:H380"/>
    <mergeCell ref="I379:I380"/>
    <mergeCell ref="J379:J380"/>
    <mergeCell ref="K383:K384"/>
    <mergeCell ref="L383:L384"/>
    <mergeCell ref="A385:A386"/>
    <mergeCell ref="B385:B386"/>
    <mergeCell ref="C385:C386"/>
    <mergeCell ref="D385:D386"/>
    <mergeCell ref="E385:E386"/>
    <mergeCell ref="F385:G386"/>
    <mergeCell ref="H385:H386"/>
    <mergeCell ref="I385:I386"/>
    <mergeCell ref="J385:J386"/>
    <mergeCell ref="K385:K386"/>
    <mergeCell ref="L385:L386"/>
    <mergeCell ref="A383:A384"/>
    <mergeCell ref="B383:B384"/>
    <mergeCell ref="C383:C384"/>
    <mergeCell ref="D383:D384"/>
    <mergeCell ref="E383:E384"/>
    <mergeCell ref="F383:G384"/>
    <mergeCell ref="H383:H384"/>
    <mergeCell ref="I383:I384"/>
    <mergeCell ref="J383:J384"/>
    <mergeCell ref="K387:K388"/>
    <mergeCell ref="L387:L388"/>
    <mergeCell ref="A389:A390"/>
    <mergeCell ref="B389:B390"/>
    <mergeCell ref="C389:C390"/>
    <mergeCell ref="D389:D390"/>
    <mergeCell ref="E389:E390"/>
    <mergeCell ref="F389:G390"/>
    <mergeCell ref="H389:H390"/>
    <mergeCell ref="I389:I390"/>
    <mergeCell ref="J389:J390"/>
    <mergeCell ref="K389:K390"/>
    <mergeCell ref="L389:L390"/>
    <mergeCell ref="A387:A388"/>
    <mergeCell ref="B387:B388"/>
    <mergeCell ref="C387:C388"/>
    <mergeCell ref="D387:D388"/>
    <mergeCell ref="E387:E388"/>
    <mergeCell ref="F387:G388"/>
    <mergeCell ref="H387:H388"/>
    <mergeCell ref="I387:I388"/>
    <mergeCell ref="J387:J388"/>
    <mergeCell ref="K391:K392"/>
    <mergeCell ref="L391:L392"/>
    <mergeCell ref="A393:A394"/>
    <mergeCell ref="B393:B394"/>
    <mergeCell ref="C393:C394"/>
    <mergeCell ref="D393:D394"/>
    <mergeCell ref="E393:E394"/>
    <mergeCell ref="F393:G394"/>
    <mergeCell ref="H393:H394"/>
    <mergeCell ref="I393:I394"/>
    <mergeCell ref="J393:J394"/>
    <mergeCell ref="K393:K394"/>
    <mergeCell ref="L393:L394"/>
    <mergeCell ref="A391:A392"/>
    <mergeCell ref="B391:B392"/>
    <mergeCell ref="C391:C392"/>
    <mergeCell ref="D391:D392"/>
    <mergeCell ref="E391:E392"/>
    <mergeCell ref="F391:G392"/>
    <mergeCell ref="H391:H392"/>
    <mergeCell ref="I391:I392"/>
    <mergeCell ref="J391:J392"/>
    <mergeCell ref="K395:K396"/>
    <mergeCell ref="L395:L396"/>
    <mergeCell ref="A397:A398"/>
    <mergeCell ref="B397:B398"/>
    <mergeCell ref="C397:C398"/>
    <mergeCell ref="D397:D398"/>
    <mergeCell ref="E397:E398"/>
    <mergeCell ref="F397:G398"/>
    <mergeCell ref="H397:H398"/>
    <mergeCell ref="I397:I398"/>
    <mergeCell ref="J397:J398"/>
    <mergeCell ref="K397:K398"/>
    <mergeCell ref="L397:L398"/>
    <mergeCell ref="A395:A396"/>
    <mergeCell ref="B395:B396"/>
    <mergeCell ref="C395:C396"/>
    <mergeCell ref="D395:D396"/>
    <mergeCell ref="E395:E396"/>
    <mergeCell ref="F395:G396"/>
    <mergeCell ref="H395:H396"/>
    <mergeCell ref="I395:I396"/>
    <mergeCell ref="J395:J396"/>
    <mergeCell ref="K399:K400"/>
    <mergeCell ref="L399:L400"/>
    <mergeCell ref="A401:A402"/>
    <mergeCell ref="B401:B402"/>
    <mergeCell ref="C401:C402"/>
    <mergeCell ref="D401:D402"/>
    <mergeCell ref="E401:E402"/>
    <mergeCell ref="F401:G402"/>
    <mergeCell ref="H401:H402"/>
    <mergeCell ref="I401:I402"/>
    <mergeCell ref="J401:J402"/>
    <mergeCell ref="K401:K402"/>
    <mergeCell ref="L401:L402"/>
    <mergeCell ref="A399:A400"/>
    <mergeCell ref="B399:B400"/>
    <mergeCell ref="C399:C400"/>
    <mergeCell ref="D399:D400"/>
    <mergeCell ref="E399:E400"/>
    <mergeCell ref="F399:G400"/>
    <mergeCell ref="H399:H400"/>
    <mergeCell ref="I399:I400"/>
    <mergeCell ref="J399:J400"/>
    <mergeCell ref="K403:K404"/>
    <mergeCell ref="L403:L404"/>
    <mergeCell ref="A405:A406"/>
    <mergeCell ref="B405:B406"/>
    <mergeCell ref="C405:C406"/>
    <mergeCell ref="D405:D406"/>
    <mergeCell ref="E405:E406"/>
    <mergeCell ref="F405:G406"/>
    <mergeCell ref="H405:H406"/>
    <mergeCell ref="I405:I406"/>
    <mergeCell ref="J405:J406"/>
    <mergeCell ref="K405:K406"/>
    <mergeCell ref="L405:L406"/>
    <mergeCell ref="A403:A404"/>
    <mergeCell ref="B403:B404"/>
    <mergeCell ref="C403:C404"/>
    <mergeCell ref="D403:D404"/>
    <mergeCell ref="E403:E404"/>
    <mergeCell ref="F403:G404"/>
    <mergeCell ref="H403:H404"/>
    <mergeCell ref="I403:I404"/>
    <mergeCell ref="J403:J404"/>
    <mergeCell ref="K407:K408"/>
    <mergeCell ref="L407:L408"/>
    <mergeCell ref="A409:A410"/>
    <mergeCell ref="B409:B410"/>
    <mergeCell ref="C409:C410"/>
    <mergeCell ref="D409:D410"/>
    <mergeCell ref="E409:E410"/>
    <mergeCell ref="F409:G410"/>
    <mergeCell ref="H409:H410"/>
    <mergeCell ref="I409:I410"/>
    <mergeCell ref="J409:J410"/>
    <mergeCell ref="K409:K410"/>
    <mergeCell ref="L409:L410"/>
    <mergeCell ref="A407:A408"/>
    <mergeCell ref="B407:B408"/>
    <mergeCell ref="C407:C408"/>
    <mergeCell ref="D407:D408"/>
    <mergeCell ref="E407:E408"/>
    <mergeCell ref="F407:G408"/>
    <mergeCell ref="H407:H408"/>
    <mergeCell ref="I407:I408"/>
    <mergeCell ref="J407:J408"/>
    <mergeCell ref="K411:K412"/>
    <mergeCell ref="L411:L412"/>
    <mergeCell ref="A413:A414"/>
    <mergeCell ref="B413:B414"/>
    <mergeCell ref="C413:C414"/>
    <mergeCell ref="D413:D414"/>
    <mergeCell ref="E413:E414"/>
    <mergeCell ref="F413:G414"/>
    <mergeCell ref="H413:H414"/>
    <mergeCell ref="I413:I414"/>
    <mergeCell ref="J413:J414"/>
    <mergeCell ref="K413:K414"/>
    <mergeCell ref="L413:L414"/>
    <mergeCell ref="A411:A412"/>
    <mergeCell ref="B411:B412"/>
    <mergeCell ref="C411:C412"/>
    <mergeCell ref="D411:D412"/>
    <mergeCell ref="E411:E412"/>
    <mergeCell ref="F411:G412"/>
    <mergeCell ref="H411:H412"/>
    <mergeCell ref="I411:I412"/>
    <mergeCell ref="J411:J412"/>
    <mergeCell ref="K415:K416"/>
    <mergeCell ref="L415:L416"/>
    <mergeCell ref="A417:A418"/>
    <mergeCell ref="B417:B418"/>
    <mergeCell ref="C417:C418"/>
    <mergeCell ref="D417:D418"/>
    <mergeCell ref="E417:E418"/>
    <mergeCell ref="F417:G418"/>
    <mergeCell ref="H417:H418"/>
    <mergeCell ref="I417:I418"/>
    <mergeCell ref="J417:J418"/>
    <mergeCell ref="K417:K418"/>
    <mergeCell ref="L417:L418"/>
    <mergeCell ref="A415:A416"/>
    <mergeCell ref="B415:B416"/>
    <mergeCell ref="C415:C416"/>
    <mergeCell ref="D415:D416"/>
    <mergeCell ref="E415:E416"/>
    <mergeCell ref="F415:G416"/>
    <mergeCell ref="H415:H416"/>
    <mergeCell ref="I415:I416"/>
    <mergeCell ref="J415:J416"/>
    <mergeCell ref="K419:K420"/>
    <mergeCell ref="L419:L420"/>
    <mergeCell ref="A421:A422"/>
    <mergeCell ref="B421:B422"/>
    <mergeCell ref="C421:C422"/>
    <mergeCell ref="D421:D422"/>
    <mergeCell ref="E421:E422"/>
    <mergeCell ref="F421:G422"/>
    <mergeCell ref="H421:H422"/>
    <mergeCell ref="I421:I422"/>
    <mergeCell ref="J421:J422"/>
    <mergeCell ref="K421:K422"/>
    <mergeCell ref="L421:L422"/>
    <mergeCell ref="A419:A420"/>
    <mergeCell ref="B419:B420"/>
    <mergeCell ref="C419:C420"/>
    <mergeCell ref="D419:D420"/>
    <mergeCell ref="E419:E420"/>
    <mergeCell ref="F419:G420"/>
    <mergeCell ref="H419:H420"/>
    <mergeCell ref="I419:I420"/>
    <mergeCell ref="J419:J420"/>
    <mergeCell ref="K423:K424"/>
    <mergeCell ref="L423:L424"/>
    <mergeCell ref="A425:A426"/>
    <mergeCell ref="B425:B426"/>
    <mergeCell ref="C425:C426"/>
    <mergeCell ref="D425:D426"/>
    <mergeCell ref="E425:E426"/>
    <mergeCell ref="F425:G426"/>
    <mergeCell ref="H425:H426"/>
    <mergeCell ref="I425:I426"/>
    <mergeCell ref="J425:J426"/>
    <mergeCell ref="K425:K426"/>
    <mergeCell ref="L425:L426"/>
    <mergeCell ref="A423:A424"/>
    <mergeCell ref="B423:B424"/>
    <mergeCell ref="C423:C424"/>
    <mergeCell ref="D423:D424"/>
    <mergeCell ref="E423:E424"/>
    <mergeCell ref="F423:G424"/>
    <mergeCell ref="H423:H424"/>
    <mergeCell ref="I423:I424"/>
    <mergeCell ref="J423:J424"/>
    <mergeCell ref="K427:K428"/>
    <mergeCell ref="L427:L428"/>
    <mergeCell ref="A431:A432"/>
    <mergeCell ref="B431:B432"/>
    <mergeCell ref="C431:C432"/>
    <mergeCell ref="D431:D432"/>
    <mergeCell ref="E431:E432"/>
    <mergeCell ref="F431:G432"/>
    <mergeCell ref="H431:H432"/>
    <mergeCell ref="I431:I432"/>
    <mergeCell ref="J431:J432"/>
    <mergeCell ref="K431:K432"/>
    <mergeCell ref="L431:L432"/>
    <mergeCell ref="A427:A428"/>
    <mergeCell ref="B427:B428"/>
    <mergeCell ref="C427:C428"/>
    <mergeCell ref="D427:D428"/>
    <mergeCell ref="E427:E428"/>
    <mergeCell ref="F427:G428"/>
    <mergeCell ref="H427:H428"/>
    <mergeCell ref="I427:I428"/>
    <mergeCell ref="J427:J428"/>
    <mergeCell ref="A429:L430"/>
    <mergeCell ref="K433:K434"/>
    <mergeCell ref="L433:L434"/>
    <mergeCell ref="A435:A436"/>
    <mergeCell ref="B435:B436"/>
    <mergeCell ref="C435:C436"/>
    <mergeCell ref="D435:D436"/>
    <mergeCell ref="E435:E436"/>
    <mergeCell ref="F435:G436"/>
    <mergeCell ref="H435:H436"/>
    <mergeCell ref="I435:I436"/>
    <mergeCell ref="J435:J436"/>
    <mergeCell ref="K435:K436"/>
    <mergeCell ref="L435:L436"/>
    <mergeCell ref="A433:A434"/>
    <mergeCell ref="B433:B434"/>
    <mergeCell ref="C433:C434"/>
    <mergeCell ref="D433:D434"/>
    <mergeCell ref="E433:E434"/>
    <mergeCell ref="F433:G434"/>
    <mergeCell ref="H433:H434"/>
    <mergeCell ref="I433:I434"/>
    <mergeCell ref="J433:J434"/>
    <mergeCell ref="K437:K438"/>
    <mergeCell ref="L437:L438"/>
    <mergeCell ref="A439:A440"/>
    <mergeCell ref="B439:B440"/>
    <mergeCell ref="C439:C440"/>
    <mergeCell ref="D439:D440"/>
    <mergeCell ref="E439:E440"/>
    <mergeCell ref="F439:G440"/>
    <mergeCell ref="H439:H440"/>
    <mergeCell ref="I439:I440"/>
    <mergeCell ref="J439:J440"/>
    <mergeCell ref="K439:K440"/>
    <mergeCell ref="L439:L440"/>
    <mergeCell ref="A437:A438"/>
    <mergeCell ref="B437:B438"/>
    <mergeCell ref="C437:C438"/>
    <mergeCell ref="D437:D438"/>
    <mergeCell ref="E437:E438"/>
    <mergeCell ref="F437:G438"/>
    <mergeCell ref="H437:H438"/>
    <mergeCell ref="I437:I438"/>
    <mergeCell ref="J437:J438"/>
    <mergeCell ref="K441:K442"/>
    <mergeCell ref="L441:L442"/>
    <mergeCell ref="A443:A444"/>
    <mergeCell ref="B443:B444"/>
    <mergeCell ref="C443:C444"/>
    <mergeCell ref="D443:D444"/>
    <mergeCell ref="E443:E444"/>
    <mergeCell ref="F443:G444"/>
    <mergeCell ref="H443:H444"/>
    <mergeCell ref="I443:I444"/>
    <mergeCell ref="J443:J444"/>
    <mergeCell ref="K443:K444"/>
    <mergeCell ref="L443:L444"/>
    <mergeCell ref="A441:A442"/>
    <mergeCell ref="B441:B442"/>
    <mergeCell ref="C441:C442"/>
    <mergeCell ref="D441:D442"/>
    <mergeCell ref="E441:E442"/>
    <mergeCell ref="F441:G442"/>
    <mergeCell ref="H441:H442"/>
    <mergeCell ref="I441:I442"/>
    <mergeCell ref="J441:J442"/>
    <mergeCell ref="K445:K446"/>
    <mergeCell ref="L445:L446"/>
    <mergeCell ref="A447:A448"/>
    <mergeCell ref="B447:B448"/>
    <mergeCell ref="C447:C448"/>
    <mergeCell ref="D447:D448"/>
    <mergeCell ref="E447:E448"/>
    <mergeCell ref="F447:G448"/>
    <mergeCell ref="H447:H448"/>
    <mergeCell ref="I447:I448"/>
    <mergeCell ref="J447:J448"/>
    <mergeCell ref="K447:K448"/>
    <mergeCell ref="L447:L448"/>
    <mergeCell ref="A445:A446"/>
    <mergeCell ref="B445:B446"/>
    <mergeCell ref="C445:C446"/>
    <mergeCell ref="D445:D446"/>
    <mergeCell ref="E445:E446"/>
    <mergeCell ref="F445:G446"/>
    <mergeCell ref="H445:H446"/>
    <mergeCell ref="I445:I446"/>
    <mergeCell ref="J445:J446"/>
    <mergeCell ref="K449:K450"/>
    <mergeCell ref="L449:L450"/>
    <mergeCell ref="A451:A452"/>
    <mergeCell ref="B451:B452"/>
    <mergeCell ref="C451:C452"/>
    <mergeCell ref="D451:D452"/>
    <mergeCell ref="E451:E452"/>
    <mergeCell ref="F451:G452"/>
    <mergeCell ref="H451:H452"/>
    <mergeCell ref="I451:I452"/>
    <mergeCell ref="J451:J452"/>
    <mergeCell ref="K451:K452"/>
    <mergeCell ref="L451:L452"/>
    <mergeCell ref="A449:A450"/>
    <mergeCell ref="B449:B450"/>
    <mergeCell ref="C449:C450"/>
    <mergeCell ref="D449:D450"/>
    <mergeCell ref="E449:E450"/>
    <mergeCell ref="F449:G450"/>
    <mergeCell ref="H449:H450"/>
    <mergeCell ref="I449:I450"/>
    <mergeCell ref="J449:J450"/>
    <mergeCell ref="K453:K454"/>
    <mergeCell ref="L453:L454"/>
    <mergeCell ref="A455:A456"/>
    <mergeCell ref="B455:B456"/>
    <mergeCell ref="C455:C456"/>
    <mergeCell ref="D455:D456"/>
    <mergeCell ref="E455:E456"/>
    <mergeCell ref="F455:G456"/>
    <mergeCell ref="H455:H456"/>
    <mergeCell ref="I455:I456"/>
    <mergeCell ref="J455:J456"/>
    <mergeCell ref="K455:K456"/>
    <mergeCell ref="L455:L456"/>
    <mergeCell ref="A453:A454"/>
    <mergeCell ref="B453:B454"/>
    <mergeCell ref="C453:C454"/>
    <mergeCell ref="D453:D454"/>
    <mergeCell ref="E453:E454"/>
    <mergeCell ref="F453:G454"/>
    <mergeCell ref="H453:H454"/>
    <mergeCell ref="I453:I454"/>
    <mergeCell ref="J453:J454"/>
    <mergeCell ref="K457:K458"/>
    <mergeCell ref="L457:L458"/>
    <mergeCell ref="A459:A460"/>
    <mergeCell ref="B459:B460"/>
    <mergeCell ref="C459:C460"/>
    <mergeCell ref="D459:D460"/>
    <mergeCell ref="E459:E460"/>
    <mergeCell ref="F459:G460"/>
    <mergeCell ref="H459:H460"/>
    <mergeCell ref="I459:I460"/>
    <mergeCell ref="J459:J460"/>
    <mergeCell ref="K459:K460"/>
    <mergeCell ref="L459:L460"/>
    <mergeCell ref="A457:A458"/>
    <mergeCell ref="B457:B458"/>
    <mergeCell ref="C457:C458"/>
    <mergeCell ref="D457:D458"/>
    <mergeCell ref="E457:E458"/>
    <mergeCell ref="F457:G458"/>
    <mergeCell ref="H457:H458"/>
    <mergeCell ref="I457:I458"/>
    <mergeCell ref="J457:J458"/>
    <mergeCell ref="K461:K462"/>
    <mergeCell ref="L461:L462"/>
    <mergeCell ref="A463:A464"/>
    <mergeCell ref="B463:B464"/>
    <mergeCell ref="C463:C464"/>
    <mergeCell ref="D463:D464"/>
    <mergeCell ref="E463:E464"/>
    <mergeCell ref="F463:G464"/>
    <mergeCell ref="H463:H464"/>
    <mergeCell ref="I463:I464"/>
    <mergeCell ref="J463:J464"/>
    <mergeCell ref="K463:K464"/>
    <mergeCell ref="L463:L464"/>
    <mergeCell ref="A461:A462"/>
    <mergeCell ref="B461:B462"/>
    <mergeCell ref="C461:C462"/>
    <mergeCell ref="D461:D462"/>
    <mergeCell ref="E461:E462"/>
    <mergeCell ref="F461:G462"/>
    <mergeCell ref="H461:H462"/>
    <mergeCell ref="I461:I462"/>
    <mergeCell ref="J461:J462"/>
    <mergeCell ref="K465:K466"/>
    <mergeCell ref="L465:L466"/>
    <mergeCell ref="A467:A468"/>
    <mergeCell ref="B467:B468"/>
    <mergeCell ref="C467:C468"/>
    <mergeCell ref="D467:D468"/>
    <mergeCell ref="E467:E468"/>
    <mergeCell ref="F467:G468"/>
    <mergeCell ref="H467:H468"/>
    <mergeCell ref="I467:I468"/>
    <mergeCell ref="J467:J468"/>
    <mergeCell ref="K467:K468"/>
    <mergeCell ref="L467:L468"/>
    <mergeCell ref="A465:A466"/>
    <mergeCell ref="B465:B466"/>
    <mergeCell ref="C465:C466"/>
    <mergeCell ref="D465:D466"/>
    <mergeCell ref="E465:E466"/>
    <mergeCell ref="F465:G466"/>
    <mergeCell ref="H465:H466"/>
    <mergeCell ref="I465:I466"/>
    <mergeCell ref="J465:J466"/>
    <mergeCell ref="K469:K470"/>
    <mergeCell ref="L469:L470"/>
    <mergeCell ref="A471:A472"/>
    <mergeCell ref="B471:B472"/>
    <mergeCell ref="C471:C472"/>
    <mergeCell ref="D471:D472"/>
    <mergeCell ref="E471:E472"/>
    <mergeCell ref="F471:G472"/>
    <mergeCell ref="H471:H472"/>
    <mergeCell ref="I471:I472"/>
    <mergeCell ref="J471:J472"/>
    <mergeCell ref="K471:K472"/>
    <mergeCell ref="L471:L472"/>
    <mergeCell ref="A469:A470"/>
    <mergeCell ref="B469:B470"/>
    <mergeCell ref="C469:C470"/>
    <mergeCell ref="D469:D470"/>
    <mergeCell ref="E469:E470"/>
    <mergeCell ref="F469:G470"/>
    <mergeCell ref="H469:H470"/>
    <mergeCell ref="I469:I470"/>
    <mergeCell ref="J469:J470"/>
    <mergeCell ref="K473:K474"/>
    <mergeCell ref="L473:L474"/>
    <mergeCell ref="A475:A476"/>
    <mergeCell ref="B475:B476"/>
    <mergeCell ref="C475:C476"/>
    <mergeCell ref="D475:D476"/>
    <mergeCell ref="E475:E476"/>
    <mergeCell ref="F475:G476"/>
    <mergeCell ref="H475:H476"/>
    <mergeCell ref="I475:I476"/>
    <mergeCell ref="J475:J476"/>
    <mergeCell ref="K475:K476"/>
    <mergeCell ref="L475:L476"/>
    <mergeCell ref="A473:A474"/>
    <mergeCell ref="B473:B474"/>
    <mergeCell ref="C473:C474"/>
    <mergeCell ref="D473:D474"/>
    <mergeCell ref="E473:E474"/>
    <mergeCell ref="F473:G474"/>
    <mergeCell ref="H473:H474"/>
    <mergeCell ref="I473:I474"/>
    <mergeCell ref="J473:J474"/>
    <mergeCell ref="K477:K478"/>
    <mergeCell ref="L477:L478"/>
    <mergeCell ref="A479:A480"/>
    <mergeCell ref="B479:B480"/>
    <mergeCell ref="C479:C480"/>
    <mergeCell ref="D479:D480"/>
    <mergeCell ref="E479:E480"/>
    <mergeCell ref="F479:G480"/>
    <mergeCell ref="H479:H480"/>
    <mergeCell ref="I479:I480"/>
    <mergeCell ref="J479:J480"/>
    <mergeCell ref="K479:K480"/>
    <mergeCell ref="L479:L480"/>
    <mergeCell ref="A477:A478"/>
    <mergeCell ref="B477:B478"/>
    <mergeCell ref="C477:C478"/>
    <mergeCell ref="D477:D478"/>
    <mergeCell ref="E477:E478"/>
    <mergeCell ref="F477:G478"/>
    <mergeCell ref="H477:H478"/>
    <mergeCell ref="I477:I478"/>
    <mergeCell ref="J477:J478"/>
    <mergeCell ref="K481:K482"/>
    <mergeCell ref="L481:L482"/>
    <mergeCell ref="A483:A484"/>
    <mergeCell ref="B483:B484"/>
    <mergeCell ref="C483:C484"/>
    <mergeCell ref="D483:D484"/>
    <mergeCell ref="E483:E484"/>
    <mergeCell ref="F483:G484"/>
    <mergeCell ref="H483:H484"/>
    <mergeCell ref="I483:I484"/>
    <mergeCell ref="J483:J484"/>
    <mergeCell ref="K483:K484"/>
    <mergeCell ref="L483:L484"/>
    <mergeCell ref="A481:A482"/>
    <mergeCell ref="B481:B482"/>
    <mergeCell ref="C481:C482"/>
    <mergeCell ref="D481:D482"/>
    <mergeCell ref="E481:E482"/>
    <mergeCell ref="F481:G482"/>
    <mergeCell ref="H481:H482"/>
    <mergeCell ref="I481:I482"/>
    <mergeCell ref="J481:J482"/>
    <mergeCell ref="K485:K486"/>
    <mergeCell ref="L485:L486"/>
    <mergeCell ref="A487:A488"/>
    <mergeCell ref="B487:B488"/>
    <mergeCell ref="C487:C488"/>
    <mergeCell ref="D487:D488"/>
    <mergeCell ref="E487:E488"/>
    <mergeCell ref="F487:G488"/>
    <mergeCell ref="H487:H488"/>
    <mergeCell ref="I487:I488"/>
    <mergeCell ref="J487:J488"/>
    <mergeCell ref="K487:K488"/>
    <mergeCell ref="L487:L488"/>
    <mergeCell ref="A485:A486"/>
    <mergeCell ref="B485:B486"/>
    <mergeCell ref="C485:C486"/>
    <mergeCell ref="D485:D486"/>
    <mergeCell ref="E485:E486"/>
    <mergeCell ref="F485:G486"/>
    <mergeCell ref="H485:H486"/>
    <mergeCell ref="I485:I486"/>
    <mergeCell ref="J485:J486"/>
    <mergeCell ref="K489:K490"/>
    <mergeCell ref="L489:L490"/>
    <mergeCell ref="A491:A492"/>
    <mergeCell ref="B491:B492"/>
    <mergeCell ref="C491:C492"/>
    <mergeCell ref="D491:D492"/>
    <mergeCell ref="E491:E492"/>
    <mergeCell ref="F491:G492"/>
    <mergeCell ref="H491:H492"/>
    <mergeCell ref="I491:I492"/>
    <mergeCell ref="J491:J492"/>
    <mergeCell ref="K491:K492"/>
    <mergeCell ref="L491:L492"/>
    <mergeCell ref="A489:A490"/>
    <mergeCell ref="B489:B490"/>
    <mergeCell ref="C489:C490"/>
    <mergeCell ref="D489:D490"/>
    <mergeCell ref="E489:E490"/>
    <mergeCell ref="F489:G490"/>
    <mergeCell ref="H489:H490"/>
    <mergeCell ref="I489:I490"/>
    <mergeCell ref="J489:J490"/>
    <mergeCell ref="K493:K494"/>
    <mergeCell ref="L493:L494"/>
    <mergeCell ref="A495:A496"/>
    <mergeCell ref="B495:B496"/>
    <mergeCell ref="C495:C496"/>
    <mergeCell ref="D495:D496"/>
    <mergeCell ref="E495:E496"/>
    <mergeCell ref="F495:G496"/>
    <mergeCell ref="H495:H496"/>
    <mergeCell ref="I495:I496"/>
    <mergeCell ref="J495:J496"/>
    <mergeCell ref="K495:K496"/>
    <mergeCell ref="L495:L496"/>
    <mergeCell ref="A493:A494"/>
    <mergeCell ref="B493:B494"/>
    <mergeCell ref="C493:C494"/>
    <mergeCell ref="D493:D494"/>
    <mergeCell ref="E493:E494"/>
    <mergeCell ref="F493:G494"/>
    <mergeCell ref="H493:H494"/>
    <mergeCell ref="I493:I494"/>
    <mergeCell ref="J493:J494"/>
    <mergeCell ref="K497:K498"/>
    <mergeCell ref="L497:L498"/>
    <mergeCell ref="A499:A500"/>
    <mergeCell ref="B499:B500"/>
    <mergeCell ref="C499:C500"/>
    <mergeCell ref="D499:D500"/>
    <mergeCell ref="E499:E500"/>
    <mergeCell ref="F499:G500"/>
    <mergeCell ref="H499:H500"/>
    <mergeCell ref="I499:I500"/>
    <mergeCell ref="J499:J500"/>
    <mergeCell ref="K499:K500"/>
    <mergeCell ref="L499:L500"/>
    <mergeCell ref="A497:A498"/>
    <mergeCell ref="B497:B498"/>
    <mergeCell ref="C497:C498"/>
    <mergeCell ref="D497:D498"/>
    <mergeCell ref="E497:E498"/>
    <mergeCell ref="F497:G498"/>
    <mergeCell ref="H497:H498"/>
    <mergeCell ref="I497:I498"/>
    <mergeCell ref="J497:J498"/>
    <mergeCell ref="K501:K502"/>
    <mergeCell ref="L501:L502"/>
    <mergeCell ref="A503:A504"/>
    <mergeCell ref="B503:B504"/>
    <mergeCell ref="C503:C504"/>
    <mergeCell ref="D503:D504"/>
    <mergeCell ref="E503:E504"/>
    <mergeCell ref="F503:G504"/>
    <mergeCell ref="H503:H504"/>
    <mergeCell ref="I503:I504"/>
    <mergeCell ref="J503:J504"/>
    <mergeCell ref="K503:K504"/>
    <mergeCell ref="L503:L504"/>
    <mergeCell ref="A501:A502"/>
    <mergeCell ref="B501:B502"/>
    <mergeCell ref="C501:C502"/>
    <mergeCell ref="D501:D502"/>
    <mergeCell ref="E501:E502"/>
    <mergeCell ref="F501:G502"/>
    <mergeCell ref="H501:H502"/>
    <mergeCell ref="I501:I502"/>
    <mergeCell ref="J501:J502"/>
    <mergeCell ref="K505:K506"/>
    <mergeCell ref="L505:L506"/>
    <mergeCell ref="A509:A510"/>
    <mergeCell ref="B509:B510"/>
    <mergeCell ref="C509:C510"/>
    <mergeCell ref="D509:D510"/>
    <mergeCell ref="E509:E510"/>
    <mergeCell ref="F509:G510"/>
    <mergeCell ref="H509:H510"/>
    <mergeCell ref="I509:I510"/>
    <mergeCell ref="J509:J510"/>
    <mergeCell ref="K509:K510"/>
    <mergeCell ref="L509:L510"/>
    <mergeCell ref="A505:A506"/>
    <mergeCell ref="B505:B506"/>
    <mergeCell ref="C505:C506"/>
    <mergeCell ref="D505:D506"/>
    <mergeCell ref="E505:E506"/>
    <mergeCell ref="F505:G506"/>
    <mergeCell ref="H505:H506"/>
    <mergeCell ref="I505:I506"/>
    <mergeCell ref="J505:J506"/>
    <mergeCell ref="K511:K512"/>
    <mergeCell ref="L511:L512"/>
    <mergeCell ref="A513:A514"/>
    <mergeCell ref="B513:B514"/>
    <mergeCell ref="C513:C514"/>
    <mergeCell ref="D513:D514"/>
    <mergeCell ref="E513:E514"/>
    <mergeCell ref="F513:G514"/>
    <mergeCell ref="H513:H514"/>
    <mergeCell ref="I513:I514"/>
    <mergeCell ref="J513:J514"/>
    <mergeCell ref="K513:K514"/>
    <mergeCell ref="L513:L514"/>
    <mergeCell ref="A511:A512"/>
    <mergeCell ref="B511:B512"/>
    <mergeCell ref="C511:C512"/>
    <mergeCell ref="D511:D512"/>
    <mergeCell ref="E511:E512"/>
    <mergeCell ref="F511:G512"/>
    <mergeCell ref="H511:H512"/>
    <mergeCell ref="I511:I512"/>
    <mergeCell ref="J511:J512"/>
    <mergeCell ref="K515:K516"/>
    <mergeCell ref="L515:L516"/>
    <mergeCell ref="A517:A518"/>
    <mergeCell ref="B517:B518"/>
    <mergeCell ref="C517:C518"/>
    <mergeCell ref="D517:D518"/>
    <mergeCell ref="E517:E518"/>
    <mergeCell ref="F517:G518"/>
    <mergeCell ref="H517:H518"/>
    <mergeCell ref="I517:I518"/>
    <mergeCell ref="J517:J518"/>
    <mergeCell ref="K517:K518"/>
    <mergeCell ref="L517:L518"/>
    <mergeCell ref="A515:A516"/>
    <mergeCell ref="B515:B516"/>
    <mergeCell ref="C515:C516"/>
    <mergeCell ref="D515:D516"/>
    <mergeCell ref="E515:E516"/>
    <mergeCell ref="F515:G516"/>
    <mergeCell ref="H515:H516"/>
    <mergeCell ref="I515:I516"/>
    <mergeCell ref="J515:J516"/>
    <mergeCell ref="K519:K520"/>
    <mergeCell ref="L519:L520"/>
    <mergeCell ref="A521:A522"/>
    <mergeCell ref="B521:B522"/>
    <mergeCell ref="C521:C522"/>
    <mergeCell ref="D521:D522"/>
    <mergeCell ref="E521:E522"/>
    <mergeCell ref="F521:G522"/>
    <mergeCell ref="H521:H522"/>
    <mergeCell ref="I521:I522"/>
    <mergeCell ref="J521:J522"/>
    <mergeCell ref="K521:K522"/>
    <mergeCell ref="L521:L522"/>
    <mergeCell ref="A519:A520"/>
    <mergeCell ref="B519:B520"/>
    <mergeCell ref="C519:C520"/>
    <mergeCell ref="D519:D520"/>
    <mergeCell ref="E519:E520"/>
    <mergeCell ref="F519:G520"/>
    <mergeCell ref="H519:H520"/>
    <mergeCell ref="I519:I520"/>
    <mergeCell ref="J519:J520"/>
    <mergeCell ref="K523:K524"/>
    <mergeCell ref="L523:L524"/>
    <mergeCell ref="A525:A526"/>
    <mergeCell ref="B525:B526"/>
    <mergeCell ref="C525:C526"/>
    <mergeCell ref="D525:D526"/>
    <mergeCell ref="E525:E526"/>
    <mergeCell ref="F525:G526"/>
    <mergeCell ref="H525:H526"/>
    <mergeCell ref="I525:I526"/>
    <mergeCell ref="J525:J526"/>
    <mergeCell ref="K525:K526"/>
    <mergeCell ref="L525:L526"/>
    <mergeCell ref="A523:A524"/>
    <mergeCell ref="B523:B524"/>
    <mergeCell ref="C523:C524"/>
    <mergeCell ref="D523:D524"/>
    <mergeCell ref="E523:E524"/>
    <mergeCell ref="F523:G524"/>
    <mergeCell ref="H523:H524"/>
    <mergeCell ref="I523:I524"/>
    <mergeCell ref="J523:J524"/>
    <mergeCell ref="M3:M4"/>
    <mergeCell ref="M5:M6"/>
    <mergeCell ref="M7:M8"/>
    <mergeCell ref="M9:M10"/>
    <mergeCell ref="M11:M12"/>
    <mergeCell ref="M13:M14"/>
    <mergeCell ref="M15:M16"/>
    <mergeCell ref="M17:M18"/>
    <mergeCell ref="M19:M20"/>
    <mergeCell ref="M21:M22"/>
    <mergeCell ref="M23:M24"/>
    <mergeCell ref="M25:M26"/>
    <mergeCell ref="M27:M28"/>
    <mergeCell ref="M29:M30"/>
    <mergeCell ref="M31:M32"/>
    <mergeCell ref="M33:M34"/>
    <mergeCell ref="M35:M36"/>
    <mergeCell ref="M37:M38"/>
    <mergeCell ref="M39:M40"/>
    <mergeCell ref="M41:M42"/>
    <mergeCell ref="M43:M44"/>
    <mergeCell ref="M45:M46"/>
    <mergeCell ref="M47:M48"/>
    <mergeCell ref="M49:M50"/>
    <mergeCell ref="M51:M52"/>
    <mergeCell ref="M53:M54"/>
    <mergeCell ref="M55:M56"/>
    <mergeCell ref="M57:M58"/>
    <mergeCell ref="M59:M60"/>
    <mergeCell ref="M61:M62"/>
    <mergeCell ref="M63:M64"/>
    <mergeCell ref="M65:M66"/>
    <mergeCell ref="M67:M68"/>
    <mergeCell ref="M69:M70"/>
    <mergeCell ref="M71:M72"/>
    <mergeCell ref="M73:M74"/>
    <mergeCell ref="M75:M76"/>
    <mergeCell ref="M77:M78"/>
    <mergeCell ref="M79:M80"/>
    <mergeCell ref="M81:M82"/>
    <mergeCell ref="M83:M84"/>
    <mergeCell ref="M85:M86"/>
    <mergeCell ref="M87:M88"/>
    <mergeCell ref="M89:M90"/>
    <mergeCell ref="M91:M92"/>
    <mergeCell ref="M93:M94"/>
    <mergeCell ref="M95:M96"/>
    <mergeCell ref="M97:M98"/>
    <mergeCell ref="M99:M100"/>
    <mergeCell ref="M101:M102"/>
    <mergeCell ref="M103:M104"/>
    <mergeCell ref="M105:M106"/>
    <mergeCell ref="M107:M108"/>
    <mergeCell ref="M109:M110"/>
    <mergeCell ref="M111:M112"/>
    <mergeCell ref="M113:M114"/>
    <mergeCell ref="M115:M116"/>
    <mergeCell ref="M117:M118"/>
    <mergeCell ref="M119:M120"/>
    <mergeCell ref="M121:M122"/>
    <mergeCell ref="M123:M124"/>
    <mergeCell ref="M125:M126"/>
    <mergeCell ref="M127:M128"/>
    <mergeCell ref="M129:M130"/>
    <mergeCell ref="M131:M132"/>
    <mergeCell ref="M133:M134"/>
    <mergeCell ref="M135:M136"/>
    <mergeCell ref="M137:M138"/>
    <mergeCell ref="M139:M140"/>
    <mergeCell ref="M141:M142"/>
    <mergeCell ref="M143:M144"/>
    <mergeCell ref="M145:M146"/>
    <mergeCell ref="M147:M148"/>
    <mergeCell ref="M149:M150"/>
    <mergeCell ref="M151:M152"/>
    <mergeCell ref="M153:M154"/>
    <mergeCell ref="M155:M156"/>
    <mergeCell ref="M157:M158"/>
    <mergeCell ref="M159:M160"/>
    <mergeCell ref="M161:M162"/>
    <mergeCell ref="M163:M164"/>
    <mergeCell ref="M165:M166"/>
    <mergeCell ref="M167:M168"/>
    <mergeCell ref="M169:M170"/>
    <mergeCell ref="M171:M172"/>
    <mergeCell ref="M219:M220"/>
    <mergeCell ref="M221:M222"/>
    <mergeCell ref="M223:M224"/>
    <mergeCell ref="M225:M226"/>
    <mergeCell ref="M173:M174"/>
    <mergeCell ref="M175:M176"/>
    <mergeCell ref="M177:M178"/>
    <mergeCell ref="M179:M180"/>
    <mergeCell ref="M181:M182"/>
    <mergeCell ref="M183:M184"/>
    <mergeCell ref="M185:M186"/>
    <mergeCell ref="M187:M188"/>
    <mergeCell ref="M189:M190"/>
    <mergeCell ref="M191:M192"/>
    <mergeCell ref="M193:M194"/>
    <mergeCell ref="M195:M196"/>
    <mergeCell ref="M197:M198"/>
    <mergeCell ref="M201:M202"/>
    <mergeCell ref="M203:M204"/>
    <mergeCell ref="M205:M206"/>
    <mergeCell ref="M207:M208"/>
    <mergeCell ref="A199:A200"/>
    <mergeCell ref="B199:B200"/>
    <mergeCell ref="C199:C200"/>
    <mergeCell ref="D199:D200"/>
    <mergeCell ref="E199:E200"/>
    <mergeCell ref="F199:G200"/>
    <mergeCell ref="H199:H200"/>
    <mergeCell ref="I199:I200"/>
    <mergeCell ref="J199:J200"/>
    <mergeCell ref="K199:K200"/>
    <mergeCell ref="L199:L200"/>
    <mergeCell ref="M199:M200"/>
    <mergeCell ref="M209:M210"/>
    <mergeCell ref="M211:M212"/>
    <mergeCell ref="M213:M214"/>
    <mergeCell ref="M215:M216"/>
    <mergeCell ref="M217:M218"/>
    <mergeCell ref="K217:K218"/>
    <mergeCell ref="L217:L218"/>
    <mergeCell ref="K213:K214"/>
    <mergeCell ref="L213:L214"/>
    <mergeCell ref="A215:A216"/>
    <mergeCell ref="B215:B216"/>
    <mergeCell ref="C215:C216"/>
    <mergeCell ref="D215:D216"/>
    <mergeCell ref="E215:E216"/>
    <mergeCell ref="F215:G216"/>
    <mergeCell ref="H215:H216"/>
    <mergeCell ref="I215:I216"/>
    <mergeCell ref="J215:J216"/>
    <mergeCell ref="K215:K216"/>
    <mergeCell ref="L215:L216"/>
    <mergeCell ref="A527:A528"/>
    <mergeCell ref="B527:B528"/>
    <mergeCell ref="C527:C528"/>
    <mergeCell ref="D527:D528"/>
    <mergeCell ref="E527:E528"/>
    <mergeCell ref="F527:G528"/>
    <mergeCell ref="H527:H528"/>
    <mergeCell ref="I527:I528"/>
    <mergeCell ref="J527:J528"/>
    <mergeCell ref="K527:K528"/>
    <mergeCell ref="L527:L528"/>
    <mergeCell ref="A529:A530"/>
    <mergeCell ref="B529:B530"/>
    <mergeCell ref="C529:C530"/>
    <mergeCell ref="D529:D530"/>
    <mergeCell ref="E529:E530"/>
    <mergeCell ref="F529:G530"/>
    <mergeCell ref="H529:H530"/>
    <mergeCell ref="I529:I530"/>
    <mergeCell ref="J529:J530"/>
    <mergeCell ref="K529:K530"/>
    <mergeCell ref="L529:L530"/>
    <mergeCell ref="A533:A534"/>
    <mergeCell ref="B533:B534"/>
    <mergeCell ref="C533:C534"/>
    <mergeCell ref="D533:D534"/>
    <mergeCell ref="E533:E534"/>
    <mergeCell ref="F533:G534"/>
    <mergeCell ref="H533:H534"/>
    <mergeCell ref="I533:I534"/>
    <mergeCell ref="J533:J534"/>
    <mergeCell ref="K533:K534"/>
    <mergeCell ref="L533:L534"/>
    <mergeCell ref="A535:A536"/>
    <mergeCell ref="B535:B536"/>
    <mergeCell ref="C535:C536"/>
    <mergeCell ref="D535:D536"/>
    <mergeCell ref="E535:E536"/>
    <mergeCell ref="F535:G536"/>
    <mergeCell ref="H535:H536"/>
    <mergeCell ref="I535:I536"/>
    <mergeCell ref="J535:J536"/>
    <mergeCell ref="K535:K536"/>
    <mergeCell ref="L535:L536"/>
    <mergeCell ref="A537:A538"/>
    <mergeCell ref="B537:B538"/>
    <mergeCell ref="C537:C538"/>
    <mergeCell ref="D537:D538"/>
    <mergeCell ref="E537:E538"/>
    <mergeCell ref="F537:G538"/>
    <mergeCell ref="H537:H538"/>
    <mergeCell ref="I537:I538"/>
    <mergeCell ref="J537:J538"/>
    <mergeCell ref="K537:K538"/>
    <mergeCell ref="L537:L538"/>
    <mergeCell ref="A539:A540"/>
    <mergeCell ref="B539:B540"/>
    <mergeCell ref="C539:C540"/>
    <mergeCell ref="D539:D540"/>
    <mergeCell ref="E539:E540"/>
    <mergeCell ref="F539:G540"/>
    <mergeCell ref="H539:H540"/>
    <mergeCell ref="I539:I540"/>
    <mergeCell ref="J539:J540"/>
    <mergeCell ref="K539:K540"/>
    <mergeCell ref="L539:L540"/>
    <mergeCell ref="A541:A542"/>
    <mergeCell ref="B541:B542"/>
    <mergeCell ref="C541:C542"/>
    <mergeCell ref="D541:D542"/>
    <mergeCell ref="E541:E542"/>
    <mergeCell ref="F541:G542"/>
    <mergeCell ref="H541:H542"/>
    <mergeCell ref="I541:I542"/>
    <mergeCell ref="J541:J542"/>
    <mergeCell ref="K541:K542"/>
    <mergeCell ref="L541:L542"/>
    <mergeCell ref="A543:A544"/>
    <mergeCell ref="B543:B544"/>
    <mergeCell ref="C543:C544"/>
    <mergeCell ref="D543:D544"/>
    <mergeCell ref="E543:E544"/>
    <mergeCell ref="F543:G544"/>
    <mergeCell ref="H543:H544"/>
    <mergeCell ref="I543:I544"/>
    <mergeCell ref="J543:J544"/>
    <mergeCell ref="K543:K544"/>
    <mergeCell ref="L543:L544"/>
    <mergeCell ref="A545:A546"/>
    <mergeCell ref="B545:B546"/>
    <mergeCell ref="C545:C546"/>
    <mergeCell ref="D545:D546"/>
    <mergeCell ref="E545:E546"/>
    <mergeCell ref="F545:G546"/>
    <mergeCell ref="H545:H546"/>
    <mergeCell ref="I545:I546"/>
    <mergeCell ref="J545:J546"/>
    <mergeCell ref="K545:K546"/>
    <mergeCell ref="L545:L546"/>
    <mergeCell ref="A547:A548"/>
    <mergeCell ref="B547:B548"/>
    <mergeCell ref="C547:C548"/>
    <mergeCell ref="D547:D548"/>
    <mergeCell ref="E547:E548"/>
    <mergeCell ref="F547:G548"/>
    <mergeCell ref="H547:H548"/>
    <mergeCell ref="I547:I548"/>
    <mergeCell ref="J547:J548"/>
    <mergeCell ref="K547:K548"/>
    <mergeCell ref="L547:L548"/>
    <mergeCell ref="A549:A550"/>
    <mergeCell ref="B549:B550"/>
    <mergeCell ref="C549:C550"/>
    <mergeCell ref="D549:D550"/>
    <mergeCell ref="E549:E550"/>
    <mergeCell ref="F549:G550"/>
    <mergeCell ref="H549:H550"/>
    <mergeCell ref="I549:I550"/>
    <mergeCell ref="J549:J550"/>
    <mergeCell ref="K549:K550"/>
    <mergeCell ref="L549:L550"/>
    <mergeCell ref="A551:A552"/>
    <mergeCell ref="B551:B552"/>
    <mergeCell ref="C551:C552"/>
    <mergeCell ref="D551:D552"/>
    <mergeCell ref="E551:E552"/>
    <mergeCell ref="F551:G552"/>
    <mergeCell ref="H551:H552"/>
    <mergeCell ref="I551:I552"/>
    <mergeCell ref="J551:J552"/>
    <mergeCell ref="K551:K552"/>
    <mergeCell ref="L551:L552"/>
    <mergeCell ref="A553:A554"/>
    <mergeCell ref="B553:B554"/>
    <mergeCell ref="C553:C554"/>
    <mergeCell ref="D553:D554"/>
    <mergeCell ref="E553:E554"/>
    <mergeCell ref="F553:G554"/>
    <mergeCell ref="H553:H554"/>
    <mergeCell ref="I553:I554"/>
    <mergeCell ref="J553:J554"/>
    <mergeCell ref="K553:K554"/>
    <mergeCell ref="L553:L554"/>
    <mergeCell ref="A555:A556"/>
    <mergeCell ref="B555:B556"/>
    <mergeCell ref="C555:C556"/>
    <mergeCell ref="D555:D556"/>
    <mergeCell ref="E555:E556"/>
    <mergeCell ref="F555:G556"/>
    <mergeCell ref="H555:H556"/>
    <mergeCell ref="I555:I556"/>
    <mergeCell ref="J555:J556"/>
    <mergeCell ref="K555:K556"/>
    <mergeCell ref="L555:L556"/>
    <mergeCell ref="A557:A558"/>
    <mergeCell ref="B557:B558"/>
    <mergeCell ref="C557:C558"/>
    <mergeCell ref="D557:D558"/>
    <mergeCell ref="E557:E558"/>
    <mergeCell ref="F557:G558"/>
    <mergeCell ref="H557:H558"/>
    <mergeCell ref="I557:I558"/>
    <mergeCell ref="J557:J558"/>
    <mergeCell ref="K557:K558"/>
    <mergeCell ref="L557:L558"/>
    <mergeCell ref="A559:A560"/>
    <mergeCell ref="B559:B560"/>
    <mergeCell ref="C559:C560"/>
    <mergeCell ref="D559:D560"/>
    <mergeCell ref="E559:E560"/>
    <mergeCell ref="F559:G560"/>
    <mergeCell ref="H559:H560"/>
    <mergeCell ref="I559:I560"/>
    <mergeCell ref="J559:J560"/>
    <mergeCell ref="K559:K560"/>
    <mergeCell ref="L559:L560"/>
    <mergeCell ref="A561:A562"/>
    <mergeCell ref="B561:B562"/>
    <mergeCell ref="C561:C562"/>
    <mergeCell ref="D561:D562"/>
    <mergeCell ref="E561:E562"/>
    <mergeCell ref="F561:G562"/>
    <mergeCell ref="H561:H562"/>
    <mergeCell ref="I561:I562"/>
    <mergeCell ref="J561:J562"/>
    <mergeCell ref="K561:K562"/>
    <mergeCell ref="L561:L562"/>
    <mergeCell ref="A563:A564"/>
    <mergeCell ref="B563:B564"/>
    <mergeCell ref="C563:C564"/>
    <mergeCell ref="D563:D564"/>
    <mergeCell ref="E563:E564"/>
    <mergeCell ref="F563:G564"/>
    <mergeCell ref="H563:H564"/>
    <mergeCell ref="I563:I564"/>
    <mergeCell ref="J563:J564"/>
    <mergeCell ref="K563:K564"/>
    <mergeCell ref="L563:L564"/>
    <mergeCell ref="A565:A566"/>
    <mergeCell ref="B565:B566"/>
    <mergeCell ref="C565:C566"/>
    <mergeCell ref="D565:D566"/>
    <mergeCell ref="E565:E566"/>
    <mergeCell ref="F565:G566"/>
    <mergeCell ref="H565:H566"/>
    <mergeCell ref="I565:I566"/>
    <mergeCell ref="J565:J566"/>
    <mergeCell ref="K565:K566"/>
    <mergeCell ref="L565:L566"/>
    <mergeCell ref="A567:A568"/>
    <mergeCell ref="B567:B568"/>
    <mergeCell ref="C567:C568"/>
    <mergeCell ref="D567:D568"/>
    <mergeCell ref="E567:E568"/>
    <mergeCell ref="F567:G568"/>
    <mergeCell ref="H567:H568"/>
    <mergeCell ref="I567:I568"/>
    <mergeCell ref="J567:J568"/>
    <mergeCell ref="K567:K568"/>
    <mergeCell ref="L567:L568"/>
    <mergeCell ref="A569:A570"/>
    <mergeCell ref="B569:B570"/>
    <mergeCell ref="C569:C570"/>
    <mergeCell ref="D569:D570"/>
    <mergeCell ref="E569:E570"/>
    <mergeCell ref="F569:G570"/>
    <mergeCell ref="H569:H570"/>
    <mergeCell ref="I569:I570"/>
    <mergeCell ref="J569:J570"/>
    <mergeCell ref="K569:K570"/>
    <mergeCell ref="L569:L570"/>
    <mergeCell ref="A571:A572"/>
    <mergeCell ref="B571:B572"/>
    <mergeCell ref="C571:C572"/>
    <mergeCell ref="D571:D572"/>
    <mergeCell ref="E571:E572"/>
    <mergeCell ref="F571:G572"/>
    <mergeCell ref="H571:H572"/>
    <mergeCell ref="I571:I572"/>
    <mergeCell ref="J571:J572"/>
    <mergeCell ref="K571:K572"/>
    <mergeCell ref="L571:L572"/>
    <mergeCell ref="A573:A574"/>
    <mergeCell ref="B573:B574"/>
    <mergeCell ref="C573:C574"/>
    <mergeCell ref="D573:D574"/>
    <mergeCell ref="E573:E574"/>
    <mergeCell ref="F573:G574"/>
    <mergeCell ref="H573:H574"/>
    <mergeCell ref="I573:I574"/>
    <mergeCell ref="J573:J574"/>
    <mergeCell ref="K573:K574"/>
    <mergeCell ref="L573:L574"/>
    <mergeCell ref="A575:A576"/>
    <mergeCell ref="B575:B576"/>
    <mergeCell ref="C575:C576"/>
    <mergeCell ref="D575:D576"/>
    <mergeCell ref="E575:E576"/>
    <mergeCell ref="F575:G576"/>
    <mergeCell ref="H575:H576"/>
    <mergeCell ref="I575:I576"/>
    <mergeCell ref="J575:J576"/>
    <mergeCell ref="K575:K576"/>
    <mergeCell ref="L575:L576"/>
    <mergeCell ref="A577:A578"/>
    <mergeCell ref="B577:B578"/>
    <mergeCell ref="C577:C578"/>
    <mergeCell ref="D577:D578"/>
    <mergeCell ref="E577:E578"/>
    <mergeCell ref="F577:G578"/>
    <mergeCell ref="H577:H578"/>
    <mergeCell ref="I577:I578"/>
    <mergeCell ref="J577:J578"/>
    <mergeCell ref="K577:K578"/>
    <mergeCell ref="L577:L578"/>
    <mergeCell ref="A579:A580"/>
    <mergeCell ref="B579:B580"/>
    <mergeCell ref="C579:C580"/>
    <mergeCell ref="D579:D580"/>
    <mergeCell ref="E579:E580"/>
    <mergeCell ref="F579:G580"/>
    <mergeCell ref="H579:H580"/>
    <mergeCell ref="I579:I580"/>
    <mergeCell ref="J579:J580"/>
    <mergeCell ref="K579:K580"/>
    <mergeCell ref="L579:L580"/>
    <mergeCell ref="A581:A582"/>
    <mergeCell ref="B581:B582"/>
    <mergeCell ref="C581:C582"/>
    <mergeCell ref="D581:D582"/>
    <mergeCell ref="E581:E582"/>
    <mergeCell ref="F581:G582"/>
    <mergeCell ref="H581:H582"/>
    <mergeCell ref="I581:I582"/>
    <mergeCell ref="J581:J582"/>
    <mergeCell ref="K581:K582"/>
    <mergeCell ref="L581:L582"/>
    <mergeCell ref="A583:A584"/>
    <mergeCell ref="B583:B584"/>
    <mergeCell ref="C583:C584"/>
    <mergeCell ref="D583:D584"/>
    <mergeCell ref="E583:E584"/>
    <mergeCell ref="F583:G584"/>
    <mergeCell ref="H583:H584"/>
    <mergeCell ref="I583:I584"/>
    <mergeCell ref="J583:J584"/>
    <mergeCell ref="K583:K584"/>
    <mergeCell ref="L583:L584"/>
    <mergeCell ref="A585:A586"/>
    <mergeCell ref="B585:B586"/>
    <mergeCell ref="C585:C586"/>
    <mergeCell ref="D585:D586"/>
    <mergeCell ref="E585:E586"/>
    <mergeCell ref="F585:G586"/>
    <mergeCell ref="H585:H586"/>
    <mergeCell ref="I585:I586"/>
    <mergeCell ref="J585:J586"/>
    <mergeCell ref="K585:K586"/>
    <mergeCell ref="L585:L586"/>
    <mergeCell ref="A587:A588"/>
    <mergeCell ref="B587:B588"/>
    <mergeCell ref="C587:C588"/>
    <mergeCell ref="D587:D588"/>
    <mergeCell ref="E587:E588"/>
    <mergeCell ref="F587:G588"/>
    <mergeCell ref="H587:H588"/>
    <mergeCell ref="I587:I588"/>
    <mergeCell ref="J587:J588"/>
    <mergeCell ref="K587:K588"/>
    <mergeCell ref="L587:L588"/>
    <mergeCell ref="J591:J592"/>
    <mergeCell ref="K591:K592"/>
    <mergeCell ref="L591:L592"/>
    <mergeCell ref="A593:A594"/>
    <mergeCell ref="B593:B594"/>
    <mergeCell ref="C593:C594"/>
    <mergeCell ref="D593:D594"/>
    <mergeCell ref="E593:E594"/>
    <mergeCell ref="F593:G594"/>
    <mergeCell ref="H593:H594"/>
    <mergeCell ref="I593:I594"/>
    <mergeCell ref="J593:J594"/>
    <mergeCell ref="K593:K594"/>
    <mergeCell ref="L593:L594"/>
    <mergeCell ref="A595:A596"/>
    <mergeCell ref="B595:B596"/>
    <mergeCell ref="C595:C596"/>
    <mergeCell ref="D595:D596"/>
    <mergeCell ref="E595:E596"/>
    <mergeCell ref="F595:G596"/>
    <mergeCell ref="H595:H596"/>
    <mergeCell ref="I595:I596"/>
    <mergeCell ref="J595:J596"/>
    <mergeCell ref="K595:K596"/>
    <mergeCell ref="L595:L596"/>
    <mergeCell ref="A597:A598"/>
    <mergeCell ref="B597:B598"/>
    <mergeCell ref="C597:C598"/>
    <mergeCell ref="D597:D598"/>
    <mergeCell ref="E597:E598"/>
    <mergeCell ref="F597:G598"/>
    <mergeCell ref="H597:H598"/>
    <mergeCell ref="I597:I598"/>
    <mergeCell ref="J597:J598"/>
    <mergeCell ref="K597:K598"/>
    <mergeCell ref="L597:L598"/>
    <mergeCell ref="A599:A600"/>
    <mergeCell ref="B599:B600"/>
    <mergeCell ref="C599:C600"/>
    <mergeCell ref="D599:D600"/>
    <mergeCell ref="E599:E600"/>
    <mergeCell ref="F599:G600"/>
    <mergeCell ref="H599:H600"/>
    <mergeCell ref="I599:I600"/>
    <mergeCell ref="J599:J600"/>
    <mergeCell ref="K599:K600"/>
    <mergeCell ref="L599:L600"/>
    <mergeCell ref="A601:A602"/>
    <mergeCell ref="B601:B602"/>
    <mergeCell ref="C601:C602"/>
    <mergeCell ref="D601:D602"/>
    <mergeCell ref="E601:E602"/>
    <mergeCell ref="F601:G602"/>
    <mergeCell ref="H601:H602"/>
    <mergeCell ref="I601:I602"/>
    <mergeCell ref="J601:J602"/>
    <mergeCell ref="K601:K602"/>
    <mergeCell ref="L601:L602"/>
    <mergeCell ref="A603:A604"/>
    <mergeCell ref="B603:B604"/>
    <mergeCell ref="C603:C604"/>
    <mergeCell ref="D603:D604"/>
    <mergeCell ref="E603:E604"/>
    <mergeCell ref="F603:G604"/>
    <mergeCell ref="H603:H604"/>
    <mergeCell ref="I603:I604"/>
    <mergeCell ref="J603:J604"/>
    <mergeCell ref="K603:K604"/>
    <mergeCell ref="L603:L604"/>
    <mergeCell ref="A605:A606"/>
    <mergeCell ref="B605:B606"/>
    <mergeCell ref="C605:C606"/>
    <mergeCell ref="D605:D606"/>
    <mergeCell ref="E605:E606"/>
    <mergeCell ref="F605:G606"/>
    <mergeCell ref="H605:H606"/>
    <mergeCell ref="I605:I606"/>
    <mergeCell ref="J605:J606"/>
    <mergeCell ref="K605:K606"/>
    <mergeCell ref="L605:L606"/>
    <mergeCell ref="A607:A608"/>
    <mergeCell ref="B607:B608"/>
    <mergeCell ref="C607:C608"/>
    <mergeCell ref="D607:D608"/>
    <mergeCell ref="E607:E608"/>
    <mergeCell ref="F607:G608"/>
    <mergeCell ref="H607:H608"/>
    <mergeCell ref="I607:I608"/>
    <mergeCell ref="J607:J608"/>
    <mergeCell ref="K607:K608"/>
    <mergeCell ref="L607:L608"/>
    <mergeCell ref="A609:A610"/>
    <mergeCell ref="B609:B610"/>
    <mergeCell ref="C609:C610"/>
    <mergeCell ref="D609:D610"/>
    <mergeCell ref="E609:E610"/>
    <mergeCell ref="F609:G610"/>
    <mergeCell ref="H609:H610"/>
    <mergeCell ref="I609:I610"/>
    <mergeCell ref="J609:J610"/>
    <mergeCell ref="K609:K610"/>
    <mergeCell ref="L609:L610"/>
    <mergeCell ref="A611:A612"/>
    <mergeCell ref="B611:B612"/>
    <mergeCell ref="C611:C612"/>
    <mergeCell ref="D611:D612"/>
    <mergeCell ref="E611:E612"/>
    <mergeCell ref="F611:G612"/>
    <mergeCell ref="H611:H612"/>
    <mergeCell ref="I611:I612"/>
    <mergeCell ref="J611:J612"/>
    <mergeCell ref="K611:K612"/>
    <mergeCell ref="L611:L612"/>
    <mergeCell ref="A613:A614"/>
    <mergeCell ref="B613:B614"/>
    <mergeCell ref="C613:C614"/>
    <mergeCell ref="D613:D614"/>
    <mergeCell ref="E613:E614"/>
    <mergeCell ref="F613:G614"/>
    <mergeCell ref="H613:H614"/>
    <mergeCell ref="I613:I614"/>
    <mergeCell ref="J613:J614"/>
    <mergeCell ref="K613:K614"/>
    <mergeCell ref="L613:L614"/>
    <mergeCell ref="A615:A616"/>
    <mergeCell ref="B615:B616"/>
    <mergeCell ref="C615:C616"/>
    <mergeCell ref="D615:D616"/>
    <mergeCell ref="E615:E616"/>
    <mergeCell ref="F615:G616"/>
    <mergeCell ref="H615:H616"/>
    <mergeCell ref="I615:I616"/>
    <mergeCell ref="J615:J616"/>
    <mergeCell ref="K615:K616"/>
    <mergeCell ref="L615:L616"/>
    <mergeCell ref="A617:A618"/>
    <mergeCell ref="B617:B618"/>
    <mergeCell ref="C617:C618"/>
    <mergeCell ref="D617:D618"/>
    <mergeCell ref="E617:E618"/>
    <mergeCell ref="F617:G618"/>
    <mergeCell ref="H617:H618"/>
    <mergeCell ref="I617:I618"/>
    <mergeCell ref="J617:J618"/>
    <mergeCell ref="K617:K618"/>
    <mergeCell ref="L617:L618"/>
    <mergeCell ref="K625:K626"/>
    <mergeCell ref="L625:L626"/>
    <mergeCell ref="A619:A620"/>
    <mergeCell ref="B619:B620"/>
    <mergeCell ref="C619:C620"/>
    <mergeCell ref="D619:D620"/>
    <mergeCell ref="E619:E620"/>
    <mergeCell ref="F619:G620"/>
    <mergeCell ref="H619:H620"/>
    <mergeCell ref="I619:I620"/>
    <mergeCell ref="J619:J620"/>
    <mergeCell ref="K619:K620"/>
    <mergeCell ref="L619:L620"/>
    <mergeCell ref="A621:A622"/>
    <mergeCell ref="B621:B622"/>
    <mergeCell ref="C621:C622"/>
    <mergeCell ref="D621:D622"/>
    <mergeCell ref="E621:E622"/>
    <mergeCell ref="F621:G622"/>
    <mergeCell ref="H621:H622"/>
    <mergeCell ref="I621:I622"/>
    <mergeCell ref="J621:J622"/>
    <mergeCell ref="K621:K622"/>
    <mergeCell ref="L621:L622"/>
    <mergeCell ref="L627:L628"/>
    <mergeCell ref="A629:A630"/>
    <mergeCell ref="B629:B630"/>
    <mergeCell ref="C629:C630"/>
    <mergeCell ref="D629:D630"/>
    <mergeCell ref="E629:E630"/>
    <mergeCell ref="F629:G630"/>
    <mergeCell ref="H629:H630"/>
    <mergeCell ref="I629:I630"/>
    <mergeCell ref="J629:J630"/>
    <mergeCell ref="K629:K630"/>
    <mergeCell ref="L629:L630"/>
    <mergeCell ref="A623:A624"/>
    <mergeCell ref="B623:B624"/>
    <mergeCell ref="C623:C624"/>
    <mergeCell ref="D623:D624"/>
    <mergeCell ref="E623:E624"/>
    <mergeCell ref="F623:G624"/>
    <mergeCell ref="H623:H624"/>
    <mergeCell ref="I623:I624"/>
    <mergeCell ref="J623:J624"/>
    <mergeCell ref="K623:K624"/>
    <mergeCell ref="L623:L624"/>
    <mergeCell ref="A625:A626"/>
    <mergeCell ref="B625:B626"/>
    <mergeCell ref="C625:C626"/>
    <mergeCell ref="D625:D626"/>
    <mergeCell ref="E625:E626"/>
    <mergeCell ref="F625:G626"/>
    <mergeCell ref="H625:H626"/>
    <mergeCell ref="I625:I626"/>
    <mergeCell ref="J625:J626"/>
    <mergeCell ref="A631:A632"/>
    <mergeCell ref="B631:B632"/>
    <mergeCell ref="C631:C632"/>
    <mergeCell ref="D631:D632"/>
    <mergeCell ref="E631:E632"/>
    <mergeCell ref="F631:G632"/>
    <mergeCell ref="H631:H632"/>
    <mergeCell ref="I631:I632"/>
    <mergeCell ref="J631:J632"/>
    <mergeCell ref="K631:K632"/>
    <mergeCell ref="L631:L632"/>
    <mergeCell ref="A507:A508"/>
    <mergeCell ref="B507:B508"/>
    <mergeCell ref="C507:C508"/>
    <mergeCell ref="D507:D508"/>
    <mergeCell ref="E507:E508"/>
    <mergeCell ref="F507:G508"/>
    <mergeCell ref="H507:H508"/>
    <mergeCell ref="I507:I508"/>
    <mergeCell ref="J507:J508"/>
    <mergeCell ref="K507:K508"/>
    <mergeCell ref="L507:L508"/>
    <mergeCell ref="A627:A628"/>
    <mergeCell ref="B627:B628"/>
    <mergeCell ref="C627:C628"/>
    <mergeCell ref="D627:D628"/>
    <mergeCell ref="E627:E628"/>
    <mergeCell ref="F627:G628"/>
    <mergeCell ref="H627:H628"/>
    <mergeCell ref="I627:I628"/>
    <mergeCell ref="J627:J628"/>
    <mergeCell ref="K627:K628"/>
    <mergeCell ref="A635:A636"/>
    <mergeCell ref="B635:B636"/>
    <mergeCell ref="C635:C636"/>
    <mergeCell ref="D635:D636"/>
    <mergeCell ref="E635:E636"/>
    <mergeCell ref="F635:G636"/>
    <mergeCell ref="H635:H636"/>
    <mergeCell ref="I635:I636"/>
    <mergeCell ref="J635:J636"/>
    <mergeCell ref="K635:K636"/>
    <mergeCell ref="L635:L636"/>
    <mergeCell ref="A637:A638"/>
    <mergeCell ref="B637:B638"/>
    <mergeCell ref="C637:C638"/>
    <mergeCell ref="D637:D638"/>
    <mergeCell ref="E637:E638"/>
    <mergeCell ref="F637:G638"/>
    <mergeCell ref="H637:H638"/>
    <mergeCell ref="I637:I638"/>
    <mergeCell ref="J637:J638"/>
    <mergeCell ref="K637:K638"/>
    <mergeCell ref="L637:L638"/>
    <mergeCell ref="A639:A640"/>
    <mergeCell ref="B639:B640"/>
    <mergeCell ref="C639:C640"/>
    <mergeCell ref="D639:D640"/>
    <mergeCell ref="E639:E640"/>
    <mergeCell ref="F639:G640"/>
    <mergeCell ref="H639:H640"/>
    <mergeCell ref="I639:I640"/>
    <mergeCell ref="J639:J640"/>
    <mergeCell ref="K639:K640"/>
    <mergeCell ref="L639:L640"/>
    <mergeCell ref="A641:A642"/>
    <mergeCell ref="B641:B642"/>
    <mergeCell ref="C641:C642"/>
    <mergeCell ref="D641:D642"/>
    <mergeCell ref="E641:E642"/>
    <mergeCell ref="F641:G642"/>
    <mergeCell ref="H641:H642"/>
    <mergeCell ref="I641:I642"/>
    <mergeCell ref="J641:J642"/>
    <mergeCell ref="K641:K642"/>
    <mergeCell ref="L641:L642"/>
    <mergeCell ref="A643:A644"/>
    <mergeCell ref="B643:B644"/>
    <mergeCell ref="C643:C644"/>
    <mergeCell ref="D643:D644"/>
    <mergeCell ref="E643:E644"/>
    <mergeCell ref="F643:G644"/>
    <mergeCell ref="H643:H644"/>
    <mergeCell ref="I643:I644"/>
    <mergeCell ref="J643:J644"/>
    <mergeCell ref="K643:K644"/>
    <mergeCell ref="L643:L644"/>
    <mergeCell ref="A645:A646"/>
    <mergeCell ref="B645:B646"/>
    <mergeCell ref="C645:C646"/>
    <mergeCell ref="D645:D646"/>
    <mergeCell ref="E645:E646"/>
    <mergeCell ref="F645:G646"/>
    <mergeCell ref="H645:H646"/>
    <mergeCell ref="I645:I646"/>
    <mergeCell ref="J645:J646"/>
    <mergeCell ref="K645:K646"/>
    <mergeCell ref="L645:L646"/>
    <mergeCell ref="A647:A648"/>
    <mergeCell ref="B647:B648"/>
    <mergeCell ref="C647:C648"/>
    <mergeCell ref="D647:D648"/>
    <mergeCell ref="E647:E648"/>
    <mergeCell ref="F647:G648"/>
    <mergeCell ref="H647:H648"/>
    <mergeCell ref="I647:I648"/>
    <mergeCell ref="J647:J648"/>
    <mergeCell ref="K647:K648"/>
    <mergeCell ref="L647:L648"/>
    <mergeCell ref="A649:A650"/>
    <mergeCell ref="B649:B650"/>
    <mergeCell ref="C649:C650"/>
    <mergeCell ref="D649:D650"/>
    <mergeCell ref="E649:E650"/>
    <mergeCell ref="F649:G650"/>
    <mergeCell ref="H649:H650"/>
    <mergeCell ref="I649:I650"/>
    <mergeCell ref="J649:J650"/>
    <mergeCell ref="K649:K650"/>
    <mergeCell ref="L649:L650"/>
    <mergeCell ref="A651:A652"/>
    <mergeCell ref="B651:B652"/>
    <mergeCell ref="C651:C652"/>
    <mergeCell ref="D651:D652"/>
    <mergeCell ref="E651:E652"/>
    <mergeCell ref="F651:G652"/>
    <mergeCell ref="H651:H652"/>
    <mergeCell ref="I651:I652"/>
    <mergeCell ref="J651:J652"/>
    <mergeCell ref="K651:K652"/>
    <mergeCell ref="L651:L652"/>
    <mergeCell ref="A653:A654"/>
    <mergeCell ref="B653:B654"/>
    <mergeCell ref="C653:C654"/>
    <mergeCell ref="D653:D654"/>
    <mergeCell ref="E653:E654"/>
    <mergeCell ref="F653:G654"/>
    <mergeCell ref="H653:H654"/>
    <mergeCell ref="I653:I654"/>
    <mergeCell ref="J653:J654"/>
    <mergeCell ref="K653:K654"/>
    <mergeCell ref="L653:L654"/>
    <mergeCell ref="A655:A656"/>
    <mergeCell ref="B655:B656"/>
    <mergeCell ref="C655:C656"/>
    <mergeCell ref="D655:D656"/>
    <mergeCell ref="E655:E656"/>
    <mergeCell ref="F655:G656"/>
    <mergeCell ref="H655:H656"/>
    <mergeCell ref="I655:I656"/>
    <mergeCell ref="J655:J656"/>
    <mergeCell ref="K655:K656"/>
    <mergeCell ref="L655:L656"/>
    <mergeCell ref="A657:A658"/>
    <mergeCell ref="B657:B658"/>
    <mergeCell ref="C657:C658"/>
    <mergeCell ref="D657:D658"/>
    <mergeCell ref="E657:E658"/>
    <mergeCell ref="F657:G658"/>
    <mergeCell ref="H657:H658"/>
    <mergeCell ref="I657:I658"/>
    <mergeCell ref="J657:J658"/>
    <mergeCell ref="K657:K658"/>
    <mergeCell ref="L657:L658"/>
    <mergeCell ref="A659:A660"/>
    <mergeCell ref="B659:B660"/>
    <mergeCell ref="C659:C660"/>
    <mergeCell ref="D659:D660"/>
    <mergeCell ref="E659:E660"/>
    <mergeCell ref="F659:G660"/>
    <mergeCell ref="H659:H660"/>
    <mergeCell ref="I659:I660"/>
    <mergeCell ref="J659:J660"/>
    <mergeCell ref="K659:K660"/>
    <mergeCell ref="L659:L660"/>
    <mergeCell ref="A661:A662"/>
    <mergeCell ref="B661:B662"/>
    <mergeCell ref="C661:C662"/>
    <mergeCell ref="D661:D662"/>
    <mergeCell ref="E661:E662"/>
    <mergeCell ref="F661:G662"/>
    <mergeCell ref="H661:H662"/>
    <mergeCell ref="I661:I662"/>
    <mergeCell ref="J661:J662"/>
    <mergeCell ref="K661:K662"/>
    <mergeCell ref="L661:L662"/>
    <mergeCell ref="A663:A664"/>
    <mergeCell ref="B663:B664"/>
    <mergeCell ref="C663:C664"/>
    <mergeCell ref="D663:D664"/>
    <mergeCell ref="E663:E664"/>
    <mergeCell ref="F663:G664"/>
    <mergeCell ref="H663:H664"/>
    <mergeCell ref="I663:I664"/>
    <mergeCell ref="J663:J664"/>
    <mergeCell ref="K663:K664"/>
    <mergeCell ref="L663:L664"/>
    <mergeCell ref="A665:A666"/>
    <mergeCell ref="B665:B666"/>
    <mergeCell ref="C665:C666"/>
    <mergeCell ref="D665:D666"/>
    <mergeCell ref="E665:E666"/>
    <mergeCell ref="F665:G666"/>
    <mergeCell ref="H665:H666"/>
    <mergeCell ref="I665:I666"/>
    <mergeCell ref="J665:J666"/>
    <mergeCell ref="K665:K666"/>
    <mergeCell ref="L665:L666"/>
    <mergeCell ref="A667:A668"/>
    <mergeCell ref="B667:B668"/>
    <mergeCell ref="C667:C668"/>
    <mergeCell ref="D667:D668"/>
    <mergeCell ref="E667:E668"/>
    <mergeCell ref="F667:G668"/>
    <mergeCell ref="H667:H668"/>
    <mergeCell ref="I667:I668"/>
    <mergeCell ref="J667:J668"/>
    <mergeCell ref="K667:K668"/>
    <mergeCell ref="L667:L668"/>
    <mergeCell ref="A669:A670"/>
    <mergeCell ref="B669:B670"/>
    <mergeCell ref="C669:C670"/>
    <mergeCell ref="D669:D670"/>
    <mergeCell ref="E669:E670"/>
    <mergeCell ref="F669:G670"/>
    <mergeCell ref="H669:H670"/>
    <mergeCell ref="I669:I670"/>
    <mergeCell ref="J669:J670"/>
    <mergeCell ref="K669:K670"/>
    <mergeCell ref="L669:L670"/>
    <mergeCell ref="A671:A672"/>
    <mergeCell ref="B671:B672"/>
    <mergeCell ref="C671:C672"/>
    <mergeCell ref="D671:D672"/>
    <mergeCell ref="E671:E672"/>
    <mergeCell ref="F671:G672"/>
    <mergeCell ref="H671:H672"/>
    <mergeCell ref="I671:I672"/>
    <mergeCell ref="J671:J672"/>
    <mergeCell ref="K671:K672"/>
    <mergeCell ref="L671:L672"/>
    <mergeCell ref="A673:A674"/>
    <mergeCell ref="B673:B674"/>
    <mergeCell ref="C673:C674"/>
    <mergeCell ref="D673:D674"/>
    <mergeCell ref="E673:E674"/>
    <mergeCell ref="F673:G674"/>
    <mergeCell ref="H673:H674"/>
    <mergeCell ref="I673:I674"/>
    <mergeCell ref="J673:J674"/>
    <mergeCell ref="K673:K674"/>
    <mergeCell ref="L673:L674"/>
    <mergeCell ref="A675:A676"/>
    <mergeCell ref="B675:B676"/>
    <mergeCell ref="C675:C676"/>
    <mergeCell ref="D675:D676"/>
    <mergeCell ref="E675:E676"/>
    <mergeCell ref="F675:G676"/>
    <mergeCell ref="H675:H676"/>
    <mergeCell ref="I675:I676"/>
    <mergeCell ref="J675:J676"/>
    <mergeCell ref="K675:K676"/>
    <mergeCell ref="L675:L676"/>
    <mergeCell ref="A677:A678"/>
    <mergeCell ref="B677:B678"/>
    <mergeCell ref="C677:C678"/>
    <mergeCell ref="D677:D678"/>
    <mergeCell ref="E677:E678"/>
    <mergeCell ref="F677:G678"/>
    <mergeCell ref="H677:H678"/>
    <mergeCell ref="I677:I678"/>
    <mergeCell ref="J677:J678"/>
    <mergeCell ref="K677:K678"/>
    <mergeCell ref="L677:L678"/>
    <mergeCell ref="A679:A680"/>
    <mergeCell ref="B679:B680"/>
    <mergeCell ref="C679:C680"/>
    <mergeCell ref="D679:D680"/>
    <mergeCell ref="E679:E680"/>
    <mergeCell ref="F679:G680"/>
    <mergeCell ref="H679:H680"/>
    <mergeCell ref="I679:I680"/>
    <mergeCell ref="J679:J680"/>
    <mergeCell ref="K679:K680"/>
    <mergeCell ref="L679:L680"/>
    <mergeCell ref="A681:A682"/>
    <mergeCell ref="B681:B682"/>
    <mergeCell ref="C681:C682"/>
    <mergeCell ref="D681:D682"/>
    <mergeCell ref="E681:E682"/>
    <mergeCell ref="F681:G682"/>
    <mergeCell ref="H681:H682"/>
    <mergeCell ref="I681:I682"/>
    <mergeCell ref="J681:J682"/>
    <mergeCell ref="K681:K682"/>
    <mergeCell ref="L681:L682"/>
    <mergeCell ref="A683:A684"/>
    <mergeCell ref="B683:B684"/>
    <mergeCell ref="C683:C684"/>
    <mergeCell ref="D683:D684"/>
    <mergeCell ref="E683:E684"/>
    <mergeCell ref="F683:G684"/>
    <mergeCell ref="H683:H684"/>
    <mergeCell ref="I683:I684"/>
    <mergeCell ref="J683:J684"/>
    <mergeCell ref="K683:K684"/>
    <mergeCell ref="L683:L684"/>
    <mergeCell ref="A685:A686"/>
    <mergeCell ref="B685:B686"/>
    <mergeCell ref="C685:C686"/>
    <mergeCell ref="D685:D686"/>
    <mergeCell ref="E685:E686"/>
    <mergeCell ref="F685:G686"/>
    <mergeCell ref="H685:H686"/>
    <mergeCell ref="I685:I686"/>
    <mergeCell ref="J685:J686"/>
    <mergeCell ref="K685:K686"/>
    <mergeCell ref="L685:L686"/>
    <mergeCell ref="A687:A688"/>
    <mergeCell ref="B687:B688"/>
    <mergeCell ref="C687:C688"/>
    <mergeCell ref="D687:D688"/>
    <mergeCell ref="E687:E688"/>
    <mergeCell ref="F687:G688"/>
    <mergeCell ref="H687:H688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F689:G690"/>
    <mergeCell ref="H689:H690"/>
    <mergeCell ref="I689:I690"/>
    <mergeCell ref="J689:J690"/>
    <mergeCell ref="K689:K690"/>
    <mergeCell ref="L689:L690"/>
    <mergeCell ref="A691:A692"/>
    <mergeCell ref="B691:B692"/>
    <mergeCell ref="C691:C692"/>
    <mergeCell ref="D691:D692"/>
    <mergeCell ref="E691:E692"/>
    <mergeCell ref="F691:G692"/>
    <mergeCell ref="H691:H692"/>
    <mergeCell ref="I691:I692"/>
    <mergeCell ref="J691:J692"/>
    <mergeCell ref="K691:K692"/>
    <mergeCell ref="L691:L692"/>
    <mergeCell ref="A693:A694"/>
    <mergeCell ref="B693:B694"/>
    <mergeCell ref="C693:C694"/>
    <mergeCell ref="D693:D694"/>
    <mergeCell ref="E693:E694"/>
    <mergeCell ref="F693:G694"/>
    <mergeCell ref="H693:H694"/>
    <mergeCell ref="I693:I694"/>
    <mergeCell ref="J693:J694"/>
    <mergeCell ref="K693:K694"/>
    <mergeCell ref="L693:L694"/>
    <mergeCell ref="A695:A696"/>
    <mergeCell ref="B695:B696"/>
    <mergeCell ref="C695:C696"/>
    <mergeCell ref="D695:D696"/>
    <mergeCell ref="E695:E696"/>
    <mergeCell ref="F695:G696"/>
    <mergeCell ref="H695:H696"/>
    <mergeCell ref="I695:I696"/>
    <mergeCell ref="J695:J696"/>
    <mergeCell ref="K695:K696"/>
    <mergeCell ref="L695:L696"/>
    <mergeCell ref="A697:A698"/>
    <mergeCell ref="B697:B698"/>
    <mergeCell ref="C697:C698"/>
    <mergeCell ref="D697:D698"/>
    <mergeCell ref="E697:E698"/>
    <mergeCell ref="F697:G698"/>
    <mergeCell ref="H697:H698"/>
    <mergeCell ref="I697:I698"/>
    <mergeCell ref="J697:J698"/>
    <mergeCell ref="K697:K698"/>
    <mergeCell ref="L697:L698"/>
    <mergeCell ref="A699:A700"/>
    <mergeCell ref="B699:B700"/>
    <mergeCell ref="C699:C700"/>
    <mergeCell ref="D699:D700"/>
    <mergeCell ref="E699:E700"/>
    <mergeCell ref="F699:G700"/>
    <mergeCell ref="H699:H700"/>
    <mergeCell ref="I699:I700"/>
    <mergeCell ref="J699:J700"/>
    <mergeCell ref="K699:K700"/>
    <mergeCell ref="L699:L700"/>
    <mergeCell ref="A701:A702"/>
    <mergeCell ref="B701:B702"/>
    <mergeCell ref="C701:C702"/>
    <mergeCell ref="D701:D702"/>
    <mergeCell ref="E701:E702"/>
    <mergeCell ref="F701:G702"/>
    <mergeCell ref="H701:H702"/>
    <mergeCell ref="I701:I702"/>
    <mergeCell ref="J701:J702"/>
    <mergeCell ref="K701:K702"/>
    <mergeCell ref="L701:L702"/>
    <mergeCell ref="A703:A704"/>
    <mergeCell ref="B703:B704"/>
    <mergeCell ref="C703:C704"/>
    <mergeCell ref="D703:D704"/>
    <mergeCell ref="E703:E704"/>
    <mergeCell ref="F703:G704"/>
    <mergeCell ref="H703:H704"/>
    <mergeCell ref="I703:I704"/>
    <mergeCell ref="J703:J704"/>
    <mergeCell ref="K703:K704"/>
    <mergeCell ref="L703:L704"/>
    <mergeCell ref="A705:A706"/>
    <mergeCell ref="B705:B706"/>
    <mergeCell ref="C705:C706"/>
    <mergeCell ref="D705:D706"/>
    <mergeCell ref="E705:E706"/>
    <mergeCell ref="F705:G706"/>
    <mergeCell ref="H705:H706"/>
    <mergeCell ref="I705:I706"/>
    <mergeCell ref="J705:J706"/>
    <mergeCell ref="K705:K706"/>
    <mergeCell ref="L705:L706"/>
    <mergeCell ref="A707:A708"/>
    <mergeCell ref="B707:B708"/>
    <mergeCell ref="C707:C708"/>
    <mergeCell ref="D707:D708"/>
    <mergeCell ref="E707:E708"/>
    <mergeCell ref="F707:G708"/>
    <mergeCell ref="H707:H708"/>
    <mergeCell ref="I707:I708"/>
    <mergeCell ref="J707:J708"/>
    <mergeCell ref="K707:K708"/>
    <mergeCell ref="L707:L708"/>
    <mergeCell ref="A709:A710"/>
    <mergeCell ref="B709:B710"/>
    <mergeCell ref="C709:C710"/>
    <mergeCell ref="D709:D710"/>
    <mergeCell ref="E709:E710"/>
    <mergeCell ref="F709:G710"/>
    <mergeCell ref="H709:H710"/>
    <mergeCell ref="I709:I710"/>
    <mergeCell ref="J709:J710"/>
    <mergeCell ref="K709:K710"/>
    <mergeCell ref="L709:L710"/>
    <mergeCell ref="A711:A712"/>
    <mergeCell ref="B711:B712"/>
    <mergeCell ref="C711:C712"/>
    <mergeCell ref="D711:D712"/>
    <mergeCell ref="E711:E712"/>
    <mergeCell ref="F711:G712"/>
    <mergeCell ref="H711:H712"/>
    <mergeCell ref="I711:I712"/>
    <mergeCell ref="J711:J712"/>
    <mergeCell ref="K711:K712"/>
    <mergeCell ref="L711:L712"/>
    <mergeCell ref="A713:A714"/>
    <mergeCell ref="B713:B714"/>
    <mergeCell ref="C713:C714"/>
    <mergeCell ref="D713:D714"/>
    <mergeCell ref="E713:E714"/>
    <mergeCell ref="F713:G714"/>
    <mergeCell ref="H713:H714"/>
    <mergeCell ref="I713:I714"/>
    <mergeCell ref="J713:J714"/>
    <mergeCell ref="K713:K714"/>
    <mergeCell ref="L713:L714"/>
    <mergeCell ref="A715:A716"/>
    <mergeCell ref="B715:B716"/>
    <mergeCell ref="C715:C716"/>
    <mergeCell ref="D715:D716"/>
    <mergeCell ref="E715:E716"/>
    <mergeCell ref="F715:G716"/>
    <mergeCell ref="H715:H716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F717:G718"/>
    <mergeCell ref="H717:H718"/>
    <mergeCell ref="I717:I718"/>
    <mergeCell ref="J717:J718"/>
    <mergeCell ref="K717:K718"/>
    <mergeCell ref="L717:L718"/>
    <mergeCell ref="A719:A720"/>
    <mergeCell ref="B719:B720"/>
    <mergeCell ref="C719:C720"/>
    <mergeCell ref="D719:D720"/>
    <mergeCell ref="E719:E720"/>
    <mergeCell ref="F719:G720"/>
    <mergeCell ref="H719:H720"/>
    <mergeCell ref="I719:I720"/>
    <mergeCell ref="J719:J720"/>
    <mergeCell ref="K719:K720"/>
    <mergeCell ref="L719:L720"/>
    <mergeCell ref="A721:A722"/>
    <mergeCell ref="B721:B722"/>
    <mergeCell ref="C721:C722"/>
    <mergeCell ref="D721:D722"/>
    <mergeCell ref="E721:E722"/>
    <mergeCell ref="F721:G722"/>
    <mergeCell ref="H721:H722"/>
    <mergeCell ref="I721:I722"/>
    <mergeCell ref="J721:J722"/>
    <mergeCell ref="K721:K722"/>
    <mergeCell ref="L721:L722"/>
    <mergeCell ref="A723:A724"/>
    <mergeCell ref="B723:B724"/>
    <mergeCell ref="C723:C724"/>
    <mergeCell ref="D723:D724"/>
    <mergeCell ref="E723:E724"/>
    <mergeCell ref="F723:G724"/>
    <mergeCell ref="H723:H724"/>
    <mergeCell ref="I723:I724"/>
    <mergeCell ref="J723:J724"/>
    <mergeCell ref="K723:K724"/>
    <mergeCell ref="L723:L724"/>
    <mergeCell ref="A725:A726"/>
    <mergeCell ref="B725:B726"/>
    <mergeCell ref="C725:C726"/>
    <mergeCell ref="D725:D726"/>
    <mergeCell ref="E725:E726"/>
    <mergeCell ref="F725:G726"/>
    <mergeCell ref="H725:H726"/>
    <mergeCell ref="I725:I726"/>
    <mergeCell ref="J725:J726"/>
    <mergeCell ref="K725:K726"/>
    <mergeCell ref="L725:L726"/>
    <mergeCell ref="A727:A728"/>
    <mergeCell ref="B727:B728"/>
    <mergeCell ref="C727:C728"/>
    <mergeCell ref="D727:D728"/>
    <mergeCell ref="E727:E728"/>
    <mergeCell ref="F727:G728"/>
    <mergeCell ref="H727:H728"/>
    <mergeCell ref="I727:I728"/>
    <mergeCell ref="J727:J728"/>
    <mergeCell ref="K727:K728"/>
    <mergeCell ref="L727:L728"/>
    <mergeCell ref="A729:A730"/>
    <mergeCell ref="B729:B730"/>
    <mergeCell ref="C729:C730"/>
    <mergeCell ref="D729:D730"/>
    <mergeCell ref="E729:E730"/>
    <mergeCell ref="F729:G730"/>
    <mergeCell ref="H729:H730"/>
    <mergeCell ref="I729:I730"/>
    <mergeCell ref="J729:J730"/>
    <mergeCell ref="K729:K730"/>
    <mergeCell ref="L729:L730"/>
    <mergeCell ref="A731:A732"/>
    <mergeCell ref="B731:B732"/>
    <mergeCell ref="C731:C732"/>
    <mergeCell ref="D731:D732"/>
    <mergeCell ref="E731:E732"/>
    <mergeCell ref="F731:G732"/>
    <mergeCell ref="H731:H732"/>
    <mergeCell ref="I731:I732"/>
    <mergeCell ref="J731:J732"/>
    <mergeCell ref="K731:K732"/>
    <mergeCell ref="L731:L732"/>
    <mergeCell ref="A733:A734"/>
    <mergeCell ref="B733:B734"/>
    <mergeCell ref="C733:C734"/>
    <mergeCell ref="D733:D734"/>
    <mergeCell ref="E733:E734"/>
    <mergeCell ref="F733:G734"/>
    <mergeCell ref="H733:H734"/>
    <mergeCell ref="I733:I734"/>
    <mergeCell ref="J733:J734"/>
    <mergeCell ref="K733:K734"/>
    <mergeCell ref="L733:L734"/>
    <mergeCell ref="A735:A736"/>
    <mergeCell ref="B735:B736"/>
    <mergeCell ref="C735:C736"/>
    <mergeCell ref="D735:D736"/>
    <mergeCell ref="E735:E736"/>
    <mergeCell ref="F735:G736"/>
    <mergeCell ref="H735:H736"/>
    <mergeCell ref="I735:I736"/>
    <mergeCell ref="J735:J736"/>
    <mergeCell ref="K735:K736"/>
    <mergeCell ref="L735:L736"/>
    <mergeCell ref="A737:A738"/>
    <mergeCell ref="B737:B738"/>
    <mergeCell ref="C737:C738"/>
    <mergeCell ref="D737:D738"/>
    <mergeCell ref="E737:E738"/>
    <mergeCell ref="F737:G738"/>
    <mergeCell ref="H737:H738"/>
    <mergeCell ref="I737:I738"/>
    <mergeCell ref="J737:J738"/>
    <mergeCell ref="K737:K738"/>
    <mergeCell ref="L737:L738"/>
    <mergeCell ref="H745:H746"/>
    <mergeCell ref="I745:I746"/>
    <mergeCell ref="J745:J746"/>
    <mergeCell ref="K745:K746"/>
    <mergeCell ref="L745:L746"/>
    <mergeCell ref="A739:A740"/>
    <mergeCell ref="B739:B740"/>
    <mergeCell ref="C739:C740"/>
    <mergeCell ref="D739:D740"/>
    <mergeCell ref="E739:E740"/>
    <mergeCell ref="F739:G740"/>
    <mergeCell ref="H739:H740"/>
    <mergeCell ref="I739:I740"/>
    <mergeCell ref="J739:J740"/>
    <mergeCell ref="K739:K740"/>
    <mergeCell ref="L739:L740"/>
    <mergeCell ref="A741:A742"/>
    <mergeCell ref="B741:B742"/>
    <mergeCell ref="C741:C742"/>
    <mergeCell ref="D741:D742"/>
    <mergeCell ref="E741:E742"/>
    <mergeCell ref="F741:G742"/>
    <mergeCell ref="H741:H742"/>
    <mergeCell ref="I741:I742"/>
    <mergeCell ref="J741:J742"/>
    <mergeCell ref="K741:K742"/>
    <mergeCell ref="L741:L742"/>
    <mergeCell ref="I747:I748"/>
    <mergeCell ref="J747:J748"/>
    <mergeCell ref="K747:K748"/>
    <mergeCell ref="L747:L748"/>
    <mergeCell ref="A749:A750"/>
    <mergeCell ref="B749:B750"/>
    <mergeCell ref="C749:C750"/>
    <mergeCell ref="D749:D750"/>
    <mergeCell ref="E749:E750"/>
    <mergeCell ref="F749:G750"/>
    <mergeCell ref="H749:H750"/>
    <mergeCell ref="I749:I750"/>
    <mergeCell ref="J749:J750"/>
    <mergeCell ref="K749:K750"/>
    <mergeCell ref="L749:L750"/>
    <mergeCell ref="A743:A744"/>
    <mergeCell ref="B743:B744"/>
    <mergeCell ref="C743:C744"/>
    <mergeCell ref="D743:D744"/>
    <mergeCell ref="E743:E744"/>
    <mergeCell ref="F743:G744"/>
    <mergeCell ref="H743:H744"/>
    <mergeCell ref="I743:I744"/>
    <mergeCell ref="J743:J744"/>
    <mergeCell ref="K743:K744"/>
    <mergeCell ref="L743:L744"/>
    <mergeCell ref="A745:A746"/>
    <mergeCell ref="B745:B746"/>
    <mergeCell ref="C745:C746"/>
    <mergeCell ref="D745:D746"/>
    <mergeCell ref="E745:E746"/>
    <mergeCell ref="F745:G746"/>
    <mergeCell ref="E767:E768"/>
    <mergeCell ref="F759:G760"/>
    <mergeCell ref="H759:H760"/>
    <mergeCell ref="I759:I760"/>
    <mergeCell ref="J759:J760"/>
    <mergeCell ref="K759:K760"/>
    <mergeCell ref="L759:L760"/>
    <mergeCell ref="A751:A752"/>
    <mergeCell ref="B751:B752"/>
    <mergeCell ref="C751:C752"/>
    <mergeCell ref="D751:D752"/>
    <mergeCell ref="E751:E752"/>
    <mergeCell ref="F751:G752"/>
    <mergeCell ref="H751:H752"/>
    <mergeCell ref="I751:I752"/>
    <mergeCell ref="J751:J752"/>
    <mergeCell ref="K751:K752"/>
    <mergeCell ref="L751:L752"/>
    <mergeCell ref="A753:A754"/>
    <mergeCell ref="B753:B754"/>
    <mergeCell ref="C753:C754"/>
    <mergeCell ref="D753:D754"/>
    <mergeCell ref="E753:E754"/>
    <mergeCell ref="F753:G754"/>
    <mergeCell ref="H753:H754"/>
    <mergeCell ref="I753:I754"/>
    <mergeCell ref="J753:J754"/>
    <mergeCell ref="K753:K754"/>
    <mergeCell ref="L753:L754"/>
    <mergeCell ref="L761:L762"/>
    <mergeCell ref="A763:A764"/>
    <mergeCell ref="B763:B764"/>
    <mergeCell ref="C763:C764"/>
    <mergeCell ref="D763:D764"/>
    <mergeCell ref="E763:E764"/>
    <mergeCell ref="F763:G764"/>
    <mergeCell ref="H763:H764"/>
    <mergeCell ref="I763:I764"/>
    <mergeCell ref="J763:J764"/>
    <mergeCell ref="K763:K764"/>
    <mergeCell ref="L763:L764"/>
    <mergeCell ref="A633:L634"/>
    <mergeCell ref="A757:A758"/>
    <mergeCell ref="B757:B758"/>
    <mergeCell ref="C757:C758"/>
    <mergeCell ref="D757:D758"/>
    <mergeCell ref="E757:E758"/>
    <mergeCell ref="F757:G758"/>
    <mergeCell ref="H757:H758"/>
    <mergeCell ref="I757:I758"/>
    <mergeCell ref="J757:J758"/>
    <mergeCell ref="K757:K758"/>
    <mergeCell ref="L757:L758"/>
    <mergeCell ref="A759:A760"/>
    <mergeCell ref="B759:B760"/>
    <mergeCell ref="C759:C760"/>
    <mergeCell ref="D759:D760"/>
    <mergeCell ref="A747:A748"/>
    <mergeCell ref="B747:B748"/>
    <mergeCell ref="C747:C748"/>
    <mergeCell ref="D747:D748"/>
    <mergeCell ref="E747:E748"/>
    <mergeCell ref="F747:G748"/>
    <mergeCell ref="H747:H748"/>
    <mergeCell ref="A765:A766"/>
    <mergeCell ref="B765:B766"/>
    <mergeCell ref="C765:C766"/>
    <mergeCell ref="D765:D766"/>
    <mergeCell ref="E765:E766"/>
    <mergeCell ref="F765:G766"/>
    <mergeCell ref="H765:H766"/>
    <mergeCell ref="I765:I766"/>
    <mergeCell ref="J765:J766"/>
    <mergeCell ref="K765:K766"/>
    <mergeCell ref="L765:L766"/>
    <mergeCell ref="A767:A768"/>
    <mergeCell ref="B767:B768"/>
    <mergeCell ref="C767:C768"/>
    <mergeCell ref="D767:D768"/>
    <mergeCell ref="E759:E760"/>
    <mergeCell ref="F767:G768"/>
    <mergeCell ref="H767:H768"/>
    <mergeCell ref="I767:I768"/>
    <mergeCell ref="J767:J768"/>
    <mergeCell ref="K767:K768"/>
    <mergeCell ref="L767:L768"/>
    <mergeCell ref="A761:A762"/>
    <mergeCell ref="B761:B762"/>
    <mergeCell ref="C761:C762"/>
    <mergeCell ref="D761:D762"/>
    <mergeCell ref="E761:E762"/>
    <mergeCell ref="F761:G762"/>
    <mergeCell ref="H761:H762"/>
    <mergeCell ref="I761:I762"/>
    <mergeCell ref="J761:J762"/>
    <mergeCell ref="K761:K762"/>
    <mergeCell ref="A769:A770"/>
    <mergeCell ref="B769:B770"/>
    <mergeCell ref="C769:C770"/>
    <mergeCell ref="D769:D770"/>
    <mergeCell ref="E769:E770"/>
    <mergeCell ref="F769:G770"/>
    <mergeCell ref="H769:H770"/>
    <mergeCell ref="I769:I770"/>
    <mergeCell ref="J769:J770"/>
    <mergeCell ref="K769:K770"/>
    <mergeCell ref="L769:L770"/>
    <mergeCell ref="A771:A772"/>
    <mergeCell ref="B771:B772"/>
    <mergeCell ref="C771:C772"/>
    <mergeCell ref="D771:D772"/>
    <mergeCell ref="E771:E772"/>
    <mergeCell ref="F771:G772"/>
    <mergeCell ref="H771:H772"/>
    <mergeCell ref="I771:I772"/>
    <mergeCell ref="J771:J772"/>
    <mergeCell ref="K771:K772"/>
    <mergeCell ref="L771:L772"/>
    <mergeCell ref="A773:A774"/>
    <mergeCell ref="B773:B774"/>
    <mergeCell ref="C773:C774"/>
    <mergeCell ref="D773:D774"/>
    <mergeCell ref="E773:E774"/>
    <mergeCell ref="F773:G774"/>
    <mergeCell ref="H773:H774"/>
    <mergeCell ref="I773:I774"/>
    <mergeCell ref="J773:J774"/>
    <mergeCell ref="K773:K774"/>
    <mergeCell ref="L773:L774"/>
    <mergeCell ref="A775:A776"/>
    <mergeCell ref="B775:B776"/>
    <mergeCell ref="C775:C776"/>
    <mergeCell ref="D775:D776"/>
    <mergeCell ref="E775:E776"/>
    <mergeCell ref="F775:G776"/>
    <mergeCell ref="H775:H776"/>
    <mergeCell ref="I775:I776"/>
    <mergeCell ref="J775:J776"/>
    <mergeCell ref="K775:K776"/>
    <mergeCell ref="L775:L776"/>
    <mergeCell ref="A777:A778"/>
    <mergeCell ref="B777:B778"/>
    <mergeCell ref="C777:C778"/>
    <mergeCell ref="D777:D778"/>
    <mergeCell ref="E777:E778"/>
    <mergeCell ref="F777:G778"/>
    <mergeCell ref="H777:H778"/>
    <mergeCell ref="I777:I778"/>
    <mergeCell ref="J777:J778"/>
    <mergeCell ref="K777:K778"/>
    <mergeCell ref="L777:L778"/>
    <mergeCell ref="A781:A782"/>
    <mergeCell ref="B781:B782"/>
    <mergeCell ref="C781:C782"/>
    <mergeCell ref="D781:D782"/>
    <mergeCell ref="E781:E782"/>
    <mergeCell ref="F781:G782"/>
    <mergeCell ref="H781:H782"/>
    <mergeCell ref="I781:I782"/>
    <mergeCell ref="J781:J782"/>
    <mergeCell ref="K781:K782"/>
    <mergeCell ref="L781:L782"/>
    <mergeCell ref="A779:A780"/>
    <mergeCell ref="B779:B780"/>
    <mergeCell ref="C779:C780"/>
    <mergeCell ref="D779:D780"/>
    <mergeCell ref="E779:E780"/>
    <mergeCell ref="F779:G780"/>
    <mergeCell ref="H779:H780"/>
    <mergeCell ref="I779:I780"/>
    <mergeCell ref="J779:J780"/>
    <mergeCell ref="K779:K780"/>
    <mergeCell ref="A783:A784"/>
    <mergeCell ref="B783:B784"/>
    <mergeCell ref="C783:C784"/>
    <mergeCell ref="D783:D784"/>
    <mergeCell ref="E783:E784"/>
    <mergeCell ref="F783:G784"/>
    <mergeCell ref="H783:H784"/>
    <mergeCell ref="I783:I784"/>
    <mergeCell ref="J783:J784"/>
    <mergeCell ref="K783:K784"/>
    <mergeCell ref="L783:L784"/>
    <mergeCell ref="A785:A786"/>
    <mergeCell ref="B785:B786"/>
    <mergeCell ref="C785:C786"/>
    <mergeCell ref="D785:D786"/>
    <mergeCell ref="E785:E786"/>
    <mergeCell ref="F785:G786"/>
    <mergeCell ref="H785:H786"/>
    <mergeCell ref="I785:I786"/>
    <mergeCell ref="J785:J786"/>
    <mergeCell ref="K785:K786"/>
    <mergeCell ref="L785:L786"/>
    <mergeCell ref="A787:A788"/>
    <mergeCell ref="B787:B788"/>
    <mergeCell ref="C787:C788"/>
    <mergeCell ref="D787:D788"/>
    <mergeCell ref="E787:E788"/>
    <mergeCell ref="F787:G788"/>
    <mergeCell ref="H787:H788"/>
    <mergeCell ref="I787:I788"/>
    <mergeCell ref="J787:J788"/>
    <mergeCell ref="K787:K788"/>
    <mergeCell ref="L787:L788"/>
    <mergeCell ref="A789:A790"/>
    <mergeCell ref="B789:B790"/>
    <mergeCell ref="C789:C790"/>
    <mergeCell ref="D789:D790"/>
    <mergeCell ref="E789:E790"/>
    <mergeCell ref="F789:G790"/>
    <mergeCell ref="H789:H790"/>
    <mergeCell ref="I789:I790"/>
    <mergeCell ref="J789:J790"/>
    <mergeCell ref="K789:K790"/>
    <mergeCell ref="L789:L790"/>
    <mergeCell ref="A791:A792"/>
    <mergeCell ref="B791:B792"/>
    <mergeCell ref="C791:C792"/>
    <mergeCell ref="D791:D792"/>
    <mergeCell ref="E791:E792"/>
    <mergeCell ref="F791:G792"/>
    <mergeCell ref="H791:H792"/>
    <mergeCell ref="I791:I792"/>
    <mergeCell ref="J791:J792"/>
    <mergeCell ref="K791:K792"/>
    <mergeCell ref="L791:L792"/>
    <mergeCell ref="A793:A794"/>
    <mergeCell ref="B793:B794"/>
    <mergeCell ref="C793:C794"/>
    <mergeCell ref="D793:D794"/>
    <mergeCell ref="E793:E794"/>
    <mergeCell ref="F793:G794"/>
    <mergeCell ref="H793:H794"/>
    <mergeCell ref="I793:I794"/>
    <mergeCell ref="J793:J794"/>
    <mergeCell ref="K793:K794"/>
    <mergeCell ref="L793:L794"/>
    <mergeCell ref="A795:A796"/>
    <mergeCell ref="B795:B796"/>
    <mergeCell ref="C795:C796"/>
    <mergeCell ref="D795:D796"/>
    <mergeCell ref="E795:E796"/>
    <mergeCell ref="F795:G796"/>
    <mergeCell ref="H795:H796"/>
    <mergeCell ref="I795:I796"/>
    <mergeCell ref="J795:J796"/>
    <mergeCell ref="K795:K796"/>
    <mergeCell ref="L795:L796"/>
    <mergeCell ref="A797:A798"/>
    <mergeCell ref="B797:B798"/>
    <mergeCell ref="C797:C798"/>
    <mergeCell ref="D797:D798"/>
    <mergeCell ref="E797:E798"/>
    <mergeCell ref="F797:G798"/>
    <mergeCell ref="H797:H798"/>
    <mergeCell ref="I797:I798"/>
    <mergeCell ref="J797:J798"/>
    <mergeCell ref="K797:K798"/>
    <mergeCell ref="L797:L798"/>
    <mergeCell ref="A799:A800"/>
    <mergeCell ref="B799:B800"/>
    <mergeCell ref="C799:C800"/>
    <mergeCell ref="D799:D800"/>
    <mergeCell ref="E799:E800"/>
    <mergeCell ref="F799:G800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D801:D802"/>
    <mergeCell ref="E801:E802"/>
    <mergeCell ref="F801:G802"/>
    <mergeCell ref="H801:H802"/>
    <mergeCell ref="I801:I802"/>
    <mergeCell ref="J801:J802"/>
    <mergeCell ref="K801:K802"/>
    <mergeCell ref="L801:L802"/>
    <mergeCell ref="A803:A804"/>
    <mergeCell ref="B803:B804"/>
    <mergeCell ref="C803:C804"/>
    <mergeCell ref="D803:D804"/>
    <mergeCell ref="E803:E804"/>
    <mergeCell ref="F803:G804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F805:G806"/>
    <mergeCell ref="H805:H806"/>
    <mergeCell ref="I805:I806"/>
    <mergeCell ref="J805:J806"/>
    <mergeCell ref="K805:K806"/>
    <mergeCell ref="L805:L806"/>
    <mergeCell ref="A807:A808"/>
    <mergeCell ref="B807:B808"/>
    <mergeCell ref="C807:C808"/>
    <mergeCell ref="D807:D808"/>
    <mergeCell ref="E807:E808"/>
    <mergeCell ref="F807:G808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D809:D810"/>
    <mergeCell ref="E809:E810"/>
    <mergeCell ref="F809:G810"/>
    <mergeCell ref="H809:H810"/>
    <mergeCell ref="I809:I810"/>
    <mergeCell ref="J809:J810"/>
    <mergeCell ref="K809:K810"/>
    <mergeCell ref="L809:L810"/>
    <mergeCell ref="A811:A812"/>
    <mergeCell ref="B811:B812"/>
    <mergeCell ref="C811:C812"/>
    <mergeCell ref="D811:D812"/>
    <mergeCell ref="E811:E812"/>
    <mergeCell ref="F811:G812"/>
    <mergeCell ref="H811:H812"/>
    <mergeCell ref="I811:I812"/>
    <mergeCell ref="J811:J812"/>
    <mergeCell ref="K811:K812"/>
    <mergeCell ref="L811:L812"/>
    <mergeCell ref="A813:A814"/>
    <mergeCell ref="B813:B814"/>
    <mergeCell ref="C813:C814"/>
    <mergeCell ref="D813:D814"/>
    <mergeCell ref="E813:E814"/>
    <mergeCell ref="F813:G814"/>
    <mergeCell ref="H813:H814"/>
    <mergeCell ref="I813:I814"/>
    <mergeCell ref="J813:J814"/>
    <mergeCell ref="K813:K814"/>
    <mergeCell ref="L813:L814"/>
    <mergeCell ref="A815:A816"/>
    <mergeCell ref="B815:B816"/>
    <mergeCell ref="C815:C816"/>
    <mergeCell ref="D815:D816"/>
    <mergeCell ref="E815:E816"/>
    <mergeCell ref="F815:G816"/>
    <mergeCell ref="H815:H816"/>
    <mergeCell ref="I815:I816"/>
    <mergeCell ref="J815:J816"/>
    <mergeCell ref="K815:K816"/>
    <mergeCell ref="L815:L816"/>
    <mergeCell ref="A817:A818"/>
    <mergeCell ref="B817:B818"/>
    <mergeCell ref="C817:C818"/>
    <mergeCell ref="D817:D818"/>
    <mergeCell ref="E817:E818"/>
    <mergeCell ref="F817:G818"/>
    <mergeCell ref="H817:H818"/>
    <mergeCell ref="I817:I818"/>
    <mergeCell ref="J817:J818"/>
    <mergeCell ref="K817:K818"/>
    <mergeCell ref="L817:L818"/>
    <mergeCell ref="A819:A820"/>
    <mergeCell ref="B819:B820"/>
    <mergeCell ref="C819:C820"/>
    <mergeCell ref="D819:D820"/>
    <mergeCell ref="E819:E820"/>
    <mergeCell ref="F819:G820"/>
    <mergeCell ref="H819:H820"/>
    <mergeCell ref="I819:I820"/>
    <mergeCell ref="J819:J820"/>
    <mergeCell ref="K819:K820"/>
    <mergeCell ref="L819:L820"/>
    <mergeCell ref="A821:A822"/>
    <mergeCell ref="B821:B822"/>
    <mergeCell ref="C821:C822"/>
    <mergeCell ref="D821:D822"/>
    <mergeCell ref="E821:E822"/>
    <mergeCell ref="F821:G822"/>
    <mergeCell ref="H821:H822"/>
    <mergeCell ref="I821:I822"/>
    <mergeCell ref="J821:J822"/>
    <mergeCell ref="K821:K822"/>
    <mergeCell ref="L821:L822"/>
    <mergeCell ref="A823:A824"/>
    <mergeCell ref="B823:B824"/>
    <mergeCell ref="C823:C824"/>
    <mergeCell ref="D823:D824"/>
    <mergeCell ref="E823:E824"/>
    <mergeCell ref="F823:G824"/>
    <mergeCell ref="H823:H824"/>
    <mergeCell ref="I823:I824"/>
    <mergeCell ref="J823:J824"/>
    <mergeCell ref="K823:K824"/>
    <mergeCell ref="L823:L824"/>
    <mergeCell ref="A825:A826"/>
    <mergeCell ref="B825:B826"/>
    <mergeCell ref="C825:C826"/>
    <mergeCell ref="D825:D826"/>
    <mergeCell ref="E825:E826"/>
    <mergeCell ref="F825:G826"/>
    <mergeCell ref="H825:H826"/>
    <mergeCell ref="I825:I826"/>
    <mergeCell ref="J825:J826"/>
    <mergeCell ref="K825:K826"/>
    <mergeCell ref="L825:L826"/>
    <mergeCell ref="A827:A828"/>
    <mergeCell ref="B827:B828"/>
    <mergeCell ref="C827:C828"/>
    <mergeCell ref="D827:D828"/>
    <mergeCell ref="E827:E828"/>
    <mergeCell ref="F827:G828"/>
    <mergeCell ref="H827:H828"/>
    <mergeCell ref="I827:I828"/>
    <mergeCell ref="J827:J828"/>
    <mergeCell ref="K827:K828"/>
    <mergeCell ref="L827:L828"/>
    <mergeCell ref="A829:A830"/>
    <mergeCell ref="B829:B830"/>
    <mergeCell ref="C829:C830"/>
    <mergeCell ref="D829:D830"/>
    <mergeCell ref="E829:E830"/>
    <mergeCell ref="F829:G830"/>
    <mergeCell ref="H829:H830"/>
    <mergeCell ref="I829:I830"/>
    <mergeCell ref="J829:J830"/>
    <mergeCell ref="K829:K830"/>
    <mergeCell ref="L829:L830"/>
    <mergeCell ref="A831:A832"/>
    <mergeCell ref="B831:B832"/>
    <mergeCell ref="C831:C832"/>
    <mergeCell ref="D831:D832"/>
    <mergeCell ref="E831:E832"/>
    <mergeCell ref="F831:G832"/>
    <mergeCell ref="H831:H832"/>
    <mergeCell ref="I831:I832"/>
    <mergeCell ref="J831:J832"/>
    <mergeCell ref="K831:K832"/>
    <mergeCell ref="L831:L832"/>
    <mergeCell ref="A833:A834"/>
    <mergeCell ref="B833:B834"/>
    <mergeCell ref="C833:C834"/>
    <mergeCell ref="D833:D834"/>
    <mergeCell ref="E833:E834"/>
    <mergeCell ref="F833:G834"/>
    <mergeCell ref="H833:H834"/>
    <mergeCell ref="I833:I834"/>
    <mergeCell ref="J833:J834"/>
    <mergeCell ref="K833:K834"/>
    <mergeCell ref="L833:L834"/>
    <mergeCell ref="A835:A836"/>
    <mergeCell ref="B835:B836"/>
    <mergeCell ref="C835:C836"/>
    <mergeCell ref="D835:D836"/>
    <mergeCell ref="E835:E836"/>
    <mergeCell ref="F835:G836"/>
    <mergeCell ref="H835:H836"/>
    <mergeCell ref="I835:I836"/>
    <mergeCell ref="J835:J836"/>
    <mergeCell ref="K835:K836"/>
    <mergeCell ref="L835:L836"/>
    <mergeCell ref="A837:A838"/>
    <mergeCell ref="B837:B838"/>
    <mergeCell ref="C837:C838"/>
    <mergeCell ref="D837:D838"/>
    <mergeCell ref="E837:E838"/>
    <mergeCell ref="F837:G838"/>
    <mergeCell ref="H837:H838"/>
    <mergeCell ref="I837:I838"/>
    <mergeCell ref="J837:J838"/>
    <mergeCell ref="K837:K838"/>
    <mergeCell ref="L837:L838"/>
    <mergeCell ref="A841:A842"/>
    <mergeCell ref="B841:B842"/>
    <mergeCell ref="C841:C842"/>
    <mergeCell ref="D841:D842"/>
    <mergeCell ref="E841:E842"/>
    <mergeCell ref="F841:G842"/>
    <mergeCell ref="H841:H842"/>
    <mergeCell ref="I841:I842"/>
    <mergeCell ref="J841:J842"/>
    <mergeCell ref="K841:K842"/>
    <mergeCell ref="L841:L842"/>
    <mergeCell ref="A843:A844"/>
    <mergeCell ref="B843:B844"/>
    <mergeCell ref="C843:C844"/>
    <mergeCell ref="D843:D844"/>
    <mergeCell ref="E843:E844"/>
    <mergeCell ref="F843:G844"/>
    <mergeCell ref="H843:H844"/>
    <mergeCell ref="I843:I844"/>
    <mergeCell ref="J843:J844"/>
    <mergeCell ref="K843:K844"/>
    <mergeCell ref="L843:L844"/>
    <mergeCell ref="A845:A846"/>
    <mergeCell ref="B845:B846"/>
    <mergeCell ref="C845:C846"/>
    <mergeCell ref="D845:D846"/>
    <mergeCell ref="E845:E846"/>
    <mergeCell ref="F845:G846"/>
    <mergeCell ref="H845:H846"/>
    <mergeCell ref="I845:I846"/>
    <mergeCell ref="J845:J846"/>
    <mergeCell ref="K845:K846"/>
    <mergeCell ref="L845:L846"/>
    <mergeCell ref="A847:A848"/>
    <mergeCell ref="B847:B848"/>
    <mergeCell ref="C847:C848"/>
    <mergeCell ref="D847:D848"/>
    <mergeCell ref="E847:E848"/>
    <mergeCell ref="F847:G848"/>
    <mergeCell ref="H847:H848"/>
    <mergeCell ref="I847:I848"/>
    <mergeCell ref="J847:J848"/>
    <mergeCell ref="K847:K848"/>
    <mergeCell ref="L847:L848"/>
    <mergeCell ref="A849:A850"/>
    <mergeCell ref="B849:B850"/>
    <mergeCell ref="C849:C850"/>
    <mergeCell ref="D849:D850"/>
    <mergeCell ref="E849:E850"/>
    <mergeCell ref="F849:G850"/>
    <mergeCell ref="H849:H850"/>
    <mergeCell ref="I849:I850"/>
    <mergeCell ref="J849:J850"/>
    <mergeCell ref="K849:K850"/>
    <mergeCell ref="L849:L850"/>
    <mergeCell ref="A851:A852"/>
    <mergeCell ref="B851:B852"/>
    <mergeCell ref="C851:C852"/>
    <mergeCell ref="D851:D852"/>
    <mergeCell ref="E851:E852"/>
    <mergeCell ref="F851:G852"/>
    <mergeCell ref="H851:H852"/>
    <mergeCell ref="I851:I852"/>
    <mergeCell ref="J851:J852"/>
    <mergeCell ref="K851:K852"/>
    <mergeCell ref="L851:L852"/>
    <mergeCell ref="A853:A854"/>
    <mergeCell ref="B853:B854"/>
    <mergeCell ref="C853:C854"/>
    <mergeCell ref="D853:D854"/>
    <mergeCell ref="E853:E854"/>
    <mergeCell ref="F853:G854"/>
    <mergeCell ref="H853:H854"/>
    <mergeCell ref="I853:I854"/>
    <mergeCell ref="J853:J854"/>
    <mergeCell ref="K853:K854"/>
    <mergeCell ref="L853:L854"/>
    <mergeCell ref="A855:A856"/>
    <mergeCell ref="B855:B856"/>
    <mergeCell ref="C855:C856"/>
    <mergeCell ref="D855:D856"/>
    <mergeCell ref="E855:E856"/>
    <mergeCell ref="F855:G856"/>
    <mergeCell ref="H855:H856"/>
    <mergeCell ref="I855:I856"/>
    <mergeCell ref="J855:J856"/>
    <mergeCell ref="K855:K856"/>
    <mergeCell ref="L855:L856"/>
    <mergeCell ref="A857:A858"/>
    <mergeCell ref="B857:B858"/>
    <mergeCell ref="C857:C858"/>
    <mergeCell ref="D857:D858"/>
    <mergeCell ref="E857:E858"/>
    <mergeCell ref="F857:G858"/>
    <mergeCell ref="H857:H858"/>
    <mergeCell ref="I857:I858"/>
    <mergeCell ref="J857:J858"/>
    <mergeCell ref="K857:K858"/>
    <mergeCell ref="L857:L858"/>
    <mergeCell ref="A859:A860"/>
    <mergeCell ref="B859:B860"/>
    <mergeCell ref="C859:C860"/>
    <mergeCell ref="D859:D860"/>
    <mergeCell ref="E859:E860"/>
    <mergeCell ref="F859:G860"/>
    <mergeCell ref="H859:H860"/>
    <mergeCell ref="I859:I860"/>
    <mergeCell ref="J859:J860"/>
    <mergeCell ref="K859:K860"/>
    <mergeCell ref="L859:L860"/>
    <mergeCell ref="A861:A862"/>
    <mergeCell ref="B861:B862"/>
    <mergeCell ref="C861:C862"/>
    <mergeCell ref="D861:D862"/>
    <mergeCell ref="E861:E862"/>
    <mergeCell ref="F861:G862"/>
    <mergeCell ref="H861:H862"/>
    <mergeCell ref="I861:I862"/>
    <mergeCell ref="J861:J862"/>
    <mergeCell ref="K861:K862"/>
    <mergeCell ref="L861:L862"/>
    <mergeCell ref="A863:A864"/>
    <mergeCell ref="B863:B864"/>
    <mergeCell ref="C863:C864"/>
    <mergeCell ref="D863:D864"/>
    <mergeCell ref="E863:E864"/>
    <mergeCell ref="F863:G864"/>
    <mergeCell ref="H863:H864"/>
    <mergeCell ref="I863:I864"/>
    <mergeCell ref="J863:J864"/>
    <mergeCell ref="K863:K864"/>
    <mergeCell ref="L863:L864"/>
    <mergeCell ref="A865:A866"/>
    <mergeCell ref="B865:B866"/>
    <mergeCell ref="C865:C866"/>
    <mergeCell ref="D865:D866"/>
    <mergeCell ref="E865:E866"/>
    <mergeCell ref="F865:G866"/>
    <mergeCell ref="H865:H866"/>
    <mergeCell ref="I865:I866"/>
    <mergeCell ref="J865:J866"/>
    <mergeCell ref="K865:K866"/>
    <mergeCell ref="L865:L866"/>
    <mergeCell ref="A867:A868"/>
    <mergeCell ref="B867:B868"/>
    <mergeCell ref="C867:C868"/>
    <mergeCell ref="D867:D868"/>
    <mergeCell ref="E867:E868"/>
    <mergeCell ref="F867:G868"/>
    <mergeCell ref="H867:H868"/>
    <mergeCell ref="I867:I868"/>
    <mergeCell ref="J867:J868"/>
    <mergeCell ref="K867:K868"/>
    <mergeCell ref="L867:L868"/>
    <mergeCell ref="A869:A870"/>
    <mergeCell ref="B869:B870"/>
    <mergeCell ref="C869:C870"/>
    <mergeCell ref="D869:D870"/>
    <mergeCell ref="E869:E870"/>
    <mergeCell ref="F869:G870"/>
    <mergeCell ref="H869:H870"/>
    <mergeCell ref="I869:I870"/>
    <mergeCell ref="J869:J870"/>
    <mergeCell ref="K869:K870"/>
    <mergeCell ref="L869:L870"/>
    <mergeCell ref="A871:A872"/>
    <mergeCell ref="B871:B872"/>
    <mergeCell ref="C871:C872"/>
    <mergeCell ref="D871:D872"/>
    <mergeCell ref="E871:E872"/>
    <mergeCell ref="F871:G872"/>
    <mergeCell ref="H871:H872"/>
    <mergeCell ref="I871:I872"/>
    <mergeCell ref="J871:J872"/>
    <mergeCell ref="K871:K872"/>
    <mergeCell ref="L871:L872"/>
    <mergeCell ref="A873:A874"/>
    <mergeCell ref="B873:B874"/>
    <mergeCell ref="C873:C874"/>
    <mergeCell ref="D873:D874"/>
    <mergeCell ref="E873:E874"/>
    <mergeCell ref="F873:G874"/>
    <mergeCell ref="H873:H874"/>
    <mergeCell ref="I873:I874"/>
    <mergeCell ref="J873:J874"/>
    <mergeCell ref="K873:K874"/>
    <mergeCell ref="L873:L874"/>
    <mergeCell ref="A875:A876"/>
    <mergeCell ref="B875:B876"/>
    <mergeCell ref="C875:C876"/>
    <mergeCell ref="D875:D876"/>
    <mergeCell ref="E875:E876"/>
    <mergeCell ref="F875:G876"/>
    <mergeCell ref="H875:H876"/>
    <mergeCell ref="I875:I876"/>
    <mergeCell ref="J875:J876"/>
    <mergeCell ref="K875:K876"/>
    <mergeCell ref="L875:L876"/>
    <mergeCell ref="A877:A878"/>
    <mergeCell ref="B877:B878"/>
    <mergeCell ref="C877:C878"/>
    <mergeCell ref="D877:D878"/>
    <mergeCell ref="E877:E878"/>
    <mergeCell ref="F877:G878"/>
    <mergeCell ref="H877:H878"/>
    <mergeCell ref="I877:I878"/>
    <mergeCell ref="J877:J878"/>
    <mergeCell ref="K877:K878"/>
    <mergeCell ref="L877:L878"/>
    <mergeCell ref="A879:A880"/>
    <mergeCell ref="B879:B880"/>
    <mergeCell ref="C879:C880"/>
    <mergeCell ref="D879:D880"/>
    <mergeCell ref="E879:E880"/>
    <mergeCell ref="F879:G880"/>
    <mergeCell ref="H879:H880"/>
    <mergeCell ref="I879:I880"/>
    <mergeCell ref="J879:J880"/>
    <mergeCell ref="K879:K880"/>
    <mergeCell ref="L879:L880"/>
    <mergeCell ref="A881:A882"/>
    <mergeCell ref="B881:B882"/>
    <mergeCell ref="C881:C882"/>
    <mergeCell ref="D881:D882"/>
    <mergeCell ref="E881:E882"/>
    <mergeCell ref="F881:G882"/>
    <mergeCell ref="H881:H882"/>
    <mergeCell ref="I881:I882"/>
    <mergeCell ref="J881:J882"/>
    <mergeCell ref="K881:K882"/>
    <mergeCell ref="L881:L882"/>
    <mergeCell ref="A883:A884"/>
    <mergeCell ref="B883:B884"/>
    <mergeCell ref="C883:C884"/>
    <mergeCell ref="D883:D884"/>
    <mergeCell ref="E883:E884"/>
    <mergeCell ref="F883:G884"/>
    <mergeCell ref="H883:H884"/>
    <mergeCell ref="I883:I884"/>
    <mergeCell ref="J883:J884"/>
    <mergeCell ref="K883:K884"/>
    <mergeCell ref="L883:L884"/>
    <mergeCell ref="A885:A886"/>
    <mergeCell ref="B885:B886"/>
    <mergeCell ref="C885:C886"/>
    <mergeCell ref="D885:D886"/>
    <mergeCell ref="E885:E886"/>
    <mergeCell ref="F885:G886"/>
    <mergeCell ref="H885:H886"/>
    <mergeCell ref="I885:I886"/>
    <mergeCell ref="J885:J886"/>
    <mergeCell ref="K885:K886"/>
    <mergeCell ref="L885:L886"/>
    <mergeCell ref="A887:A888"/>
    <mergeCell ref="B887:B888"/>
    <mergeCell ref="C887:C888"/>
    <mergeCell ref="D887:D888"/>
    <mergeCell ref="E887:E888"/>
    <mergeCell ref="F887:G888"/>
    <mergeCell ref="H887:H888"/>
    <mergeCell ref="I887:I888"/>
    <mergeCell ref="J887:J888"/>
    <mergeCell ref="K887:K888"/>
    <mergeCell ref="L887:L888"/>
    <mergeCell ref="A889:A890"/>
    <mergeCell ref="B889:B890"/>
    <mergeCell ref="C889:C890"/>
    <mergeCell ref="D889:D890"/>
    <mergeCell ref="E889:E890"/>
    <mergeCell ref="F889:G890"/>
    <mergeCell ref="H889:H890"/>
    <mergeCell ref="I889:I890"/>
    <mergeCell ref="J889:J890"/>
    <mergeCell ref="K889:K890"/>
    <mergeCell ref="L889:L890"/>
    <mergeCell ref="A893:A894"/>
    <mergeCell ref="B893:B894"/>
    <mergeCell ref="C893:C894"/>
    <mergeCell ref="D893:D894"/>
    <mergeCell ref="E893:E894"/>
    <mergeCell ref="F893:G894"/>
    <mergeCell ref="H893:H894"/>
    <mergeCell ref="I893:I894"/>
    <mergeCell ref="J893:J894"/>
    <mergeCell ref="K893:K894"/>
    <mergeCell ref="L893:L894"/>
    <mergeCell ref="A891:L892"/>
    <mergeCell ref="A895:A896"/>
    <mergeCell ref="B895:B896"/>
    <mergeCell ref="C895:C896"/>
    <mergeCell ref="D895:D896"/>
    <mergeCell ref="E895:E896"/>
    <mergeCell ref="F895:G896"/>
    <mergeCell ref="H895:H896"/>
    <mergeCell ref="I895:I896"/>
    <mergeCell ref="J895:J896"/>
    <mergeCell ref="K895:K896"/>
    <mergeCell ref="L895:L896"/>
    <mergeCell ref="A897:A898"/>
    <mergeCell ref="B897:B898"/>
    <mergeCell ref="C897:C898"/>
    <mergeCell ref="D897:D898"/>
    <mergeCell ref="E897:E898"/>
    <mergeCell ref="F897:G898"/>
    <mergeCell ref="H897:H898"/>
    <mergeCell ref="I897:I898"/>
    <mergeCell ref="J897:J898"/>
    <mergeCell ref="K897:K898"/>
    <mergeCell ref="L897:L898"/>
    <mergeCell ref="A899:A900"/>
    <mergeCell ref="B899:B900"/>
    <mergeCell ref="C899:C900"/>
    <mergeCell ref="D899:D900"/>
    <mergeCell ref="E899:E900"/>
    <mergeCell ref="F899:G900"/>
    <mergeCell ref="H899:H900"/>
    <mergeCell ref="I899:I900"/>
    <mergeCell ref="J899:J900"/>
    <mergeCell ref="K899:K900"/>
    <mergeCell ref="L899:L900"/>
    <mergeCell ref="A901:A902"/>
    <mergeCell ref="B901:B902"/>
    <mergeCell ref="C901:C902"/>
    <mergeCell ref="D901:D902"/>
    <mergeCell ref="E901:E902"/>
    <mergeCell ref="F901:G902"/>
    <mergeCell ref="H901:H902"/>
    <mergeCell ref="I901:I902"/>
    <mergeCell ref="J901:J902"/>
    <mergeCell ref="K901:K902"/>
    <mergeCell ref="L901:L902"/>
    <mergeCell ref="A903:A904"/>
    <mergeCell ref="B903:B904"/>
    <mergeCell ref="C903:C904"/>
    <mergeCell ref="D903:D904"/>
    <mergeCell ref="E903:E904"/>
    <mergeCell ref="F903:G904"/>
    <mergeCell ref="H903:H904"/>
    <mergeCell ref="I903:I904"/>
    <mergeCell ref="J903:J904"/>
    <mergeCell ref="K903:K904"/>
    <mergeCell ref="L903:L904"/>
    <mergeCell ref="A905:A906"/>
    <mergeCell ref="B905:B906"/>
    <mergeCell ref="C905:C906"/>
    <mergeCell ref="D905:D906"/>
    <mergeCell ref="E905:E906"/>
    <mergeCell ref="F905:G906"/>
    <mergeCell ref="H905:H906"/>
    <mergeCell ref="I905:I906"/>
    <mergeCell ref="J905:J906"/>
    <mergeCell ref="K905:K906"/>
    <mergeCell ref="L905:L906"/>
    <mergeCell ref="A907:A908"/>
    <mergeCell ref="B907:B908"/>
    <mergeCell ref="C907:C908"/>
    <mergeCell ref="D907:D908"/>
    <mergeCell ref="E907:E908"/>
    <mergeCell ref="F907:G908"/>
    <mergeCell ref="H907:H908"/>
    <mergeCell ref="I907:I908"/>
    <mergeCell ref="J907:J908"/>
    <mergeCell ref="K907:K908"/>
    <mergeCell ref="L907:L908"/>
    <mergeCell ref="A909:A910"/>
    <mergeCell ref="B909:B910"/>
    <mergeCell ref="C909:C910"/>
    <mergeCell ref="D909:D910"/>
    <mergeCell ref="E909:E910"/>
    <mergeCell ref="F909:G910"/>
    <mergeCell ref="H909:H910"/>
    <mergeCell ref="I909:I910"/>
    <mergeCell ref="J909:J910"/>
    <mergeCell ref="K909:K910"/>
    <mergeCell ref="L909:L910"/>
    <mergeCell ref="A911:A912"/>
    <mergeCell ref="B911:B912"/>
    <mergeCell ref="C911:C912"/>
    <mergeCell ref="D911:D912"/>
    <mergeCell ref="E911:E912"/>
    <mergeCell ref="F911:G912"/>
    <mergeCell ref="H911:H912"/>
    <mergeCell ref="I911:I912"/>
    <mergeCell ref="J911:J912"/>
    <mergeCell ref="K911:K912"/>
    <mergeCell ref="L911:L912"/>
    <mergeCell ref="A913:A914"/>
    <mergeCell ref="B913:B914"/>
    <mergeCell ref="C913:C914"/>
    <mergeCell ref="D913:D914"/>
    <mergeCell ref="E913:E914"/>
    <mergeCell ref="F913:G914"/>
    <mergeCell ref="H913:H914"/>
    <mergeCell ref="I913:I914"/>
    <mergeCell ref="J913:J914"/>
    <mergeCell ref="K913:K914"/>
    <mergeCell ref="L913:L914"/>
    <mergeCell ref="A915:A916"/>
    <mergeCell ref="B915:B916"/>
    <mergeCell ref="C915:C916"/>
    <mergeCell ref="D915:D916"/>
    <mergeCell ref="E915:E916"/>
    <mergeCell ref="F915:G916"/>
    <mergeCell ref="H915:H916"/>
    <mergeCell ref="I915:I916"/>
    <mergeCell ref="J915:J916"/>
    <mergeCell ref="K915:K916"/>
    <mergeCell ref="L915:L916"/>
    <mergeCell ref="A917:A918"/>
    <mergeCell ref="B917:B918"/>
    <mergeCell ref="C917:C918"/>
    <mergeCell ref="D917:D918"/>
    <mergeCell ref="E917:E918"/>
    <mergeCell ref="F917:G918"/>
    <mergeCell ref="H917:H918"/>
    <mergeCell ref="I917:I918"/>
    <mergeCell ref="J917:J918"/>
    <mergeCell ref="K917:K918"/>
    <mergeCell ref="L917:L918"/>
    <mergeCell ref="A919:A920"/>
    <mergeCell ref="B919:B920"/>
    <mergeCell ref="C919:C920"/>
    <mergeCell ref="D919:D920"/>
    <mergeCell ref="E919:E920"/>
    <mergeCell ref="F919:G920"/>
    <mergeCell ref="H919:H920"/>
    <mergeCell ref="I919:I920"/>
    <mergeCell ref="J919:J920"/>
    <mergeCell ref="K919:K920"/>
    <mergeCell ref="L919:L920"/>
    <mergeCell ref="A921:A922"/>
    <mergeCell ref="B921:B922"/>
    <mergeCell ref="C921:C922"/>
    <mergeCell ref="D921:D922"/>
    <mergeCell ref="E921:E922"/>
    <mergeCell ref="F921:G922"/>
    <mergeCell ref="H921:H922"/>
    <mergeCell ref="I921:I922"/>
    <mergeCell ref="J921:J922"/>
    <mergeCell ref="K921:K922"/>
    <mergeCell ref="L921:L922"/>
    <mergeCell ref="A923:A924"/>
    <mergeCell ref="B923:B924"/>
    <mergeCell ref="C923:C924"/>
    <mergeCell ref="D923:D924"/>
    <mergeCell ref="E923:E924"/>
    <mergeCell ref="F923:G924"/>
    <mergeCell ref="H923:H924"/>
    <mergeCell ref="I923:I924"/>
    <mergeCell ref="J923:J924"/>
    <mergeCell ref="K923:K924"/>
    <mergeCell ref="L923:L924"/>
    <mergeCell ref="A925:A926"/>
    <mergeCell ref="B925:B926"/>
    <mergeCell ref="C925:C926"/>
    <mergeCell ref="D925:D926"/>
    <mergeCell ref="E925:E926"/>
    <mergeCell ref="F925:G926"/>
    <mergeCell ref="H925:H926"/>
    <mergeCell ref="I925:I926"/>
    <mergeCell ref="J925:J926"/>
    <mergeCell ref="K925:K926"/>
    <mergeCell ref="L925:L926"/>
    <mergeCell ref="A927:A928"/>
    <mergeCell ref="B927:B928"/>
    <mergeCell ref="C927:C928"/>
    <mergeCell ref="D927:D928"/>
    <mergeCell ref="E927:E928"/>
    <mergeCell ref="F927:G928"/>
    <mergeCell ref="H927:H928"/>
    <mergeCell ref="I927:I928"/>
    <mergeCell ref="J927:J928"/>
    <mergeCell ref="K927:K928"/>
    <mergeCell ref="L927:L928"/>
    <mergeCell ref="A929:A930"/>
    <mergeCell ref="B929:B930"/>
    <mergeCell ref="C929:C930"/>
    <mergeCell ref="D929:D930"/>
    <mergeCell ref="E929:E930"/>
    <mergeCell ref="F929:G930"/>
    <mergeCell ref="H929:H930"/>
    <mergeCell ref="I929:I930"/>
    <mergeCell ref="J929:J930"/>
    <mergeCell ref="K929:K930"/>
    <mergeCell ref="L929:L930"/>
    <mergeCell ref="A931:A932"/>
    <mergeCell ref="B931:B932"/>
    <mergeCell ref="C931:C932"/>
    <mergeCell ref="D931:D932"/>
    <mergeCell ref="E931:E932"/>
    <mergeCell ref="F931:G932"/>
    <mergeCell ref="H931:H932"/>
    <mergeCell ref="I931:I932"/>
    <mergeCell ref="J931:J932"/>
    <mergeCell ref="K931:K932"/>
    <mergeCell ref="L931:L932"/>
    <mergeCell ref="A933:A934"/>
    <mergeCell ref="B933:B934"/>
    <mergeCell ref="C933:C934"/>
    <mergeCell ref="D933:D934"/>
    <mergeCell ref="E933:E934"/>
    <mergeCell ref="F933:G934"/>
    <mergeCell ref="H933:H934"/>
    <mergeCell ref="I933:I934"/>
    <mergeCell ref="J933:J934"/>
    <mergeCell ref="K933:K934"/>
    <mergeCell ref="L933:L934"/>
    <mergeCell ref="A935:A936"/>
    <mergeCell ref="B935:B936"/>
    <mergeCell ref="C935:C936"/>
    <mergeCell ref="D935:D936"/>
    <mergeCell ref="E935:E936"/>
    <mergeCell ref="F935:G936"/>
    <mergeCell ref="H935:H936"/>
    <mergeCell ref="I935:I936"/>
    <mergeCell ref="J935:J936"/>
    <mergeCell ref="K935:K936"/>
    <mergeCell ref="L935:L936"/>
    <mergeCell ref="A937:A938"/>
    <mergeCell ref="B937:B938"/>
    <mergeCell ref="C937:C938"/>
    <mergeCell ref="D937:D938"/>
    <mergeCell ref="E937:E938"/>
    <mergeCell ref="F937:G938"/>
    <mergeCell ref="H937:H938"/>
    <mergeCell ref="I937:I938"/>
    <mergeCell ref="J937:J938"/>
    <mergeCell ref="K937:K938"/>
    <mergeCell ref="L937:L938"/>
    <mergeCell ref="A939:A940"/>
    <mergeCell ref="B939:B940"/>
    <mergeCell ref="C939:C940"/>
    <mergeCell ref="D939:D940"/>
    <mergeCell ref="E939:E940"/>
    <mergeCell ref="F939:G940"/>
    <mergeCell ref="H939:H940"/>
    <mergeCell ref="I939:I940"/>
    <mergeCell ref="J939:J940"/>
    <mergeCell ref="K939:K940"/>
    <mergeCell ref="L939:L940"/>
    <mergeCell ref="A941:A942"/>
    <mergeCell ref="B941:B942"/>
    <mergeCell ref="C941:C942"/>
    <mergeCell ref="D941:D942"/>
    <mergeCell ref="E941:E942"/>
    <mergeCell ref="F941:G942"/>
    <mergeCell ref="H941:H942"/>
    <mergeCell ref="I941:I942"/>
    <mergeCell ref="J941:J942"/>
    <mergeCell ref="K941:K942"/>
    <mergeCell ref="L941:L942"/>
    <mergeCell ref="A943:A944"/>
    <mergeCell ref="B943:B944"/>
    <mergeCell ref="C943:C944"/>
    <mergeCell ref="D943:D944"/>
    <mergeCell ref="E943:E944"/>
    <mergeCell ref="F943:G944"/>
    <mergeCell ref="H943:H944"/>
    <mergeCell ref="I943:I944"/>
    <mergeCell ref="J943:J944"/>
    <mergeCell ref="K943:K944"/>
    <mergeCell ref="L943:L944"/>
    <mergeCell ref="A945:A946"/>
    <mergeCell ref="B945:B946"/>
    <mergeCell ref="C945:C946"/>
    <mergeCell ref="D945:D946"/>
    <mergeCell ref="E945:E946"/>
    <mergeCell ref="F945:G946"/>
    <mergeCell ref="H945:H946"/>
    <mergeCell ref="I945:I946"/>
    <mergeCell ref="J945:J946"/>
    <mergeCell ref="K945:K946"/>
    <mergeCell ref="L945:L946"/>
    <mergeCell ref="A947:A948"/>
    <mergeCell ref="B947:B948"/>
    <mergeCell ref="C947:C948"/>
    <mergeCell ref="D947:D948"/>
    <mergeCell ref="E947:E948"/>
    <mergeCell ref="F947:G948"/>
    <mergeCell ref="H947:H948"/>
    <mergeCell ref="I947:I948"/>
    <mergeCell ref="J947:J948"/>
    <mergeCell ref="K947:K948"/>
    <mergeCell ref="L947:L948"/>
    <mergeCell ref="A949:A950"/>
    <mergeCell ref="B949:B950"/>
    <mergeCell ref="C949:C950"/>
    <mergeCell ref="D949:D950"/>
    <mergeCell ref="E949:E950"/>
    <mergeCell ref="F949:G950"/>
    <mergeCell ref="H949:H950"/>
    <mergeCell ref="I949:I950"/>
    <mergeCell ref="J949:J950"/>
    <mergeCell ref="K949:K950"/>
    <mergeCell ref="L949:L950"/>
    <mergeCell ref="A951:A952"/>
    <mergeCell ref="B951:B952"/>
    <mergeCell ref="C951:C952"/>
    <mergeCell ref="D951:D952"/>
    <mergeCell ref="E951:E952"/>
    <mergeCell ref="F951:G952"/>
    <mergeCell ref="H951:H952"/>
    <mergeCell ref="I951:I952"/>
    <mergeCell ref="J951:J952"/>
    <mergeCell ref="K951:K952"/>
    <mergeCell ref="L951:L952"/>
    <mergeCell ref="A953:A954"/>
    <mergeCell ref="B953:B954"/>
    <mergeCell ref="C953:C954"/>
    <mergeCell ref="D953:D954"/>
    <mergeCell ref="E953:E954"/>
    <mergeCell ref="F953:G954"/>
    <mergeCell ref="H953:H954"/>
    <mergeCell ref="I953:I954"/>
    <mergeCell ref="J953:J954"/>
    <mergeCell ref="K953:K954"/>
    <mergeCell ref="L953:L954"/>
    <mergeCell ref="A955:A956"/>
    <mergeCell ref="B955:B956"/>
    <mergeCell ref="C955:C956"/>
    <mergeCell ref="D955:D956"/>
    <mergeCell ref="E955:E956"/>
    <mergeCell ref="F955:G956"/>
    <mergeCell ref="H955:H956"/>
    <mergeCell ref="I955:I956"/>
    <mergeCell ref="J955:J956"/>
    <mergeCell ref="K955:K956"/>
    <mergeCell ref="L955:L956"/>
    <mergeCell ref="A957:A958"/>
    <mergeCell ref="B957:B958"/>
    <mergeCell ref="C957:C958"/>
    <mergeCell ref="D957:D958"/>
    <mergeCell ref="E957:E958"/>
    <mergeCell ref="F957:G958"/>
    <mergeCell ref="H957:H958"/>
    <mergeCell ref="I957:I958"/>
    <mergeCell ref="J957:J958"/>
    <mergeCell ref="K957:K958"/>
    <mergeCell ref="L957:L958"/>
    <mergeCell ref="A959:A960"/>
    <mergeCell ref="B959:B960"/>
    <mergeCell ref="C959:C960"/>
    <mergeCell ref="D959:D960"/>
    <mergeCell ref="E959:E960"/>
    <mergeCell ref="F959:G960"/>
    <mergeCell ref="H959:H960"/>
    <mergeCell ref="I959:I960"/>
    <mergeCell ref="J959:J960"/>
    <mergeCell ref="K959:K960"/>
    <mergeCell ref="L959:L960"/>
    <mergeCell ref="A961:A962"/>
    <mergeCell ref="B961:B962"/>
    <mergeCell ref="C961:C962"/>
    <mergeCell ref="D961:D962"/>
    <mergeCell ref="E961:E962"/>
    <mergeCell ref="F961:G962"/>
    <mergeCell ref="H961:H962"/>
    <mergeCell ref="I961:I962"/>
    <mergeCell ref="J961:J962"/>
    <mergeCell ref="K961:K962"/>
    <mergeCell ref="L961:L962"/>
    <mergeCell ref="A963:A964"/>
    <mergeCell ref="B963:B964"/>
    <mergeCell ref="C963:C964"/>
    <mergeCell ref="D963:D964"/>
    <mergeCell ref="E963:E964"/>
    <mergeCell ref="F963:G964"/>
    <mergeCell ref="H963:H964"/>
    <mergeCell ref="I963:I964"/>
    <mergeCell ref="J963:J964"/>
    <mergeCell ref="K963:K964"/>
    <mergeCell ref="L963:L964"/>
    <mergeCell ref="A965:A966"/>
    <mergeCell ref="B965:B966"/>
    <mergeCell ref="C965:C966"/>
    <mergeCell ref="D965:D966"/>
    <mergeCell ref="E965:E966"/>
    <mergeCell ref="F965:G966"/>
    <mergeCell ref="H965:H966"/>
    <mergeCell ref="I965:I966"/>
    <mergeCell ref="J965:J966"/>
    <mergeCell ref="K965:K966"/>
    <mergeCell ref="L965:L966"/>
    <mergeCell ref="A969:A970"/>
    <mergeCell ref="B969:B970"/>
    <mergeCell ref="C969:C970"/>
    <mergeCell ref="D969:D970"/>
    <mergeCell ref="E969:E970"/>
    <mergeCell ref="F969:G970"/>
    <mergeCell ref="H969:H970"/>
    <mergeCell ref="I969:I970"/>
    <mergeCell ref="J969:J970"/>
    <mergeCell ref="K969:K970"/>
    <mergeCell ref="L969:L970"/>
    <mergeCell ref="A971:A972"/>
    <mergeCell ref="B971:B972"/>
    <mergeCell ref="C971:C972"/>
    <mergeCell ref="D971:D972"/>
    <mergeCell ref="E971:E972"/>
    <mergeCell ref="F971:G972"/>
    <mergeCell ref="H971:H972"/>
    <mergeCell ref="I971:I972"/>
    <mergeCell ref="J971:J972"/>
    <mergeCell ref="K971:K972"/>
    <mergeCell ref="L971:L972"/>
    <mergeCell ref="A973:A974"/>
    <mergeCell ref="B973:B974"/>
    <mergeCell ref="C973:C974"/>
    <mergeCell ref="D973:D974"/>
    <mergeCell ref="E973:E974"/>
    <mergeCell ref="F973:G974"/>
    <mergeCell ref="H973:H974"/>
    <mergeCell ref="I973:I974"/>
    <mergeCell ref="J973:J974"/>
    <mergeCell ref="K973:K974"/>
    <mergeCell ref="L973:L974"/>
    <mergeCell ref="A975:A976"/>
    <mergeCell ref="B975:B976"/>
    <mergeCell ref="C975:C976"/>
    <mergeCell ref="D975:D976"/>
    <mergeCell ref="E975:E976"/>
    <mergeCell ref="F975:G976"/>
    <mergeCell ref="H975:H976"/>
    <mergeCell ref="I975:I976"/>
    <mergeCell ref="J975:J976"/>
    <mergeCell ref="K975:K976"/>
    <mergeCell ref="L975:L976"/>
    <mergeCell ref="A977:A978"/>
    <mergeCell ref="B977:B978"/>
    <mergeCell ref="C977:C978"/>
    <mergeCell ref="D977:D978"/>
    <mergeCell ref="E977:E978"/>
    <mergeCell ref="F977:G978"/>
    <mergeCell ref="H977:H978"/>
    <mergeCell ref="I977:I978"/>
    <mergeCell ref="J977:J978"/>
    <mergeCell ref="K977:K978"/>
    <mergeCell ref="L977:L978"/>
    <mergeCell ref="A979:A980"/>
    <mergeCell ref="B979:B980"/>
    <mergeCell ref="C979:C980"/>
    <mergeCell ref="D979:D980"/>
    <mergeCell ref="E979:E980"/>
    <mergeCell ref="F979:G980"/>
    <mergeCell ref="H979:H980"/>
    <mergeCell ref="I979:I980"/>
    <mergeCell ref="J979:J980"/>
    <mergeCell ref="K979:K980"/>
    <mergeCell ref="L979:L980"/>
    <mergeCell ref="A981:A982"/>
    <mergeCell ref="B981:B982"/>
    <mergeCell ref="C981:C982"/>
    <mergeCell ref="D981:D982"/>
    <mergeCell ref="E981:E982"/>
    <mergeCell ref="F981:G982"/>
    <mergeCell ref="H981:H982"/>
    <mergeCell ref="I981:I982"/>
    <mergeCell ref="J981:J982"/>
    <mergeCell ref="K981:K982"/>
    <mergeCell ref="L981:L982"/>
    <mergeCell ref="A983:A984"/>
    <mergeCell ref="B983:B984"/>
    <mergeCell ref="C983:C984"/>
    <mergeCell ref="D983:D984"/>
    <mergeCell ref="E983:E984"/>
    <mergeCell ref="F983:G984"/>
    <mergeCell ref="H983:H984"/>
    <mergeCell ref="I983:I984"/>
    <mergeCell ref="J983:J984"/>
    <mergeCell ref="K983:K984"/>
    <mergeCell ref="L983:L984"/>
    <mergeCell ref="A985:A986"/>
    <mergeCell ref="B985:B986"/>
    <mergeCell ref="C985:C986"/>
    <mergeCell ref="D985:D986"/>
    <mergeCell ref="E985:E986"/>
    <mergeCell ref="F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F987:G988"/>
    <mergeCell ref="H987:H988"/>
    <mergeCell ref="I987:I988"/>
    <mergeCell ref="J987:J988"/>
    <mergeCell ref="K987:K988"/>
    <mergeCell ref="L987:L988"/>
    <mergeCell ref="A989:A990"/>
    <mergeCell ref="B989:B990"/>
    <mergeCell ref="C989:C990"/>
    <mergeCell ref="D989:D990"/>
    <mergeCell ref="E989:E990"/>
    <mergeCell ref="F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F991:G992"/>
    <mergeCell ref="H991:H992"/>
    <mergeCell ref="I991:I992"/>
    <mergeCell ref="J991:J992"/>
    <mergeCell ref="K991:K992"/>
    <mergeCell ref="L991:L992"/>
    <mergeCell ref="A993:A994"/>
    <mergeCell ref="B993:B994"/>
    <mergeCell ref="C993:C994"/>
    <mergeCell ref="D993:D994"/>
    <mergeCell ref="E993:E994"/>
    <mergeCell ref="F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F995:G996"/>
    <mergeCell ref="H995:H996"/>
    <mergeCell ref="I995:I996"/>
    <mergeCell ref="J995:J996"/>
    <mergeCell ref="K995:K996"/>
    <mergeCell ref="L995:L996"/>
    <mergeCell ref="A997:A998"/>
    <mergeCell ref="B997:B998"/>
    <mergeCell ref="C997:C998"/>
    <mergeCell ref="D997:D998"/>
    <mergeCell ref="E997:E998"/>
    <mergeCell ref="F997:G998"/>
    <mergeCell ref="H997:H998"/>
    <mergeCell ref="I997:I998"/>
    <mergeCell ref="J997:J998"/>
    <mergeCell ref="K997:K998"/>
    <mergeCell ref="L997:L998"/>
    <mergeCell ref="A1001:A1002"/>
    <mergeCell ref="B1001:B1002"/>
    <mergeCell ref="C1001:C1002"/>
    <mergeCell ref="D1001:D1002"/>
    <mergeCell ref="E1001:E1002"/>
    <mergeCell ref="F1001:G1002"/>
    <mergeCell ref="H1001:H1002"/>
    <mergeCell ref="I1001:I1002"/>
    <mergeCell ref="J1001:J1002"/>
    <mergeCell ref="K1001:K1002"/>
    <mergeCell ref="L1001:L1002"/>
    <mergeCell ref="A999:L1000"/>
    <mergeCell ref="A1003:A1004"/>
    <mergeCell ref="B1003:B1004"/>
    <mergeCell ref="C1003:C1004"/>
    <mergeCell ref="D1003:D1004"/>
    <mergeCell ref="E1003:E1004"/>
    <mergeCell ref="F1003:G1004"/>
    <mergeCell ref="H1003:H1004"/>
    <mergeCell ref="I1003:I1004"/>
    <mergeCell ref="J1003:J1004"/>
    <mergeCell ref="K1003:K1004"/>
    <mergeCell ref="L1003:L1004"/>
    <mergeCell ref="A1005:A1006"/>
    <mergeCell ref="B1005:B1006"/>
    <mergeCell ref="C1005:C1006"/>
    <mergeCell ref="D1005:D1006"/>
    <mergeCell ref="E1005:E1006"/>
    <mergeCell ref="F1005:G1006"/>
    <mergeCell ref="H1005:H1006"/>
    <mergeCell ref="I1005:I1006"/>
    <mergeCell ref="J1005:J1006"/>
    <mergeCell ref="K1005:K1006"/>
    <mergeCell ref="L1005:L1006"/>
    <mergeCell ref="A1007:A1008"/>
    <mergeCell ref="B1007:B1008"/>
    <mergeCell ref="C1007:C1008"/>
    <mergeCell ref="D1007:D1008"/>
    <mergeCell ref="E1007:E1008"/>
    <mergeCell ref="F1007:G1008"/>
    <mergeCell ref="H1007:H1008"/>
    <mergeCell ref="I1007:I1008"/>
    <mergeCell ref="J1007:J1008"/>
    <mergeCell ref="K1007:K1008"/>
    <mergeCell ref="L1007:L1008"/>
    <mergeCell ref="A1009:A1010"/>
    <mergeCell ref="B1009:B1010"/>
    <mergeCell ref="C1009:C1010"/>
    <mergeCell ref="D1009:D1010"/>
    <mergeCell ref="E1009:E1010"/>
    <mergeCell ref="F1009:G1010"/>
    <mergeCell ref="H1009:H1010"/>
    <mergeCell ref="I1009:I1010"/>
    <mergeCell ref="J1009:J1010"/>
    <mergeCell ref="K1009:K1010"/>
    <mergeCell ref="L1009:L1010"/>
    <mergeCell ref="A1011:A1012"/>
    <mergeCell ref="B1011:B1012"/>
    <mergeCell ref="C1011:C1012"/>
    <mergeCell ref="D1011:D1012"/>
    <mergeCell ref="E1011:E1012"/>
    <mergeCell ref="F1011:G1012"/>
    <mergeCell ref="H1011:H1012"/>
    <mergeCell ref="I1011:I1012"/>
    <mergeCell ref="J1011:J1012"/>
    <mergeCell ref="K1011:K1012"/>
    <mergeCell ref="L1011:L1012"/>
    <mergeCell ref="A1013:A1014"/>
    <mergeCell ref="B1013:B1014"/>
    <mergeCell ref="C1013:C1014"/>
    <mergeCell ref="D1013:D1014"/>
    <mergeCell ref="E1013:E1014"/>
    <mergeCell ref="F1013:G1014"/>
    <mergeCell ref="H1013:H1014"/>
    <mergeCell ref="I1013:I1014"/>
    <mergeCell ref="J1013:J1014"/>
    <mergeCell ref="K1013:K1014"/>
    <mergeCell ref="L1013:L1014"/>
    <mergeCell ref="A1015:A1016"/>
    <mergeCell ref="B1015:B1016"/>
    <mergeCell ref="C1015:C1016"/>
    <mergeCell ref="D1015:D1016"/>
    <mergeCell ref="E1015:E1016"/>
    <mergeCell ref="F1015:G1016"/>
    <mergeCell ref="H1015:H1016"/>
    <mergeCell ref="I1015:I1016"/>
    <mergeCell ref="J1015:J1016"/>
    <mergeCell ref="K1015:K1016"/>
    <mergeCell ref="L1015:L1016"/>
    <mergeCell ref="A1017:A1018"/>
    <mergeCell ref="B1017:B1018"/>
    <mergeCell ref="C1017:C1018"/>
    <mergeCell ref="D1017:D1018"/>
    <mergeCell ref="E1017:E1018"/>
    <mergeCell ref="F1017:G1018"/>
    <mergeCell ref="H1017:H1018"/>
    <mergeCell ref="I1017:I1018"/>
    <mergeCell ref="J1017:J1018"/>
    <mergeCell ref="K1017:K1018"/>
    <mergeCell ref="L1017:L1018"/>
    <mergeCell ref="A1019:A1020"/>
    <mergeCell ref="B1019:B1020"/>
    <mergeCell ref="C1019:C1020"/>
    <mergeCell ref="D1019:D1020"/>
    <mergeCell ref="E1019:E1020"/>
    <mergeCell ref="F1019:G1020"/>
    <mergeCell ref="H1019:H1020"/>
    <mergeCell ref="I1019:I1020"/>
    <mergeCell ref="J1019:J1020"/>
    <mergeCell ref="K1019:K1020"/>
    <mergeCell ref="L1019:L1020"/>
    <mergeCell ref="A1021:A1022"/>
    <mergeCell ref="B1021:B1022"/>
    <mergeCell ref="C1021:C1022"/>
    <mergeCell ref="D1021:D1022"/>
    <mergeCell ref="E1021:E1022"/>
    <mergeCell ref="F1021:G1022"/>
    <mergeCell ref="H1021:H1022"/>
    <mergeCell ref="I1021:I1022"/>
    <mergeCell ref="J1021:J1022"/>
    <mergeCell ref="K1021:K1022"/>
    <mergeCell ref="L1021:L1022"/>
    <mergeCell ref="A1023:A1024"/>
    <mergeCell ref="B1023:B1024"/>
    <mergeCell ref="C1023:C1024"/>
    <mergeCell ref="D1023:D1024"/>
    <mergeCell ref="E1023:E1024"/>
    <mergeCell ref="F1023:G1024"/>
    <mergeCell ref="H1023:H1024"/>
    <mergeCell ref="I1023:I1024"/>
    <mergeCell ref="J1023:J1024"/>
    <mergeCell ref="K1023:K1024"/>
    <mergeCell ref="L1023:L1024"/>
    <mergeCell ref="A1025:A1026"/>
    <mergeCell ref="B1025:B1026"/>
    <mergeCell ref="C1025:C1026"/>
    <mergeCell ref="D1025:D1026"/>
    <mergeCell ref="E1025:E1026"/>
    <mergeCell ref="F1025:G1026"/>
    <mergeCell ref="H1025:H1026"/>
    <mergeCell ref="I1025:I1026"/>
    <mergeCell ref="J1025:J1026"/>
    <mergeCell ref="K1025:K1026"/>
    <mergeCell ref="L1025:L1026"/>
    <mergeCell ref="A1027:A1028"/>
    <mergeCell ref="B1027:B1028"/>
    <mergeCell ref="C1027:C1028"/>
    <mergeCell ref="D1027:D1028"/>
    <mergeCell ref="E1027:E1028"/>
    <mergeCell ref="F1027:G1028"/>
    <mergeCell ref="H1027:H1028"/>
    <mergeCell ref="I1027:I1028"/>
    <mergeCell ref="J1027:J1028"/>
    <mergeCell ref="K1027:K1028"/>
    <mergeCell ref="L1027:L1028"/>
    <mergeCell ref="A1029:A1030"/>
    <mergeCell ref="B1029:B1030"/>
    <mergeCell ref="C1029:C1030"/>
    <mergeCell ref="D1029:D1030"/>
    <mergeCell ref="E1029:E1030"/>
    <mergeCell ref="F1029:G1030"/>
    <mergeCell ref="H1029:H1030"/>
    <mergeCell ref="I1029:I1030"/>
    <mergeCell ref="J1029:J1030"/>
    <mergeCell ref="K1029:K1030"/>
    <mergeCell ref="L1029:L1030"/>
    <mergeCell ref="A1031:A1032"/>
    <mergeCell ref="B1031:B1032"/>
    <mergeCell ref="C1031:C1032"/>
    <mergeCell ref="D1031:D1032"/>
    <mergeCell ref="E1031:E1032"/>
    <mergeCell ref="F1031:G1032"/>
    <mergeCell ref="H1031:H1032"/>
    <mergeCell ref="I1031:I1032"/>
    <mergeCell ref="J1031:J1032"/>
    <mergeCell ref="K1031:K1032"/>
    <mergeCell ref="L1031:L1032"/>
    <mergeCell ref="A1033:A1034"/>
    <mergeCell ref="B1033:B1034"/>
    <mergeCell ref="C1033:C1034"/>
    <mergeCell ref="D1033:D1034"/>
    <mergeCell ref="E1033:E1034"/>
    <mergeCell ref="F1033:G1034"/>
    <mergeCell ref="H1033:H1034"/>
    <mergeCell ref="I1033:I1034"/>
    <mergeCell ref="J1033:J1034"/>
    <mergeCell ref="K1033:K1034"/>
    <mergeCell ref="L1033:L1034"/>
    <mergeCell ref="A1035:A1036"/>
    <mergeCell ref="B1035:B1036"/>
    <mergeCell ref="C1035:C1036"/>
    <mergeCell ref="D1035:D1036"/>
    <mergeCell ref="E1035:E1036"/>
    <mergeCell ref="F1035:G1036"/>
    <mergeCell ref="H1035:H1036"/>
    <mergeCell ref="I1035:I1036"/>
    <mergeCell ref="J1035:J1036"/>
    <mergeCell ref="K1035:K1036"/>
    <mergeCell ref="L1035:L1036"/>
    <mergeCell ref="A1037:A1038"/>
    <mergeCell ref="B1037:B1038"/>
    <mergeCell ref="C1037:C1038"/>
    <mergeCell ref="D1037:D1038"/>
    <mergeCell ref="E1037:E1038"/>
    <mergeCell ref="F1037:G1038"/>
    <mergeCell ref="H1037:H1038"/>
    <mergeCell ref="I1037:I1038"/>
    <mergeCell ref="J1037:J1038"/>
    <mergeCell ref="K1037:K1038"/>
    <mergeCell ref="L1037:L1038"/>
    <mergeCell ref="J1045:J1046"/>
    <mergeCell ref="K1045:K1046"/>
    <mergeCell ref="L1045:L1046"/>
    <mergeCell ref="A1039:A1040"/>
    <mergeCell ref="B1039:B1040"/>
    <mergeCell ref="C1039:C1040"/>
    <mergeCell ref="D1039:D1040"/>
    <mergeCell ref="E1039:E1040"/>
    <mergeCell ref="F1039:G1040"/>
    <mergeCell ref="H1039:H1040"/>
    <mergeCell ref="I1039:I1040"/>
    <mergeCell ref="J1039:J1040"/>
    <mergeCell ref="K1039:K1040"/>
    <mergeCell ref="L1039:L1040"/>
    <mergeCell ref="A1041:A1042"/>
    <mergeCell ref="B1041:B1042"/>
    <mergeCell ref="C1041:C1042"/>
    <mergeCell ref="D1041:D1042"/>
    <mergeCell ref="E1041:E1042"/>
    <mergeCell ref="F1041:G1042"/>
    <mergeCell ref="H1041:H1042"/>
    <mergeCell ref="I1041:I1042"/>
    <mergeCell ref="J1041:J1042"/>
    <mergeCell ref="K1041:K1042"/>
    <mergeCell ref="L1041:L1042"/>
    <mergeCell ref="K1047:K1048"/>
    <mergeCell ref="L1047:L1048"/>
    <mergeCell ref="A1049:A1050"/>
    <mergeCell ref="B1049:B1050"/>
    <mergeCell ref="C1049:C1050"/>
    <mergeCell ref="D1049:D1050"/>
    <mergeCell ref="E1049:E1050"/>
    <mergeCell ref="F1049:G1050"/>
    <mergeCell ref="H1049:H1050"/>
    <mergeCell ref="I1049:I1050"/>
    <mergeCell ref="J1049:J1050"/>
    <mergeCell ref="K1049:K1050"/>
    <mergeCell ref="L1049:L1050"/>
    <mergeCell ref="A1043:A1044"/>
    <mergeCell ref="B1043:B1044"/>
    <mergeCell ref="C1043:C1044"/>
    <mergeCell ref="D1043:D1044"/>
    <mergeCell ref="E1043:E1044"/>
    <mergeCell ref="F1043:G1044"/>
    <mergeCell ref="H1043:H1044"/>
    <mergeCell ref="I1043:I1044"/>
    <mergeCell ref="J1043:J1044"/>
    <mergeCell ref="K1043:K1044"/>
    <mergeCell ref="L1043:L1044"/>
    <mergeCell ref="A1045:A1046"/>
    <mergeCell ref="B1045:B1046"/>
    <mergeCell ref="C1045:C1046"/>
    <mergeCell ref="D1045:D1046"/>
    <mergeCell ref="E1045:E1046"/>
    <mergeCell ref="F1045:G1046"/>
    <mergeCell ref="H1045:H1046"/>
    <mergeCell ref="I1045:I1046"/>
    <mergeCell ref="A1057:A1058"/>
    <mergeCell ref="B1057:B1058"/>
    <mergeCell ref="C1057:C1058"/>
    <mergeCell ref="D1057:D1058"/>
    <mergeCell ref="E1057:E1058"/>
    <mergeCell ref="F1057:G1058"/>
    <mergeCell ref="H1057:H1058"/>
    <mergeCell ref="I1057:I1058"/>
    <mergeCell ref="J1057:J1058"/>
    <mergeCell ref="K1057:K1058"/>
    <mergeCell ref="L1057:L1058"/>
    <mergeCell ref="A1051:A1052"/>
    <mergeCell ref="B1051:B1052"/>
    <mergeCell ref="C1051:C1052"/>
    <mergeCell ref="D1051:D1052"/>
    <mergeCell ref="E1051:E1052"/>
    <mergeCell ref="F1051:G1052"/>
    <mergeCell ref="H1051:H1052"/>
    <mergeCell ref="I1051:I1052"/>
    <mergeCell ref="J1051:J1052"/>
    <mergeCell ref="K1051:K1052"/>
    <mergeCell ref="L1051:L1052"/>
    <mergeCell ref="A1053:A1054"/>
    <mergeCell ref="B1053:B1054"/>
    <mergeCell ref="C1053:C1054"/>
    <mergeCell ref="D1053:D1054"/>
    <mergeCell ref="E1053:E1054"/>
    <mergeCell ref="F1053:G1054"/>
    <mergeCell ref="H1053:H1054"/>
    <mergeCell ref="I1053:I1054"/>
    <mergeCell ref="J1053:J1054"/>
    <mergeCell ref="K1053:K1054"/>
    <mergeCell ref="A839:A840"/>
    <mergeCell ref="B839:B840"/>
    <mergeCell ref="C839:C840"/>
    <mergeCell ref="D839:D840"/>
    <mergeCell ref="E839:E840"/>
    <mergeCell ref="F839:G840"/>
    <mergeCell ref="H839:H840"/>
    <mergeCell ref="I839:I840"/>
    <mergeCell ref="J839:J840"/>
    <mergeCell ref="K839:K840"/>
    <mergeCell ref="L839:L840"/>
    <mergeCell ref="A1055:A1056"/>
    <mergeCell ref="B1055:B1056"/>
    <mergeCell ref="C1055:C1056"/>
    <mergeCell ref="D1055:D1056"/>
    <mergeCell ref="E1055:E1056"/>
    <mergeCell ref="F1055:G1056"/>
    <mergeCell ref="H1055:H1056"/>
    <mergeCell ref="I1055:I1056"/>
    <mergeCell ref="J1055:J1056"/>
    <mergeCell ref="K1055:K1056"/>
    <mergeCell ref="L1055:L1056"/>
    <mergeCell ref="L1053:L1054"/>
    <mergeCell ref="A1047:A1048"/>
    <mergeCell ref="B1047:B1048"/>
    <mergeCell ref="C1047:C1048"/>
    <mergeCell ref="D1047:D1048"/>
    <mergeCell ref="E1047:E1048"/>
    <mergeCell ref="F1047:G1048"/>
    <mergeCell ref="H1047:H1048"/>
    <mergeCell ref="I1047:I1048"/>
    <mergeCell ref="J1047:J1048"/>
    <mergeCell ref="A1157:A1158"/>
    <mergeCell ref="B1157:B1158"/>
    <mergeCell ref="C1157:C1158"/>
    <mergeCell ref="D1157:D1158"/>
    <mergeCell ref="E1157:E1158"/>
    <mergeCell ref="F1157:G1158"/>
    <mergeCell ref="H1157:H1158"/>
    <mergeCell ref="I1157:I1158"/>
    <mergeCell ref="J1157:J1158"/>
    <mergeCell ref="K1157:K1158"/>
    <mergeCell ref="L1157:L1158"/>
    <mergeCell ref="A1159:A1160"/>
    <mergeCell ref="B1159:B1160"/>
    <mergeCell ref="C1159:C1160"/>
    <mergeCell ref="D1159:D1160"/>
    <mergeCell ref="E1159:E1160"/>
    <mergeCell ref="F1159:G1160"/>
    <mergeCell ref="H1159:H1160"/>
    <mergeCell ref="I1159:I1160"/>
    <mergeCell ref="J1159:J1160"/>
    <mergeCell ref="K1159:K1160"/>
    <mergeCell ref="L1159:L1160"/>
    <mergeCell ref="A1161:A1162"/>
    <mergeCell ref="B1161:B1162"/>
    <mergeCell ref="C1161:C1162"/>
    <mergeCell ref="D1161:D1162"/>
    <mergeCell ref="E1161:E1162"/>
    <mergeCell ref="F1161:G1162"/>
    <mergeCell ref="H1161:H1162"/>
    <mergeCell ref="I1161:I1162"/>
    <mergeCell ref="J1161:J1162"/>
    <mergeCell ref="K1161:K1162"/>
    <mergeCell ref="L1161:L1162"/>
    <mergeCell ref="A1163:A1164"/>
    <mergeCell ref="B1163:B1164"/>
    <mergeCell ref="C1163:C1164"/>
    <mergeCell ref="D1163:D1164"/>
    <mergeCell ref="E1163:E1164"/>
    <mergeCell ref="F1163:G1164"/>
    <mergeCell ref="H1163:H1164"/>
    <mergeCell ref="I1163:I1164"/>
    <mergeCell ref="J1163:J1164"/>
    <mergeCell ref="K1163:K1164"/>
    <mergeCell ref="L1163:L1164"/>
    <mergeCell ref="A1165:A1166"/>
    <mergeCell ref="B1165:B1166"/>
    <mergeCell ref="C1165:C1166"/>
    <mergeCell ref="D1165:D1166"/>
    <mergeCell ref="E1165:E1166"/>
    <mergeCell ref="F1165:G1166"/>
    <mergeCell ref="H1165:H1166"/>
    <mergeCell ref="I1165:I1166"/>
    <mergeCell ref="J1165:J1166"/>
    <mergeCell ref="K1165:K1166"/>
    <mergeCell ref="L1165:L1166"/>
    <mergeCell ref="A1167:A1168"/>
    <mergeCell ref="B1167:B1168"/>
    <mergeCell ref="C1167:C1168"/>
    <mergeCell ref="D1167:D1168"/>
    <mergeCell ref="E1167:E1168"/>
    <mergeCell ref="F1167:G1168"/>
    <mergeCell ref="H1167:H1168"/>
    <mergeCell ref="I1167:I1168"/>
    <mergeCell ref="J1167:J1168"/>
    <mergeCell ref="K1167:K1168"/>
    <mergeCell ref="L1167:L1168"/>
    <mergeCell ref="A1169:A1170"/>
    <mergeCell ref="B1169:B1170"/>
    <mergeCell ref="C1169:C1170"/>
    <mergeCell ref="D1169:D1170"/>
    <mergeCell ref="E1169:E1170"/>
    <mergeCell ref="F1169:G1170"/>
    <mergeCell ref="H1169:H1170"/>
    <mergeCell ref="I1169:I1170"/>
    <mergeCell ref="J1169:J1170"/>
    <mergeCell ref="K1169:K1170"/>
    <mergeCell ref="L1169:L1170"/>
    <mergeCell ref="A1171:A1172"/>
    <mergeCell ref="B1171:B1172"/>
    <mergeCell ref="C1171:C1172"/>
    <mergeCell ref="D1171:D1172"/>
    <mergeCell ref="E1171:E1172"/>
    <mergeCell ref="F1171:G1172"/>
    <mergeCell ref="H1171:H1172"/>
    <mergeCell ref="I1171:I1172"/>
    <mergeCell ref="J1171:J1172"/>
    <mergeCell ref="K1171:K1172"/>
    <mergeCell ref="L1171:L1172"/>
    <mergeCell ref="A1173:A1174"/>
    <mergeCell ref="B1173:B1174"/>
    <mergeCell ref="C1173:C1174"/>
    <mergeCell ref="D1173:D1174"/>
    <mergeCell ref="E1173:E1174"/>
    <mergeCell ref="F1173:G1174"/>
    <mergeCell ref="H1173:H1174"/>
    <mergeCell ref="I1173:I1174"/>
    <mergeCell ref="J1173:J1174"/>
    <mergeCell ref="K1173:K1174"/>
    <mergeCell ref="L1173:L1174"/>
    <mergeCell ref="A1175:A1176"/>
    <mergeCell ref="B1175:B1176"/>
    <mergeCell ref="C1175:C1176"/>
    <mergeCell ref="D1175:D1176"/>
    <mergeCell ref="E1175:E1176"/>
    <mergeCell ref="F1175:G1176"/>
    <mergeCell ref="H1175:H1176"/>
    <mergeCell ref="I1175:I1176"/>
    <mergeCell ref="J1175:J1176"/>
    <mergeCell ref="K1175:K1176"/>
    <mergeCell ref="L1175:L1176"/>
    <mergeCell ref="A1177:A1178"/>
    <mergeCell ref="B1177:B1178"/>
    <mergeCell ref="C1177:C1178"/>
    <mergeCell ref="D1177:D1178"/>
    <mergeCell ref="E1177:E1178"/>
    <mergeCell ref="F1177:G1178"/>
    <mergeCell ref="H1177:H1178"/>
    <mergeCell ref="I1177:I1178"/>
    <mergeCell ref="J1177:J1178"/>
    <mergeCell ref="K1177:K1178"/>
    <mergeCell ref="L1177:L1178"/>
    <mergeCell ref="A1179:A1180"/>
    <mergeCell ref="B1179:B1180"/>
    <mergeCell ref="C1179:C1180"/>
    <mergeCell ref="D1179:D1180"/>
    <mergeCell ref="E1179:E1180"/>
    <mergeCell ref="F1179:G1180"/>
    <mergeCell ref="H1179:H1180"/>
    <mergeCell ref="I1179:I1180"/>
    <mergeCell ref="J1179:J1180"/>
    <mergeCell ref="K1179:K1180"/>
    <mergeCell ref="L1179:L1180"/>
    <mergeCell ref="A1183:A1184"/>
    <mergeCell ref="B1183:B1184"/>
    <mergeCell ref="C1183:C1184"/>
    <mergeCell ref="D1183:D1184"/>
    <mergeCell ref="E1183:E1184"/>
    <mergeCell ref="F1183:G1184"/>
    <mergeCell ref="H1183:H1184"/>
    <mergeCell ref="I1183:I1184"/>
    <mergeCell ref="J1183:J1184"/>
    <mergeCell ref="K1183:K1184"/>
    <mergeCell ref="L1183:L1184"/>
    <mergeCell ref="A1185:A1186"/>
    <mergeCell ref="B1185:B1186"/>
    <mergeCell ref="C1185:C1186"/>
    <mergeCell ref="D1185:D1186"/>
    <mergeCell ref="E1185:E1186"/>
    <mergeCell ref="F1185:G1186"/>
    <mergeCell ref="H1185:H1186"/>
    <mergeCell ref="I1185:I1186"/>
    <mergeCell ref="J1185:J1186"/>
    <mergeCell ref="K1185:K1186"/>
    <mergeCell ref="L1185:L1186"/>
    <mergeCell ref="K1193:K1194"/>
    <mergeCell ref="L1193:L1194"/>
    <mergeCell ref="A1187:A1188"/>
    <mergeCell ref="B1187:B1188"/>
    <mergeCell ref="C1187:C1188"/>
    <mergeCell ref="D1187:D1188"/>
    <mergeCell ref="E1187:E1188"/>
    <mergeCell ref="F1187:G1188"/>
    <mergeCell ref="H1187:H1188"/>
    <mergeCell ref="I1187:I1188"/>
    <mergeCell ref="J1187:J1188"/>
    <mergeCell ref="K1187:K1188"/>
    <mergeCell ref="L1187:L1188"/>
    <mergeCell ref="A1189:A1190"/>
    <mergeCell ref="B1189:B1190"/>
    <mergeCell ref="C1189:C1190"/>
    <mergeCell ref="D1189:D1190"/>
    <mergeCell ref="E1189:E1190"/>
    <mergeCell ref="F1189:G1190"/>
    <mergeCell ref="H1189:H1190"/>
    <mergeCell ref="I1189:I1190"/>
    <mergeCell ref="J1189:J1190"/>
    <mergeCell ref="K1189:K1190"/>
    <mergeCell ref="L1189:L1190"/>
    <mergeCell ref="L1195:L1196"/>
    <mergeCell ref="A1197:A1198"/>
    <mergeCell ref="B1197:B1198"/>
    <mergeCell ref="C1197:C1198"/>
    <mergeCell ref="D1197:D1198"/>
    <mergeCell ref="E1197:E1198"/>
    <mergeCell ref="F1197:G1198"/>
    <mergeCell ref="H1197:H1198"/>
    <mergeCell ref="I1197:I1198"/>
    <mergeCell ref="J1197:J1198"/>
    <mergeCell ref="K1197:K1198"/>
    <mergeCell ref="L1197:L1198"/>
    <mergeCell ref="A1191:A1192"/>
    <mergeCell ref="B1191:B1192"/>
    <mergeCell ref="C1191:C1192"/>
    <mergeCell ref="D1191:D1192"/>
    <mergeCell ref="E1191:E1192"/>
    <mergeCell ref="F1191:G1192"/>
    <mergeCell ref="H1191:H1192"/>
    <mergeCell ref="I1191:I1192"/>
    <mergeCell ref="J1191:J1192"/>
    <mergeCell ref="K1191:K1192"/>
    <mergeCell ref="L1191:L1192"/>
    <mergeCell ref="A1193:A1194"/>
    <mergeCell ref="B1193:B1194"/>
    <mergeCell ref="C1193:C1194"/>
    <mergeCell ref="D1193:D1194"/>
    <mergeCell ref="E1193:E1194"/>
    <mergeCell ref="F1193:G1194"/>
    <mergeCell ref="H1193:H1194"/>
    <mergeCell ref="I1193:I1194"/>
    <mergeCell ref="J1193:J1194"/>
    <mergeCell ref="C1201:C1202"/>
    <mergeCell ref="D1201:D1202"/>
    <mergeCell ref="E1201:E1202"/>
    <mergeCell ref="F1201:G1202"/>
    <mergeCell ref="H1201:H1202"/>
    <mergeCell ref="I1201:I1202"/>
    <mergeCell ref="J1201:J1202"/>
    <mergeCell ref="K1201:K1202"/>
    <mergeCell ref="L1201:L1202"/>
    <mergeCell ref="A1203:A1204"/>
    <mergeCell ref="B1203:B1204"/>
    <mergeCell ref="C1203:C1204"/>
    <mergeCell ref="D1203:D1204"/>
    <mergeCell ref="E1203:E1204"/>
    <mergeCell ref="F1203:G1204"/>
    <mergeCell ref="H1203:H1204"/>
    <mergeCell ref="I1203:I1204"/>
    <mergeCell ref="J1203:J1204"/>
    <mergeCell ref="K1203:K1204"/>
    <mergeCell ref="L1203:L1204"/>
    <mergeCell ref="A1205:A1206"/>
    <mergeCell ref="B1205:B1206"/>
    <mergeCell ref="C1205:C1206"/>
    <mergeCell ref="D1205:D1206"/>
    <mergeCell ref="E1205:E1206"/>
    <mergeCell ref="F1205:G1206"/>
    <mergeCell ref="H1205:H1206"/>
    <mergeCell ref="I1205:I1206"/>
    <mergeCell ref="J1205:J1206"/>
    <mergeCell ref="K1205:K1206"/>
    <mergeCell ref="L1205:L1206"/>
    <mergeCell ref="A1207:A1208"/>
    <mergeCell ref="B1207:B1208"/>
    <mergeCell ref="C1207:C1208"/>
    <mergeCell ref="D1207:D1208"/>
    <mergeCell ref="E1207:E1208"/>
    <mergeCell ref="F1207:G1208"/>
    <mergeCell ref="H1207:H1208"/>
    <mergeCell ref="I1207:I1208"/>
    <mergeCell ref="J1207:J1208"/>
    <mergeCell ref="K1207:K1208"/>
    <mergeCell ref="L1207:L1208"/>
    <mergeCell ref="A1209:A1210"/>
    <mergeCell ref="B1209:B1210"/>
    <mergeCell ref="C1209:C1210"/>
    <mergeCell ref="D1209:D1210"/>
    <mergeCell ref="E1209:E1210"/>
    <mergeCell ref="F1209:G1210"/>
    <mergeCell ref="H1209:H1210"/>
    <mergeCell ref="I1209:I1210"/>
    <mergeCell ref="J1209:J1210"/>
    <mergeCell ref="K1209:K1210"/>
    <mergeCell ref="L1209:L1210"/>
    <mergeCell ref="A1211:A1212"/>
    <mergeCell ref="B1211:B1212"/>
    <mergeCell ref="C1211:C1212"/>
    <mergeCell ref="D1211:D1212"/>
    <mergeCell ref="E1211:E1212"/>
    <mergeCell ref="F1211:G1212"/>
    <mergeCell ref="H1211:H1212"/>
    <mergeCell ref="I1211:I1212"/>
    <mergeCell ref="J1211:J1212"/>
    <mergeCell ref="K1211:K1212"/>
    <mergeCell ref="L1211:L1212"/>
    <mergeCell ref="H1219:H1220"/>
    <mergeCell ref="I1219:I1220"/>
    <mergeCell ref="J1219:J1220"/>
    <mergeCell ref="K1219:K1220"/>
    <mergeCell ref="L1219:L1220"/>
    <mergeCell ref="A1213:A1214"/>
    <mergeCell ref="B1213:B1214"/>
    <mergeCell ref="C1213:C1214"/>
    <mergeCell ref="D1213:D1214"/>
    <mergeCell ref="E1213:E1214"/>
    <mergeCell ref="F1213:G1214"/>
    <mergeCell ref="H1213:H1214"/>
    <mergeCell ref="I1213:I1214"/>
    <mergeCell ref="J1213:J1214"/>
    <mergeCell ref="K1213:K1214"/>
    <mergeCell ref="L1213:L1214"/>
    <mergeCell ref="A1215:A1216"/>
    <mergeCell ref="B1215:B1216"/>
    <mergeCell ref="C1215:C1216"/>
    <mergeCell ref="D1215:D1216"/>
    <mergeCell ref="E1215:E1216"/>
    <mergeCell ref="F1215:G1216"/>
    <mergeCell ref="H1215:H1216"/>
    <mergeCell ref="I1215:I1216"/>
    <mergeCell ref="J1215:J1216"/>
    <mergeCell ref="K1215:K1216"/>
    <mergeCell ref="L1215:L1216"/>
    <mergeCell ref="A1227:A1228"/>
    <mergeCell ref="B1227:B1228"/>
    <mergeCell ref="C1227:C1228"/>
    <mergeCell ref="D1227:D1228"/>
    <mergeCell ref="E1227:E1228"/>
    <mergeCell ref="F1227:G1228"/>
    <mergeCell ref="H1227:H1228"/>
    <mergeCell ref="I1227:I1228"/>
    <mergeCell ref="J1227:J1228"/>
    <mergeCell ref="K1227:K1228"/>
    <mergeCell ref="L1227:L1228"/>
    <mergeCell ref="A1221:A1222"/>
    <mergeCell ref="B1221:B1222"/>
    <mergeCell ref="C1221:C1222"/>
    <mergeCell ref="D1221:D1222"/>
    <mergeCell ref="E1221:E1222"/>
    <mergeCell ref="F1221:G1222"/>
    <mergeCell ref="H1221:H1222"/>
    <mergeCell ref="I1221:I1222"/>
    <mergeCell ref="J1221:J1222"/>
    <mergeCell ref="K1221:K1222"/>
    <mergeCell ref="L1221:L1222"/>
    <mergeCell ref="A1223:A1224"/>
    <mergeCell ref="B1223:B1224"/>
    <mergeCell ref="C1223:C1224"/>
    <mergeCell ref="D1223:D1224"/>
    <mergeCell ref="E1223:E1224"/>
    <mergeCell ref="F1223:G1224"/>
    <mergeCell ref="H1223:H1224"/>
    <mergeCell ref="I1223:I1224"/>
    <mergeCell ref="J1223:J1224"/>
    <mergeCell ref="K1223:K1224"/>
    <mergeCell ref="J1151:J1152"/>
    <mergeCell ref="K1151:K1152"/>
    <mergeCell ref="L1151:L1152"/>
    <mergeCell ref="A1225:A1226"/>
    <mergeCell ref="B1225:B1226"/>
    <mergeCell ref="C1225:C1226"/>
    <mergeCell ref="D1225:D1226"/>
    <mergeCell ref="E1225:E1226"/>
    <mergeCell ref="F1225:G1226"/>
    <mergeCell ref="H1225:H1226"/>
    <mergeCell ref="I1225:I1226"/>
    <mergeCell ref="J1225:J1226"/>
    <mergeCell ref="K1225:K1226"/>
    <mergeCell ref="L1225:L1226"/>
    <mergeCell ref="L1223:L1224"/>
    <mergeCell ref="A1217:A1218"/>
    <mergeCell ref="B1217:B1218"/>
    <mergeCell ref="C1217:C1218"/>
    <mergeCell ref="D1217:D1218"/>
    <mergeCell ref="E1217:E1218"/>
    <mergeCell ref="F1217:G1218"/>
    <mergeCell ref="H1217:H1218"/>
    <mergeCell ref="I1217:I1218"/>
    <mergeCell ref="J1217:J1218"/>
    <mergeCell ref="K1217:K1218"/>
    <mergeCell ref="L1217:L1218"/>
    <mergeCell ref="A1219:A1220"/>
    <mergeCell ref="B1219:B1220"/>
    <mergeCell ref="C1219:C1220"/>
    <mergeCell ref="D1219:D1220"/>
    <mergeCell ref="E1219:E1220"/>
    <mergeCell ref="F1219:G1220"/>
    <mergeCell ref="C1199:C1200"/>
    <mergeCell ref="D1199:D1200"/>
    <mergeCell ref="E1199:E1200"/>
    <mergeCell ref="F1199:G1200"/>
    <mergeCell ref="H1199:H1200"/>
    <mergeCell ref="I1199:I1200"/>
    <mergeCell ref="J1199:J1200"/>
    <mergeCell ref="K1199:K1200"/>
    <mergeCell ref="L1199:L1200"/>
    <mergeCell ref="A1181:A1182"/>
    <mergeCell ref="B1181:B1182"/>
    <mergeCell ref="C1181:C1182"/>
    <mergeCell ref="D1181:D1182"/>
    <mergeCell ref="E1181:E1182"/>
    <mergeCell ref="F1181:G1182"/>
    <mergeCell ref="H1181:H1182"/>
    <mergeCell ref="I1181:I1182"/>
    <mergeCell ref="J1181:J1182"/>
    <mergeCell ref="K1181:K1182"/>
    <mergeCell ref="L1181:L1182"/>
    <mergeCell ref="A1199:A1200"/>
    <mergeCell ref="B1199:B1200"/>
    <mergeCell ref="A1195:A1196"/>
    <mergeCell ref="B1195:B1196"/>
    <mergeCell ref="C1195:C1196"/>
    <mergeCell ref="D1195:D1196"/>
    <mergeCell ref="E1195:E1196"/>
    <mergeCell ref="F1195:G1196"/>
    <mergeCell ref="H1195:H1196"/>
    <mergeCell ref="I1195:I1196"/>
    <mergeCell ref="J1195:J1196"/>
    <mergeCell ref="K1195:K1196"/>
  </mergeCells>
  <pageMargins left="0.7" right="0.7" top="0.75" bottom="0.75" header="0.3" footer="0.3"/>
  <pageSetup paperSize="9" scale="95" orientation="portrait" r:id="rId1"/>
  <rowBreaks count="4" manualBreakCount="4">
    <brk id="177" max="16383" man="1"/>
    <brk id="238" max="16383" man="1"/>
    <brk id="358" max="16383" man="1"/>
    <brk id="420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40" zoomScaleNormal="100" workbookViewId="0">
      <selection sqref="A1:L51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6</v>
      </c>
      <c r="C2" s="586">
        <v>42480</v>
      </c>
      <c r="D2" s="585" t="s">
        <v>6</v>
      </c>
      <c r="E2" s="586">
        <v>42888</v>
      </c>
      <c r="F2" s="586">
        <v>42888</v>
      </c>
      <c r="G2" s="586">
        <v>42888</v>
      </c>
      <c r="H2" s="586" t="s">
        <v>3318</v>
      </c>
      <c r="I2" s="586">
        <v>42891</v>
      </c>
      <c r="J2" s="587">
        <v>93</v>
      </c>
      <c r="K2" s="590" t="s">
        <v>3930</v>
      </c>
      <c r="L2" s="5">
        <f>SUM(J2:J51)</f>
        <v>35148</v>
      </c>
    </row>
    <row r="3" spans="1:12">
      <c r="A3" s="589">
        <v>2</v>
      </c>
      <c r="B3" s="585" t="s">
        <v>6</v>
      </c>
      <c r="C3" s="586">
        <v>42888</v>
      </c>
      <c r="D3" s="585" t="s">
        <v>6</v>
      </c>
      <c r="E3" s="586">
        <v>42888</v>
      </c>
      <c r="F3" s="585">
        <v>7966324</v>
      </c>
      <c r="G3" s="586">
        <v>42888</v>
      </c>
      <c r="H3" s="586" t="s">
        <v>3318</v>
      </c>
      <c r="I3" s="586">
        <v>42891</v>
      </c>
      <c r="J3" s="587">
        <v>490</v>
      </c>
      <c r="K3" s="590"/>
    </row>
    <row r="4" spans="1:12">
      <c r="A4" s="585">
        <v>3</v>
      </c>
      <c r="B4" s="585" t="s">
        <v>6</v>
      </c>
      <c r="C4" s="586">
        <v>42389</v>
      </c>
      <c r="D4" s="585" t="s">
        <v>6</v>
      </c>
      <c r="E4" s="586" t="s">
        <v>3931</v>
      </c>
      <c r="F4" s="585" t="s">
        <v>3551</v>
      </c>
      <c r="G4" s="586" t="s">
        <v>3931</v>
      </c>
      <c r="H4" s="586" t="s">
        <v>3318</v>
      </c>
      <c r="I4" s="586">
        <v>42891</v>
      </c>
      <c r="J4" s="587">
        <v>1050</v>
      </c>
      <c r="K4" s="590"/>
    </row>
    <row r="5" spans="1:12">
      <c r="A5" s="585">
        <v>4</v>
      </c>
      <c r="B5" s="585" t="s">
        <v>3330</v>
      </c>
      <c r="C5" s="586">
        <v>42373</v>
      </c>
      <c r="D5" s="585" t="s">
        <v>6</v>
      </c>
      <c r="E5" s="586">
        <v>42888</v>
      </c>
      <c r="F5" s="585" t="s">
        <v>6</v>
      </c>
      <c r="G5" s="586">
        <v>42888</v>
      </c>
      <c r="H5" s="586" t="s">
        <v>3318</v>
      </c>
      <c r="I5" s="586">
        <v>42891</v>
      </c>
      <c r="J5" s="587">
        <v>150</v>
      </c>
      <c r="K5" s="590"/>
    </row>
    <row r="6" spans="1:12">
      <c r="A6" s="585">
        <v>5</v>
      </c>
      <c r="B6" s="585" t="s">
        <v>3932</v>
      </c>
      <c r="C6" s="586">
        <v>42887</v>
      </c>
      <c r="D6" s="585" t="s">
        <v>6</v>
      </c>
      <c r="E6" s="586">
        <v>42888</v>
      </c>
      <c r="F6" s="585" t="s">
        <v>6</v>
      </c>
      <c r="G6" s="586">
        <v>42888</v>
      </c>
      <c r="H6" s="586" t="s">
        <v>3318</v>
      </c>
      <c r="I6" s="586">
        <v>42889</v>
      </c>
      <c r="J6" s="587">
        <v>450</v>
      </c>
      <c r="K6" s="590"/>
    </row>
    <row r="7" spans="1:12">
      <c r="A7" s="585">
        <v>6</v>
      </c>
      <c r="B7" s="585" t="s">
        <v>3330</v>
      </c>
      <c r="C7" s="586">
        <v>42373</v>
      </c>
      <c r="D7" s="585" t="s">
        <v>6</v>
      </c>
      <c r="E7" s="586">
        <v>42888</v>
      </c>
      <c r="F7" s="585" t="s">
        <v>3551</v>
      </c>
      <c r="G7" s="586">
        <v>42888</v>
      </c>
      <c r="H7" s="586" t="s">
        <v>3318</v>
      </c>
      <c r="I7" s="586">
        <v>42891</v>
      </c>
      <c r="J7" s="587">
        <v>1470</v>
      </c>
      <c r="K7" s="590"/>
    </row>
    <row r="8" spans="1:12">
      <c r="A8" s="585">
        <v>7</v>
      </c>
      <c r="B8" s="585" t="s">
        <v>3344</v>
      </c>
      <c r="C8" s="586">
        <v>42338</v>
      </c>
      <c r="D8" s="585" t="s">
        <v>6</v>
      </c>
      <c r="E8" s="586">
        <v>42891</v>
      </c>
      <c r="F8" s="585" t="s">
        <v>3876</v>
      </c>
      <c r="G8" s="586" t="s">
        <v>3933</v>
      </c>
      <c r="H8" s="586" t="s">
        <v>3318</v>
      </c>
      <c r="I8" s="586">
        <v>42894</v>
      </c>
      <c r="J8" s="587">
        <v>675</v>
      </c>
      <c r="K8" s="590"/>
    </row>
    <row r="9" spans="1:12">
      <c r="A9" s="585">
        <v>8</v>
      </c>
      <c r="B9" s="585" t="s">
        <v>3344</v>
      </c>
      <c r="C9" s="586">
        <v>42338</v>
      </c>
      <c r="D9" s="585" t="s">
        <v>6</v>
      </c>
      <c r="E9" s="586">
        <v>42891</v>
      </c>
      <c r="F9" s="585" t="s">
        <v>6</v>
      </c>
      <c r="G9" s="586">
        <v>42892</v>
      </c>
      <c r="H9" s="586" t="s">
        <v>3318</v>
      </c>
      <c r="I9" s="586">
        <v>42894</v>
      </c>
      <c r="J9" s="587">
        <v>470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42891</v>
      </c>
      <c r="F10" s="585" t="s">
        <v>3551</v>
      </c>
      <c r="G10" s="586">
        <v>42891</v>
      </c>
      <c r="H10" s="586" t="s">
        <v>3318</v>
      </c>
      <c r="I10" s="586">
        <v>42893</v>
      </c>
      <c r="J10" s="587">
        <v>1530</v>
      </c>
      <c r="K10" s="590"/>
    </row>
    <row r="11" spans="1:12">
      <c r="A11" s="585">
        <v>10</v>
      </c>
      <c r="B11" s="585" t="s">
        <v>6</v>
      </c>
      <c r="C11" s="586">
        <v>42480</v>
      </c>
      <c r="D11" s="585" t="s">
        <v>6</v>
      </c>
      <c r="E11" s="586">
        <v>42895</v>
      </c>
      <c r="F11" s="586">
        <v>42895</v>
      </c>
      <c r="G11" s="586">
        <v>42895</v>
      </c>
      <c r="H11" s="586" t="s">
        <v>3318</v>
      </c>
      <c r="I11" s="586">
        <v>42898</v>
      </c>
      <c r="J11" s="587">
        <v>94</v>
      </c>
      <c r="K11" s="590"/>
    </row>
    <row r="12" spans="1:12">
      <c r="A12" s="585">
        <v>11</v>
      </c>
      <c r="B12" s="585" t="s">
        <v>6</v>
      </c>
      <c r="C12" s="586">
        <v>42396</v>
      </c>
      <c r="D12" s="585" t="s">
        <v>6</v>
      </c>
      <c r="E12" s="586">
        <v>42894</v>
      </c>
      <c r="F12" s="585" t="s">
        <v>6</v>
      </c>
      <c r="G12" s="586">
        <v>42894</v>
      </c>
      <c r="H12" s="586" t="s">
        <v>3318</v>
      </c>
      <c r="I12" s="586">
        <v>42898</v>
      </c>
      <c r="J12" s="587">
        <v>60</v>
      </c>
      <c r="K12" s="590"/>
    </row>
    <row r="13" spans="1:12">
      <c r="A13" s="585">
        <v>12</v>
      </c>
      <c r="B13" s="585">
        <v>13</v>
      </c>
      <c r="C13" s="586">
        <v>42579</v>
      </c>
      <c r="D13" s="585" t="s">
        <v>6</v>
      </c>
      <c r="E13" s="586">
        <v>42894</v>
      </c>
      <c r="F13" s="585" t="s">
        <v>3876</v>
      </c>
      <c r="G13" s="586">
        <v>42894</v>
      </c>
      <c r="H13" s="586" t="s">
        <v>3318</v>
      </c>
      <c r="I13" s="586">
        <v>42898</v>
      </c>
      <c r="J13" s="587">
        <v>420</v>
      </c>
      <c r="K13" s="590" t="s">
        <v>3879</v>
      </c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42891</v>
      </c>
      <c r="F14" s="585" t="s">
        <v>3551</v>
      </c>
      <c r="G14" s="586">
        <v>42891</v>
      </c>
      <c r="H14" s="586" t="s">
        <v>3318</v>
      </c>
      <c r="I14" s="586">
        <v>42893</v>
      </c>
      <c r="J14" s="587">
        <v>1470</v>
      </c>
      <c r="K14" s="587"/>
    </row>
    <row r="15" spans="1:12">
      <c r="A15" s="585">
        <v>14</v>
      </c>
      <c r="B15" s="585" t="s">
        <v>3934</v>
      </c>
      <c r="C15" s="586">
        <v>60617</v>
      </c>
      <c r="D15" s="585" t="s">
        <v>6</v>
      </c>
      <c r="E15" s="586">
        <v>42894</v>
      </c>
      <c r="F15" s="585" t="s">
        <v>6</v>
      </c>
      <c r="G15" s="586">
        <v>42894</v>
      </c>
      <c r="H15" s="586" t="s">
        <v>3318</v>
      </c>
      <c r="I15" s="586">
        <v>42898</v>
      </c>
      <c r="J15" s="587">
        <v>430</v>
      </c>
      <c r="K15" s="590"/>
    </row>
    <row r="16" spans="1:12">
      <c r="A16" s="585">
        <v>15</v>
      </c>
      <c r="B16" s="585" t="s">
        <v>3330</v>
      </c>
      <c r="C16" s="586">
        <v>42373</v>
      </c>
      <c r="D16" s="585" t="s">
        <v>6</v>
      </c>
      <c r="E16" s="586">
        <v>42896</v>
      </c>
      <c r="F16" s="585" t="s">
        <v>6</v>
      </c>
      <c r="G16" s="586">
        <v>42896</v>
      </c>
      <c r="H16" s="586" t="s">
        <v>3318</v>
      </c>
      <c r="I16" s="586">
        <v>42899</v>
      </c>
      <c r="J16" s="587">
        <v>1470</v>
      </c>
      <c r="K16" s="590"/>
    </row>
    <row r="17" spans="1:11">
      <c r="A17" s="585">
        <v>16</v>
      </c>
      <c r="B17" s="585" t="s">
        <v>6</v>
      </c>
      <c r="C17" s="586" t="s">
        <v>3935</v>
      </c>
      <c r="D17" s="585" t="s">
        <v>6</v>
      </c>
      <c r="E17" s="586">
        <v>42900</v>
      </c>
      <c r="F17" s="586">
        <v>42900</v>
      </c>
      <c r="G17" s="586">
        <v>42900</v>
      </c>
      <c r="H17" s="586" t="s">
        <v>3318</v>
      </c>
      <c r="I17" s="586">
        <v>42902</v>
      </c>
      <c r="J17" s="587">
        <v>492</v>
      </c>
      <c r="K17" s="590"/>
    </row>
    <row r="18" spans="1:11">
      <c r="A18" s="593">
        <v>17</v>
      </c>
      <c r="B18" s="585" t="s">
        <v>3344</v>
      </c>
      <c r="C18" s="586">
        <v>42338</v>
      </c>
      <c r="D18" s="585" t="s">
        <v>6</v>
      </c>
      <c r="E18" s="586">
        <v>42901</v>
      </c>
      <c r="F18" s="585" t="s">
        <v>6</v>
      </c>
      <c r="G18" s="586">
        <v>42901</v>
      </c>
      <c r="H18" s="586" t="s">
        <v>3318</v>
      </c>
      <c r="I18" s="586">
        <v>42902</v>
      </c>
      <c r="J18" s="587">
        <v>110</v>
      </c>
      <c r="K18" s="590"/>
    </row>
    <row r="19" spans="1:11">
      <c r="A19" s="593">
        <v>18</v>
      </c>
      <c r="B19" s="607" t="s">
        <v>3826</v>
      </c>
      <c r="C19" s="586">
        <v>42587</v>
      </c>
      <c r="D19" s="585" t="s">
        <v>6</v>
      </c>
      <c r="E19" s="586">
        <v>42901</v>
      </c>
      <c r="F19" s="585" t="s">
        <v>6</v>
      </c>
      <c r="G19" s="586">
        <v>42901</v>
      </c>
      <c r="H19" s="586" t="s">
        <v>3318</v>
      </c>
      <c r="I19" s="586">
        <v>42902</v>
      </c>
      <c r="J19" s="587">
        <v>500</v>
      </c>
      <c r="K19" s="590"/>
    </row>
    <row r="20" spans="1:11">
      <c r="A20" s="593">
        <v>19</v>
      </c>
      <c r="B20" s="585" t="s">
        <v>3330</v>
      </c>
      <c r="C20" s="586">
        <v>42373</v>
      </c>
      <c r="D20" s="585" t="s">
        <v>6</v>
      </c>
      <c r="E20" s="586" t="s">
        <v>3936</v>
      </c>
      <c r="F20" s="585" t="s">
        <v>3551</v>
      </c>
      <c r="G20" s="586" t="s">
        <v>3936</v>
      </c>
      <c r="H20" s="586" t="s">
        <v>3318</v>
      </c>
      <c r="I20" s="586">
        <v>42899</v>
      </c>
      <c r="J20" s="587">
        <v>1470</v>
      </c>
      <c r="K20" s="590"/>
    </row>
    <row r="21" spans="1:11">
      <c r="A21" s="593">
        <v>20</v>
      </c>
      <c r="B21" s="607" t="s">
        <v>3826</v>
      </c>
      <c r="C21" s="586">
        <v>42587</v>
      </c>
      <c r="D21" s="585" t="s">
        <v>6</v>
      </c>
      <c r="E21" s="586">
        <v>42900</v>
      </c>
      <c r="F21" s="585" t="s">
        <v>3937</v>
      </c>
      <c r="G21" s="586">
        <v>42900</v>
      </c>
      <c r="H21" s="586" t="s">
        <v>3318</v>
      </c>
      <c r="I21" s="586">
        <v>42902</v>
      </c>
      <c r="J21" s="587">
        <v>480</v>
      </c>
      <c r="K21" s="590"/>
    </row>
    <row r="22" spans="1:11">
      <c r="A22" s="593">
        <v>21</v>
      </c>
      <c r="B22" s="608" t="s">
        <v>3938</v>
      </c>
      <c r="C22" s="586">
        <v>42900</v>
      </c>
      <c r="D22" s="585" t="s">
        <v>6</v>
      </c>
      <c r="E22" s="586">
        <v>42901</v>
      </c>
      <c r="F22" s="585" t="s">
        <v>6</v>
      </c>
      <c r="G22" s="586">
        <v>42901</v>
      </c>
      <c r="H22" s="586" t="s">
        <v>3318</v>
      </c>
      <c r="I22" s="586">
        <v>42902</v>
      </c>
      <c r="J22" s="587">
        <v>380</v>
      </c>
      <c r="K22" s="590"/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42899</v>
      </c>
      <c r="F23" s="585" t="s">
        <v>3551</v>
      </c>
      <c r="G23" s="586">
        <v>42899</v>
      </c>
      <c r="H23" s="586" t="s">
        <v>3318</v>
      </c>
      <c r="I23" s="586">
        <v>42900</v>
      </c>
      <c r="J23" s="587">
        <v>1470</v>
      </c>
      <c r="K23" s="590"/>
    </row>
    <row r="24" spans="1:11">
      <c r="A24" s="593">
        <v>23</v>
      </c>
      <c r="B24" s="585" t="s">
        <v>3344</v>
      </c>
      <c r="C24" s="586">
        <v>42338</v>
      </c>
      <c r="D24" s="585" t="s">
        <v>6</v>
      </c>
      <c r="E24" s="586">
        <v>42901</v>
      </c>
      <c r="F24" s="585" t="s">
        <v>3551</v>
      </c>
      <c r="G24" s="586">
        <v>42901</v>
      </c>
      <c r="H24" s="586" t="s">
        <v>3318</v>
      </c>
      <c r="I24" s="586" t="s">
        <v>3940</v>
      </c>
      <c r="J24" s="587">
        <v>470</v>
      </c>
      <c r="K24" s="590"/>
    </row>
    <row r="25" spans="1:11">
      <c r="A25" s="593">
        <v>24</v>
      </c>
      <c r="B25" s="585" t="s">
        <v>3939</v>
      </c>
      <c r="C25" s="586">
        <v>42901</v>
      </c>
      <c r="D25" s="585" t="s">
        <v>6</v>
      </c>
      <c r="E25" s="586">
        <v>42902</v>
      </c>
      <c r="F25" s="585" t="s">
        <v>6</v>
      </c>
      <c r="G25" s="586">
        <v>42902</v>
      </c>
      <c r="H25" s="586" t="s">
        <v>3318</v>
      </c>
      <c r="I25" s="586" t="s">
        <v>3940</v>
      </c>
      <c r="J25" s="587">
        <v>420</v>
      </c>
      <c r="K25" s="590"/>
    </row>
    <row r="26" spans="1:11">
      <c r="A26" s="593">
        <v>25</v>
      </c>
      <c r="B26" s="585" t="s">
        <v>6</v>
      </c>
      <c r="C26" s="586">
        <v>42480</v>
      </c>
      <c r="D26" s="585" t="s">
        <v>6</v>
      </c>
      <c r="E26" s="586">
        <v>42902</v>
      </c>
      <c r="F26" s="586">
        <v>42902</v>
      </c>
      <c r="G26" s="586">
        <v>42902</v>
      </c>
      <c r="H26" s="586" t="s">
        <v>3318</v>
      </c>
      <c r="I26" s="586" t="s">
        <v>3940</v>
      </c>
      <c r="J26" s="587">
        <v>94</v>
      </c>
      <c r="K26" s="590"/>
    </row>
    <row r="27" spans="1:11">
      <c r="A27" s="593">
        <v>26</v>
      </c>
      <c r="B27" s="585" t="s">
        <v>3330</v>
      </c>
      <c r="C27" s="586">
        <v>42373</v>
      </c>
      <c r="D27" s="585" t="s">
        <v>6</v>
      </c>
      <c r="E27" s="586">
        <v>42900</v>
      </c>
      <c r="F27" s="585" t="s">
        <v>3551</v>
      </c>
      <c r="G27" s="586">
        <v>42900</v>
      </c>
      <c r="H27" s="586" t="s">
        <v>3318</v>
      </c>
      <c r="I27" s="586">
        <v>42901</v>
      </c>
      <c r="J27" s="587">
        <v>1470</v>
      </c>
      <c r="K27" s="590"/>
    </row>
    <row r="28" spans="1:11">
      <c r="A28" s="593">
        <v>27</v>
      </c>
      <c r="B28" s="585" t="s">
        <v>6</v>
      </c>
      <c r="C28" s="586">
        <v>42389</v>
      </c>
      <c r="D28" s="585" t="s">
        <v>6</v>
      </c>
      <c r="E28" s="586">
        <v>42902</v>
      </c>
      <c r="F28" s="585" t="s">
        <v>6</v>
      </c>
      <c r="G28" s="586">
        <v>42902</v>
      </c>
      <c r="H28" s="586" t="s">
        <v>3318</v>
      </c>
      <c r="I28" s="586" t="s">
        <v>3940</v>
      </c>
      <c r="J28" s="587">
        <v>300</v>
      </c>
      <c r="K28" s="590"/>
    </row>
    <row r="29" spans="1:11">
      <c r="A29" s="593">
        <v>28</v>
      </c>
      <c r="B29" s="585" t="s">
        <v>6</v>
      </c>
      <c r="C29" s="586">
        <v>42389</v>
      </c>
      <c r="D29" s="585" t="s">
        <v>6</v>
      </c>
      <c r="E29" s="586">
        <v>42902</v>
      </c>
      <c r="F29" s="585" t="s">
        <v>6</v>
      </c>
      <c r="G29" s="586">
        <v>42902</v>
      </c>
      <c r="H29" s="586" t="s">
        <v>3318</v>
      </c>
      <c r="I29" s="586" t="s">
        <v>3940</v>
      </c>
      <c r="J29" s="587">
        <v>274</v>
      </c>
      <c r="K29" s="590"/>
    </row>
    <row r="30" spans="1:11">
      <c r="A30" s="593">
        <v>29</v>
      </c>
      <c r="B30" s="585">
        <v>13</v>
      </c>
      <c r="C30" s="586">
        <v>42579</v>
      </c>
      <c r="D30" s="585" t="s">
        <v>6</v>
      </c>
      <c r="E30" s="586">
        <v>42902</v>
      </c>
      <c r="F30" s="585" t="s">
        <v>3823</v>
      </c>
      <c r="G30" s="586">
        <v>42902</v>
      </c>
      <c r="H30" s="586" t="s">
        <v>3318</v>
      </c>
      <c r="I30" s="586" t="s">
        <v>3940</v>
      </c>
      <c r="J30" s="587">
        <v>570</v>
      </c>
      <c r="K30" s="590"/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42902</v>
      </c>
      <c r="F31" s="585" t="s">
        <v>6</v>
      </c>
      <c r="G31" s="586">
        <v>42902</v>
      </c>
      <c r="H31" s="586" t="s">
        <v>3318</v>
      </c>
      <c r="I31" s="586" t="s">
        <v>3940</v>
      </c>
      <c r="J31" s="587">
        <v>1470</v>
      </c>
      <c r="K31" s="590"/>
    </row>
    <row r="32" spans="1:11">
      <c r="A32" s="596">
        <v>31</v>
      </c>
      <c r="B32" s="585" t="s">
        <v>3344</v>
      </c>
      <c r="C32" s="586">
        <v>42338</v>
      </c>
      <c r="D32" s="585" t="s">
        <v>6</v>
      </c>
      <c r="E32" s="586">
        <v>42541</v>
      </c>
      <c r="F32" s="585" t="s">
        <v>6</v>
      </c>
      <c r="G32" s="586">
        <v>42906</v>
      </c>
      <c r="H32" s="586" t="s">
        <v>3318</v>
      </c>
      <c r="I32" s="586" t="s">
        <v>3941</v>
      </c>
      <c r="J32" s="587">
        <v>400</v>
      </c>
      <c r="K32" s="590"/>
    </row>
    <row r="33" spans="1:11">
      <c r="A33" s="596">
        <v>32</v>
      </c>
      <c r="B33" s="585" t="s">
        <v>3344</v>
      </c>
      <c r="C33" s="586">
        <v>42338</v>
      </c>
      <c r="D33" s="585" t="s">
        <v>6</v>
      </c>
      <c r="E33" s="586">
        <v>42541</v>
      </c>
      <c r="F33" s="585" t="s">
        <v>3823</v>
      </c>
      <c r="G33" s="586" t="s">
        <v>3942</v>
      </c>
      <c r="H33" s="586" t="s">
        <v>3318</v>
      </c>
      <c r="I33" s="586" t="s">
        <v>3941</v>
      </c>
      <c r="J33" s="587">
        <v>780</v>
      </c>
      <c r="K33" s="590"/>
    </row>
    <row r="34" spans="1:11">
      <c r="A34" s="596">
        <v>33</v>
      </c>
      <c r="B34" s="585" t="s">
        <v>6</v>
      </c>
      <c r="C34" s="586">
        <v>42443</v>
      </c>
      <c r="D34" s="585" t="s">
        <v>6</v>
      </c>
      <c r="E34" s="586" t="s">
        <v>3943</v>
      </c>
      <c r="F34" s="585" t="s">
        <v>6</v>
      </c>
      <c r="G34" s="586" t="s">
        <v>3943</v>
      </c>
      <c r="H34" s="586" t="s">
        <v>3318</v>
      </c>
      <c r="I34" s="586" t="s">
        <v>3941</v>
      </c>
      <c r="J34" s="587">
        <v>50</v>
      </c>
      <c r="K34" s="590"/>
    </row>
    <row r="35" spans="1:11">
      <c r="A35" s="596">
        <v>34</v>
      </c>
      <c r="B35" s="585" t="s">
        <v>3330</v>
      </c>
      <c r="C35" s="586">
        <v>42373</v>
      </c>
      <c r="D35" s="585" t="s">
        <v>6</v>
      </c>
      <c r="E35" s="586" t="s">
        <v>3944</v>
      </c>
      <c r="F35" s="585" t="s">
        <v>6</v>
      </c>
      <c r="G35" s="586" t="s">
        <v>3944</v>
      </c>
      <c r="H35" s="586" t="s">
        <v>3318</v>
      </c>
      <c r="I35" s="586" t="s">
        <v>3941</v>
      </c>
      <c r="J35" s="587">
        <v>120</v>
      </c>
      <c r="K35" s="590"/>
    </row>
    <row r="36" spans="1:11">
      <c r="A36" s="596">
        <v>35</v>
      </c>
      <c r="B36" s="585" t="s">
        <v>3330</v>
      </c>
      <c r="C36" s="586">
        <v>42373</v>
      </c>
      <c r="D36" s="585" t="s">
        <v>6</v>
      </c>
      <c r="E36" s="586" t="s">
        <v>3940</v>
      </c>
      <c r="F36" s="585" t="s">
        <v>3551</v>
      </c>
      <c r="G36" s="586" t="s">
        <v>3940</v>
      </c>
      <c r="H36" s="586" t="s">
        <v>3318</v>
      </c>
      <c r="I36" s="586" t="s">
        <v>3945</v>
      </c>
      <c r="J36" s="587">
        <v>2080</v>
      </c>
      <c r="K36" s="590"/>
    </row>
    <row r="37" spans="1:11">
      <c r="A37" s="596">
        <v>36</v>
      </c>
      <c r="B37" s="585">
        <v>13</v>
      </c>
      <c r="C37" s="586">
        <v>42579</v>
      </c>
      <c r="D37" s="585" t="s">
        <v>6</v>
      </c>
      <c r="E37" s="586" t="s">
        <v>3944</v>
      </c>
      <c r="F37" s="585" t="s">
        <v>6</v>
      </c>
      <c r="G37" s="586" t="s">
        <v>3944</v>
      </c>
      <c r="H37" s="586" t="s">
        <v>3318</v>
      </c>
      <c r="I37" s="586" t="s">
        <v>3946</v>
      </c>
      <c r="J37" s="587">
        <v>320</v>
      </c>
      <c r="K37" s="590"/>
    </row>
    <row r="38" spans="1:11">
      <c r="A38" s="596">
        <v>37</v>
      </c>
      <c r="B38" s="585" t="s">
        <v>6</v>
      </c>
      <c r="C38" s="586">
        <v>42480</v>
      </c>
      <c r="D38" s="585" t="s">
        <v>6</v>
      </c>
      <c r="E38" s="586" t="s">
        <v>3941</v>
      </c>
      <c r="F38" s="586" t="s">
        <v>3941</v>
      </c>
      <c r="G38" s="586" t="s">
        <v>3941</v>
      </c>
      <c r="H38" s="586" t="s">
        <v>3318</v>
      </c>
      <c r="I38" s="586" t="s">
        <v>3946</v>
      </c>
      <c r="J38" s="587">
        <v>96</v>
      </c>
      <c r="K38" s="590"/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42541</v>
      </c>
      <c r="F39" s="585" t="s">
        <v>3551</v>
      </c>
      <c r="G39" s="586">
        <v>42541</v>
      </c>
      <c r="H39" s="586" t="s">
        <v>3318</v>
      </c>
      <c r="I39" s="586" t="s">
        <v>3943</v>
      </c>
      <c r="J39" s="587">
        <v>1470</v>
      </c>
      <c r="K39" s="590"/>
    </row>
    <row r="40" spans="1:11">
      <c r="A40" s="596">
        <v>39</v>
      </c>
      <c r="B40" s="585" t="s">
        <v>6</v>
      </c>
      <c r="C40" s="586">
        <v>42389</v>
      </c>
      <c r="D40" s="585" t="s">
        <v>6</v>
      </c>
      <c r="E40" s="586" t="s">
        <v>3944</v>
      </c>
      <c r="F40" s="585" t="s">
        <v>3876</v>
      </c>
      <c r="G40" s="586" t="s">
        <v>3947</v>
      </c>
      <c r="H40" s="586" t="s">
        <v>3318</v>
      </c>
      <c r="I40" s="586" t="s">
        <v>3946</v>
      </c>
      <c r="J40" s="587">
        <v>1350</v>
      </c>
      <c r="K40" s="590"/>
    </row>
    <row r="41" spans="1:11" ht="12.75" customHeight="1">
      <c r="A41" s="596">
        <v>40</v>
      </c>
      <c r="B41" s="585" t="s">
        <v>3330</v>
      </c>
      <c r="C41" s="586">
        <v>42373</v>
      </c>
      <c r="D41" s="585" t="s">
        <v>6</v>
      </c>
      <c r="E41" s="586" t="s">
        <v>3941</v>
      </c>
      <c r="F41" s="585" t="s">
        <v>6</v>
      </c>
      <c r="G41" s="586" t="s">
        <v>3941</v>
      </c>
      <c r="H41" s="586" t="s">
        <v>3318</v>
      </c>
      <c r="I41" s="586" t="s">
        <v>3948</v>
      </c>
      <c r="J41" s="587">
        <v>1470</v>
      </c>
      <c r="K41" s="590"/>
    </row>
    <row r="42" spans="1:11">
      <c r="A42" s="596">
        <v>41</v>
      </c>
      <c r="B42" s="585" t="s">
        <v>3344</v>
      </c>
      <c r="C42" s="586">
        <v>42338</v>
      </c>
      <c r="D42" s="585" t="s">
        <v>6</v>
      </c>
      <c r="E42" s="586" t="s">
        <v>3949</v>
      </c>
      <c r="F42" s="585" t="s">
        <v>6</v>
      </c>
      <c r="G42" s="586" t="s">
        <v>3949</v>
      </c>
      <c r="H42" s="586" t="s">
        <v>3318</v>
      </c>
      <c r="I42" s="586" t="s">
        <v>3950</v>
      </c>
      <c r="J42" s="587">
        <v>370</v>
      </c>
      <c r="K42" s="590"/>
    </row>
    <row r="43" spans="1:11">
      <c r="A43" s="596">
        <v>42</v>
      </c>
      <c r="B43" s="586" t="s">
        <v>3951</v>
      </c>
      <c r="C43" s="586" t="s">
        <v>3946</v>
      </c>
      <c r="D43" s="585" t="s">
        <v>6</v>
      </c>
      <c r="E43" s="586" t="s">
        <v>3949</v>
      </c>
      <c r="F43" s="585" t="s">
        <v>6</v>
      </c>
      <c r="G43" s="586" t="s">
        <v>3949</v>
      </c>
      <c r="H43" s="586" t="s">
        <v>3318</v>
      </c>
      <c r="I43" s="586" t="s">
        <v>3950</v>
      </c>
      <c r="J43" s="587">
        <v>280</v>
      </c>
      <c r="K43" s="590"/>
    </row>
    <row r="44" spans="1:11">
      <c r="A44" s="596">
        <v>43</v>
      </c>
      <c r="B44" s="585" t="s">
        <v>6</v>
      </c>
      <c r="C44" s="586" t="s">
        <v>3952</v>
      </c>
      <c r="D44" s="585" t="s">
        <v>6</v>
      </c>
      <c r="E44" s="586" t="s">
        <v>3953</v>
      </c>
      <c r="F44" s="585" t="s">
        <v>6</v>
      </c>
      <c r="G44" s="586" t="s">
        <v>3953</v>
      </c>
      <c r="H44" s="586" t="s">
        <v>3318</v>
      </c>
      <c r="I44" s="586" t="s">
        <v>3950</v>
      </c>
      <c r="J44" s="587">
        <v>500</v>
      </c>
      <c r="K44" s="590"/>
    </row>
    <row r="45" spans="1:11">
      <c r="A45" s="596">
        <v>44</v>
      </c>
      <c r="B45" s="585" t="s">
        <v>6</v>
      </c>
      <c r="C45" s="586" t="s">
        <v>3952</v>
      </c>
      <c r="D45" s="585" t="s">
        <v>6</v>
      </c>
      <c r="E45" s="586" t="s">
        <v>3953</v>
      </c>
      <c r="F45" s="585" t="s">
        <v>6</v>
      </c>
      <c r="G45" s="586" t="s">
        <v>3953</v>
      </c>
      <c r="H45" s="586" t="s">
        <v>3318</v>
      </c>
      <c r="I45" s="586" t="s">
        <v>3950</v>
      </c>
      <c r="J45" s="587">
        <v>150</v>
      </c>
      <c r="K45" s="590"/>
    </row>
    <row r="46" spans="1:11">
      <c r="A46" s="596">
        <v>45</v>
      </c>
      <c r="B46" s="585" t="s">
        <v>6</v>
      </c>
      <c r="C46" s="586" t="s">
        <v>3954</v>
      </c>
      <c r="D46" s="585" t="s">
        <v>6</v>
      </c>
      <c r="E46" s="586" t="s">
        <v>3948</v>
      </c>
      <c r="F46" s="585" t="s">
        <v>6</v>
      </c>
      <c r="G46" s="586" t="s">
        <v>3948</v>
      </c>
      <c r="H46" s="586" t="s">
        <v>3318</v>
      </c>
      <c r="I46" s="586" t="s">
        <v>3953</v>
      </c>
      <c r="J46" s="587">
        <v>60</v>
      </c>
      <c r="K46" s="590"/>
    </row>
    <row r="47" spans="1:11">
      <c r="A47" s="596">
        <v>46</v>
      </c>
      <c r="B47" s="585" t="s">
        <v>3330</v>
      </c>
      <c r="C47" s="586">
        <v>42373</v>
      </c>
      <c r="D47" s="585" t="s">
        <v>6</v>
      </c>
      <c r="E47" s="586" t="s">
        <v>3946</v>
      </c>
      <c r="F47" s="585" t="s">
        <v>3551</v>
      </c>
      <c r="G47" s="586" t="s">
        <v>3946</v>
      </c>
      <c r="H47" s="586" t="s">
        <v>3318</v>
      </c>
      <c r="I47" s="586" t="s">
        <v>3949</v>
      </c>
      <c r="J47" s="587">
        <v>1530</v>
      </c>
      <c r="K47" s="590"/>
    </row>
    <row r="48" spans="1:11">
      <c r="A48" s="596">
        <v>47</v>
      </c>
      <c r="B48" s="607" t="s">
        <v>3826</v>
      </c>
      <c r="C48" s="586">
        <v>42587</v>
      </c>
      <c r="D48" s="585" t="s">
        <v>6</v>
      </c>
      <c r="E48" s="586" t="s">
        <v>3949</v>
      </c>
      <c r="F48" s="585" t="s">
        <v>6</v>
      </c>
      <c r="G48" s="586" t="s">
        <v>3949</v>
      </c>
      <c r="H48" s="586" t="s">
        <v>3318</v>
      </c>
      <c r="I48" s="586" t="s">
        <v>3950</v>
      </c>
      <c r="J48" s="587">
        <v>500</v>
      </c>
      <c r="K48" s="590"/>
    </row>
    <row r="49" spans="1:11">
      <c r="A49" s="596">
        <v>48</v>
      </c>
      <c r="B49" s="585">
        <v>214</v>
      </c>
      <c r="C49" s="586" t="s">
        <v>3949</v>
      </c>
      <c r="D49" s="585" t="s">
        <v>6</v>
      </c>
      <c r="E49" s="586" t="s">
        <v>3953</v>
      </c>
      <c r="F49" s="585" t="s">
        <v>6</v>
      </c>
      <c r="G49" s="586" t="s">
        <v>3953</v>
      </c>
      <c r="H49" s="586" t="s">
        <v>3318</v>
      </c>
      <c r="I49" s="586" t="s">
        <v>3950</v>
      </c>
      <c r="J49" s="587">
        <v>400</v>
      </c>
      <c r="K49" s="590"/>
    </row>
    <row r="50" spans="1:11">
      <c r="A50" s="596">
        <v>49</v>
      </c>
      <c r="B50" s="585" t="s">
        <v>3330</v>
      </c>
      <c r="C50" s="586">
        <v>42373</v>
      </c>
      <c r="D50" s="585" t="s">
        <v>6</v>
      </c>
      <c r="E50" s="586" t="s">
        <v>3946</v>
      </c>
      <c r="F50" s="585" t="s">
        <v>3551</v>
      </c>
      <c r="G50" s="586" t="s">
        <v>3946</v>
      </c>
      <c r="H50" s="586" t="s">
        <v>3318</v>
      </c>
      <c r="I50" s="586" t="s">
        <v>3953</v>
      </c>
      <c r="J50" s="587">
        <v>1530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 t="s">
        <v>6</v>
      </c>
      <c r="E51" s="586" t="s">
        <v>3949</v>
      </c>
      <c r="F51" s="585" t="s">
        <v>3551</v>
      </c>
      <c r="G51" s="586" t="s">
        <v>3949</v>
      </c>
      <c r="H51" s="586" t="s">
        <v>3318</v>
      </c>
      <c r="I51" s="586" t="s">
        <v>3953</v>
      </c>
      <c r="J51" s="587">
        <v>1400</v>
      </c>
      <c r="K51" s="590"/>
    </row>
    <row r="52" spans="1:11">
      <c r="A52" s="596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 t="s">
        <v>3318</v>
      </c>
      <c r="I52" s="586"/>
      <c r="J52" s="587"/>
      <c r="K52" s="590"/>
    </row>
    <row r="53" spans="1:11">
      <c r="A53" s="596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 t="s">
        <v>3318</v>
      </c>
      <c r="I53" s="586"/>
      <c r="J53" s="587"/>
      <c r="K53" s="590"/>
    </row>
    <row r="54" spans="1:11">
      <c r="A54" s="596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 t="s">
        <v>3318</v>
      </c>
      <c r="I54" s="586"/>
      <c r="J54" s="587"/>
      <c r="K54" s="590"/>
    </row>
    <row r="55" spans="1:11">
      <c r="A55" s="596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 t="s">
        <v>3318</v>
      </c>
      <c r="I55" s="586"/>
      <c r="J55" s="587"/>
      <c r="K55" s="590"/>
    </row>
    <row r="56" spans="1:11">
      <c r="A56" s="596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 t="s">
        <v>3318</v>
      </c>
      <c r="I56" s="586"/>
      <c r="J56" s="587"/>
      <c r="K56" s="590"/>
    </row>
    <row r="57" spans="1:11">
      <c r="A57" s="596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 t="s">
        <v>3318</v>
      </c>
      <c r="I57" s="586"/>
      <c r="J57" s="587"/>
      <c r="K57" s="590"/>
    </row>
    <row r="58" spans="1:11">
      <c r="A58" s="596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 t="s">
        <v>3318</v>
      </c>
      <c r="I58" s="586"/>
      <c r="J58" s="587"/>
      <c r="K58" s="590"/>
    </row>
    <row r="59" spans="1:11">
      <c r="A59" s="596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 t="s">
        <v>3318</v>
      </c>
      <c r="I59" s="586"/>
      <c r="J59" s="587"/>
      <c r="K59" s="590"/>
    </row>
    <row r="60" spans="1:11">
      <c r="A60" s="596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 t="s">
        <v>3318</v>
      </c>
      <c r="I60" s="586"/>
      <c r="J60" s="587"/>
      <c r="K60" s="590"/>
    </row>
    <row r="61" spans="1:11">
      <c r="A61" s="596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 t="s">
        <v>3318</v>
      </c>
      <c r="I61" s="586"/>
      <c r="J61" s="587"/>
      <c r="K61" s="590"/>
    </row>
    <row r="62" spans="1:11">
      <c r="A62" s="596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 t="s">
        <v>3318</v>
      </c>
      <c r="I62" s="586"/>
      <c r="J62" s="587"/>
      <c r="K62" s="590"/>
    </row>
    <row r="63" spans="1:11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 t="s">
        <v>3318</v>
      </c>
      <c r="I63" s="586"/>
      <c r="J63" s="587"/>
      <c r="K63" s="590"/>
    </row>
    <row r="64" spans="1:11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 t="s">
        <v>3318</v>
      </c>
      <c r="I64" s="586"/>
      <c r="J64" s="587"/>
      <c r="K64" s="590"/>
    </row>
    <row r="65" spans="1:11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 t="s">
        <v>3318</v>
      </c>
      <c r="I65" s="586"/>
      <c r="J65" s="587"/>
      <c r="K65" s="590"/>
    </row>
    <row r="66" spans="1:11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 t="s">
        <v>3318</v>
      </c>
      <c r="I66" s="586"/>
      <c r="J66" s="587"/>
      <c r="K66" s="590"/>
    </row>
    <row r="67" spans="1:11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 t="s">
        <v>3318</v>
      </c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 t="s">
        <v>3318</v>
      </c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 t="s">
        <v>3318</v>
      </c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 t="s">
        <v>3318</v>
      </c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 t="s">
        <v>3318</v>
      </c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 t="s">
        <v>3318</v>
      </c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 t="s">
        <v>3318</v>
      </c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conditionalFormatting sqref="C39:I39">
    <cfRule type="timePeriod" dxfId="19" priority="20" timePeriod="lastMonth">
      <formula>AND(MONTH(C39)=MONTH(EDATE(TODAY(),0-1)),YEAR(C39)=YEAR(EDATE(TODAY(),0-1)))</formula>
    </cfRule>
  </conditionalFormatting>
  <conditionalFormatting sqref="C41:D41 H41:I41">
    <cfRule type="timePeriod" dxfId="18" priority="19" timePeriod="lastMonth">
      <formula>AND(MONTH(C41)=MONTH(EDATE(TODAY(),0-1)),YEAR(C41)=YEAR(EDATE(TODAY(),0-1)))</formula>
    </cfRule>
  </conditionalFormatting>
  <conditionalFormatting sqref="E42">
    <cfRule type="timePeriod" dxfId="17" priority="18" timePeriod="lastMonth">
      <formula>AND(MONTH(E42)=MONTH(EDATE(TODAY(),0-1)),YEAR(E42)=YEAR(EDATE(TODAY(),0-1)))</formula>
    </cfRule>
  </conditionalFormatting>
  <conditionalFormatting sqref="G42">
    <cfRule type="timePeriod" dxfId="16" priority="17" timePeriod="lastMonth">
      <formula>AND(MONTH(G42)=MONTH(EDATE(TODAY(),0-1)),YEAR(G42)=YEAR(EDATE(TODAY(),0-1)))</formula>
    </cfRule>
  </conditionalFormatting>
  <conditionalFormatting sqref="E43">
    <cfRule type="timePeriod" dxfId="15" priority="16" timePeriod="lastMonth">
      <formula>AND(MONTH(E43)=MONTH(EDATE(TODAY(),0-1)),YEAR(E43)=YEAR(EDATE(TODAY(),0-1)))</formula>
    </cfRule>
  </conditionalFormatting>
  <conditionalFormatting sqref="G43">
    <cfRule type="timePeriod" dxfId="14" priority="15" timePeriod="lastMonth">
      <formula>AND(MONTH(G43)=MONTH(EDATE(TODAY(),0-1)),YEAR(G43)=YEAR(EDATE(TODAY(),0-1)))</formula>
    </cfRule>
  </conditionalFormatting>
  <conditionalFormatting sqref="E44">
    <cfRule type="timePeriod" dxfId="13" priority="14" timePeriod="lastMonth">
      <formula>AND(MONTH(E44)=MONTH(EDATE(TODAY(),0-1)),YEAR(E44)=YEAR(EDATE(TODAY(),0-1)))</formula>
    </cfRule>
  </conditionalFormatting>
  <conditionalFormatting sqref="G44">
    <cfRule type="timePeriod" dxfId="12" priority="13" timePeriod="lastMonth">
      <formula>AND(MONTH(G44)=MONTH(EDATE(TODAY(),0-1)),YEAR(G44)=YEAR(EDATE(TODAY(),0-1)))</formula>
    </cfRule>
  </conditionalFormatting>
  <conditionalFormatting sqref="E45">
    <cfRule type="timePeriod" dxfId="11" priority="12" timePeriod="lastMonth">
      <formula>AND(MONTH(E45)=MONTH(EDATE(TODAY(),0-1)),YEAR(E45)=YEAR(EDATE(TODAY(),0-1)))</formula>
    </cfRule>
  </conditionalFormatting>
  <conditionalFormatting sqref="G45">
    <cfRule type="timePeriod" dxfId="10" priority="11" timePeriod="lastMonth">
      <formula>AND(MONTH(G45)=MONTH(EDATE(TODAY(),0-1)),YEAR(G45)=YEAR(EDATE(TODAY(),0-1)))</formula>
    </cfRule>
  </conditionalFormatting>
  <conditionalFormatting sqref="E46">
    <cfRule type="timePeriod" dxfId="9" priority="10" timePeriod="lastMonth">
      <formula>AND(MONTH(E46)=MONTH(EDATE(TODAY(),0-1)),YEAR(E46)=YEAR(EDATE(TODAY(),0-1)))</formula>
    </cfRule>
  </conditionalFormatting>
  <conditionalFormatting sqref="G46">
    <cfRule type="timePeriod" dxfId="8" priority="9" timePeriod="lastMonth">
      <formula>AND(MONTH(G46)=MONTH(EDATE(TODAY(),0-1)),YEAR(G46)=YEAR(EDATE(TODAY(),0-1)))</formula>
    </cfRule>
  </conditionalFormatting>
  <conditionalFormatting sqref="C47:D47 H47:I47">
    <cfRule type="timePeriod" dxfId="7" priority="8" timePeriod="lastMonth">
      <formula>AND(MONTH(C47)=MONTH(EDATE(TODAY(),0-1)),YEAR(C47)=YEAR(EDATE(TODAY(),0-1)))</formula>
    </cfRule>
  </conditionalFormatting>
  <conditionalFormatting sqref="E48">
    <cfRule type="timePeriod" dxfId="6" priority="7" timePeriod="lastMonth">
      <formula>AND(MONTH(E48)=MONTH(EDATE(TODAY(),0-1)),YEAR(E48)=YEAR(EDATE(TODAY(),0-1)))</formula>
    </cfRule>
  </conditionalFormatting>
  <conditionalFormatting sqref="G48">
    <cfRule type="timePeriod" dxfId="5" priority="6" timePeriod="lastMonth">
      <formula>AND(MONTH(G48)=MONTH(EDATE(TODAY(),0-1)),YEAR(G48)=YEAR(EDATE(TODAY(),0-1)))</formula>
    </cfRule>
  </conditionalFormatting>
  <conditionalFormatting sqref="C49">
    <cfRule type="timePeriod" dxfId="4" priority="5" timePeriod="lastMonth">
      <formula>AND(MONTH(C49)=MONTH(EDATE(TODAY(),0-1)),YEAR(C49)=YEAR(EDATE(TODAY(),0-1)))</formula>
    </cfRule>
  </conditionalFormatting>
  <conditionalFormatting sqref="C50:D50 H50">
    <cfRule type="timePeriod" dxfId="3" priority="4" timePeriod="lastMonth">
      <formula>AND(MONTH(C50)=MONTH(EDATE(TODAY(),0-1)),YEAR(C50)=YEAR(EDATE(TODAY(),0-1)))</formula>
    </cfRule>
  </conditionalFormatting>
  <conditionalFormatting sqref="C51:D51 H51">
    <cfRule type="timePeriod" dxfId="2" priority="3" timePeriod="lastMonth">
      <formula>AND(MONTH(C51)=MONTH(EDATE(TODAY(),0-1)),YEAR(C51)=YEAR(EDATE(TODAY(),0-1)))</formula>
    </cfRule>
  </conditionalFormatting>
  <conditionalFormatting sqref="E51">
    <cfRule type="timePeriod" dxfId="1" priority="2" timePeriod="lastMonth">
      <formula>AND(MONTH(E51)=MONTH(EDATE(TODAY(),0-1)),YEAR(E51)=YEAR(EDATE(TODAY(),0-1)))</formula>
    </cfRule>
  </conditionalFormatting>
  <conditionalFormatting sqref="G51">
    <cfRule type="timePeriod" dxfId="0" priority="1" timePeriod="lastMonth">
      <formula>AND(MONTH(G51)=MONTH(EDATE(TODAY(),0-1)),YEAR(G51)=YEAR(EDATE(TODAY(),0-1)))</formula>
    </cfRule>
  </conditionalFormatting>
  <pageMargins left="0.7" right="0.7" top="0.75" bottom="0.75" header="0.3" footer="0.3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zoomScaleNormal="100" workbookViewId="0">
      <selection activeCell="B2" sqref="B2:C2"/>
    </sheetView>
  </sheetViews>
  <sheetFormatPr defaultRowHeight="12.75"/>
  <cols>
    <col min="2" max="2" width="14.28515625" customWidth="1"/>
    <col min="3" max="3" width="10.140625" bestFit="1" customWidth="1"/>
    <col min="6" max="6" width="16.140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6</v>
      </c>
      <c r="C2" s="586">
        <v>42389</v>
      </c>
      <c r="D2" s="585" t="s">
        <v>6</v>
      </c>
      <c r="E2" s="586">
        <v>42851</v>
      </c>
      <c r="F2" s="585" t="s">
        <v>3876</v>
      </c>
      <c r="G2" s="586">
        <v>42851</v>
      </c>
      <c r="H2" s="586" t="s">
        <v>3318</v>
      </c>
      <c r="I2" s="586">
        <v>42857</v>
      </c>
      <c r="J2" s="587">
        <v>1350</v>
      </c>
      <c r="K2" s="590" t="s">
        <v>3645</v>
      </c>
      <c r="L2" s="5">
        <f>SUM(J2:J62)</f>
        <v>38657</v>
      </c>
    </row>
    <row r="3" spans="1:12">
      <c r="A3" s="589">
        <v>2</v>
      </c>
      <c r="B3" s="585" t="s">
        <v>3334</v>
      </c>
      <c r="C3" s="586">
        <v>42307</v>
      </c>
      <c r="D3" s="585" t="s">
        <v>6</v>
      </c>
      <c r="E3" s="586">
        <v>42853</v>
      </c>
      <c r="F3" s="585">
        <v>2033947</v>
      </c>
      <c r="G3" s="586">
        <v>42853</v>
      </c>
      <c r="H3" s="586" t="s">
        <v>3318</v>
      </c>
      <c r="I3" s="586">
        <v>42857</v>
      </c>
      <c r="J3" s="587">
        <v>295</v>
      </c>
      <c r="K3" s="590"/>
    </row>
    <row r="4" spans="1:12">
      <c r="A4" s="585">
        <v>3</v>
      </c>
      <c r="B4" s="607" t="s">
        <v>3826</v>
      </c>
      <c r="C4" s="586">
        <v>42587</v>
      </c>
      <c r="D4" s="585" t="s">
        <v>6</v>
      </c>
      <c r="E4" s="586">
        <v>42853</v>
      </c>
      <c r="F4" s="585">
        <v>3534</v>
      </c>
      <c r="G4" s="586">
        <v>42853</v>
      </c>
      <c r="H4" s="586" t="s">
        <v>3318</v>
      </c>
      <c r="I4" s="586">
        <v>42857</v>
      </c>
      <c r="J4" s="587">
        <v>280</v>
      </c>
      <c r="K4" s="590"/>
    </row>
    <row r="5" spans="1:12">
      <c r="A5" s="585">
        <v>4</v>
      </c>
      <c r="B5" s="585" t="s">
        <v>6</v>
      </c>
      <c r="C5" s="586">
        <v>42380</v>
      </c>
      <c r="D5" s="585" t="s">
        <v>6</v>
      </c>
      <c r="E5" s="586">
        <v>42853</v>
      </c>
      <c r="F5" s="585">
        <v>38042017</v>
      </c>
      <c r="G5" s="586">
        <v>42853</v>
      </c>
      <c r="H5" s="586" t="s">
        <v>3318</v>
      </c>
      <c r="I5" s="586">
        <v>42857</v>
      </c>
      <c r="J5" s="587">
        <v>480</v>
      </c>
      <c r="K5" s="590"/>
    </row>
    <row r="6" spans="1:12">
      <c r="A6" s="585">
        <v>5</v>
      </c>
      <c r="B6" s="585" t="s">
        <v>3330</v>
      </c>
      <c r="C6" s="586">
        <v>42373</v>
      </c>
      <c r="D6" s="585" t="s">
        <v>6</v>
      </c>
      <c r="E6" s="586">
        <v>42852</v>
      </c>
      <c r="F6" s="585" t="s">
        <v>6</v>
      </c>
      <c r="G6" s="586">
        <v>42852</v>
      </c>
      <c r="H6" s="586" t="s">
        <v>3320</v>
      </c>
      <c r="I6" s="586">
        <v>42857</v>
      </c>
      <c r="J6" s="587">
        <v>1350</v>
      </c>
      <c r="K6" s="590"/>
    </row>
    <row r="7" spans="1:12">
      <c r="A7" s="585">
        <v>6</v>
      </c>
      <c r="B7" s="585">
        <v>74</v>
      </c>
      <c r="C7" s="586">
        <v>42803</v>
      </c>
      <c r="D7" s="585" t="s">
        <v>6</v>
      </c>
      <c r="E7" s="586">
        <v>42858</v>
      </c>
      <c r="F7" s="585" t="s">
        <v>6</v>
      </c>
      <c r="G7" s="586">
        <v>42858</v>
      </c>
      <c r="H7" s="586" t="s">
        <v>3318</v>
      </c>
      <c r="I7" s="586">
        <v>42860</v>
      </c>
      <c r="J7" s="587">
        <v>350</v>
      </c>
      <c r="K7" s="590"/>
    </row>
    <row r="8" spans="1:12">
      <c r="A8" s="585">
        <v>7</v>
      </c>
      <c r="B8" s="585" t="s">
        <v>6</v>
      </c>
      <c r="C8" s="586">
        <v>42857</v>
      </c>
      <c r="D8" s="585" t="s">
        <v>6</v>
      </c>
      <c r="E8" s="586">
        <v>42858</v>
      </c>
      <c r="F8" s="585" t="s">
        <v>6</v>
      </c>
      <c r="G8" s="586">
        <v>42858</v>
      </c>
      <c r="H8" s="586" t="s">
        <v>3318</v>
      </c>
      <c r="I8" s="586">
        <v>42860</v>
      </c>
      <c r="J8" s="587">
        <v>380</v>
      </c>
      <c r="K8" s="590"/>
    </row>
    <row r="9" spans="1:12">
      <c r="A9" s="585">
        <v>8</v>
      </c>
      <c r="B9" s="623" t="s">
        <v>3877</v>
      </c>
      <c r="C9" s="586">
        <v>42857</v>
      </c>
      <c r="D9" s="585" t="s">
        <v>6</v>
      </c>
      <c r="E9" s="586">
        <v>42859</v>
      </c>
      <c r="F9" s="625" t="s">
        <v>3878</v>
      </c>
      <c r="G9" s="586">
        <v>42859</v>
      </c>
      <c r="H9" s="586" t="s">
        <v>3318</v>
      </c>
      <c r="I9" s="586">
        <v>42860</v>
      </c>
      <c r="J9" s="587">
        <v>380</v>
      </c>
      <c r="K9" s="590"/>
    </row>
    <row r="10" spans="1:12">
      <c r="A10" s="585">
        <v>9</v>
      </c>
      <c r="B10" s="585" t="s">
        <v>3330</v>
      </c>
      <c r="C10" s="586">
        <v>42373</v>
      </c>
      <c r="D10" s="585" t="s">
        <v>6</v>
      </c>
      <c r="E10" s="586">
        <v>42857</v>
      </c>
      <c r="F10" s="585" t="s">
        <v>3547</v>
      </c>
      <c r="G10" s="586">
        <v>42857</v>
      </c>
      <c r="H10" s="586" t="s">
        <v>3320</v>
      </c>
      <c r="I10" s="586">
        <v>42858</v>
      </c>
      <c r="J10" s="587">
        <v>1350</v>
      </c>
      <c r="K10" s="590"/>
    </row>
    <row r="11" spans="1:12">
      <c r="A11" s="585">
        <v>10</v>
      </c>
      <c r="B11" s="585" t="s">
        <v>3344</v>
      </c>
      <c r="C11" s="586">
        <v>42338</v>
      </c>
      <c r="D11" s="585" t="s">
        <v>6</v>
      </c>
      <c r="E11" s="586">
        <v>42859</v>
      </c>
      <c r="F11" s="585" t="s">
        <v>6</v>
      </c>
      <c r="G11" s="586">
        <v>42859</v>
      </c>
      <c r="H11" s="586" t="s">
        <v>3318</v>
      </c>
      <c r="I11" s="586">
        <v>42861</v>
      </c>
      <c r="J11" s="587">
        <v>350</v>
      </c>
      <c r="K11" s="590"/>
    </row>
    <row r="12" spans="1:12">
      <c r="A12" s="585">
        <v>11</v>
      </c>
      <c r="B12" s="585" t="s">
        <v>3344</v>
      </c>
      <c r="C12" s="586">
        <v>42338</v>
      </c>
      <c r="D12" s="585" t="s">
        <v>6</v>
      </c>
      <c r="E12" s="586">
        <v>42859</v>
      </c>
      <c r="F12" s="585" t="s">
        <v>6</v>
      </c>
      <c r="G12" s="586">
        <v>42859</v>
      </c>
      <c r="H12" s="586" t="s">
        <v>3318</v>
      </c>
      <c r="I12" s="586">
        <v>42861</v>
      </c>
      <c r="J12" s="587">
        <v>300</v>
      </c>
      <c r="K12" s="590"/>
    </row>
    <row r="13" spans="1:12">
      <c r="A13" s="585">
        <v>12</v>
      </c>
      <c r="B13" s="585" t="s">
        <v>6</v>
      </c>
      <c r="C13" s="586">
        <v>42389</v>
      </c>
      <c r="D13" s="585" t="s">
        <v>6</v>
      </c>
      <c r="E13" s="586">
        <v>42860</v>
      </c>
      <c r="F13" s="585" t="s">
        <v>6</v>
      </c>
      <c r="G13" s="586">
        <v>42860</v>
      </c>
      <c r="H13" s="586" t="s">
        <v>3318</v>
      </c>
      <c r="I13" s="586">
        <v>42861</v>
      </c>
      <c r="J13" s="587">
        <v>700</v>
      </c>
      <c r="K13" s="590" t="s">
        <v>3879</v>
      </c>
    </row>
    <row r="14" spans="1:12">
      <c r="A14" s="585">
        <v>13</v>
      </c>
      <c r="B14" s="585" t="s">
        <v>3330</v>
      </c>
      <c r="C14" s="586">
        <v>42373</v>
      </c>
      <c r="D14" s="585" t="s">
        <v>6</v>
      </c>
      <c r="E14" s="586">
        <v>42858</v>
      </c>
      <c r="F14" s="585" t="s">
        <v>6</v>
      </c>
      <c r="G14" s="586">
        <v>42858</v>
      </c>
      <c r="H14" s="586" t="s">
        <v>3320</v>
      </c>
      <c r="I14" s="586">
        <v>42859</v>
      </c>
      <c r="J14" s="587">
        <v>1350</v>
      </c>
      <c r="K14" s="587"/>
    </row>
    <row r="15" spans="1:12">
      <c r="A15" s="585">
        <v>14</v>
      </c>
      <c r="B15" s="585" t="s">
        <v>6</v>
      </c>
      <c r="C15" s="586">
        <v>42480</v>
      </c>
      <c r="D15" s="585" t="s">
        <v>6</v>
      </c>
      <c r="E15" s="586">
        <v>42860</v>
      </c>
      <c r="F15" s="586">
        <v>42860</v>
      </c>
      <c r="G15" s="586">
        <v>42860</v>
      </c>
      <c r="H15" s="586" t="s">
        <v>3318</v>
      </c>
      <c r="I15" s="586">
        <v>42861</v>
      </c>
      <c r="J15" s="587">
        <v>95</v>
      </c>
      <c r="K15" s="590"/>
    </row>
    <row r="16" spans="1:12">
      <c r="A16" s="585">
        <v>15</v>
      </c>
      <c r="B16" s="585" t="s">
        <v>6</v>
      </c>
      <c r="C16" s="586">
        <v>42857</v>
      </c>
      <c r="D16" s="585" t="s">
        <v>6</v>
      </c>
      <c r="E16" s="586">
        <v>42860</v>
      </c>
      <c r="F16" s="585" t="s">
        <v>6</v>
      </c>
      <c r="G16" s="586">
        <v>42860</v>
      </c>
      <c r="H16" s="586" t="s">
        <v>3318</v>
      </c>
      <c r="I16" s="586">
        <v>42861</v>
      </c>
      <c r="J16" s="587">
        <v>20</v>
      </c>
      <c r="K16" s="590"/>
    </row>
    <row r="17" spans="1:11">
      <c r="A17" s="585">
        <v>16</v>
      </c>
      <c r="B17" s="585" t="s">
        <v>3330</v>
      </c>
      <c r="C17" s="586">
        <v>42373</v>
      </c>
      <c r="D17" s="585" t="s">
        <v>6</v>
      </c>
      <c r="E17" s="586">
        <v>42861</v>
      </c>
      <c r="F17" s="585" t="s">
        <v>6</v>
      </c>
      <c r="G17" s="586">
        <v>42861</v>
      </c>
      <c r="H17" s="586" t="s">
        <v>3320</v>
      </c>
      <c r="I17" s="586">
        <v>42865</v>
      </c>
      <c r="J17" s="587">
        <v>1350</v>
      </c>
      <c r="K17" s="590"/>
    </row>
    <row r="18" spans="1:11">
      <c r="A18" s="593">
        <v>17</v>
      </c>
      <c r="B18" s="585">
        <v>58</v>
      </c>
      <c r="C18" s="586">
        <v>42865</v>
      </c>
      <c r="D18" s="585" t="s">
        <v>6</v>
      </c>
      <c r="E18" s="586">
        <v>42866</v>
      </c>
      <c r="F18" s="585" t="s">
        <v>6</v>
      </c>
      <c r="G18" s="586">
        <v>42866</v>
      </c>
      <c r="H18" s="586" t="s">
        <v>3318</v>
      </c>
      <c r="I18" s="586">
        <v>42868</v>
      </c>
      <c r="J18" s="587">
        <v>500</v>
      </c>
      <c r="K18" s="590"/>
    </row>
    <row r="19" spans="1:11">
      <c r="A19" s="593">
        <v>18</v>
      </c>
      <c r="B19" s="585" t="s">
        <v>6</v>
      </c>
      <c r="C19" s="586">
        <v>42625</v>
      </c>
      <c r="D19" s="585" t="s">
        <v>6</v>
      </c>
      <c r="E19" s="586">
        <v>42866</v>
      </c>
      <c r="F19" s="585" t="s">
        <v>3321</v>
      </c>
      <c r="G19" s="586">
        <v>42866</v>
      </c>
      <c r="H19" s="586" t="s">
        <v>3318</v>
      </c>
      <c r="I19" s="586">
        <v>42870</v>
      </c>
      <c r="J19" s="587">
        <v>491</v>
      </c>
      <c r="K19" s="590"/>
    </row>
    <row r="20" spans="1:11">
      <c r="A20" s="593">
        <v>19</v>
      </c>
      <c r="B20" s="585" t="s">
        <v>3344</v>
      </c>
      <c r="C20" s="586">
        <v>42338</v>
      </c>
      <c r="D20" s="585" t="s">
        <v>6</v>
      </c>
      <c r="E20" s="586">
        <v>42867</v>
      </c>
      <c r="F20" s="585" t="s">
        <v>6</v>
      </c>
      <c r="G20" s="586">
        <v>42867</v>
      </c>
      <c r="H20" s="586" t="s">
        <v>3318</v>
      </c>
      <c r="I20" s="586">
        <v>42870</v>
      </c>
      <c r="J20" s="587">
        <v>270</v>
      </c>
      <c r="K20" s="590"/>
    </row>
    <row r="21" spans="1:11">
      <c r="A21" s="593">
        <v>20</v>
      </c>
      <c r="B21" s="585" t="s">
        <v>3330</v>
      </c>
      <c r="C21" s="586">
        <v>42373</v>
      </c>
      <c r="D21" s="585" t="s">
        <v>6</v>
      </c>
      <c r="E21" s="586">
        <v>42861</v>
      </c>
      <c r="F21" s="585" t="s">
        <v>6</v>
      </c>
      <c r="G21" s="586">
        <v>42861</v>
      </c>
      <c r="H21" s="586" t="s">
        <v>3320</v>
      </c>
      <c r="I21" s="586">
        <v>42865</v>
      </c>
      <c r="J21" s="587">
        <v>1350</v>
      </c>
      <c r="K21" s="590"/>
    </row>
    <row r="22" spans="1:11">
      <c r="A22" s="593">
        <v>21</v>
      </c>
      <c r="B22" s="585">
        <v>13</v>
      </c>
      <c r="C22" s="586">
        <v>42579</v>
      </c>
      <c r="D22" s="585" t="s">
        <v>6</v>
      </c>
      <c r="E22" s="586">
        <v>42865</v>
      </c>
      <c r="F22" s="585" t="s">
        <v>3876</v>
      </c>
      <c r="G22" s="586">
        <v>42865</v>
      </c>
      <c r="H22" s="586" t="s">
        <v>3318</v>
      </c>
      <c r="I22" s="586">
        <v>42866</v>
      </c>
      <c r="J22" s="587">
        <v>620</v>
      </c>
      <c r="K22" s="590"/>
    </row>
    <row r="23" spans="1:11">
      <c r="A23" s="593">
        <v>22</v>
      </c>
      <c r="B23" s="585" t="s">
        <v>6</v>
      </c>
      <c r="C23" s="586">
        <v>42865</v>
      </c>
      <c r="D23" s="585" t="s">
        <v>6</v>
      </c>
      <c r="E23" s="586">
        <v>42865</v>
      </c>
      <c r="F23" s="585" t="s">
        <v>6</v>
      </c>
      <c r="G23" s="586">
        <v>42865</v>
      </c>
      <c r="H23" s="586" t="s">
        <v>3318</v>
      </c>
      <c r="I23" s="586">
        <v>42866</v>
      </c>
      <c r="J23" s="587">
        <v>250</v>
      </c>
      <c r="K23" s="590"/>
    </row>
    <row r="24" spans="1:11">
      <c r="A24" s="593">
        <v>23</v>
      </c>
      <c r="B24" s="585" t="s">
        <v>3330</v>
      </c>
      <c r="C24" s="586">
        <v>42373</v>
      </c>
      <c r="D24" s="585" t="s">
        <v>6</v>
      </c>
      <c r="E24" s="586">
        <v>42865</v>
      </c>
      <c r="F24" s="585" t="s">
        <v>6</v>
      </c>
      <c r="G24" s="586">
        <v>42865</v>
      </c>
      <c r="H24" s="586" t="s">
        <v>3320</v>
      </c>
      <c r="I24" s="586">
        <v>42866</v>
      </c>
      <c r="J24" s="587">
        <v>1350</v>
      </c>
      <c r="K24" s="590"/>
    </row>
    <row r="25" spans="1:11">
      <c r="A25" s="593">
        <v>24</v>
      </c>
      <c r="B25" s="585">
        <v>13</v>
      </c>
      <c r="C25" s="586">
        <v>42579</v>
      </c>
      <c r="D25" s="585" t="s">
        <v>6</v>
      </c>
      <c r="E25" s="586">
        <v>42866</v>
      </c>
      <c r="F25" s="585" t="s">
        <v>6</v>
      </c>
      <c r="G25" s="586">
        <v>42866</v>
      </c>
      <c r="H25" s="586" t="s">
        <v>3318</v>
      </c>
      <c r="I25" s="586">
        <v>42870</v>
      </c>
      <c r="J25" s="587">
        <v>160</v>
      </c>
      <c r="K25" s="590"/>
    </row>
    <row r="26" spans="1:11">
      <c r="A26" s="593">
        <v>25</v>
      </c>
      <c r="B26" s="585" t="s">
        <v>6</v>
      </c>
      <c r="C26" s="586">
        <v>42837</v>
      </c>
      <c r="D26" s="585" t="s">
        <v>6</v>
      </c>
      <c r="E26" s="586">
        <v>42867</v>
      </c>
      <c r="F26" s="585" t="s">
        <v>6</v>
      </c>
      <c r="G26" s="586">
        <v>42867</v>
      </c>
      <c r="H26" s="586" t="s">
        <v>3318</v>
      </c>
      <c r="I26" s="586">
        <v>42868</v>
      </c>
      <c r="J26" s="587">
        <v>370</v>
      </c>
      <c r="K26" s="590"/>
    </row>
    <row r="27" spans="1:11">
      <c r="A27" s="593">
        <v>26</v>
      </c>
      <c r="B27" s="585" t="s">
        <v>6</v>
      </c>
      <c r="C27" s="586">
        <v>42443</v>
      </c>
      <c r="D27" s="585" t="s">
        <v>6</v>
      </c>
      <c r="E27" s="586">
        <v>42867</v>
      </c>
      <c r="F27" s="585" t="s">
        <v>6</v>
      </c>
      <c r="G27" s="586">
        <v>42867</v>
      </c>
      <c r="H27" s="586" t="s">
        <v>3318</v>
      </c>
      <c r="I27" s="586">
        <v>42868</v>
      </c>
      <c r="J27" s="587">
        <v>50</v>
      </c>
      <c r="K27" s="590"/>
    </row>
    <row r="28" spans="1:11">
      <c r="A28" s="593">
        <v>27</v>
      </c>
      <c r="B28" s="585" t="s">
        <v>3330</v>
      </c>
      <c r="C28" s="586">
        <v>42373</v>
      </c>
      <c r="D28" s="585" t="s">
        <v>6</v>
      </c>
      <c r="E28" s="586">
        <v>42867</v>
      </c>
      <c r="F28" s="585" t="s">
        <v>3551</v>
      </c>
      <c r="G28" s="586">
        <v>42867</v>
      </c>
      <c r="H28" s="586" t="s">
        <v>3320</v>
      </c>
      <c r="I28" s="586">
        <v>42870</v>
      </c>
      <c r="J28" s="587">
        <v>1350</v>
      </c>
      <c r="K28" s="590"/>
    </row>
    <row r="29" spans="1:11">
      <c r="A29" s="593">
        <v>28</v>
      </c>
      <c r="B29" s="585" t="s">
        <v>3344</v>
      </c>
      <c r="C29" s="586">
        <v>42338</v>
      </c>
      <c r="D29" s="585" t="s">
        <v>6</v>
      </c>
      <c r="E29" s="586">
        <v>42872</v>
      </c>
      <c r="F29" s="585" t="s">
        <v>6</v>
      </c>
      <c r="G29" s="586">
        <v>42872</v>
      </c>
      <c r="H29" s="586" t="s">
        <v>3318</v>
      </c>
      <c r="I29" s="586">
        <v>42877</v>
      </c>
      <c r="J29" s="587">
        <v>275</v>
      </c>
      <c r="K29" s="590"/>
    </row>
    <row r="30" spans="1:11">
      <c r="A30" s="593">
        <v>29</v>
      </c>
      <c r="B30" s="585" t="s">
        <v>3344</v>
      </c>
      <c r="C30" s="586">
        <v>42338</v>
      </c>
      <c r="D30" s="585" t="s">
        <v>6</v>
      </c>
      <c r="E30" s="586">
        <v>42874</v>
      </c>
      <c r="F30" s="585" t="s">
        <v>6</v>
      </c>
      <c r="G30" s="586">
        <v>42874</v>
      </c>
      <c r="H30" s="586" t="s">
        <v>3318</v>
      </c>
      <c r="I30" s="586">
        <v>42877</v>
      </c>
      <c r="J30" s="587">
        <v>275</v>
      </c>
      <c r="K30" s="590"/>
    </row>
    <row r="31" spans="1:11">
      <c r="A31" s="596">
        <v>30</v>
      </c>
      <c r="B31" s="585" t="s">
        <v>6</v>
      </c>
      <c r="C31" s="586">
        <v>42389</v>
      </c>
      <c r="D31" s="585" t="s">
        <v>6</v>
      </c>
      <c r="E31" s="586">
        <v>42872</v>
      </c>
      <c r="F31" s="585" t="s">
        <v>6</v>
      </c>
      <c r="G31" s="586">
        <v>42872</v>
      </c>
      <c r="H31" s="586" t="s">
        <v>3318</v>
      </c>
      <c r="I31" s="586">
        <v>42877</v>
      </c>
      <c r="J31" s="587">
        <v>950</v>
      </c>
      <c r="K31" s="590"/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42871</v>
      </c>
      <c r="F32" s="585" t="s">
        <v>3551</v>
      </c>
      <c r="G32" s="586">
        <v>42871</v>
      </c>
      <c r="H32" s="586" t="s">
        <v>3320</v>
      </c>
      <c r="I32" s="586">
        <v>42872</v>
      </c>
      <c r="J32" s="587">
        <v>1350</v>
      </c>
      <c r="K32" s="590"/>
    </row>
    <row r="33" spans="1:11">
      <c r="A33" s="596">
        <v>32</v>
      </c>
      <c r="B33" s="585" t="s">
        <v>6</v>
      </c>
      <c r="C33" s="586">
        <v>42480</v>
      </c>
      <c r="D33" s="585" t="s">
        <v>6</v>
      </c>
      <c r="E33" s="586">
        <v>42874</v>
      </c>
      <c r="F33" s="586">
        <v>42874</v>
      </c>
      <c r="G33" s="586">
        <v>42874</v>
      </c>
      <c r="H33" s="586" t="s">
        <v>3318</v>
      </c>
      <c r="I33" s="586">
        <v>42877</v>
      </c>
      <c r="J33" s="587">
        <v>93</v>
      </c>
      <c r="K33" s="590"/>
    </row>
    <row r="34" spans="1:11">
      <c r="A34" s="596">
        <v>33</v>
      </c>
      <c r="B34" s="585" t="s">
        <v>6</v>
      </c>
      <c r="C34" s="586">
        <v>42396</v>
      </c>
      <c r="D34" s="585" t="s">
        <v>6</v>
      </c>
      <c r="E34" s="586">
        <v>42873</v>
      </c>
      <c r="F34" s="585" t="s">
        <v>6</v>
      </c>
      <c r="G34" s="586">
        <v>42873</v>
      </c>
      <c r="H34" s="586" t="s">
        <v>3318</v>
      </c>
      <c r="I34" s="586">
        <v>42877</v>
      </c>
      <c r="J34" s="587">
        <v>100</v>
      </c>
      <c r="K34" s="590"/>
    </row>
    <row r="35" spans="1:11">
      <c r="A35" s="596">
        <v>34</v>
      </c>
      <c r="B35" s="585" t="s">
        <v>3330</v>
      </c>
      <c r="C35" s="586">
        <v>42373</v>
      </c>
      <c r="D35" s="585" t="s">
        <v>6</v>
      </c>
      <c r="E35" s="586">
        <v>42867</v>
      </c>
      <c r="F35" s="585" t="s">
        <v>3551</v>
      </c>
      <c r="G35" s="586">
        <v>42867</v>
      </c>
      <c r="H35" s="586" t="s">
        <v>3320</v>
      </c>
      <c r="I35" s="586">
        <v>42870</v>
      </c>
      <c r="J35" s="587">
        <v>1350</v>
      </c>
      <c r="K35" s="590"/>
    </row>
    <row r="36" spans="1:11">
      <c r="A36" s="596">
        <v>35</v>
      </c>
      <c r="B36" s="585">
        <v>13</v>
      </c>
      <c r="C36" s="586">
        <v>42579</v>
      </c>
      <c r="D36" s="585" t="s">
        <v>6</v>
      </c>
      <c r="E36" s="586">
        <v>42870</v>
      </c>
      <c r="F36" s="585" t="s">
        <v>3823</v>
      </c>
      <c r="G36" s="586">
        <v>42870</v>
      </c>
      <c r="H36" s="586" t="s">
        <v>3318</v>
      </c>
      <c r="I36" s="586">
        <v>42872</v>
      </c>
      <c r="J36" s="587">
        <v>580</v>
      </c>
      <c r="K36" s="590"/>
    </row>
    <row r="37" spans="1:11">
      <c r="A37" s="596">
        <v>36</v>
      </c>
      <c r="B37" s="585" t="s">
        <v>3344</v>
      </c>
      <c r="C37" s="586">
        <v>42338</v>
      </c>
      <c r="D37" s="585" t="s">
        <v>6</v>
      </c>
      <c r="E37" s="586">
        <v>42871</v>
      </c>
      <c r="F37" s="585" t="s">
        <v>6</v>
      </c>
      <c r="G37" s="586">
        <v>42871</v>
      </c>
      <c r="H37" s="586" t="s">
        <v>3318</v>
      </c>
      <c r="I37" s="586">
        <v>42873</v>
      </c>
      <c r="J37" s="587">
        <v>390</v>
      </c>
      <c r="K37" s="590"/>
    </row>
    <row r="38" spans="1:11">
      <c r="A38" s="596">
        <v>37</v>
      </c>
      <c r="B38" s="585" t="s">
        <v>6</v>
      </c>
      <c r="C38" s="586">
        <v>42795</v>
      </c>
      <c r="D38" s="585" t="s">
        <v>6</v>
      </c>
      <c r="E38" s="586">
        <v>42871</v>
      </c>
      <c r="F38" s="585" t="s">
        <v>6</v>
      </c>
      <c r="G38" s="586">
        <v>42871</v>
      </c>
      <c r="H38" s="586" t="s">
        <v>3318</v>
      </c>
      <c r="I38" s="586">
        <v>42872</v>
      </c>
      <c r="J38" s="587">
        <v>270</v>
      </c>
      <c r="K38" s="590"/>
    </row>
    <row r="39" spans="1:11">
      <c r="A39" s="596">
        <v>38</v>
      </c>
      <c r="B39" s="585" t="s">
        <v>3344</v>
      </c>
      <c r="C39" s="586">
        <v>42338</v>
      </c>
      <c r="D39" s="585" t="s">
        <v>6</v>
      </c>
      <c r="E39" s="586">
        <v>42871</v>
      </c>
      <c r="F39" s="585" t="s">
        <v>6</v>
      </c>
      <c r="G39" s="586">
        <v>42871</v>
      </c>
      <c r="H39" s="586" t="s">
        <v>3318</v>
      </c>
      <c r="I39" s="586">
        <v>42873</v>
      </c>
      <c r="J39" s="587">
        <v>30</v>
      </c>
      <c r="K39" s="590"/>
    </row>
    <row r="40" spans="1:11">
      <c r="A40" s="596">
        <v>39</v>
      </c>
      <c r="B40" s="585" t="s">
        <v>3330</v>
      </c>
      <c r="C40" s="586">
        <v>42373</v>
      </c>
      <c r="D40" s="585" t="s">
        <v>6</v>
      </c>
      <c r="E40" s="586">
        <v>42876</v>
      </c>
      <c r="F40" s="585" t="s">
        <v>6</v>
      </c>
      <c r="G40" s="586">
        <v>42876</v>
      </c>
      <c r="H40" s="586" t="s">
        <v>3320</v>
      </c>
      <c r="I40" s="586">
        <v>42877</v>
      </c>
      <c r="J40" s="587">
        <v>1350</v>
      </c>
      <c r="K40" s="590"/>
    </row>
    <row r="41" spans="1:11" ht="12.75" customHeight="1">
      <c r="A41" s="596">
        <v>40</v>
      </c>
      <c r="B41" s="585" t="s">
        <v>3344</v>
      </c>
      <c r="C41" s="586">
        <v>42338</v>
      </c>
      <c r="D41" s="585" t="s">
        <v>6</v>
      </c>
      <c r="E41" s="586">
        <v>42878</v>
      </c>
      <c r="F41" s="585" t="s">
        <v>3881</v>
      </c>
      <c r="G41" s="586" t="s">
        <v>3880</v>
      </c>
      <c r="H41" s="586" t="s">
        <v>3318</v>
      </c>
      <c r="I41" s="586">
        <v>42880</v>
      </c>
      <c r="J41" s="587">
        <v>600</v>
      </c>
      <c r="K41" s="590"/>
    </row>
    <row r="42" spans="1:11">
      <c r="A42" s="596">
        <v>41</v>
      </c>
      <c r="B42" s="585" t="s">
        <v>3344</v>
      </c>
      <c r="C42" s="586">
        <v>42338</v>
      </c>
      <c r="D42" s="585" t="s">
        <v>6</v>
      </c>
      <c r="E42" s="586">
        <v>42878</v>
      </c>
      <c r="F42" s="585" t="s">
        <v>6</v>
      </c>
      <c r="G42" s="586">
        <v>42878</v>
      </c>
      <c r="H42" s="586" t="s">
        <v>3318</v>
      </c>
      <c r="I42" s="586">
        <v>42880</v>
      </c>
      <c r="J42" s="587">
        <v>370</v>
      </c>
      <c r="K42" s="590"/>
    </row>
    <row r="43" spans="1:11">
      <c r="A43" s="596">
        <v>42</v>
      </c>
      <c r="B43" s="585" t="s">
        <v>6</v>
      </c>
      <c r="C43" s="586">
        <v>42443</v>
      </c>
      <c r="D43" s="585" t="s">
        <v>6</v>
      </c>
      <c r="E43" s="586">
        <v>42878</v>
      </c>
      <c r="F43" s="585" t="s">
        <v>3551</v>
      </c>
      <c r="G43" s="586">
        <v>42878</v>
      </c>
      <c r="H43" s="586" t="s">
        <v>3318</v>
      </c>
      <c r="I43" s="586">
        <v>42881</v>
      </c>
      <c r="J43" s="587">
        <v>50</v>
      </c>
      <c r="K43" s="590"/>
    </row>
    <row r="44" spans="1:11">
      <c r="A44" s="596">
        <v>43</v>
      </c>
      <c r="B44" s="585" t="s">
        <v>3330</v>
      </c>
      <c r="C44" s="586">
        <v>42373</v>
      </c>
      <c r="D44" s="585" t="s">
        <v>6</v>
      </c>
      <c r="E44" s="586">
        <v>42877</v>
      </c>
      <c r="F44" s="585" t="s">
        <v>3876</v>
      </c>
      <c r="G44" s="586">
        <v>42877</v>
      </c>
      <c r="H44" s="586" t="s">
        <v>3320</v>
      </c>
      <c r="I44" s="586">
        <v>42879</v>
      </c>
      <c r="J44" s="587">
        <v>1400</v>
      </c>
      <c r="K44" s="590"/>
    </row>
    <row r="45" spans="1:11">
      <c r="A45" s="596">
        <v>44</v>
      </c>
      <c r="B45" s="585" t="s">
        <v>3344</v>
      </c>
      <c r="C45" s="586">
        <v>42338</v>
      </c>
      <c r="D45" s="585" t="s">
        <v>6</v>
      </c>
      <c r="E45" s="586">
        <v>42880</v>
      </c>
      <c r="F45" s="585" t="s">
        <v>6</v>
      </c>
      <c r="G45" s="586">
        <v>42880</v>
      </c>
      <c r="H45" s="586" t="s">
        <v>3318</v>
      </c>
      <c r="I45" s="586">
        <v>42884</v>
      </c>
      <c r="J45" s="587">
        <v>550</v>
      </c>
      <c r="K45" s="590"/>
    </row>
    <row r="46" spans="1:11">
      <c r="A46" s="596">
        <v>45</v>
      </c>
      <c r="B46" s="585" t="s">
        <v>6</v>
      </c>
      <c r="C46" s="586">
        <v>42480</v>
      </c>
      <c r="D46" s="585" t="s">
        <v>6</v>
      </c>
      <c r="E46" s="586">
        <v>42881</v>
      </c>
      <c r="F46" s="586">
        <v>42881</v>
      </c>
      <c r="G46" s="586">
        <v>42881</v>
      </c>
      <c r="H46" s="586" t="s">
        <v>3318</v>
      </c>
      <c r="I46" s="586">
        <v>42884</v>
      </c>
      <c r="J46" s="587">
        <v>93</v>
      </c>
      <c r="K46" s="590"/>
    </row>
    <row r="47" spans="1:11">
      <c r="A47" s="596">
        <v>46</v>
      </c>
      <c r="B47" s="585" t="s">
        <v>3330</v>
      </c>
      <c r="C47" s="586">
        <v>42373</v>
      </c>
      <c r="D47" s="585" t="s">
        <v>6</v>
      </c>
      <c r="E47" s="586">
        <v>42878</v>
      </c>
      <c r="F47" s="585" t="s">
        <v>3551</v>
      </c>
      <c r="G47" s="586">
        <v>42878</v>
      </c>
      <c r="H47" s="586" t="s">
        <v>3320</v>
      </c>
      <c r="I47" s="586">
        <v>42879</v>
      </c>
      <c r="J47" s="587">
        <v>1350</v>
      </c>
      <c r="K47" s="590"/>
    </row>
    <row r="48" spans="1:11">
      <c r="A48" s="596">
        <v>47</v>
      </c>
      <c r="B48" s="585" t="s">
        <v>6</v>
      </c>
      <c r="C48" s="586">
        <v>42389</v>
      </c>
      <c r="D48" s="585" t="s">
        <v>6</v>
      </c>
      <c r="E48" s="586">
        <v>42880</v>
      </c>
      <c r="F48" s="585" t="s">
        <v>6</v>
      </c>
      <c r="G48" s="586">
        <v>42880</v>
      </c>
      <c r="H48" s="586" t="s">
        <v>3318</v>
      </c>
      <c r="I48" s="586">
        <v>42884</v>
      </c>
      <c r="J48" s="587">
        <v>200</v>
      </c>
      <c r="K48" s="590"/>
    </row>
    <row r="49" spans="1:11">
      <c r="A49" s="596">
        <v>48</v>
      </c>
      <c r="B49" s="585">
        <v>13</v>
      </c>
      <c r="C49" s="586">
        <v>42579</v>
      </c>
      <c r="D49" s="585" t="s">
        <v>6</v>
      </c>
      <c r="E49" s="586">
        <v>42880</v>
      </c>
      <c r="F49" s="585" t="s">
        <v>3551</v>
      </c>
      <c r="G49" s="586">
        <v>42880</v>
      </c>
      <c r="H49" s="586" t="s">
        <v>3318</v>
      </c>
      <c r="I49" s="586">
        <v>42884</v>
      </c>
      <c r="J49" s="587">
        <v>320</v>
      </c>
      <c r="K49" s="590"/>
    </row>
    <row r="50" spans="1:11">
      <c r="A50" s="596">
        <v>49</v>
      </c>
      <c r="B50" s="585" t="s">
        <v>6</v>
      </c>
      <c r="C50" s="586">
        <v>42389</v>
      </c>
      <c r="D50" s="585" t="s">
        <v>6</v>
      </c>
      <c r="E50" s="586">
        <v>42880</v>
      </c>
      <c r="F50" s="585" t="s">
        <v>6</v>
      </c>
      <c r="G50" s="586">
        <v>42880</v>
      </c>
      <c r="H50" s="586" t="s">
        <v>3318</v>
      </c>
      <c r="I50" s="586">
        <v>42884</v>
      </c>
      <c r="J50" s="587">
        <v>500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 t="s">
        <v>6</v>
      </c>
      <c r="E51" s="586">
        <v>42877</v>
      </c>
      <c r="F51" s="585" t="s">
        <v>6</v>
      </c>
      <c r="G51" s="586">
        <v>42877</v>
      </c>
      <c r="H51" s="586" t="s">
        <v>3320</v>
      </c>
      <c r="I51" s="586">
        <v>42878</v>
      </c>
      <c r="J51" s="587">
        <v>1350</v>
      </c>
      <c r="K51" s="590"/>
    </row>
    <row r="52" spans="1:11">
      <c r="A52" s="596">
        <v>51</v>
      </c>
      <c r="B52" s="585" t="s">
        <v>6</v>
      </c>
      <c r="C52" s="586">
        <v>42389</v>
      </c>
      <c r="D52" s="585" t="s">
        <v>6</v>
      </c>
      <c r="E52" s="586">
        <v>42879</v>
      </c>
      <c r="F52" s="585" t="s">
        <v>6</v>
      </c>
      <c r="G52" s="586">
        <v>42879</v>
      </c>
      <c r="H52" s="586" t="s">
        <v>3318</v>
      </c>
      <c r="I52" s="586">
        <v>42881</v>
      </c>
      <c r="J52" s="587">
        <v>200</v>
      </c>
      <c r="K52" s="590"/>
    </row>
    <row r="53" spans="1:11">
      <c r="A53" s="596">
        <v>52</v>
      </c>
      <c r="B53" s="585" t="s">
        <v>6</v>
      </c>
      <c r="C53" s="586">
        <v>42389</v>
      </c>
      <c r="D53" s="585" t="s">
        <v>6</v>
      </c>
      <c r="E53" s="586">
        <v>42879</v>
      </c>
      <c r="F53" s="585" t="s">
        <v>6</v>
      </c>
      <c r="G53" s="586">
        <v>42879</v>
      </c>
      <c r="H53" s="586" t="s">
        <v>3318</v>
      </c>
      <c r="I53" s="586">
        <v>42881</v>
      </c>
      <c r="J53" s="587">
        <v>410</v>
      </c>
      <c r="K53" s="590"/>
    </row>
    <row r="54" spans="1:11">
      <c r="A54" s="596">
        <v>53</v>
      </c>
      <c r="B54" s="585" t="s">
        <v>6</v>
      </c>
      <c r="C54" s="586">
        <v>42879</v>
      </c>
      <c r="D54" s="585" t="s">
        <v>6</v>
      </c>
      <c r="E54" s="586">
        <v>42880</v>
      </c>
      <c r="F54" s="585" t="s">
        <v>3882</v>
      </c>
      <c r="G54" s="586">
        <v>42880</v>
      </c>
      <c r="H54" s="586" t="s">
        <v>3318</v>
      </c>
      <c r="I54" s="586">
        <v>42881</v>
      </c>
      <c r="J54" s="587">
        <v>450</v>
      </c>
      <c r="K54" s="590"/>
    </row>
    <row r="55" spans="1:11">
      <c r="A55" s="596">
        <v>54</v>
      </c>
      <c r="B55" s="626" t="s">
        <v>3883</v>
      </c>
      <c r="C55" s="586">
        <v>42879</v>
      </c>
      <c r="D55" s="585" t="s">
        <v>6</v>
      </c>
      <c r="E55" s="586">
        <v>42880</v>
      </c>
      <c r="F55" s="585" t="s">
        <v>6</v>
      </c>
      <c r="G55" s="586">
        <v>42880</v>
      </c>
      <c r="H55" s="586" t="s">
        <v>3318</v>
      </c>
      <c r="I55" s="586">
        <v>42881</v>
      </c>
      <c r="J55" s="587">
        <v>400</v>
      </c>
      <c r="K55" s="590"/>
    </row>
    <row r="56" spans="1:11">
      <c r="A56" s="596">
        <v>55</v>
      </c>
      <c r="B56" s="585" t="s">
        <v>3330</v>
      </c>
      <c r="C56" s="586">
        <v>42373</v>
      </c>
      <c r="D56" s="585" t="s">
        <v>6</v>
      </c>
      <c r="E56" s="586">
        <v>42881</v>
      </c>
      <c r="F56" s="585" t="s">
        <v>3551</v>
      </c>
      <c r="G56" s="586">
        <v>42881</v>
      </c>
      <c r="H56" s="586" t="s">
        <v>3320</v>
      </c>
      <c r="I56" s="586">
        <v>42884</v>
      </c>
      <c r="J56" s="587">
        <v>1350</v>
      </c>
      <c r="K56" s="590"/>
    </row>
    <row r="57" spans="1:11">
      <c r="A57" s="596">
        <v>56</v>
      </c>
      <c r="B57" s="585">
        <v>24</v>
      </c>
      <c r="C57" s="586">
        <v>42885</v>
      </c>
      <c r="D57" s="585" t="s">
        <v>6</v>
      </c>
      <c r="E57" s="586">
        <v>42885</v>
      </c>
      <c r="F57" s="585" t="s">
        <v>6</v>
      </c>
      <c r="G57" s="586">
        <v>42885</v>
      </c>
      <c r="H57" s="586" t="s">
        <v>3318</v>
      </c>
      <c r="I57" s="586">
        <v>42886</v>
      </c>
      <c r="J57" s="587">
        <v>220</v>
      </c>
      <c r="K57" s="590"/>
    </row>
    <row r="58" spans="1:11">
      <c r="A58" s="596">
        <v>57</v>
      </c>
      <c r="B58" s="585">
        <v>13</v>
      </c>
      <c r="C58" s="586">
        <v>42579</v>
      </c>
      <c r="D58" s="585" t="s">
        <v>6</v>
      </c>
      <c r="E58" s="586">
        <v>42884</v>
      </c>
      <c r="F58" s="585" t="s">
        <v>3876</v>
      </c>
      <c r="G58" s="586">
        <v>42884</v>
      </c>
      <c r="H58" s="586" t="s">
        <v>3318</v>
      </c>
      <c r="I58" s="586">
        <v>42886</v>
      </c>
      <c r="J58" s="587">
        <v>370</v>
      </c>
      <c r="K58" s="590"/>
    </row>
    <row r="59" spans="1:11">
      <c r="A59" s="596">
        <v>58</v>
      </c>
      <c r="B59" s="607" t="s">
        <v>3826</v>
      </c>
      <c r="C59" s="586">
        <v>42587</v>
      </c>
      <c r="D59" s="585" t="s">
        <v>6</v>
      </c>
      <c r="E59" s="586">
        <v>42884</v>
      </c>
      <c r="F59" s="585">
        <v>105</v>
      </c>
      <c r="G59" s="586">
        <v>42884</v>
      </c>
      <c r="H59" s="586" t="s">
        <v>3318</v>
      </c>
      <c r="I59" s="586">
        <v>42886</v>
      </c>
      <c r="J59" s="587">
        <v>270</v>
      </c>
      <c r="K59" s="590"/>
    </row>
    <row r="60" spans="1:11">
      <c r="A60" s="596">
        <v>59</v>
      </c>
      <c r="B60" s="585" t="s">
        <v>3330</v>
      </c>
      <c r="C60" s="586">
        <v>42373</v>
      </c>
      <c r="D60" s="585" t="s">
        <v>6</v>
      </c>
      <c r="E60" s="586">
        <v>42884</v>
      </c>
      <c r="F60" s="585" t="s">
        <v>3551</v>
      </c>
      <c r="G60" s="586">
        <v>42884</v>
      </c>
      <c r="H60" s="586" t="s">
        <v>3320</v>
      </c>
      <c r="I60" s="586">
        <v>42886</v>
      </c>
      <c r="J60" s="587">
        <v>1350</v>
      </c>
      <c r="K60" s="590"/>
    </row>
    <row r="61" spans="1:11">
      <c r="A61" s="596">
        <v>60</v>
      </c>
      <c r="B61" s="585" t="s">
        <v>3330</v>
      </c>
      <c r="C61" s="586">
        <v>42373</v>
      </c>
      <c r="D61" s="585" t="s">
        <v>6</v>
      </c>
      <c r="E61" s="586">
        <v>42884</v>
      </c>
      <c r="F61" s="585" t="s">
        <v>6</v>
      </c>
      <c r="G61" s="586">
        <v>42884</v>
      </c>
      <c r="H61" s="586" t="s">
        <v>3320</v>
      </c>
      <c r="I61" s="586">
        <v>42886</v>
      </c>
      <c r="J61" s="587">
        <v>1350</v>
      </c>
      <c r="K61" s="590"/>
    </row>
    <row r="62" spans="1:11">
      <c r="A62" s="596">
        <v>61</v>
      </c>
      <c r="B62" s="585" t="s">
        <v>3330</v>
      </c>
      <c r="C62" s="586">
        <v>42373</v>
      </c>
      <c r="D62" s="585" t="s">
        <v>6</v>
      </c>
      <c r="E62" s="586">
        <v>42885</v>
      </c>
      <c r="F62" s="585" t="s">
        <v>6</v>
      </c>
      <c r="G62" s="586">
        <v>42885</v>
      </c>
      <c r="H62" s="586" t="s">
        <v>3320</v>
      </c>
      <c r="I62" s="586">
        <v>42886</v>
      </c>
      <c r="J62" s="587">
        <v>1350</v>
      </c>
      <c r="K62" s="590"/>
    </row>
    <row r="63" spans="1:11">
      <c r="A63" s="596">
        <v>62</v>
      </c>
      <c r="B63" s="585"/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0"/>
    </row>
    <row r="64" spans="1:11">
      <c r="A64" s="596">
        <v>63</v>
      </c>
      <c r="B64" s="585"/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</row>
    <row r="65" spans="1:11">
      <c r="A65" s="596">
        <v>64</v>
      </c>
      <c r="B65" s="585"/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0"/>
    </row>
    <row r="66" spans="1:11">
      <c r="A66" s="596">
        <v>65</v>
      </c>
      <c r="B66" s="585"/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90"/>
    </row>
    <row r="67" spans="1:11">
      <c r="A67" s="596">
        <v>66</v>
      </c>
      <c r="B67" s="585"/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pageMargins left="0.7" right="0.7" top="0.75" bottom="0.75" header="0.3" footer="0.3"/>
  <pageSetup paperSize="9" orientation="landscape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topLeftCell="A13" workbookViewId="0">
      <selection activeCell="B40" sqref="B40:C40"/>
    </sheetView>
  </sheetViews>
  <sheetFormatPr defaultRowHeight="12.75"/>
  <cols>
    <col min="2" max="2" width="14.28515625" customWidth="1"/>
    <col min="3" max="3" width="10.140625" bestFit="1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6</v>
      </c>
      <c r="C2" s="586">
        <v>42404</v>
      </c>
      <c r="D2" s="585" t="s">
        <v>6</v>
      </c>
      <c r="E2" s="586">
        <v>42822</v>
      </c>
      <c r="F2" s="585" t="s">
        <v>6</v>
      </c>
      <c r="G2" s="586">
        <v>42822</v>
      </c>
      <c r="H2" s="586" t="s">
        <v>3318</v>
      </c>
      <c r="I2" s="586">
        <v>42828</v>
      </c>
      <c r="J2" s="587">
        <v>120</v>
      </c>
      <c r="K2" s="590" t="s">
        <v>3821</v>
      </c>
      <c r="L2" s="5">
        <f>SUM(J2:J55)</f>
        <v>34003</v>
      </c>
    </row>
    <row r="3" spans="1:12">
      <c r="A3" s="589">
        <v>2</v>
      </c>
      <c r="B3" s="585" t="s">
        <v>6</v>
      </c>
      <c r="C3" s="586">
        <v>42389</v>
      </c>
      <c r="D3" s="585" t="s">
        <v>6</v>
      </c>
      <c r="E3" s="586">
        <v>42825</v>
      </c>
      <c r="F3" s="585" t="s">
        <v>3823</v>
      </c>
      <c r="G3" s="586" t="s">
        <v>3822</v>
      </c>
      <c r="H3" s="586" t="s">
        <v>3318</v>
      </c>
      <c r="I3" s="586">
        <v>42828</v>
      </c>
      <c r="J3" s="587">
        <v>1450</v>
      </c>
      <c r="K3" s="590" t="s">
        <v>3645</v>
      </c>
    </row>
    <row r="4" spans="1:12">
      <c r="A4" s="585">
        <v>3</v>
      </c>
      <c r="B4" s="585" t="s">
        <v>6</v>
      </c>
      <c r="C4" s="586">
        <v>42795</v>
      </c>
      <c r="D4" s="585" t="s">
        <v>6</v>
      </c>
      <c r="E4" s="586">
        <v>42824</v>
      </c>
      <c r="F4" s="585" t="s">
        <v>6</v>
      </c>
      <c r="G4" s="586">
        <v>42824</v>
      </c>
      <c r="H4" s="586" t="s">
        <v>3318</v>
      </c>
      <c r="I4" s="586">
        <v>42828</v>
      </c>
      <c r="J4" s="587">
        <v>520</v>
      </c>
      <c r="K4" s="590" t="s">
        <v>3754</v>
      </c>
    </row>
    <row r="5" spans="1:12">
      <c r="A5" s="585">
        <v>4</v>
      </c>
      <c r="B5" s="585" t="s">
        <v>6</v>
      </c>
      <c r="C5" s="586">
        <v>42821</v>
      </c>
      <c r="D5" s="585" t="s">
        <v>6</v>
      </c>
      <c r="E5" s="586">
        <v>42824</v>
      </c>
      <c r="F5" s="585" t="s">
        <v>6</v>
      </c>
      <c r="G5" s="586">
        <v>42824</v>
      </c>
      <c r="H5" s="586" t="s">
        <v>3318</v>
      </c>
      <c r="I5" s="586">
        <v>42828</v>
      </c>
      <c r="J5" s="587">
        <v>160</v>
      </c>
      <c r="K5" s="590"/>
    </row>
    <row r="6" spans="1:12">
      <c r="A6" s="585">
        <v>5</v>
      </c>
      <c r="B6" s="585" t="s">
        <v>6</v>
      </c>
      <c r="C6" s="586">
        <v>42480</v>
      </c>
      <c r="D6" s="585" t="s">
        <v>6</v>
      </c>
      <c r="E6" s="586">
        <v>42825</v>
      </c>
      <c r="F6" s="586">
        <v>42825</v>
      </c>
      <c r="G6" s="586">
        <v>42825</v>
      </c>
      <c r="H6" s="586" t="s">
        <v>3318</v>
      </c>
      <c r="I6" s="586">
        <v>42828</v>
      </c>
      <c r="J6" s="587">
        <v>94</v>
      </c>
      <c r="K6" s="590" t="s">
        <v>3637</v>
      </c>
    </row>
    <row r="7" spans="1:12">
      <c r="A7" s="585">
        <v>6</v>
      </c>
      <c r="B7" s="585" t="s">
        <v>3330</v>
      </c>
      <c r="C7" s="586">
        <v>42373</v>
      </c>
      <c r="D7" s="585" t="s">
        <v>6</v>
      </c>
      <c r="E7" s="586">
        <v>42825</v>
      </c>
      <c r="F7" s="585" t="s">
        <v>6</v>
      </c>
      <c r="G7" s="586">
        <v>42825</v>
      </c>
      <c r="H7" s="586" t="s">
        <v>3320</v>
      </c>
      <c r="I7" s="586">
        <v>42828</v>
      </c>
      <c r="J7" s="587">
        <v>1350</v>
      </c>
      <c r="K7" s="590" t="s">
        <v>20</v>
      </c>
    </row>
    <row r="8" spans="1:12">
      <c r="A8" s="585">
        <v>7</v>
      </c>
      <c r="B8" s="585" t="s">
        <v>6</v>
      </c>
      <c r="C8" s="586">
        <v>42829</v>
      </c>
      <c r="D8" s="585" t="s">
        <v>6</v>
      </c>
      <c r="E8" s="586">
        <v>42830</v>
      </c>
      <c r="F8" s="621" t="s">
        <v>6</v>
      </c>
      <c r="G8" s="586">
        <v>42830</v>
      </c>
      <c r="H8" s="586" t="s">
        <v>3318</v>
      </c>
      <c r="I8" s="586">
        <v>42831</v>
      </c>
      <c r="J8" s="587">
        <v>499</v>
      </c>
      <c r="K8" s="590"/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42830</v>
      </c>
      <c r="F9" s="585" t="s">
        <v>6</v>
      </c>
      <c r="G9" s="586">
        <v>42830</v>
      </c>
      <c r="H9" s="586" t="s">
        <v>3318</v>
      </c>
      <c r="I9" s="586">
        <v>42831</v>
      </c>
      <c r="J9" s="587">
        <v>250</v>
      </c>
      <c r="K9" s="590"/>
    </row>
    <row r="10" spans="1:12">
      <c r="A10" s="585">
        <v>9</v>
      </c>
      <c r="B10" s="585" t="s">
        <v>6</v>
      </c>
      <c r="C10" s="586">
        <v>42772</v>
      </c>
      <c r="D10" s="585" t="s">
        <v>6</v>
      </c>
      <c r="E10" s="586">
        <v>42830</v>
      </c>
      <c r="F10" s="585" t="s">
        <v>6</v>
      </c>
      <c r="G10" s="586">
        <v>42830</v>
      </c>
      <c r="H10" s="586" t="s">
        <v>3318</v>
      </c>
      <c r="I10" s="586">
        <v>42831</v>
      </c>
      <c r="J10" s="587">
        <v>200</v>
      </c>
      <c r="K10" s="590"/>
    </row>
    <row r="11" spans="1:12">
      <c r="A11" s="585">
        <v>10</v>
      </c>
      <c r="B11" s="585" t="s">
        <v>3330</v>
      </c>
      <c r="C11" s="586">
        <v>42373</v>
      </c>
      <c r="D11" s="585" t="s">
        <v>6</v>
      </c>
      <c r="E11" s="586">
        <v>42828</v>
      </c>
      <c r="F11" s="585" t="s">
        <v>3824</v>
      </c>
      <c r="G11" s="586">
        <v>42828</v>
      </c>
      <c r="H11" s="586" t="s">
        <v>3318</v>
      </c>
      <c r="I11" s="586">
        <v>42829</v>
      </c>
      <c r="J11" s="587">
        <v>1400</v>
      </c>
      <c r="K11" s="590"/>
    </row>
    <row r="12" spans="1:12">
      <c r="A12" s="585">
        <v>11</v>
      </c>
      <c r="B12" s="585" t="s">
        <v>6</v>
      </c>
      <c r="C12" s="586">
        <v>42829</v>
      </c>
      <c r="D12" s="585" t="s">
        <v>6</v>
      </c>
      <c r="E12" s="586">
        <v>42830</v>
      </c>
      <c r="F12" s="585" t="s">
        <v>6</v>
      </c>
      <c r="G12" s="586">
        <v>42830</v>
      </c>
      <c r="H12" s="586" t="s">
        <v>3320</v>
      </c>
      <c r="I12" s="586">
        <v>42831</v>
      </c>
      <c r="J12" s="587">
        <v>666</v>
      </c>
      <c r="K12" s="590"/>
    </row>
    <row r="13" spans="1:12">
      <c r="A13" s="585">
        <v>12</v>
      </c>
      <c r="B13" s="585" t="s">
        <v>3330</v>
      </c>
      <c r="C13" s="586">
        <v>42373</v>
      </c>
      <c r="D13" s="585" t="s">
        <v>6</v>
      </c>
      <c r="E13" s="586">
        <v>42828</v>
      </c>
      <c r="F13" s="585" t="s">
        <v>6</v>
      </c>
      <c r="G13" s="586">
        <v>42828</v>
      </c>
      <c r="H13" s="586" t="s">
        <v>3320</v>
      </c>
      <c r="I13" s="586">
        <v>42830</v>
      </c>
      <c r="J13" s="587">
        <v>1350</v>
      </c>
      <c r="K13" s="590"/>
    </row>
    <row r="14" spans="1:12">
      <c r="A14" s="585">
        <v>13</v>
      </c>
      <c r="B14" s="623" t="s">
        <v>3825</v>
      </c>
      <c r="C14" s="586">
        <v>42831</v>
      </c>
      <c r="D14" s="585" t="s">
        <v>6</v>
      </c>
      <c r="E14" s="586">
        <v>42832</v>
      </c>
      <c r="F14" s="585" t="s">
        <v>6</v>
      </c>
      <c r="G14" s="586">
        <v>42832</v>
      </c>
      <c r="H14" s="586" t="s">
        <v>3318</v>
      </c>
      <c r="I14" s="586">
        <v>42835</v>
      </c>
      <c r="J14" s="587">
        <v>270</v>
      </c>
      <c r="K14" s="587"/>
    </row>
    <row r="15" spans="1:12">
      <c r="A15" s="585">
        <v>14</v>
      </c>
      <c r="B15" s="585" t="s">
        <v>3558</v>
      </c>
      <c r="C15" s="586">
        <v>42669</v>
      </c>
      <c r="D15" s="585" t="s">
        <v>6</v>
      </c>
      <c r="E15" s="586">
        <v>42832</v>
      </c>
      <c r="F15" s="585" t="s">
        <v>3547</v>
      </c>
      <c r="G15" s="586">
        <v>42832</v>
      </c>
      <c r="H15" s="586" t="s">
        <v>3318</v>
      </c>
      <c r="I15" s="586">
        <v>42836</v>
      </c>
      <c r="J15" s="587">
        <v>410</v>
      </c>
      <c r="K15" s="590"/>
    </row>
    <row r="16" spans="1:12">
      <c r="A16" s="585">
        <v>15</v>
      </c>
      <c r="B16" s="585" t="s">
        <v>3330</v>
      </c>
      <c r="C16" s="586">
        <v>42373</v>
      </c>
      <c r="D16" s="585" t="s">
        <v>6</v>
      </c>
      <c r="E16" s="586">
        <v>42829</v>
      </c>
      <c r="F16" s="585" t="s">
        <v>3761</v>
      </c>
      <c r="G16" s="586">
        <v>42829</v>
      </c>
      <c r="H16" s="586" t="s">
        <v>3320</v>
      </c>
      <c r="I16" s="586">
        <v>42830</v>
      </c>
      <c r="J16" s="587">
        <v>1350</v>
      </c>
      <c r="K16" s="590"/>
    </row>
    <row r="17" spans="1:11">
      <c r="A17" s="585">
        <v>16</v>
      </c>
      <c r="B17" s="585">
        <v>143</v>
      </c>
      <c r="C17" s="586">
        <v>42292</v>
      </c>
      <c r="D17" s="585" t="s">
        <v>6</v>
      </c>
      <c r="E17" s="586">
        <v>42832</v>
      </c>
      <c r="F17" s="585" t="s">
        <v>6</v>
      </c>
      <c r="G17" s="586">
        <v>42832</v>
      </c>
      <c r="H17" s="586" t="s">
        <v>3318</v>
      </c>
      <c r="I17" s="586">
        <v>42835</v>
      </c>
      <c r="J17" s="587">
        <v>370</v>
      </c>
      <c r="K17" s="590"/>
    </row>
    <row r="18" spans="1:11">
      <c r="A18" s="593">
        <v>17</v>
      </c>
      <c r="B18" s="585" t="s">
        <v>6</v>
      </c>
      <c r="C18" s="586">
        <v>42480</v>
      </c>
      <c r="D18" s="585" t="s">
        <v>6</v>
      </c>
      <c r="E18" s="586">
        <v>42832</v>
      </c>
      <c r="F18" s="586">
        <v>42832</v>
      </c>
      <c r="G18" s="586">
        <v>42832</v>
      </c>
      <c r="H18" s="586" t="s">
        <v>3318</v>
      </c>
      <c r="I18" s="586">
        <v>42835</v>
      </c>
      <c r="J18" s="587">
        <v>95</v>
      </c>
      <c r="K18" s="590"/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42831</v>
      </c>
      <c r="F19" s="585" t="s">
        <v>6</v>
      </c>
      <c r="G19" s="586">
        <v>42831</v>
      </c>
      <c r="H19" s="586" t="s">
        <v>3320</v>
      </c>
      <c r="I19" s="586">
        <v>42835</v>
      </c>
      <c r="J19" s="587">
        <v>1350</v>
      </c>
      <c r="K19" s="590"/>
    </row>
    <row r="20" spans="1:11">
      <c r="A20" s="593">
        <v>19</v>
      </c>
      <c r="B20" s="585" t="s">
        <v>3344</v>
      </c>
      <c r="C20" s="586">
        <v>42338</v>
      </c>
      <c r="D20" s="585" t="s">
        <v>6</v>
      </c>
      <c r="E20" s="586">
        <v>42836</v>
      </c>
      <c r="F20" s="585" t="s">
        <v>6</v>
      </c>
      <c r="G20" s="586">
        <v>42836</v>
      </c>
      <c r="H20" s="586" t="s">
        <v>3318</v>
      </c>
      <c r="I20" s="586">
        <v>42837</v>
      </c>
      <c r="J20" s="587">
        <v>20</v>
      </c>
      <c r="K20" s="590"/>
    </row>
    <row r="21" spans="1:11">
      <c r="A21" s="593">
        <v>20</v>
      </c>
      <c r="B21" s="585" t="s">
        <v>3344</v>
      </c>
      <c r="C21" s="586">
        <v>42338</v>
      </c>
      <c r="D21" s="585" t="s">
        <v>6</v>
      </c>
      <c r="E21" s="586">
        <v>42836</v>
      </c>
      <c r="F21" s="585" t="s">
        <v>6</v>
      </c>
      <c r="G21" s="586">
        <v>42836</v>
      </c>
      <c r="H21" s="586" t="s">
        <v>3318</v>
      </c>
      <c r="I21" s="586">
        <v>42837</v>
      </c>
      <c r="J21" s="587">
        <v>640</v>
      </c>
      <c r="K21" s="590"/>
    </row>
    <row r="22" spans="1:11">
      <c r="A22" s="593">
        <v>21</v>
      </c>
      <c r="B22" s="607" t="s">
        <v>3826</v>
      </c>
      <c r="C22" s="586">
        <v>42587</v>
      </c>
      <c r="D22" s="585" t="s">
        <v>6</v>
      </c>
      <c r="E22" s="586">
        <v>42836</v>
      </c>
      <c r="F22" s="585" t="s">
        <v>6</v>
      </c>
      <c r="G22" s="586">
        <v>42836</v>
      </c>
      <c r="H22" s="586" t="s">
        <v>3318</v>
      </c>
      <c r="I22" s="586">
        <v>42837</v>
      </c>
      <c r="J22" s="587">
        <v>400</v>
      </c>
      <c r="K22" s="590" t="s">
        <v>3827</v>
      </c>
    </row>
    <row r="23" spans="1:11">
      <c r="A23" s="593">
        <v>22</v>
      </c>
      <c r="B23" s="585" t="s">
        <v>3330</v>
      </c>
      <c r="C23" s="586">
        <v>42373</v>
      </c>
      <c r="D23" s="585" t="s">
        <v>6</v>
      </c>
      <c r="E23" s="586">
        <v>42836</v>
      </c>
      <c r="F23" s="585" t="s">
        <v>6</v>
      </c>
      <c r="G23" s="586">
        <v>42836</v>
      </c>
      <c r="H23" s="586" t="s">
        <v>3320</v>
      </c>
      <c r="I23" s="586">
        <v>42837</v>
      </c>
      <c r="J23" s="587">
        <v>1350</v>
      </c>
      <c r="K23" s="590"/>
    </row>
    <row r="24" spans="1:11">
      <c r="A24" s="593">
        <v>23</v>
      </c>
      <c r="B24" s="585" t="s">
        <v>6</v>
      </c>
      <c r="C24" s="586">
        <v>42389</v>
      </c>
      <c r="D24" s="585" t="s">
        <v>6</v>
      </c>
      <c r="E24" s="586">
        <v>42839</v>
      </c>
      <c r="F24" s="585" t="s">
        <v>3547</v>
      </c>
      <c r="G24" s="586">
        <v>42839</v>
      </c>
      <c r="H24" s="586" t="s">
        <v>3318</v>
      </c>
      <c r="I24" s="586">
        <v>42842</v>
      </c>
      <c r="J24" s="587">
        <v>950</v>
      </c>
      <c r="K24" s="590"/>
    </row>
    <row r="25" spans="1:11">
      <c r="A25" s="593">
        <v>24</v>
      </c>
      <c r="B25" s="585" t="s">
        <v>3334</v>
      </c>
      <c r="C25" s="586">
        <v>42307</v>
      </c>
      <c r="D25" s="585" t="s">
        <v>6</v>
      </c>
      <c r="E25" s="586">
        <v>42839</v>
      </c>
      <c r="F25" s="585">
        <v>2033936</v>
      </c>
      <c r="G25" s="586">
        <v>42839</v>
      </c>
      <c r="H25" s="586" t="s">
        <v>3318</v>
      </c>
      <c r="I25" s="586">
        <v>42842</v>
      </c>
      <c r="J25" s="587">
        <v>401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42836</v>
      </c>
      <c r="F26" s="585" t="s">
        <v>6</v>
      </c>
      <c r="G26" s="586">
        <v>42836</v>
      </c>
      <c r="H26" s="586" t="s">
        <v>3320</v>
      </c>
      <c r="I26" s="586">
        <v>42837</v>
      </c>
      <c r="J26" s="587">
        <v>1350</v>
      </c>
      <c r="K26" s="590"/>
    </row>
    <row r="27" spans="1:11">
      <c r="A27" s="593">
        <v>26</v>
      </c>
      <c r="B27" s="585">
        <v>13</v>
      </c>
      <c r="C27" s="586">
        <v>42579</v>
      </c>
      <c r="D27" s="585" t="s">
        <v>6</v>
      </c>
      <c r="E27" s="586">
        <v>42838</v>
      </c>
      <c r="F27" s="585" t="s">
        <v>3547</v>
      </c>
      <c r="G27" s="586">
        <v>42838</v>
      </c>
      <c r="H27" s="586" t="s">
        <v>3318</v>
      </c>
      <c r="I27" s="586">
        <v>42842</v>
      </c>
      <c r="J27" s="587">
        <v>630</v>
      </c>
      <c r="K27" s="590" t="s">
        <v>3757</v>
      </c>
    </row>
    <row r="28" spans="1:11">
      <c r="A28" s="593">
        <v>27</v>
      </c>
      <c r="B28" s="585" t="s">
        <v>3828</v>
      </c>
      <c r="C28" s="586">
        <v>42838</v>
      </c>
      <c r="D28" s="585" t="s">
        <v>6</v>
      </c>
      <c r="E28" s="586">
        <v>42838</v>
      </c>
      <c r="F28" s="585" t="s">
        <v>3547</v>
      </c>
      <c r="G28" s="586">
        <v>42838</v>
      </c>
      <c r="H28" s="586" t="s">
        <v>3318</v>
      </c>
      <c r="I28" s="586">
        <v>42842</v>
      </c>
      <c r="J28" s="587">
        <v>290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42836</v>
      </c>
      <c r="F29" s="585" t="s">
        <v>6</v>
      </c>
      <c r="G29" s="586">
        <v>42836</v>
      </c>
      <c r="H29" s="586" t="s">
        <v>3320</v>
      </c>
      <c r="I29" s="586">
        <v>42838</v>
      </c>
      <c r="J29" s="587">
        <v>1350</v>
      </c>
      <c r="K29" s="590"/>
    </row>
    <row r="30" spans="1:11">
      <c r="A30" s="593">
        <v>29</v>
      </c>
      <c r="B30" s="585" t="s">
        <v>6</v>
      </c>
      <c r="C30" s="586">
        <v>42837</v>
      </c>
      <c r="D30" s="585" t="s">
        <v>6</v>
      </c>
      <c r="E30" s="586">
        <v>42839</v>
      </c>
      <c r="F30" s="585" t="s">
        <v>6</v>
      </c>
      <c r="G30" s="586">
        <v>42839</v>
      </c>
      <c r="H30" s="586" t="s">
        <v>3318</v>
      </c>
      <c r="I30" s="586">
        <v>42840</v>
      </c>
      <c r="J30" s="587">
        <v>500</v>
      </c>
      <c r="K30" s="590"/>
    </row>
    <row r="31" spans="1:11">
      <c r="A31" s="596">
        <v>30</v>
      </c>
      <c r="B31" s="585" t="s">
        <v>6</v>
      </c>
      <c r="C31" s="586">
        <v>42480</v>
      </c>
      <c r="D31" s="585" t="s">
        <v>6</v>
      </c>
      <c r="E31" s="586">
        <v>42839</v>
      </c>
      <c r="F31" s="586">
        <v>42839</v>
      </c>
      <c r="G31" s="586">
        <v>42839</v>
      </c>
      <c r="H31" s="586" t="s">
        <v>3318</v>
      </c>
      <c r="I31" s="586">
        <v>42842</v>
      </c>
      <c r="J31" s="587">
        <v>94</v>
      </c>
      <c r="K31" s="590"/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42838</v>
      </c>
      <c r="F32" s="585" t="s">
        <v>6</v>
      </c>
      <c r="G32" s="586">
        <v>42838</v>
      </c>
      <c r="H32" s="586" t="s">
        <v>3318</v>
      </c>
      <c r="I32" s="586">
        <v>42842</v>
      </c>
      <c r="J32" s="587">
        <v>520</v>
      </c>
      <c r="K32" s="590"/>
    </row>
    <row r="33" spans="1:11">
      <c r="A33" s="596">
        <v>32</v>
      </c>
      <c r="B33" s="585" t="s">
        <v>3330</v>
      </c>
      <c r="C33" s="586">
        <v>42373</v>
      </c>
      <c r="D33" s="585" t="s">
        <v>6</v>
      </c>
      <c r="E33" s="586">
        <v>42842</v>
      </c>
      <c r="F33" s="585" t="s">
        <v>3547</v>
      </c>
      <c r="G33" s="586">
        <v>42842</v>
      </c>
      <c r="H33" s="586" t="s">
        <v>3320</v>
      </c>
      <c r="I33" s="586">
        <v>42845</v>
      </c>
      <c r="J33" s="587">
        <v>1350</v>
      </c>
      <c r="K33" s="590"/>
    </row>
    <row r="34" spans="1:11">
      <c r="A34" s="596">
        <v>33</v>
      </c>
      <c r="B34" s="585" t="s">
        <v>6</v>
      </c>
      <c r="C34" s="586">
        <v>42480</v>
      </c>
      <c r="D34" s="585" t="s">
        <v>6</v>
      </c>
      <c r="E34" s="586">
        <v>42846</v>
      </c>
      <c r="F34" s="586">
        <v>42846</v>
      </c>
      <c r="G34" s="586">
        <v>42846</v>
      </c>
      <c r="H34" s="586" t="s">
        <v>3318</v>
      </c>
      <c r="I34" s="586">
        <v>42851</v>
      </c>
      <c r="J34" s="587">
        <v>94</v>
      </c>
      <c r="K34" s="590"/>
    </row>
    <row r="35" spans="1:11">
      <c r="A35" s="596">
        <v>34</v>
      </c>
      <c r="B35" s="585" t="s">
        <v>6</v>
      </c>
      <c r="C35" s="586">
        <v>42845</v>
      </c>
      <c r="D35" s="585" t="s">
        <v>6</v>
      </c>
      <c r="E35" s="586">
        <v>42846</v>
      </c>
      <c r="F35" s="585" t="s">
        <v>3547</v>
      </c>
      <c r="G35" s="586" t="s">
        <v>3829</v>
      </c>
      <c r="H35" s="586" t="s">
        <v>3318</v>
      </c>
      <c r="I35" s="586">
        <v>42851</v>
      </c>
      <c r="J35" s="587">
        <v>520</v>
      </c>
      <c r="K35" s="590"/>
    </row>
    <row r="36" spans="1:11">
      <c r="A36" s="596">
        <v>35</v>
      </c>
      <c r="B36" s="585" t="s">
        <v>3330</v>
      </c>
      <c r="C36" s="586">
        <v>42373</v>
      </c>
      <c r="D36" s="585" t="s">
        <v>6</v>
      </c>
      <c r="E36" s="586">
        <v>42839</v>
      </c>
      <c r="F36" s="585" t="s">
        <v>6</v>
      </c>
      <c r="G36" s="586">
        <v>42839</v>
      </c>
      <c r="H36" s="586" t="s">
        <v>3320</v>
      </c>
      <c r="I36" s="586">
        <v>42842</v>
      </c>
      <c r="J36" s="587">
        <v>1350</v>
      </c>
      <c r="K36" s="590"/>
    </row>
    <row r="37" spans="1:11">
      <c r="A37" s="596">
        <v>36</v>
      </c>
      <c r="B37" s="585">
        <v>13</v>
      </c>
      <c r="C37" s="586">
        <v>42579</v>
      </c>
      <c r="D37" s="585" t="s">
        <v>6</v>
      </c>
      <c r="E37" s="586">
        <v>42842</v>
      </c>
      <c r="F37" s="585" t="s">
        <v>3555</v>
      </c>
      <c r="G37" s="586">
        <v>42842</v>
      </c>
      <c r="H37" s="586" t="s">
        <v>3318</v>
      </c>
      <c r="I37" s="586">
        <v>42844</v>
      </c>
      <c r="J37" s="587">
        <v>480</v>
      </c>
      <c r="K37" s="590"/>
    </row>
    <row r="38" spans="1:11">
      <c r="A38" s="596">
        <v>37</v>
      </c>
      <c r="B38" s="585" t="s">
        <v>6</v>
      </c>
      <c r="C38" s="586">
        <v>42389</v>
      </c>
      <c r="D38" s="585" t="s">
        <v>6</v>
      </c>
      <c r="E38" s="586">
        <v>42843</v>
      </c>
      <c r="F38" s="585" t="s">
        <v>6</v>
      </c>
      <c r="G38" s="586">
        <v>42843</v>
      </c>
      <c r="H38" s="586" t="s">
        <v>3318</v>
      </c>
      <c r="I38" s="586">
        <v>42844</v>
      </c>
      <c r="J38" s="587">
        <v>750</v>
      </c>
      <c r="K38" s="590" t="s">
        <v>3830</v>
      </c>
    </row>
    <row r="39" spans="1:11">
      <c r="A39" s="596">
        <v>38</v>
      </c>
      <c r="B39" s="585" t="s">
        <v>3330</v>
      </c>
      <c r="C39" s="586">
        <v>42373</v>
      </c>
      <c r="D39" s="585" t="s">
        <v>6</v>
      </c>
      <c r="E39" s="586">
        <v>42842</v>
      </c>
      <c r="F39" s="585" t="s">
        <v>3555</v>
      </c>
      <c r="G39" s="586">
        <v>42842</v>
      </c>
      <c r="H39" s="586" t="s">
        <v>3320</v>
      </c>
      <c r="I39" s="586">
        <v>42844</v>
      </c>
      <c r="J39" s="587">
        <v>1400</v>
      </c>
      <c r="K39" s="590"/>
    </row>
    <row r="40" spans="1:11">
      <c r="A40" s="596">
        <v>39</v>
      </c>
      <c r="B40" s="585" t="s">
        <v>6</v>
      </c>
      <c r="C40" s="586">
        <v>42443</v>
      </c>
      <c r="D40" s="585" t="s">
        <v>6</v>
      </c>
      <c r="E40" s="586">
        <v>42845</v>
      </c>
      <c r="F40" s="585" t="s">
        <v>3551</v>
      </c>
      <c r="G40" s="586">
        <v>42845</v>
      </c>
      <c r="H40" s="586" t="s">
        <v>3318</v>
      </c>
      <c r="I40" s="586">
        <v>42847</v>
      </c>
      <c r="J40" s="587">
        <v>75</v>
      </c>
      <c r="K40" s="590" t="s">
        <v>3753</v>
      </c>
    </row>
    <row r="41" spans="1:11">
      <c r="A41" s="596">
        <v>40</v>
      </c>
      <c r="B41" s="607" t="s">
        <v>3826</v>
      </c>
      <c r="C41" s="586">
        <v>42587</v>
      </c>
      <c r="D41" s="585" t="s">
        <v>6</v>
      </c>
      <c r="E41" s="586">
        <v>42846</v>
      </c>
      <c r="F41" s="585">
        <v>79</v>
      </c>
      <c r="G41" s="586">
        <v>42846</v>
      </c>
      <c r="H41" s="586" t="s">
        <v>3318</v>
      </c>
      <c r="I41" s="586">
        <v>42851</v>
      </c>
      <c r="J41" s="587">
        <v>260</v>
      </c>
      <c r="K41" s="590"/>
    </row>
    <row r="42" spans="1:11">
      <c r="A42" s="596">
        <v>41</v>
      </c>
      <c r="B42" s="607" t="s">
        <v>3826</v>
      </c>
      <c r="C42" s="586">
        <v>42587</v>
      </c>
      <c r="D42" s="585" t="s">
        <v>6</v>
      </c>
      <c r="E42" s="586">
        <v>42846</v>
      </c>
      <c r="F42" s="585">
        <v>3349</v>
      </c>
      <c r="G42" s="586">
        <v>42846</v>
      </c>
      <c r="H42" s="586" t="s">
        <v>3318</v>
      </c>
      <c r="I42" s="586">
        <v>42851</v>
      </c>
      <c r="J42" s="587">
        <v>270</v>
      </c>
      <c r="K42" s="590"/>
    </row>
    <row r="43" spans="1:11">
      <c r="A43" s="596">
        <v>42</v>
      </c>
      <c r="B43" s="585" t="s">
        <v>3330</v>
      </c>
      <c r="C43" s="586">
        <v>42373</v>
      </c>
      <c r="D43" s="585" t="s">
        <v>6</v>
      </c>
      <c r="E43" s="586">
        <v>42843</v>
      </c>
      <c r="F43" s="585" t="s">
        <v>6</v>
      </c>
      <c r="G43" s="586">
        <v>42843</v>
      </c>
      <c r="H43" s="586" t="s">
        <v>3320</v>
      </c>
      <c r="I43" s="586">
        <v>42844</v>
      </c>
      <c r="J43" s="587">
        <v>1350</v>
      </c>
      <c r="K43" s="590"/>
    </row>
    <row r="44" spans="1:11">
      <c r="A44" s="596">
        <v>43</v>
      </c>
      <c r="B44" s="585" t="s">
        <v>3831</v>
      </c>
      <c r="C44" s="586">
        <v>42683</v>
      </c>
      <c r="D44" s="585" t="s">
        <v>6</v>
      </c>
      <c r="E44" s="586">
        <v>42845</v>
      </c>
      <c r="F44" s="585" t="s">
        <v>6</v>
      </c>
      <c r="G44" s="586">
        <v>42845</v>
      </c>
      <c r="H44" s="586" t="s">
        <v>3318</v>
      </c>
      <c r="I44" s="586">
        <v>42846</v>
      </c>
      <c r="J44" s="587">
        <v>400</v>
      </c>
      <c r="K44" s="590"/>
    </row>
    <row r="45" spans="1:11">
      <c r="A45" s="596">
        <v>44</v>
      </c>
      <c r="B45" s="622" t="s">
        <v>3832</v>
      </c>
      <c r="C45" s="586">
        <v>42843</v>
      </c>
      <c r="D45" s="585" t="s">
        <v>6</v>
      </c>
      <c r="E45" s="586">
        <v>42844</v>
      </c>
      <c r="F45" s="585" t="s">
        <v>6</v>
      </c>
      <c r="G45" s="586">
        <v>42844</v>
      </c>
      <c r="H45" s="586" t="s">
        <v>3318</v>
      </c>
      <c r="I45" s="586">
        <v>42846</v>
      </c>
      <c r="J45" s="587">
        <v>350</v>
      </c>
      <c r="K45" s="590"/>
    </row>
    <row r="46" spans="1:11">
      <c r="A46" s="596">
        <v>45</v>
      </c>
      <c r="B46" s="585" t="s">
        <v>3330</v>
      </c>
      <c r="C46" s="586">
        <v>42373</v>
      </c>
      <c r="D46" s="585" t="s">
        <v>6</v>
      </c>
      <c r="E46" s="586">
        <v>42846</v>
      </c>
      <c r="F46" s="585" t="s">
        <v>3547</v>
      </c>
      <c r="G46" s="586">
        <v>42846</v>
      </c>
      <c r="H46" s="586" t="s">
        <v>3320</v>
      </c>
      <c r="I46" s="586">
        <v>42849</v>
      </c>
      <c r="J46" s="587">
        <v>1350</v>
      </c>
      <c r="K46" s="590"/>
    </row>
    <row r="47" spans="1:11">
      <c r="A47" s="596">
        <v>46</v>
      </c>
      <c r="B47" s="585" t="s">
        <v>6</v>
      </c>
      <c r="C47" s="558">
        <v>42396</v>
      </c>
      <c r="D47" s="585" t="s">
        <v>6</v>
      </c>
      <c r="E47" s="586">
        <v>42484</v>
      </c>
      <c r="F47" s="585" t="s">
        <v>6</v>
      </c>
      <c r="G47" s="586">
        <v>42484</v>
      </c>
      <c r="H47" s="586" t="s">
        <v>3318</v>
      </c>
      <c r="I47" s="586">
        <v>42486</v>
      </c>
      <c r="J47" s="587">
        <v>60</v>
      </c>
      <c r="K47" s="590"/>
    </row>
    <row r="48" spans="1:11">
      <c r="A48" s="596">
        <v>47</v>
      </c>
      <c r="B48" s="585" t="s">
        <v>6</v>
      </c>
      <c r="C48" s="558">
        <v>42389</v>
      </c>
      <c r="D48" s="585" t="s">
        <v>6</v>
      </c>
      <c r="E48" s="586">
        <v>42484</v>
      </c>
      <c r="F48" s="585" t="s">
        <v>6</v>
      </c>
      <c r="G48" s="586">
        <v>42484</v>
      </c>
      <c r="H48" s="586" t="s">
        <v>3318</v>
      </c>
      <c r="I48" s="586">
        <v>42486</v>
      </c>
      <c r="J48" s="587">
        <v>295</v>
      </c>
      <c r="K48" s="590"/>
    </row>
    <row r="49" spans="1:11">
      <c r="A49" s="596">
        <v>48</v>
      </c>
      <c r="B49" s="607" t="s">
        <v>3826</v>
      </c>
      <c r="C49" s="586">
        <v>42587</v>
      </c>
      <c r="D49" s="585" t="s">
        <v>6</v>
      </c>
      <c r="E49" s="586">
        <v>42485</v>
      </c>
      <c r="F49" s="585" t="s">
        <v>6</v>
      </c>
      <c r="G49" s="586">
        <v>42485</v>
      </c>
      <c r="H49" s="586" t="s">
        <v>3318</v>
      </c>
      <c r="I49" s="586">
        <v>42486</v>
      </c>
      <c r="J49" s="587">
        <v>550</v>
      </c>
      <c r="K49" s="590"/>
    </row>
    <row r="50" spans="1:11">
      <c r="A50" s="596">
        <v>49</v>
      </c>
      <c r="B50" s="585" t="s">
        <v>3330</v>
      </c>
      <c r="C50" s="586">
        <v>42373</v>
      </c>
      <c r="D50" s="585"/>
      <c r="E50" s="586">
        <v>42484</v>
      </c>
      <c r="F50" s="585" t="s">
        <v>6</v>
      </c>
      <c r="G50" s="586">
        <v>42484</v>
      </c>
      <c r="H50" s="586" t="s">
        <v>3320</v>
      </c>
      <c r="I50" s="586">
        <v>42485</v>
      </c>
      <c r="J50" s="587">
        <v>1350</v>
      </c>
      <c r="K50" s="590"/>
    </row>
    <row r="51" spans="1:11">
      <c r="A51" s="596">
        <v>50</v>
      </c>
      <c r="B51" s="585" t="s">
        <v>3330</v>
      </c>
      <c r="C51" s="586">
        <v>42373</v>
      </c>
      <c r="D51" s="585"/>
      <c r="E51" s="586">
        <v>42486</v>
      </c>
      <c r="F51" s="585" t="s">
        <v>6</v>
      </c>
      <c r="G51" s="586">
        <v>42486</v>
      </c>
      <c r="H51" s="586" t="s">
        <v>3320</v>
      </c>
      <c r="I51" s="586">
        <v>42487</v>
      </c>
      <c r="J51" s="587">
        <v>1350</v>
      </c>
      <c r="K51" s="590"/>
    </row>
    <row r="52" spans="1:11">
      <c r="A52" s="596">
        <v>51</v>
      </c>
      <c r="B52" s="585"/>
      <c r="C52" s="586"/>
      <c r="D52" s="585"/>
      <c r="E52" s="586"/>
      <c r="F52" s="585"/>
      <c r="G52" s="586"/>
      <c r="H52" s="586"/>
      <c r="I52" s="586"/>
      <c r="J52" s="587"/>
      <c r="K52" s="590"/>
    </row>
    <row r="53" spans="1:11">
      <c r="A53" s="596">
        <v>52</v>
      </c>
      <c r="B53" s="585"/>
      <c r="C53" s="586"/>
      <c r="D53" s="585"/>
      <c r="E53" s="586"/>
      <c r="F53" s="585"/>
      <c r="G53" s="586"/>
      <c r="H53" s="586"/>
      <c r="I53" s="586"/>
      <c r="J53" s="587"/>
      <c r="K53" s="590"/>
    </row>
    <row r="54" spans="1:11">
      <c r="A54" s="596">
        <v>53</v>
      </c>
      <c r="B54" s="585"/>
      <c r="C54" s="586"/>
      <c r="D54" s="585"/>
      <c r="E54" s="586"/>
      <c r="F54" s="585"/>
      <c r="G54" s="586"/>
      <c r="H54" s="586"/>
      <c r="I54" s="586"/>
      <c r="J54" s="587"/>
      <c r="K54" s="590"/>
    </row>
    <row r="55" spans="1:11">
      <c r="A55" s="596">
        <v>54</v>
      </c>
      <c r="B55" s="585"/>
      <c r="C55" s="586"/>
      <c r="D55" s="585"/>
      <c r="E55" s="586"/>
      <c r="F55" s="585"/>
      <c r="G55" s="586"/>
      <c r="H55" s="586"/>
      <c r="I55" s="586"/>
      <c r="J55" s="587"/>
      <c r="K55" s="590"/>
    </row>
    <row r="56" spans="1:11">
      <c r="A56" s="596">
        <v>55</v>
      </c>
      <c r="B56" s="585"/>
      <c r="C56" s="586"/>
      <c r="D56" s="585" t="s">
        <v>6</v>
      </c>
      <c r="E56" s="586"/>
      <c r="F56" s="585" t="s">
        <v>6</v>
      </c>
      <c r="G56" s="586"/>
      <c r="H56" s="586"/>
      <c r="I56" s="586"/>
      <c r="J56" s="587"/>
      <c r="K56" s="590"/>
    </row>
    <row r="57" spans="1:11">
      <c r="A57" s="596">
        <v>56</v>
      </c>
      <c r="B57" s="585"/>
      <c r="C57" s="586"/>
      <c r="D57" s="585" t="s">
        <v>6</v>
      </c>
      <c r="E57" s="586"/>
      <c r="F57" s="585" t="s">
        <v>6</v>
      </c>
      <c r="G57" s="586"/>
      <c r="H57" s="586"/>
      <c r="I57" s="586"/>
      <c r="J57" s="587"/>
      <c r="K57" s="590"/>
    </row>
    <row r="58" spans="1:11">
      <c r="A58" s="596">
        <v>57</v>
      </c>
      <c r="B58" s="585"/>
      <c r="C58" s="586"/>
      <c r="D58" s="585" t="s">
        <v>6</v>
      </c>
      <c r="E58" s="586"/>
      <c r="F58" s="585" t="s">
        <v>6</v>
      </c>
      <c r="G58" s="586"/>
      <c r="H58" s="586"/>
      <c r="I58" s="586"/>
      <c r="J58" s="587"/>
      <c r="K58" s="590"/>
    </row>
    <row r="59" spans="1:11">
      <c r="A59" s="596">
        <v>58</v>
      </c>
      <c r="B59" s="585"/>
      <c r="C59" s="586"/>
      <c r="D59" s="585" t="s">
        <v>6</v>
      </c>
      <c r="E59" s="586"/>
      <c r="F59" s="585" t="s">
        <v>6</v>
      </c>
      <c r="G59" s="586"/>
      <c r="H59" s="586"/>
      <c r="I59" s="586"/>
      <c r="J59" s="587"/>
      <c r="K59" s="590"/>
    </row>
    <row r="60" spans="1:11">
      <c r="A60" s="596">
        <v>59</v>
      </c>
      <c r="B60" s="585"/>
      <c r="C60" s="586"/>
      <c r="D60" s="585" t="s">
        <v>6</v>
      </c>
      <c r="E60" s="586"/>
      <c r="F60" s="585" t="s">
        <v>6</v>
      </c>
      <c r="G60" s="586"/>
      <c r="H60" s="586"/>
      <c r="I60" s="586"/>
      <c r="J60" s="587"/>
      <c r="K60" s="590"/>
    </row>
    <row r="61" spans="1:11">
      <c r="A61" s="596">
        <v>60</v>
      </c>
      <c r="B61" s="585"/>
      <c r="C61" s="586"/>
      <c r="D61" s="585" t="s">
        <v>6</v>
      </c>
      <c r="E61" s="586"/>
      <c r="F61" s="585" t="s">
        <v>6</v>
      </c>
      <c r="G61" s="586"/>
      <c r="H61" s="586"/>
      <c r="I61" s="586"/>
      <c r="J61" s="587"/>
      <c r="K61" s="590"/>
    </row>
    <row r="62" spans="1:11">
      <c r="A62" s="596">
        <v>61</v>
      </c>
      <c r="B62" s="585"/>
      <c r="C62" s="586"/>
      <c r="D62" s="585" t="s">
        <v>6</v>
      </c>
      <c r="E62" s="586"/>
      <c r="F62" s="585" t="s">
        <v>6</v>
      </c>
      <c r="G62" s="586"/>
      <c r="H62" s="586"/>
      <c r="I62" s="586"/>
      <c r="J62" s="587"/>
      <c r="K62" s="590"/>
    </row>
    <row r="63" spans="1:11">
      <c r="A63" s="596">
        <v>62</v>
      </c>
      <c r="B63" s="585"/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0"/>
    </row>
    <row r="64" spans="1:11">
      <c r="A64" s="596">
        <v>63</v>
      </c>
      <c r="B64" s="585"/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</row>
    <row r="65" spans="1:11">
      <c r="A65" s="596">
        <v>64</v>
      </c>
      <c r="B65" s="585"/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0"/>
    </row>
    <row r="66" spans="1:11">
      <c r="A66" s="596">
        <v>65</v>
      </c>
      <c r="B66" s="585"/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90"/>
    </row>
    <row r="67" spans="1:11">
      <c r="A67" s="596">
        <v>66</v>
      </c>
      <c r="B67" s="585"/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pageMargins left="0.7" right="0.7" top="0.75" bottom="0.75" header="0.3" footer="0.3"/>
  <pageSetup paperSize="9" orientation="landscape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workbookViewId="0">
      <selection activeCell="B14" sqref="B14:C14"/>
    </sheetView>
  </sheetViews>
  <sheetFormatPr defaultRowHeight="12.75"/>
  <cols>
    <col min="2" max="2" width="14.28515625" customWidth="1"/>
    <col min="7" max="7" width="12.710937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607" t="s">
        <v>3752</v>
      </c>
      <c r="C2" s="586">
        <v>42587</v>
      </c>
      <c r="D2" s="585" t="s">
        <v>6</v>
      </c>
      <c r="E2" s="586">
        <v>42794</v>
      </c>
      <c r="F2" s="585" t="s">
        <v>6</v>
      </c>
      <c r="G2" s="586">
        <v>42794</v>
      </c>
      <c r="H2" s="586" t="s">
        <v>3318</v>
      </c>
      <c r="I2" s="586">
        <v>42796</v>
      </c>
      <c r="J2" s="587">
        <v>320</v>
      </c>
      <c r="K2" s="590"/>
      <c r="L2" s="5">
        <f>SUM(J2:J55)</f>
        <v>31015</v>
      </c>
    </row>
    <row r="3" spans="1:12">
      <c r="A3" s="589">
        <v>2</v>
      </c>
      <c r="B3" s="585">
        <v>948</v>
      </c>
      <c r="C3" s="586">
        <v>42547</v>
      </c>
      <c r="D3" s="585" t="s">
        <v>6</v>
      </c>
      <c r="E3" s="586">
        <v>42795</v>
      </c>
      <c r="F3" s="585" t="s">
        <v>6</v>
      </c>
      <c r="G3" s="586">
        <v>42795</v>
      </c>
      <c r="H3" s="586" t="s">
        <v>3318</v>
      </c>
      <c r="I3" s="586">
        <v>42796</v>
      </c>
      <c r="J3" s="587">
        <v>250</v>
      </c>
      <c r="K3" s="590"/>
    </row>
    <row r="4" spans="1:12">
      <c r="A4" s="585">
        <v>3</v>
      </c>
      <c r="B4" s="585" t="s">
        <v>6</v>
      </c>
      <c r="C4" s="586">
        <v>42430</v>
      </c>
      <c r="D4" s="585" t="s">
        <v>6</v>
      </c>
      <c r="E4" s="586">
        <v>42795</v>
      </c>
      <c r="F4" s="585" t="s">
        <v>6</v>
      </c>
      <c r="G4" s="586">
        <v>42795</v>
      </c>
      <c r="H4" s="586" t="s">
        <v>3318</v>
      </c>
      <c r="I4" s="586">
        <v>42797</v>
      </c>
      <c r="J4" s="587">
        <v>550</v>
      </c>
      <c r="K4" s="590" t="s">
        <v>3754</v>
      </c>
    </row>
    <row r="5" spans="1:12">
      <c r="A5" s="585">
        <v>4</v>
      </c>
      <c r="B5" s="585" t="s">
        <v>3344</v>
      </c>
      <c r="C5" s="586">
        <v>42338</v>
      </c>
      <c r="D5" s="585" t="s">
        <v>6</v>
      </c>
      <c r="E5" s="586">
        <v>42795</v>
      </c>
      <c r="F5" s="585" t="s">
        <v>6</v>
      </c>
      <c r="G5" s="586">
        <v>42795</v>
      </c>
      <c r="H5" s="586" t="s">
        <v>3318</v>
      </c>
      <c r="I5" s="586">
        <v>42797</v>
      </c>
      <c r="J5" s="587">
        <v>200</v>
      </c>
      <c r="K5" s="590"/>
    </row>
    <row r="6" spans="1:12">
      <c r="A6" s="585">
        <v>5</v>
      </c>
      <c r="B6" s="585" t="s">
        <v>3344</v>
      </c>
      <c r="C6" s="586">
        <v>42338</v>
      </c>
      <c r="D6" s="585" t="s">
        <v>6</v>
      </c>
      <c r="E6" s="586">
        <v>42795</v>
      </c>
      <c r="F6" s="585" t="s">
        <v>6</v>
      </c>
      <c r="G6" s="586">
        <v>42795</v>
      </c>
      <c r="H6" s="586" t="s">
        <v>3318</v>
      </c>
      <c r="I6" s="586">
        <v>42797</v>
      </c>
      <c r="J6" s="587">
        <v>450</v>
      </c>
      <c r="K6" s="590" t="s">
        <v>3755</v>
      </c>
    </row>
    <row r="7" spans="1:12">
      <c r="A7" s="585">
        <v>6</v>
      </c>
      <c r="B7" s="585" t="s">
        <v>6</v>
      </c>
      <c r="C7" s="586">
        <v>42389</v>
      </c>
      <c r="D7" s="585" t="s">
        <v>6</v>
      </c>
      <c r="E7" s="586">
        <v>42796</v>
      </c>
      <c r="F7" s="585" t="s">
        <v>6</v>
      </c>
      <c r="G7" s="586">
        <v>42796</v>
      </c>
      <c r="H7" s="586" t="s">
        <v>3318</v>
      </c>
      <c r="I7" s="586">
        <v>42797</v>
      </c>
      <c r="J7" s="587">
        <v>200</v>
      </c>
      <c r="K7" s="590" t="s">
        <v>3645</v>
      </c>
    </row>
    <row r="8" spans="1:12">
      <c r="A8" s="585">
        <v>7</v>
      </c>
      <c r="B8" s="585" t="s">
        <v>6</v>
      </c>
      <c r="C8" s="586">
        <v>42389</v>
      </c>
      <c r="D8" s="585" t="s">
        <v>6</v>
      </c>
      <c r="E8" s="586">
        <v>42796</v>
      </c>
      <c r="F8" s="585" t="s">
        <v>6</v>
      </c>
      <c r="G8" s="586">
        <v>42796</v>
      </c>
      <c r="H8" s="586" t="s">
        <v>3318</v>
      </c>
      <c r="I8" s="586">
        <v>42797</v>
      </c>
      <c r="J8" s="587">
        <v>50</v>
      </c>
      <c r="K8" s="590" t="s">
        <v>3753</v>
      </c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42793</v>
      </c>
      <c r="F9" s="585" t="s">
        <v>6</v>
      </c>
      <c r="G9" s="586">
        <v>42793</v>
      </c>
      <c r="H9" s="586" t="s">
        <v>3320</v>
      </c>
      <c r="I9" s="586">
        <v>42795</v>
      </c>
      <c r="J9" s="587">
        <v>1350</v>
      </c>
      <c r="K9" s="590"/>
    </row>
    <row r="10" spans="1:12">
      <c r="A10" s="585">
        <v>9</v>
      </c>
      <c r="B10" s="585" t="s">
        <v>6</v>
      </c>
      <c r="C10" s="586">
        <v>42480</v>
      </c>
      <c r="D10" s="585" t="s">
        <v>6</v>
      </c>
      <c r="E10" s="586">
        <v>42797</v>
      </c>
      <c r="F10" s="585" t="s">
        <v>3756</v>
      </c>
      <c r="G10" s="586">
        <v>42797</v>
      </c>
      <c r="H10" s="586" t="s">
        <v>3318</v>
      </c>
      <c r="I10" s="586">
        <v>42800</v>
      </c>
      <c r="J10" s="587">
        <v>96</v>
      </c>
      <c r="K10" s="590" t="s">
        <v>3637</v>
      </c>
    </row>
    <row r="11" spans="1:12">
      <c r="A11" s="585">
        <v>10</v>
      </c>
      <c r="B11" s="585">
        <v>13</v>
      </c>
      <c r="C11" s="586">
        <v>42579</v>
      </c>
      <c r="D11" s="585" t="s">
        <v>6</v>
      </c>
      <c r="E11" s="586">
        <v>42797</v>
      </c>
      <c r="F11" s="585" t="s">
        <v>3550</v>
      </c>
      <c r="G11" s="586">
        <v>42797</v>
      </c>
      <c r="H11" s="586" t="s">
        <v>3318</v>
      </c>
      <c r="I11" s="586">
        <v>42800</v>
      </c>
      <c r="J11" s="587">
        <v>450</v>
      </c>
      <c r="K11" s="590" t="s">
        <v>3757</v>
      </c>
    </row>
    <row r="12" spans="1:12">
      <c r="A12" s="585">
        <v>11</v>
      </c>
      <c r="B12" s="585" t="s">
        <v>6</v>
      </c>
      <c r="C12" s="586">
        <v>42389</v>
      </c>
      <c r="D12" s="585" t="s">
        <v>6</v>
      </c>
      <c r="E12" s="586">
        <v>42797</v>
      </c>
      <c r="F12" s="585" t="s">
        <v>6</v>
      </c>
      <c r="G12" s="586">
        <v>42797</v>
      </c>
      <c r="H12" s="586" t="s">
        <v>3318</v>
      </c>
      <c r="I12" s="586">
        <v>42800</v>
      </c>
      <c r="J12" s="587">
        <v>300</v>
      </c>
      <c r="K12" s="590" t="s">
        <v>3645</v>
      </c>
    </row>
    <row r="13" spans="1:12">
      <c r="A13" s="585">
        <v>12</v>
      </c>
      <c r="B13" s="585" t="s">
        <v>3330</v>
      </c>
      <c r="C13" s="586">
        <v>42373</v>
      </c>
      <c r="D13" s="585" t="s">
        <v>6</v>
      </c>
      <c r="E13" s="586">
        <v>42797</v>
      </c>
      <c r="F13" s="585" t="s">
        <v>3547</v>
      </c>
      <c r="G13" s="586">
        <v>42797</v>
      </c>
      <c r="H13" s="586" t="s">
        <v>3320</v>
      </c>
      <c r="I13" s="586">
        <v>42800</v>
      </c>
      <c r="J13" s="587">
        <v>1400</v>
      </c>
      <c r="K13" s="590"/>
    </row>
    <row r="14" spans="1:12">
      <c r="A14" s="585">
        <v>13</v>
      </c>
      <c r="B14" s="585" t="s">
        <v>6</v>
      </c>
      <c r="C14" s="586">
        <v>42396</v>
      </c>
      <c r="D14" s="585" t="s">
        <v>6</v>
      </c>
      <c r="E14" s="586">
        <v>42800</v>
      </c>
      <c r="F14" s="585" t="s">
        <v>6</v>
      </c>
      <c r="G14" s="586">
        <v>42800</v>
      </c>
      <c r="H14" s="586" t="s">
        <v>3318</v>
      </c>
      <c r="I14" s="586">
        <v>42803</v>
      </c>
      <c r="J14" s="587">
        <v>60</v>
      </c>
      <c r="K14" s="587" t="s">
        <v>3758</v>
      </c>
    </row>
    <row r="15" spans="1:12">
      <c r="A15" s="585">
        <v>14</v>
      </c>
      <c r="B15" s="585">
        <v>13</v>
      </c>
      <c r="C15" s="586">
        <v>42579</v>
      </c>
      <c r="D15" s="585" t="s">
        <v>6</v>
      </c>
      <c r="E15" s="586">
        <v>42801</v>
      </c>
      <c r="F15" s="585" t="s">
        <v>3547</v>
      </c>
      <c r="G15" s="586">
        <v>42801</v>
      </c>
      <c r="H15" s="586" t="s">
        <v>3318</v>
      </c>
      <c r="I15" s="586">
        <v>42803</v>
      </c>
      <c r="J15" s="587">
        <v>400</v>
      </c>
      <c r="K15" s="590" t="s">
        <v>3757</v>
      </c>
    </row>
    <row r="16" spans="1:12">
      <c r="A16" s="585">
        <v>15</v>
      </c>
      <c r="B16" s="585" t="s">
        <v>3330</v>
      </c>
      <c r="C16" s="586">
        <v>42373</v>
      </c>
      <c r="D16" s="585" t="s">
        <v>6</v>
      </c>
      <c r="E16" s="586">
        <v>42800</v>
      </c>
      <c r="F16" s="585" t="s">
        <v>3557</v>
      </c>
      <c r="G16" s="586">
        <v>42800</v>
      </c>
      <c r="H16" s="586" t="s">
        <v>3320</v>
      </c>
      <c r="I16" s="586">
        <v>42801</v>
      </c>
      <c r="J16" s="587">
        <v>1350</v>
      </c>
      <c r="K16" s="590"/>
    </row>
    <row r="17" spans="1:11">
      <c r="A17" s="585">
        <v>16</v>
      </c>
      <c r="B17" s="585">
        <v>13</v>
      </c>
      <c r="C17" s="586">
        <v>42579</v>
      </c>
      <c r="D17" s="585" t="s">
        <v>6</v>
      </c>
      <c r="E17" s="586">
        <v>42803</v>
      </c>
      <c r="F17" s="585" t="s">
        <v>3550</v>
      </c>
      <c r="G17" s="586">
        <v>42803</v>
      </c>
      <c r="H17" s="586" t="s">
        <v>3318</v>
      </c>
      <c r="I17" s="586">
        <v>42807</v>
      </c>
      <c r="J17" s="587">
        <v>570</v>
      </c>
      <c r="K17" s="590" t="s">
        <v>3757</v>
      </c>
    </row>
    <row r="18" spans="1:11">
      <c r="A18" s="593">
        <v>17</v>
      </c>
      <c r="B18" s="585" t="s">
        <v>6</v>
      </c>
      <c r="C18" s="586">
        <v>42480</v>
      </c>
      <c r="D18" s="585" t="s">
        <v>6</v>
      </c>
      <c r="E18" s="586">
        <v>42804</v>
      </c>
      <c r="F18" s="586">
        <v>42804</v>
      </c>
      <c r="G18" s="586">
        <v>42804</v>
      </c>
      <c r="H18" s="586" t="s">
        <v>3318</v>
      </c>
      <c r="I18" s="586">
        <v>42807</v>
      </c>
      <c r="J18" s="587">
        <v>96</v>
      </c>
      <c r="K18" s="590" t="s">
        <v>3637</v>
      </c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42804</v>
      </c>
      <c r="F19" s="585" t="s">
        <v>3759</v>
      </c>
      <c r="G19" s="586">
        <v>42804</v>
      </c>
      <c r="H19" s="586" t="s">
        <v>3320</v>
      </c>
      <c r="I19" s="586">
        <v>42807</v>
      </c>
      <c r="J19" s="587">
        <v>1400</v>
      </c>
      <c r="K19" s="590"/>
    </row>
    <row r="20" spans="1:11">
      <c r="A20" s="593">
        <v>19</v>
      </c>
      <c r="B20" s="607" t="s">
        <v>3752</v>
      </c>
      <c r="C20" s="586">
        <v>42587</v>
      </c>
      <c r="D20" s="585" t="s">
        <v>6</v>
      </c>
      <c r="E20" s="586">
        <v>42808</v>
      </c>
      <c r="F20" s="585" t="s">
        <v>6</v>
      </c>
      <c r="G20" s="586">
        <v>42808</v>
      </c>
      <c r="H20" s="586" t="s">
        <v>3318</v>
      </c>
      <c r="I20" s="586">
        <v>42811</v>
      </c>
      <c r="J20" s="587">
        <v>300</v>
      </c>
      <c r="K20" s="590"/>
    </row>
    <row r="21" spans="1:11">
      <c r="A21" s="593">
        <v>20</v>
      </c>
      <c r="B21" s="585" t="s">
        <v>3344</v>
      </c>
      <c r="C21" s="586">
        <v>42338</v>
      </c>
      <c r="D21" s="585" t="s">
        <v>6</v>
      </c>
      <c r="E21" s="586">
        <v>42809</v>
      </c>
      <c r="F21" s="585" t="s">
        <v>6</v>
      </c>
      <c r="G21" s="586">
        <v>42809</v>
      </c>
      <c r="H21" s="586" t="s">
        <v>3318</v>
      </c>
      <c r="I21" s="586">
        <v>42811</v>
      </c>
      <c r="J21" s="587">
        <v>50</v>
      </c>
      <c r="K21" s="590" t="s">
        <v>3755</v>
      </c>
    </row>
    <row r="22" spans="1:11">
      <c r="A22" s="593">
        <v>21</v>
      </c>
      <c r="B22" s="585" t="s">
        <v>3344</v>
      </c>
      <c r="C22" s="586">
        <v>42338</v>
      </c>
      <c r="D22" s="585" t="s">
        <v>6</v>
      </c>
      <c r="E22" s="586">
        <v>42809</v>
      </c>
      <c r="F22" s="585" t="s">
        <v>6</v>
      </c>
      <c r="G22" s="586">
        <v>42809</v>
      </c>
      <c r="H22" s="586" t="s">
        <v>3318</v>
      </c>
      <c r="I22" s="586">
        <v>42811</v>
      </c>
      <c r="J22" s="587">
        <v>480</v>
      </c>
      <c r="K22" s="590" t="s">
        <v>3755</v>
      </c>
    </row>
    <row r="23" spans="1:11">
      <c r="A23" s="593">
        <v>22</v>
      </c>
      <c r="B23" s="586" t="s">
        <v>3540</v>
      </c>
      <c r="C23" s="586">
        <v>42641</v>
      </c>
      <c r="D23" s="585" t="s">
        <v>6</v>
      </c>
      <c r="E23" s="586">
        <v>42810</v>
      </c>
      <c r="F23" s="585" t="s">
        <v>6</v>
      </c>
      <c r="G23" s="586">
        <v>42810</v>
      </c>
      <c r="H23" s="586" t="s">
        <v>3318</v>
      </c>
      <c r="I23" s="586">
        <v>42811</v>
      </c>
      <c r="J23" s="587">
        <v>100</v>
      </c>
      <c r="K23" s="590" t="s">
        <v>3541</v>
      </c>
    </row>
    <row r="24" spans="1:11">
      <c r="A24" s="593">
        <v>23</v>
      </c>
      <c r="B24" s="585" t="s">
        <v>6</v>
      </c>
      <c r="C24" s="586">
        <v>42389</v>
      </c>
      <c r="D24" s="585" t="s">
        <v>6</v>
      </c>
      <c r="E24" s="586">
        <v>42809</v>
      </c>
      <c r="F24" s="585" t="s">
        <v>3547</v>
      </c>
      <c r="G24" s="586" t="s">
        <v>3760</v>
      </c>
      <c r="H24" s="586" t="s">
        <v>3318</v>
      </c>
      <c r="I24" s="586">
        <v>42811</v>
      </c>
      <c r="J24" s="587">
        <v>600</v>
      </c>
      <c r="K24" s="590" t="s">
        <v>3645</v>
      </c>
    </row>
    <row r="25" spans="1:11">
      <c r="A25" s="593">
        <v>24</v>
      </c>
      <c r="B25" s="585" t="s">
        <v>3330</v>
      </c>
      <c r="C25" s="586">
        <v>42373</v>
      </c>
      <c r="D25" s="585" t="s">
        <v>6</v>
      </c>
      <c r="E25" s="586">
        <v>42804</v>
      </c>
      <c r="F25" s="585" t="s">
        <v>3761</v>
      </c>
      <c r="G25" s="586">
        <v>42804</v>
      </c>
      <c r="H25" s="586" t="s">
        <v>3320</v>
      </c>
      <c r="I25" s="586">
        <v>42807</v>
      </c>
      <c r="J25" s="587">
        <v>1350</v>
      </c>
      <c r="K25" s="590"/>
    </row>
    <row r="26" spans="1:11">
      <c r="A26" s="593">
        <v>25</v>
      </c>
      <c r="B26" s="585" t="s">
        <v>3344</v>
      </c>
      <c r="C26" s="586">
        <v>42338</v>
      </c>
      <c r="D26" s="585" t="s">
        <v>6</v>
      </c>
      <c r="E26" s="586">
        <v>42808</v>
      </c>
      <c r="F26" s="585" t="s">
        <v>6</v>
      </c>
      <c r="G26" s="586">
        <v>42808</v>
      </c>
      <c r="H26" s="586" t="s">
        <v>3318</v>
      </c>
      <c r="I26" s="586">
        <v>42810</v>
      </c>
      <c r="J26" s="587">
        <v>350</v>
      </c>
      <c r="K26" s="590"/>
    </row>
    <row r="27" spans="1:11">
      <c r="A27" s="593">
        <v>26</v>
      </c>
      <c r="B27" s="585" t="s">
        <v>3344</v>
      </c>
      <c r="C27" s="586">
        <v>42338</v>
      </c>
      <c r="D27" s="585" t="s">
        <v>6</v>
      </c>
      <c r="E27" s="586">
        <v>42809</v>
      </c>
      <c r="F27" s="585" t="s">
        <v>6</v>
      </c>
      <c r="G27" s="586">
        <v>42809</v>
      </c>
      <c r="H27" s="586" t="s">
        <v>3318</v>
      </c>
      <c r="I27" s="586">
        <v>42810</v>
      </c>
      <c r="J27" s="587">
        <v>500</v>
      </c>
      <c r="K27" s="590"/>
    </row>
    <row r="28" spans="1:11">
      <c r="A28" s="593">
        <v>27</v>
      </c>
      <c r="B28" s="585" t="s">
        <v>3344</v>
      </c>
      <c r="C28" s="586">
        <v>42338</v>
      </c>
      <c r="D28" s="585" t="s">
        <v>6</v>
      </c>
      <c r="E28" s="586">
        <v>42809</v>
      </c>
      <c r="F28" s="585" t="s">
        <v>6</v>
      </c>
      <c r="G28" s="586">
        <v>42809</v>
      </c>
      <c r="H28" s="586" t="s">
        <v>3318</v>
      </c>
      <c r="I28" s="586">
        <v>42810</v>
      </c>
      <c r="J28" s="587">
        <v>50</v>
      </c>
      <c r="K28" s="590"/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42808</v>
      </c>
      <c r="F29" s="585" t="s">
        <v>3761</v>
      </c>
      <c r="G29" s="586">
        <v>42808</v>
      </c>
      <c r="H29" s="586" t="s">
        <v>3320</v>
      </c>
      <c r="I29" s="586">
        <v>42809</v>
      </c>
      <c r="J29" s="587">
        <v>1350</v>
      </c>
      <c r="K29" s="590"/>
    </row>
    <row r="30" spans="1:11">
      <c r="A30" s="593">
        <v>29</v>
      </c>
      <c r="B30" s="585" t="s">
        <v>6</v>
      </c>
      <c r="C30" s="586">
        <v>42480</v>
      </c>
      <c r="D30" s="585" t="s">
        <v>6</v>
      </c>
      <c r="E30" s="586">
        <v>42811</v>
      </c>
      <c r="F30" s="586">
        <v>42811</v>
      </c>
      <c r="G30" s="586">
        <v>42811</v>
      </c>
      <c r="H30" s="586" t="s">
        <v>3318</v>
      </c>
      <c r="I30" s="586">
        <v>42814</v>
      </c>
      <c r="J30" s="587">
        <v>95</v>
      </c>
      <c r="K30" s="590"/>
    </row>
    <row r="31" spans="1:11">
      <c r="A31" s="596">
        <v>30</v>
      </c>
      <c r="B31" s="585">
        <v>13</v>
      </c>
      <c r="C31" s="586">
        <v>42579</v>
      </c>
      <c r="D31" s="585" t="s">
        <v>6</v>
      </c>
      <c r="E31" s="586">
        <v>42810</v>
      </c>
      <c r="F31" s="585" t="s">
        <v>3761</v>
      </c>
      <c r="G31" s="586">
        <v>42810</v>
      </c>
      <c r="H31" s="586" t="s">
        <v>3318</v>
      </c>
      <c r="I31" s="586">
        <v>42814</v>
      </c>
      <c r="J31" s="587">
        <v>400</v>
      </c>
      <c r="K31" s="590" t="s">
        <v>3757</v>
      </c>
    </row>
    <row r="32" spans="1:11">
      <c r="A32" s="596">
        <v>31</v>
      </c>
      <c r="B32" s="585" t="s">
        <v>6</v>
      </c>
      <c r="C32" s="586">
        <v>42389</v>
      </c>
      <c r="D32" s="585" t="s">
        <v>6</v>
      </c>
      <c r="E32" s="586">
        <v>42810</v>
      </c>
      <c r="F32" s="585" t="s">
        <v>6</v>
      </c>
      <c r="G32" s="586">
        <v>42810</v>
      </c>
      <c r="H32" s="586" t="s">
        <v>3318</v>
      </c>
      <c r="I32" s="586">
        <v>42814</v>
      </c>
      <c r="J32" s="587">
        <v>270</v>
      </c>
      <c r="K32" s="590" t="s">
        <v>3645</v>
      </c>
    </row>
    <row r="33" spans="1:11">
      <c r="A33" s="596">
        <v>32</v>
      </c>
      <c r="B33" s="585" t="s">
        <v>3330</v>
      </c>
      <c r="C33" s="586">
        <v>42373</v>
      </c>
      <c r="D33" s="585" t="s">
        <v>6</v>
      </c>
      <c r="E33" s="586">
        <v>42811</v>
      </c>
      <c r="F33" s="585" t="s">
        <v>3761</v>
      </c>
      <c r="G33" s="586">
        <v>42811</v>
      </c>
      <c r="H33" s="586" t="s">
        <v>3320</v>
      </c>
      <c r="I33" s="586">
        <v>42815</v>
      </c>
      <c r="J33" s="587">
        <v>1400</v>
      </c>
      <c r="K33" s="590"/>
    </row>
    <row r="34" spans="1:11">
      <c r="A34" s="596">
        <v>33</v>
      </c>
      <c r="B34" s="585" t="s">
        <v>6</v>
      </c>
      <c r="C34" s="586">
        <v>42389</v>
      </c>
      <c r="D34" s="585" t="s">
        <v>6</v>
      </c>
      <c r="E34" s="586">
        <v>42816</v>
      </c>
      <c r="F34" s="585" t="s">
        <v>6</v>
      </c>
      <c r="G34" s="586">
        <v>42816</v>
      </c>
      <c r="H34" s="586" t="s">
        <v>3318</v>
      </c>
      <c r="I34" s="586">
        <v>42817</v>
      </c>
      <c r="J34" s="587">
        <v>350</v>
      </c>
      <c r="K34" s="590" t="s">
        <v>3543</v>
      </c>
    </row>
    <row r="35" spans="1:11">
      <c r="A35" s="596">
        <v>34</v>
      </c>
      <c r="B35" s="585" t="s">
        <v>3565</v>
      </c>
      <c r="C35" s="586">
        <v>42683</v>
      </c>
      <c r="D35" s="585" t="s">
        <v>6</v>
      </c>
      <c r="E35" s="586">
        <v>42816</v>
      </c>
      <c r="F35" s="585" t="s">
        <v>6</v>
      </c>
      <c r="G35" s="586">
        <v>42816</v>
      </c>
      <c r="H35" s="586" t="s">
        <v>3318</v>
      </c>
      <c r="I35" s="586">
        <v>42817</v>
      </c>
      <c r="J35" s="587">
        <v>500</v>
      </c>
      <c r="K35" s="590"/>
    </row>
    <row r="36" spans="1:11">
      <c r="A36" s="596">
        <v>35</v>
      </c>
      <c r="B36" s="585" t="s">
        <v>3330</v>
      </c>
      <c r="C36" s="586">
        <v>42373</v>
      </c>
      <c r="D36" s="585" t="s">
        <v>6</v>
      </c>
      <c r="E36" s="586">
        <v>42811</v>
      </c>
      <c r="F36" s="585" t="s">
        <v>3759</v>
      </c>
      <c r="G36" s="586">
        <v>42811</v>
      </c>
      <c r="H36" s="586" t="s">
        <v>3320</v>
      </c>
      <c r="I36" s="586">
        <v>42815</v>
      </c>
      <c r="J36" s="587">
        <v>1350</v>
      </c>
      <c r="K36" s="590"/>
    </row>
    <row r="37" spans="1:11">
      <c r="A37" s="596">
        <v>36</v>
      </c>
      <c r="B37" s="585" t="s">
        <v>3344</v>
      </c>
      <c r="C37" s="586">
        <v>42338</v>
      </c>
      <c r="D37" s="585" t="s">
        <v>6</v>
      </c>
      <c r="E37" s="586">
        <v>42816</v>
      </c>
      <c r="F37" s="585" t="s">
        <v>6</v>
      </c>
      <c r="G37" s="586">
        <v>42816</v>
      </c>
      <c r="H37" s="586" t="s">
        <v>3318</v>
      </c>
      <c r="I37" s="586">
        <v>42818</v>
      </c>
      <c r="J37" s="587">
        <v>330</v>
      </c>
      <c r="K37" s="590"/>
    </row>
    <row r="38" spans="1:11">
      <c r="A38" s="596">
        <v>37</v>
      </c>
      <c r="B38" s="585" t="s">
        <v>6</v>
      </c>
      <c r="C38" s="586">
        <v>42040</v>
      </c>
      <c r="D38" s="585" t="s">
        <v>6</v>
      </c>
      <c r="E38" s="586">
        <v>42816</v>
      </c>
      <c r="F38" s="585" t="s">
        <v>3547</v>
      </c>
      <c r="G38" s="586" t="s">
        <v>3762</v>
      </c>
      <c r="H38" s="586" t="s">
        <v>3318</v>
      </c>
      <c r="I38" s="586">
        <v>42818</v>
      </c>
      <c r="J38" s="587">
        <v>450</v>
      </c>
      <c r="K38" s="590" t="s">
        <v>3763</v>
      </c>
    </row>
    <row r="39" spans="1:11">
      <c r="A39" s="596">
        <v>38</v>
      </c>
      <c r="B39" s="585" t="s">
        <v>3764</v>
      </c>
      <c r="C39" s="586">
        <v>42816</v>
      </c>
      <c r="D39" s="585" t="s">
        <v>6</v>
      </c>
      <c r="E39" s="586">
        <v>42817</v>
      </c>
      <c r="F39" s="585" t="s">
        <v>3557</v>
      </c>
      <c r="G39" s="586">
        <v>42817</v>
      </c>
      <c r="H39" s="586" t="s">
        <v>3318</v>
      </c>
      <c r="I39" s="586">
        <v>42818</v>
      </c>
      <c r="J39" s="587">
        <v>300</v>
      </c>
      <c r="K39" s="590"/>
    </row>
    <row r="40" spans="1:11">
      <c r="A40" s="596">
        <v>39</v>
      </c>
      <c r="B40" s="585" t="s">
        <v>3330</v>
      </c>
      <c r="C40" s="586">
        <v>42373</v>
      </c>
      <c r="D40" s="585" t="s">
        <v>6</v>
      </c>
      <c r="E40" s="586">
        <v>42815</v>
      </c>
      <c r="F40" s="585" t="s">
        <v>3557</v>
      </c>
      <c r="G40" s="586">
        <v>42815</v>
      </c>
      <c r="H40" s="586" t="s">
        <v>3320</v>
      </c>
      <c r="I40" s="586">
        <v>42816</v>
      </c>
      <c r="J40" s="587">
        <v>1350</v>
      </c>
      <c r="K40" s="590"/>
    </row>
    <row r="41" spans="1:11">
      <c r="A41" s="596">
        <v>40</v>
      </c>
      <c r="B41" s="585" t="s">
        <v>6</v>
      </c>
      <c r="C41" s="586">
        <v>42389</v>
      </c>
      <c r="D41" s="585" t="s">
        <v>6</v>
      </c>
      <c r="E41" s="586">
        <v>42817</v>
      </c>
      <c r="F41" s="585" t="s">
        <v>6</v>
      </c>
      <c r="G41" s="586">
        <v>42817</v>
      </c>
      <c r="H41" s="586" t="s">
        <v>3318</v>
      </c>
      <c r="I41" s="586">
        <v>42819</v>
      </c>
      <c r="J41" s="587">
        <v>50</v>
      </c>
      <c r="K41" s="590"/>
    </row>
    <row r="42" spans="1:11">
      <c r="A42" s="596">
        <v>41</v>
      </c>
      <c r="B42" s="585" t="s">
        <v>6</v>
      </c>
      <c r="C42" s="586">
        <v>42480</v>
      </c>
      <c r="D42" s="585" t="s">
        <v>6</v>
      </c>
      <c r="E42" s="586">
        <v>42818</v>
      </c>
      <c r="F42" s="585" t="s">
        <v>6</v>
      </c>
      <c r="G42" s="586">
        <v>42818</v>
      </c>
      <c r="H42" s="586" t="s">
        <v>3318</v>
      </c>
      <c r="I42" s="586">
        <v>42821</v>
      </c>
      <c r="J42" s="587">
        <v>94</v>
      </c>
      <c r="K42" s="590"/>
    </row>
    <row r="43" spans="1:11">
      <c r="A43" s="596">
        <v>42</v>
      </c>
      <c r="B43" s="585" t="s">
        <v>6</v>
      </c>
      <c r="C43" s="586">
        <v>42817</v>
      </c>
      <c r="D43" s="585" t="s">
        <v>6</v>
      </c>
      <c r="E43" s="586">
        <v>42817</v>
      </c>
      <c r="F43" s="585" t="s">
        <v>6</v>
      </c>
      <c r="G43" s="586">
        <v>42817</v>
      </c>
      <c r="H43" s="586" t="s">
        <v>3318</v>
      </c>
      <c r="I43" s="586">
        <v>42819</v>
      </c>
      <c r="J43" s="587">
        <v>330</v>
      </c>
      <c r="K43" s="590"/>
    </row>
    <row r="44" spans="1:11">
      <c r="A44" s="596">
        <v>43</v>
      </c>
      <c r="B44" s="585" t="s">
        <v>3330</v>
      </c>
      <c r="C44" s="586">
        <v>42373</v>
      </c>
      <c r="D44" s="585" t="s">
        <v>6</v>
      </c>
      <c r="E44" s="586">
        <v>42818</v>
      </c>
      <c r="F44" s="585" t="s">
        <v>3547</v>
      </c>
      <c r="G44" s="586">
        <v>42818</v>
      </c>
      <c r="H44" s="586" t="s">
        <v>3320</v>
      </c>
      <c r="I44" s="586">
        <v>42821</v>
      </c>
      <c r="J44" s="587">
        <v>1350</v>
      </c>
      <c r="K44" s="590"/>
    </row>
    <row r="45" spans="1:11">
      <c r="A45" s="596">
        <v>44</v>
      </c>
      <c r="B45" s="607" t="s">
        <v>3752</v>
      </c>
      <c r="C45" s="586">
        <v>42587</v>
      </c>
      <c r="D45" s="585" t="s">
        <v>6</v>
      </c>
      <c r="E45" s="586">
        <v>42822</v>
      </c>
      <c r="F45" s="585" t="s">
        <v>6</v>
      </c>
      <c r="G45" s="586">
        <v>42822</v>
      </c>
      <c r="H45" s="586" t="s">
        <v>3318</v>
      </c>
      <c r="I45" s="586">
        <v>42824</v>
      </c>
      <c r="J45" s="587">
        <v>400</v>
      </c>
      <c r="K45" s="590"/>
    </row>
    <row r="46" spans="1:11">
      <c r="A46" s="596">
        <v>45</v>
      </c>
      <c r="B46" s="585" t="s">
        <v>6</v>
      </c>
      <c r="C46" s="586">
        <v>42389</v>
      </c>
      <c r="D46" s="585" t="s">
        <v>6</v>
      </c>
      <c r="E46" s="586">
        <v>42823</v>
      </c>
      <c r="F46" s="585" t="s">
        <v>6</v>
      </c>
      <c r="G46" s="586">
        <v>42823</v>
      </c>
      <c r="H46" s="586" t="s">
        <v>3318</v>
      </c>
      <c r="I46" s="586">
        <v>42824</v>
      </c>
      <c r="J46" s="587">
        <v>430</v>
      </c>
      <c r="K46" s="590" t="s">
        <v>3549</v>
      </c>
    </row>
    <row r="47" spans="1:11">
      <c r="A47" s="596">
        <v>46</v>
      </c>
      <c r="B47" s="585" t="s">
        <v>6</v>
      </c>
      <c r="C47" s="586">
        <v>42389</v>
      </c>
      <c r="D47" s="585" t="s">
        <v>6</v>
      </c>
      <c r="E47" s="586">
        <v>42823</v>
      </c>
      <c r="F47" s="585" t="s">
        <v>6</v>
      </c>
      <c r="G47" s="586">
        <v>42823</v>
      </c>
      <c r="H47" s="586" t="s">
        <v>3318</v>
      </c>
      <c r="I47" s="586">
        <v>42824</v>
      </c>
      <c r="J47" s="587">
        <v>250</v>
      </c>
      <c r="K47" s="590" t="s">
        <v>3549</v>
      </c>
    </row>
    <row r="48" spans="1:11">
      <c r="A48" s="596">
        <v>47</v>
      </c>
      <c r="B48" s="585" t="s">
        <v>3330</v>
      </c>
      <c r="C48" s="586">
        <v>42373</v>
      </c>
      <c r="D48" s="585" t="s">
        <v>6</v>
      </c>
      <c r="E48" s="586">
        <v>42821</v>
      </c>
      <c r="F48" s="585" t="s">
        <v>6</v>
      </c>
      <c r="G48" s="586">
        <v>42821</v>
      </c>
      <c r="H48" s="586" t="s">
        <v>3320</v>
      </c>
      <c r="I48" s="586">
        <v>42822</v>
      </c>
      <c r="J48" s="587">
        <v>1350</v>
      </c>
      <c r="K48" s="590"/>
    </row>
    <row r="49" spans="1:11">
      <c r="A49" s="596">
        <v>48</v>
      </c>
      <c r="B49" s="585" t="s">
        <v>3344</v>
      </c>
      <c r="C49" s="586">
        <v>42338</v>
      </c>
      <c r="D49" s="585" t="s">
        <v>6</v>
      </c>
      <c r="E49" s="586">
        <v>42823</v>
      </c>
      <c r="F49" s="585" t="s">
        <v>6</v>
      </c>
      <c r="G49" s="586">
        <v>42823</v>
      </c>
      <c r="H49" s="586" t="s">
        <v>3318</v>
      </c>
      <c r="I49" s="586">
        <v>42824</v>
      </c>
      <c r="J49" s="587">
        <v>250</v>
      </c>
      <c r="K49" s="590"/>
    </row>
    <row r="50" spans="1:11">
      <c r="A50" s="596">
        <v>49</v>
      </c>
      <c r="B50" s="585" t="s">
        <v>3344</v>
      </c>
      <c r="C50" s="586">
        <v>42338</v>
      </c>
      <c r="D50" s="585" t="s">
        <v>6</v>
      </c>
      <c r="E50" s="586">
        <v>42823</v>
      </c>
      <c r="F50" s="585" t="s">
        <v>6</v>
      </c>
      <c r="G50" s="586">
        <v>42823</v>
      </c>
      <c r="H50" s="586" t="s">
        <v>3318</v>
      </c>
      <c r="I50" s="586">
        <v>42824</v>
      </c>
      <c r="J50" s="587">
        <v>360</v>
      </c>
      <c r="K50" s="590"/>
    </row>
    <row r="51" spans="1:11">
      <c r="A51" s="596">
        <v>50</v>
      </c>
      <c r="B51" s="585" t="s">
        <v>6</v>
      </c>
      <c r="C51" s="586">
        <v>42396</v>
      </c>
      <c r="D51" s="585" t="s">
        <v>6</v>
      </c>
      <c r="E51" s="586">
        <v>42822</v>
      </c>
      <c r="F51" s="585" t="s">
        <v>6</v>
      </c>
      <c r="G51" s="586">
        <v>42822</v>
      </c>
      <c r="H51" s="586" t="s">
        <v>3318</v>
      </c>
      <c r="I51" s="586">
        <v>42824</v>
      </c>
      <c r="J51" s="587">
        <v>60</v>
      </c>
      <c r="K51" s="590"/>
    </row>
    <row r="52" spans="1:11">
      <c r="A52" s="596">
        <v>51</v>
      </c>
      <c r="B52" s="585" t="s">
        <v>3330</v>
      </c>
      <c r="C52" s="586">
        <v>42373</v>
      </c>
      <c r="D52" s="585" t="s">
        <v>6</v>
      </c>
      <c r="E52" s="586">
        <v>42821</v>
      </c>
      <c r="F52" s="585" t="s">
        <v>3551</v>
      </c>
      <c r="G52" s="586">
        <v>42821</v>
      </c>
      <c r="H52" s="586" t="s">
        <v>3320</v>
      </c>
      <c r="I52" s="586">
        <v>42824</v>
      </c>
      <c r="J52" s="587">
        <v>1350</v>
      </c>
      <c r="K52" s="590"/>
    </row>
    <row r="53" spans="1:11">
      <c r="A53" s="596">
        <v>52</v>
      </c>
      <c r="B53" s="585" t="s">
        <v>3330</v>
      </c>
      <c r="C53" s="586">
        <v>42373</v>
      </c>
      <c r="D53" s="585" t="s">
        <v>6</v>
      </c>
      <c r="E53" s="586">
        <v>42822</v>
      </c>
      <c r="F53" s="585" t="s">
        <v>6</v>
      </c>
      <c r="G53" s="586">
        <v>42822</v>
      </c>
      <c r="H53" s="586" t="s">
        <v>3320</v>
      </c>
      <c r="I53" s="586">
        <v>42823</v>
      </c>
      <c r="J53" s="587">
        <v>1350</v>
      </c>
      <c r="K53" s="590"/>
    </row>
    <row r="54" spans="1:11">
      <c r="A54" s="596">
        <v>53</v>
      </c>
      <c r="B54" s="585" t="s">
        <v>6</v>
      </c>
      <c r="C54" s="586">
        <v>42821</v>
      </c>
      <c r="D54" s="585" t="s">
        <v>6</v>
      </c>
      <c r="E54" s="586">
        <v>42821</v>
      </c>
      <c r="F54" s="585">
        <v>2186445</v>
      </c>
      <c r="G54" s="586">
        <v>42821</v>
      </c>
      <c r="H54" s="586" t="s">
        <v>3320</v>
      </c>
      <c r="I54" s="586">
        <v>42822</v>
      </c>
      <c r="J54" s="587">
        <v>658</v>
      </c>
      <c r="K54" s="590"/>
    </row>
    <row r="55" spans="1:11">
      <c r="A55" s="596">
        <v>54</v>
      </c>
      <c r="B55" s="585" t="s">
        <v>6</v>
      </c>
      <c r="C55" s="586">
        <v>42821</v>
      </c>
      <c r="D55" s="585" t="s">
        <v>6</v>
      </c>
      <c r="E55" s="586">
        <v>42822</v>
      </c>
      <c r="F55" s="585" t="s">
        <v>3765</v>
      </c>
      <c r="G55" s="586">
        <v>42822</v>
      </c>
      <c r="H55" s="586" t="s">
        <v>3320</v>
      </c>
      <c r="I55" s="586">
        <v>42823</v>
      </c>
      <c r="J55" s="587">
        <v>1316</v>
      </c>
      <c r="K55" s="590"/>
    </row>
    <row r="56" spans="1:11">
      <c r="A56" s="596">
        <v>55</v>
      </c>
      <c r="B56" s="585"/>
      <c r="C56" s="586"/>
      <c r="D56" s="585" t="s">
        <v>6</v>
      </c>
      <c r="E56" s="586"/>
      <c r="F56" s="585" t="s">
        <v>6</v>
      </c>
      <c r="G56" s="586"/>
      <c r="H56" s="586"/>
      <c r="I56" s="586"/>
      <c r="J56" s="587"/>
      <c r="K56" s="590"/>
    </row>
    <row r="57" spans="1:11">
      <c r="A57" s="596">
        <v>56</v>
      </c>
      <c r="B57" s="585"/>
      <c r="C57" s="586"/>
      <c r="D57" s="585" t="s">
        <v>6</v>
      </c>
      <c r="E57" s="586"/>
      <c r="F57" s="585" t="s">
        <v>6</v>
      </c>
      <c r="G57" s="586"/>
      <c r="H57" s="586"/>
      <c r="I57" s="586"/>
      <c r="J57" s="587"/>
      <c r="K57" s="590"/>
    </row>
    <row r="58" spans="1:11">
      <c r="A58" s="596">
        <v>57</v>
      </c>
      <c r="B58" s="585"/>
      <c r="C58" s="586"/>
      <c r="D58" s="585" t="s">
        <v>6</v>
      </c>
      <c r="E58" s="586"/>
      <c r="F58" s="585" t="s">
        <v>6</v>
      </c>
      <c r="G58" s="586"/>
      <c r="H58" s="586"/>
      <c r="I58" s="586"/>
      <c r="J58" s="587"/>
      <c r="K58" s="590"/>
    </row>
    <row r="59" spans="1:11">
      <c r="A59" s="596">
        <v>58</v>
      </c>
      <c r="B59" s="585"/>
      <c r="C59" s="586"/>
      <c r="D59" s="585" t="s">
        <v>6</v>
      </c>
      <c r="E59" s="586"/>
      <c r="F59" s="585" t="s">
        <v>6</v>
      </c>
      <c r="G59" s="586"/>
      <c r="H59" s="586"/>
      <c r="I59" s="586"/>
      <c r="J59" s="587"/>
      <c r="K59" s="590"/>
    </row>
    <row r="60" spans="1:11">
      <c r="A60" s="596">
        <v>59</v>
      </c>
      <c r="B60" s="585"/>
      <c r="C60" s="586"/>
      <c r="D60" s="585" t="s">
        <v>6</v>
      </c>
      <c r="E60" s="586"/>
      <c r="F60" s="585" t="s">
        <v>6</v>
      </c>
      <c r="G60" s="586"/>
      <c r="H60" s="586"/>
      <c r="I60" s="586"/>
      <c r="J60" s="587"/>
      <c r="K60" s="590"/>
    </row>
    <row r="61" spans="1:11">
      <c r="A61" s="596">
        <v>60</v>
      </c>
      <c r="B61" s="585"/>
      <c r="C61" s="586"/>
      <c r="D61" s="585" t="s">
        <v>6</v>
      </c>
      <c r="E61" s="586"/>
      <c r="F61" s="585" t="s">
        <v>6</v>
      </c>
      <c r="G61" s="586"/>
      <c r="H61" s="586"/>
      <c r="I61" s="586"/>
      <c r="J61" s="587"/>
      <c r="K61" s="590"/>
    </row>
    <row r="62" spans="1:11">
      <c r="A62" s="596">
        <v>61</v>
      </c>
      <c r="B62" s="585"/>
      <c r="C62" s="586"/>
      <c r="D62" s="585" t="s">
        <v>6</v>
      </c>
      <c r="E62" s="586"/>
      <c r="F62" s="585" t="s">
        <v>6</v>
      </c>
      <c r="G62" s="586"/>
      <c r="H62" s="586"/>
      <c r="I62" s="586"/>
      <c r="J62" s="587"/>
      <c r="K62" s="590"/>
    </row>
    <row r="63" spans="1:11">
      <c r="A63" s="596">
        <v>62</v>
      </c>
      <c r="B63" s="585"/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0"/>
    </row>
    <row r="64" spans="1:11">
      <c r="A64" s="596">
        <v>63</v>
      </c>
      <c r="B64" s="585"/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</row>
    <row r="65" spans="1:11">
      <c r="A65" s="596">
        <v>64</v>
      </c>
      <c r="B65" s="585"/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0"/>
    </row>
    <row r="66" spans="1:11">
      <c r="A66" s="596">
        <v>65</v>
      </c>
      <c r="B66" s="585"/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90"/>
    </row>
    <row r="67" spans="1:11">
      <c r="A67" s="596">
        <v>66</v>
      </c>
      <c r="B67" s="585"/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0"/>
    </row>
    <row r="68" spans="1:11">
      <c r="A68" s="596">
        <v>67</v>
      </c>
      <c r="B68" s="585"/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90"/>
    </row>
    <row r="69" spans="1:11">
      <c r="A69" s="596">
        <v>68</v>
      </c>
      <c r="B69" s="585"/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90"/>
    </row>
    <row r="70" spans="1:11">
      <c r="A70" s="596">
        <v>69</v>
      </c>
      <c r="B70" s="585"/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90"/>
    </row>
    <row r="71" spans="1:11">
      <c r="A71" s="596">
        <v>70</v>
      </c>
      <c r="B71" s="585"/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90"/>
    </row>
    <row r="72" spans="1:11">
      <c r="A72" s="596">
        <v>71</v>
      </c>
      <c r="B72" s="585"/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0"/>
    </row>
    <row r="73" spans="1:11">
      <c r="A73" s="596">
        <v>72</v>
      </c>
      <c r="B73" s="585"/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90"/>
    </row>
    <row r="74" spans="1:11">
      <c r="A74" s="596">
        <v>73</v>
      </c>
      <c r="B74" s="585"/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</row>
    <row r="75" spans="1:11">
      <c r="A75" s="596">
        <v>74</v>
      </c>
      <c r="B75" s="585"/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0"/>
    </row>
    <row r="76" spans="1:11">
      <c r="A76" s="596">
        <v>75</v>
      </c>
      <c r="B76" s="585"/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0"/>
    </row>
    <row r="77" spans="1:11">
      <c r="A77" s="596">
        <v>76</v>
      </c>
      <c r="B77" s="585"/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90"/>
    </row>
    <row r="78" spans="1:11">
      <c r="A78" s="596">
        <v>77</v>
      </c>
      <c r="B78" s="585"/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90"/>
    </row>
    <row r="79" spans="1:11">
      <c r="A79" s="596">
        <v>78</v>
      </c>
      <c r="B79" s="585"/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0"/>
    </row>
  </sheetData>
  <pageMargins left="0.7" right="0.7" top="0.75" bottom="0.75" header="0.3" footer="0.3"/>
  <pageSetup paperSize="9" orientation="landscape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opLeftCell="A7" workbookViewId="0">
      <selection activeCell="B2" sqref="B2:C2"/>
    </sheetView>
  </sheetViews>
  <sheetFormatPr defaultRowHeight="12.75"/>
  <cols>
    <col min="2" max="2" width="10.85546875" customWidth="1"/>
    <col min="6" max="6" width="15" customWidth="1"/>
    <col min="8" max="8" width="5.42578125" customWidth="1"/>
  </cols>
  <sheetData>
    <row r="1" spans="1:11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1">
      <c r="A2" s="585">
        <v>1</v>
      </c>
      <c r="B2" s="585" t="s">
        <v>3565</v>
      </c>
      <c r="C2" s="586">
        <v>42683</v>
      </c>
      <c r="D2" s="585" t="s">
        <v>6</v>
      </c>
      <c r="E2" s="586">
        <v>42767</v>
      </c>
      <c r="F2" s="585" t="s">
        <v>6</v>
      </c>
      <c r="G2" s="586">
        <v>42767</v>
      </c>
      <c r="H2" s="586" t="s">
        <v>3318</v>
      </c>
      <c r="I2" s="586">
        <v>42769</v>
      </c>
      <c r="J2" s="587">
        <v>650</v>
      </c>
      <c r="K2" s="590" t="s">
        <v>3684</v>
      </c>
    </row>
    <row r="3" spans="1:11">
      <c r="A3" s="589">
        <v>2</v>
      </c>
      <c r="B3" s="585" t="s">
        <v>3574</v>
      </c>
      <c r="C3" s="586" t="s">
        <v>3685</v>
      </c>
      <c r="D3" s="585" t="s">
        <v>6</v>
      </c>
      <c r="E3" s="586">
        <v>42768</v>
      </c>
      <c r="F3" s="585" t="s">
        <v>6</v>
      </c>
      <c r="G3" s="586">
        <v>42768</v>
      </c>
      <c r="H3" s="586" t="s">
        <v>3318</v>
      </c>
      <c r="I3" s="586">
        <v>42769</v>
      </c>
      <c r="J3" s="587">
        <v>350</v>
      </c>
      <c r="K3" s="590" t="s">
        <v>3686</v>
      </c>
    </row>
    <row r="4" spans="1:11">
      <c r="A4" s="585">
        <v>3</v>
      </c>
      <c r="B4" s="585" t="s">
        <v>3344</v>
      </c>
      <c r="C4" s="586">
        <v>42338</v>
      </c>
      <c r="D4" s="585" t="s">
        <v>6</v>
      </c>
      <c r="E4" s="586">
        <v>42767</v>
      </c>
      <c r="F4" s="585" t="s">
        <v>6</v>
      </c>
      <c r="G4" s="586">
        <v>42767</v>
      </c>
      <c r="H4" s="586" t="s">
        <v>3318</v>
      </c>
      <c r="I4" s="586">
        <v>42769</v>
      </c>
      <c r="J4" s="587">
        <v>480</v>
      </c>
      <c r="K4" s="590" t="s">
        <v>3319</v>
      </c>
    </row>
    <row r="5" spans="1:11">
      <c r="A5" s="585">
        <v>4</v>
      </c>
      <c r="B5" s="585" t="s">
        <v>3344</v>
      </c>
      <c r="C5" s="586">
        <v>42338</v>
      </c>
      <c r="D5" s="585" t="s">
        <v>6</v>
      </c>
      <c r="E5" s="586">
        <v>42767</v>
      </c>
      <c r="F5" s="585" t="s">
        <v>6</v>
      </c>
      <c r="G5" s="586">
        <v>42767</v>
      </c>
      <c r="H5" s="586" t="s">
        <v>3318</v>
      </c>
      <c r="I5" s="586">
        <v>42769</v>
      </c>
      <c r="J5" s="587">
        <v>20</v>
      </c>
      <c r="K5" s="590" t="s">
        <v>3319</v>
      </c>
    </row>
    <row r="6" spans="1:11">
      <c r="A6" s="585">
        <v>5</v>
      </c>
      <c r="B6" s="585" t="s">
        <v>3344</v>
      </c>
      <c r="C6" s="586">
        <v>42338</v>
      </c>
      <c r="D6" s="585" t="s">
        <v>6</v>
      </c>
      <c r="E6" s="586">
        <v>42768</v>
      </c>
      <c r="F6" s="585" t="s">
        <v>6</v>
      </c>
      <c r="G6" s="586">
        <v>42768</v>
      </c>
      <c r="H6" s="586" t="s">
        <v>3318</v>
      </c>
      <c r="I6" s="586">
        <v>42769</v>
      </c>
      <c r="J6" s="587">
        <v>50</v>
      </c>
      <c r="K6" s="590" t="s">
        <v>3319</v>
      </c>
    </row>
    <row r="7" spans="1:11">
      <c r="A7" s="585">
        <v>6</v>
      </c>
      <c r="B7" s="585" t="s">
        <v>6</v>
      </c>
      <c r="C7" s="586">
        <v>42768</v>
      </c>
      <c r="D7" s="585" t="s">
        <v>6</v>
      </c>
      <c r="E7" s="586">
        <v>42768</v>
      </c>
      <c r="F7" s="585" t="s">
        <v>6</v>
      </c>
      <c r="G7" s="586">
        <v>42768</v>
      </c>
      <c r="H7" s="586" t="s">
        <v>3318</v>
      </c>
      <c r="I7" s="586">
        <v>42769</v>
      </c>
      <c r="J7" s="587">
        <v>120</v>
      </c>
      <c r="K7" s="590"/>
    </row>
    <row r="8" spans="1:11">
      <c r="A8" s="585">
        <v>7</v>
      </c>
      <c r="B8" s="585" t="s">
        <v>3330</v>
      </c>
      <c r="C8" s="586">
        <v>42373</v>
      </c>
      <c r="D8" s="585" t="s">
        <v>6</v>
      </c>
      <c r="E8" s="586">
        <v>42765</v>
      </c>
      <c r="F8" s="585" t="s">
        <v>6</v>
      </c>
      <c r="G8" s="586">
        <v>42765</v>
      </c>
      <c r="H8" s="586" t="s">
        <v>3320</v>
      </c>
      <c r="I8" s="586">
        <v>42768</v>
      </c>
      <c r="J8" s="587">
        <v>1350</v>
      </c>
      <c r="K8" s="590" t="s">
        <v>20</v>
      </c>
    </row>
    <row r="9" spans="1:11">
      <c r="A9" s="585">
        <v>8</v>
      </c>
      <c r="B9" s="585" t="s">
        <v>3344</v>
      </c>
      <c r="C9" s="586">
        <v>42338</v>
      </c>
      <c r="D9" s="585" t="s">
        <v>6</v>
      </c>
      <c r="E9" s="586">
        <v>42769</v>
      </c>
      <c r="F9" s="585" t="s">
        <v>6</v>
      </c>
      <c r="G9" s="586">
        <v>42769</v>
      </c>
      <c r="H9" s="586" t="s">
        <v>3318</v>
      </c>
      <c r="I9" s="586">
        <v>42772</v>
      </c>
      <c r="J9" s="587">
        <v>360</v>
      </c>
      <c r="K9" s="590" t="s">
        <v>3319</v>
      </c>
    </row>
    <row r="10" spans="1:11">
      <c r="A10" s="585">
        <v>9</v>
      </c>
      <c r="B10" s="585" t="s">
        <v>6</v>
      </c>
      <c r="C10" s="586">
        <v>42480</v>
      </c>
      <c r="D10" s="585" t="s">
        <v>6</v>
      </c>
      <c r="E10" s="586">
        <v>42769</v>
      </c>
      <c r="F10" s="585" t="s">
        <v>3687</v>
      </c>
      <c r="G10" s="586">
        <v>42769</v>
      </c>
      <c r="H10" s="586" t="s">
        <v>3318</v>
      </c>
      <c r="I10" s="586">
        <v>42772</v>
      </c>
      <c r="J10" s="587">
        <v>96</v>
      </c>
      <c r="K10" s="590" t="s">
        <v>3637</v>
      </c>
    </row>
    <row r="11" spans="1:11">
      <c r="A11" s="585">
        <v>10</v>
      </c>
      <c r="B11" s="585" t="s">
        <v>3330</v>
      </c>
      <c r="C11" s="586">
        <v>42373</v>
      </c>
      <c r="D11" s="585" t="s">
        <v>6</v>
      </c>
      <c r="E11" s="586">
        <v>42766</v>
      </c>
      <c r="F11" s="585" t="s">
        <v>6</v>
      </c>
      <c r="G11" s="586">
        <v>42766</v>
      </c>
      <c r="H11" s="586" t="s">
        <v>3320</v>
      </c>
      <c r="I11" s="586">
        <v>42767</v>
      </c>
      <c r="J11" s="587">
        <v>1350</v>
      </c>
      <c r="K11" s="590" t="s">
        <v>20</v>
      </c>
    </row>
    <row r="12" spans="1:11">
      <c r="A12" s="585">
        <v>11</v>
      </c>
      <c r="B12" s="585" t="s">
        <v>6</v>
      </c>
      <c r="C12" s="586">
        <v>42396</v>
      </c>
      <c r="D12" s="585" t="s">
        <v>6</v>
      </c>
      <c r="E12" s="586">
        <v>42769</v>
      </c>
      <c r="F12" s="585" t="s">
        <v>6</v>
      </c>
      <c r="G12" s="586">
        <v>42769</v>
      </c>
      <c r="H12" s="586" t="s">
        <v>3318</v>
      </c>
      <c r="I12" s="586">
        <v>42772</v>
      </c>
      <c r="J12" s="587">
        <v>60</v>
      </c>
      <c r="K12" s="590" t="s">
        <v>3688</v>
      </c>
    </row>
    <row r="13" spans="1:11">
      <c r="A13" s="585">
        <v>12</v>
      </c>
      <c r="B13" s="585" t="s">
        <v>6</v>
      </c>
      <c r="C13" s="586">
        <v>42389</v>
      </c>
      <c r="D13" s="585" t="s">
        <v>6</v>
      </c>
      <c r="E13" s="586">
        <v>42769</v>
      </c>
      <c r="F13" s="585" t="s">
        <v>6</v>
      </c>
      <c r="G13" s="586">
        <v>42769</v>
      </c>
      <c r="H13" s="586" t="s">
        <v>3318</v>
      </c>
      <c r="I13" s="586">
        <v>42772</v>
      </c>
      <c r="J13" s="587">
        <v>100</v>
      </c>
      <c r="K13" s="590" t="s">
        <v>3549</v>
      </c>
    </row>
    <row r="14" spans="1:11">
      <c r="A14" s="585">
        <v>13</v>
      </c>
      <c r="B14" s="585" t="s">
        <v>3689</v>
      </c>
      <c r="C14" s="586">
        <v>42768</v>
      </c>
      <c r="D14" s="585" t="s">
        <v>6</v>
      </c>
      <c r="E14" s="586">
        <v>42768</v>
      </c>
      <c r="F14" s="585" t="s">
        <v>3693</v>
      </c>
      <c r="G14" s="586" t="s">
        <v>3694</v>
      </c>
      <c r="H14" s="586" t="s">
        <v>3318</v>
      </c>
      <c r="I14" s="586">
        <v>42772</v>
      </c>
      <c r="J14" s="587">
        <v>400</v>
      </c>
      <c r="K14" s="587" t="s">
        <v>3690</v>
      </c>
    </row>
    <row r="15" spans="1:11">
      <c r="A15" s="585">
        <v>14</v>
      </c>
      <c r="B15" s="585" t="s">
        <v>6</v>
      </c>
      <c r="C15" s="586">
        <v>42767</v>
      </c>
      <c r="D15" s="585" t="s">
        <v>6</v>
      </c>
      <c r="E15" s="586">
        <v>42768</v>
      </c>
      <c r="F15" s="585" t="s">
        <v>6</v>
      </c>
      <c r="G15" s="586">
        <v>42768</v>
      </c>
      <c r="H15" s="586" t="s">
        <v>3318</v>
      </c>
      <c r="I15" s="586">
        <v>42772</v>
      </c>
      <c r="J15" s="587">
        <v>240</v>
      </c>
      <c r="K15" s="590"/>
    </row>
    <row r="16" spans="1:11">
      <c r="A16" s="585">
        <v>15</v>
      </c>
      <c r="B16" s="585" t="s">
        <v>3330</v>
      </c>
      <c r="C16" s="586">
        <v>42373</v>
      </c>
      <c r="D16" s="585" t="s">
        <v>6</v>
      </c>
      <c r="E16" s="586">
        <v>42769</v>
      </c>
      <c r="F16" s="585" t="s">
        <v>3551</v>
      </c>
      <c r="G16" s="586">
        <v>42769</v>
      </c>
      <c r="H16" s="586" t="s">
        <v>3320</v>
      </c>
      <c r="I16" s="586">
        <v>42772</v>
      </c>
      <c r="J16" s="587">
        <v>1350</v>
      </c>
      <c r="K16" s="590" t="s">
        <v>20</v>
      </c>
    </row>
    <row r="17" spans="1:11">
      <c r="A17" s="585">
        <v>16</v>
      </c>
      <c r="B17" s="589">
        <v>13</v>
      </c>
      <c r="C17" s="586">
        <v>42579</v>
      </c>
      <c r="D17" s="585" t="s">
        <v>6</v>
      </c>
      <c r="E17" s="586">
        <v>42772</v>
      </c>
      <c r="F17" s="585" t="s">
        <v>3551</v>
      </c>
      <c r="G17" s="586">
        <v>42772</v>
      </c>
      <c r="H17" s="586" t="s">
        <v>3318</v>
      </c>
      <c r="I17" s="586">
        <v>42774</v>
      </c>
      <c r="J17" s="587">
        <v>480</v>
      </c>
      <c r="K17" s="590" t="s">
        <v>3644</v>
      </c>
    </row>
    <row r="18" spans="1:11">
      <c r="A18" s="593">
        <v>17</v>
      </c>
      <c r="B18" s="589" t="s">
        <v>6</v>
      </c>
      <c r="C18" s="586">
        <v>42579</v>
      </c>
      <c r="D18" s="585" t="s">
        <v>6</v>
      </c>
      <c r="E18" s="586">
        <v>42773</v>
      </c>
      <c r="F18" s="585" t="s">
        <v>6</v>
      </c>
      <c r="G18" s="586">
        <v>42773</v>
      </c>
      <c r="H18" s="586" t="s">
        <v>3318</v>
      </c>
      <c r="I18" s="586">
        <v>42774</v>
      </c>
      <c r="J18" s="587">
        <v>520</v>
      </c>
      <c r="K18" s="590"/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42772</v>
      </c>
      <c r="F19" s="585" t="s">
        <v>3691</v>
      </c>
      <c r="G19" s="586">
        <v>42772</v>
      </c>
      <c r="H19" s="586" t="s">
        <v>3320</v>
      </c>
      <c r="I19" s="586">
        <v>42773</v>
      </c>
      <c r="J19" s="587">
        <v>1350</v>
      </c>
      <c r="K19" s="590" t="s">
        <v>20</v>
      </c>
    </row>
    <row r="20" spans="1:11">
      <c r="A20" s="593">
        <v>19</v>
      </c>
      <c r="B20" s="585" t="s">
        <v>6</v>
      </c>
      <c r="C20" s="586">
        <v>42389</v>
      </c>
      <c r="D20" s="585" t="s">
        <v>6</v>
      </c>
      <c r="E20" s="586">
        <v>42775</v>
      </c>
      <c r="F20" s="585" t="s">
        <v>3551</v>
      </c>
      <c r="G20" s="586" t="s">
        <v>3692</v>
      </c>
      <c r="H20" s="586" t="s">
        <v>3318</v>
      </c>
      <c r="I20" s="586">
        <v>42779</v>
      </c>
      <c r="J20" s="587">
        <v>1150</v>
      </c>
      <c r="K20" s="590" t="s">
        <v>3645</v>
      </c>
    </row>
    <row r="21" spans="1:11">
      <c r="A21" s="593">
        <v>20</v>
      </c>
      <c r="B21" s="585" t="s">
        <v>3330</v>
      </c>
      <c r="C21" s="586">
        <v>42373</v>
      </c>
      <c r="D21" s="585" t="s">
        <v>6</v>
      </c>
      <c r="E21" s="586">
        <v>42773</v>
      </c>
      <c r="F21" s="585" t="s">
        <v>3691</v>
      </c>
      <c r="G21" s="586">
        <v>42773</v>
      </c>
      <c r="H21" s="586" t="s">
        <v>3320</v>
      </c>
      <c r="I21" s="586">
        <v>42774</v>
      </c>
      <c r="J21" s="587">
        <v>1350</v>
      </c>
      <c r="K21" s="590" t="s">
        <v>20</v>
      </c>
    </row>
    <row r="22" spans="1:11">
      <c r="A22" s="593">
        <v>21</v>
      </c>
      <c r="B22" s="585" t="s">
        <v>3689</v>
      </c>
      <c r="C22" s="586">
        <v>42768</v>
      </c>
      <c r="D22" s="585" t="s">
        <v>6</v>
      </c>
      <c r="E22" s="586">
        <v>42774</v>
      </c>
      <c r="F22" s="585" t="s">
        <v>3551</v>
      </c>
      <c r="G22" s="586">
        <v>42774</v>
      </c>
      <c r="H22" s="586" t="s">
        <v>3318</v>
      </c>
      <c r="I22" s="586">
        <v>42779</v>
      </c>
      <c r="J22" s="587">
        <v>350</v>
      </c>
      <c r="K22" s="587" t="s">
        <v>3690</v>
      </c>
    </row>
    <row r="23" spans="1:11">
      <c r="A23" s="593">
        <v>22</v>
      </c>
      <c r="B23" s="585" t="s">
        <v>6</v>
      </c>
      <c r="C23" s="586">
        <v>42480</v>
      </c>
      <c r="D23" s="585" t="s">
        <v>6</v>
      </c>
      <c r="E23" s="586">
        <v>42769</v>
      </c>
      <c r="F23" s="585" t="s">
        <v>3687</v>
      </c>
      <c r="G23" s="586">
        <v>42769</v>
      </c>
      <c r="H23" s="586" t="s">
        <v>3318</v>
      </c>
      <c r="I23" s="586">
        <v>42772</v>
      </c>
      <c r="J23" s="587">
        <v>96</v>
      </c>
      <c r="K23" s="590" t="s">
        <v>3637</v>
      </c>
    </row>
    <row r="24" spans="1:11">
      <c r="A24" s="593">
        <v>23</v>
      </c>
      <c r="B24" s="585"/>
      <c r="C24" s="586"/>
      <c r="D24" s="585"/>
      <c r="E24" s="586"/>
      <c r="F24" s="585"/>
      <c r="G24" s="586"/>
      <c r="H24" s="586"/>
      <c r="I24" s="586"/>
      <c r="J24" s="587"/>
      <c r="K24" s="590"/>
    </row>
    <row r="25" spans="1:11">
      <c r="A25" s="593">
        <v>24</v>
      </c>
      <c r="B25" s="585"/>
      <c r="C25" s="586"/>
      <c r="D25" s="585"/>
      <c r="E25" s="586"/>
      <c r="F25" s="585"/>
      <c r="G25" s="586"/>
      <c r="H25" s="586"/>
      <c r="I25" s="586"/>
      <c r="J25" s="587"/>
      <c r="K25" s="590"/>
    </row>
    <row r="26" spans="1:11">
      <c r="A26" s="593">
        <v>25</v>
      </c>
      <c r="B26" s="585"/>
      <c r="C26" s="586"/>
      <c r="D26" s="585"/>
      <c r="E26" s="586"/>
      <c r="F26" s="585"/>
      <c r="G26" s="586"/>
      <c r="H26" s="586"/>
      <c r="I26" s="586"/>
      <c r="J26" s="587"/>
      <c r="K26" s="590"/>
    </row>
    <row r="27" spans="1:11">
      <c r="A27" s="593">
        <v>26</v>
      </c>
      <c r="B27" s="589"/>
      <c r="C27" s="586"/>
      <c r="D27" s="585"/>
      <c r="E27" s="586"/>
      <c r="F27" s="585"/>
      <c r="G27" s="586"/>
      <c r="H27" s="586"/>
      <c r="I27" s="586"/>
      <c r="J27" s="587"/>
      <c r="K27" s="590"/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42762</v>
      </c>
      <c r="F28" s="586">
        <v>42762</v>
      </c>
      <c r="G28" s="586">
        <v>42762</v>
      </c>
      <c r="H28" s="586" t="s">
        <v>3318</v>
      </c>
      <c r="I28" s="586">
        <v>42765</v>
      </c>
      <c r="J28" s="587">
        <v>97</v>
      </c>
      <c r="K28" s="590" t="s">
        <v>3637</v>
      </c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42758</v>
      </c>
      <c r="F29" s="585" t="s">
        <v>6</v>
      </c>
      <c r="G29" s="586">
        <v>42758</v>
      </c>
      <c r="H29" s="586" t="s">
        <v>3320</v>
      </c>
      <c r="I29" s="586">
        <v>42761</v>
      </c>
      <c r="J29" s="587">
        <v>1350</v>
      </c>
      <c r="K29" s="590" t="s">
        <v>20</v>
      </c>
    </row>
    <row r="30" spans="1:11">
      <c r="A30" s="593">
        <v>29</v>
      </c>
      <c r="B30" s="585" t="s">
        <v>6</v>
      </c>
      <c r="C30" s="586">
        <v>41659</v>
      </c>
      <c r="D30" s="585" t="s">
        <v>6</v>
      </c>
      <c r="E30" s="586">
        <v>42763</v>
      </c>
      <c r="F30" s="585" t="s">
        <v>3550</v>
      </c>
      <c r="G30" s="586">
        <v>42763</v>
      </c>
      <c r="H30" s="586" t="s">
        <v>3318</v>
      </c>
      <c r="I30" s="586">
        <v>42765</v>
      </c>
      <c r="J30" s="587">
        <v>1150</v>
      </c>
      <c r="K30" s="590" t="s">
        <v>3645</v>
      </c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42762</v>
      </c>
      <c r="F31" s="585" t="s">
        <v>3547</v>
      </c>
      <c r="G31" s="586">
        <v>42762</v>
      </c>
      <c r="H31" s="586" t="s">
        <v>3320</v>
      </c>
      <c r="I31" s="586">
        <v>42766</v>
      </c>
      <c r="J31" s="587">
        <v>1350</v>
      </c>
      <c r="K31" s="590" t="s">
        <v>20</v>
      </c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42762</v>
      </c>
      <c r="F32" s="585" t="s">
        <v>3557</v>
      </c>
      <c r="G32" s="586">
        <v>42762</v>
      </c>
      <c r="H32" s="586" t="s">
        <v>3320</v>
      </c>
      <c r="I32" s="586">
        <v>42766</v>
      </c>
      <c r="J32" s="587">
        <v>1350</v>
      </c>
      <c r="K32" s="590" t="s">
        <v>20</v>
      </c>
    </row>
    <row r="33" spans="1:11">
      <c r="A33" s="596">
        <v>32</v>
      </c>
      <c r="B33" s="585"/>
      <c r="C33" s="586"/>
      <c r="D33" s="585" t="s">
        <v>6</v>
      </c>
      <c r="E33" s="586"/>
      <c r="F33" s="585" t="s">
        <v>6</v>
      </c>
      <c r="G33" s="586"/>
      <c r="H33" s="586"/>
      <c r="I33" s="586"/>
      <c r="J33" s="587"/>
      <c r="K33" s="590"/>
    </row>
    <row r="34" spans="1:11">
      <c r="A34" s="596">
        <v>33</v>
      </c>
      <c r="B34" s="585"/>
      <c r="C34" s="586"/>
      <c r="D34" s="585" t="s">
        <v>6</v>
      </c>
      <c r="E34" s="586"/>
      <c r="F34" s="585" t="s">
        <v>6</v>
      </c>
      <c r="G34" s="586"/>
      <c r="H34" s="586"/>
      <c r="I34" s="586"/>
      <c r="J34" s="587"/>
      <c r="K34" s="590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topLeftCell="A4" workbookViewId="0">
      <selection activeCell="B23" sqref="B23:C23"/>
    </sheetView>
  </sheetViews>
  <sheetFormatPr defaultRowHeight="12.75"/>
  <cols>
    <col min="2" max="2" width="18.5703125" customWidth="1"/>
  </cols>
  <sheetData>
    <row r="1" spans="1:12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</row>
    <row r="2" spans="1:12">
      <c r="A2" s="585">
        <v>1</v>
      </c>
      <c r="B2" s="585" t="s">
        <v>3330</v>
      </c>
      <c r="C2" s="586">
        <v>42373</v>
      </c>
      <c r="D2" s="585" t="s">
        <v>6</v>
      </c>
      <c r="E2" s="586">
        <v>42738</v>
      </c>
      <c r="F2" s="585" t="s">
        <v>3321</v>
      </c>
      <c r="G2" s="586">
        <v>42738</v>
      </c>
      <c r="H2" s="586" t="s">
        <v>3320</v>
      </c>
      <c r="I2" s="586">
        <v>42745</v>
      </c>
      <c r="J2" s="587">
        <v>1450</v>
      </c>
      <c r="K2" s="590" t="s">
        <v>20</v>
      </c>
      <c r="L2" s="5">
        <f>SUM(J2:J32)</f>
        <v>21972</v>
      </c>
    </row>
    <row r="3" spans="1:12">
      <c r="A3" s="589">
        <v>2</v>
      </c>
      <c r="B3" s="585" t="s">
        <v>3344</v>
      </c>
      <c r="C3" s="586">
        <v>42338</v>
      </c>
      <c r="D3" s="585" t="s">
        <v>6</v>
      </c>
      <c r="E3" s="586">
        <v>42746</v>
      </c>
      <c r="F3" s="585" t="s">
        <v>6</v>
      </c>
      <c r="G3" s="586">
        <v>42746</v>
      </c>
      <c r="H3" s="586" t="s">
        <v>3318</v>
      </c>
      <c r="I3" s="586">
        <v>42751</v>
      </c>
      <c r="J3" s="587">
        <v>300</v>
      </c>
      <c r="K3" s="590" t="s">
        <v>3319</v>
      </c>
    </row>
    <row r="4" spans="1:12">
      <c r="A4" s="585">
        <v>3</v>
      </c>
      <c r="B4" s="585" t="s">
        <v>3344</v>
      </c>
      <c r="C4" s="586">
        <v>42338</v>
      </c>
      <c r="D4" s="585" t="s">
        <v>6</v>
      </c>
      <c r="E4" s="586">
        <v>42746</v>
      </c>
      <c r="F4" s="585" t="s">
        <v>6</v>
      </c>
      <c r="G4" s="586">
        <v>42746</v>
      </c>
      <c r="H4" s="586" t="s">
        <v>3318</v>
      </c>
      <c r="I4" s="586">
        <v>42748</v>
      </c>
      <c r="J4" s="587">
        <v>100</v>
      </c>
      <c r="K4" s="590" t="s">
        <v>3319</v>
      </c>
    </row>
    <row r="5" spans="1:12">
      <c r="A5" s="585">
        <v>4</v>
      </c>
      <c r="B5" s="585" t="s">
        <v>6</v>
      </c>
      <c r="C5" s="586">
        <v>42745</v>
      </c>
      <c r="D5" s="585" t="s">
        <v>6</v>
      </c>
      <c r="E5" s="586">
        <v>42747</v>
      </c>
      <c r="F5" s="585" t="s">
        <v>6</v>
      </c>
      <c r="G5" s="586">
        <v>42747</v>
      </c>
      <c r="H5" s="586" t="s">
        <v>3318</v>
      </c>
      <c r="I5" s="586">
        <v>42748</v>
      </c>
      <c r="J5" s="587">
        <v>400</v>
      </c>
      <c r="K5" s="590"/>
    </row>
    <row r="6" spans="1:12">
      <c r="A6" s="585">
        <v>5</v>
      </c>
      <c r="B6" s="585" t="s">
        <v>3344</v>
      </c>
      <c r="C6" s="586">
        <v>42338</v>
      </c>
      <c r="D6" s="585" t="s">
        <v>6</v>
      </c>
      <c r="E6" s="586">
        <v>42747</v>
      </c>
      <c r="F6" s="585" t="s">
        <v>6</v>
      </c>
      <c r="G6" s="586">
        <v>42747</v>
      </c>
      <c r="H6" s="586" t="s">
        <v>3318</v>
      </c>
      <c r="I6" s="586">
        <v>42748</v>
      </c>
      <c r="J6" s="587">
        <v>300</v>
      </c>
      <c r="K6" s="590" t="s">
        <v>3319</v>
      </c>
    </row>
    <row r="7" spans="1:12">
      <c r="A7" s="585">
        <v>6</v>
      </c>
      <c r="B7" s="585" t="s">
        <v>3330</v>
      </c>
      <c r="C7" s="586">
        <v>42373</v>
      </c>
      <c r="D7" s="585" t="s">
        <v>6</v>
      </c>
      <c r="E7" s="586">
        <v>42738</v>
      </c>
      <c r="F7" s="585" t="s">
        <v>6</v>
      </c>
      <c r="G7" s="586">
        <v>42738</v>
      </c>
      <c r="H7" s="586" t="s">
        <v>3320</v>
      </c>
      <c r="I7" s="586">
        <v>42745</v>
      </c>
      <c r="J7" s="587">
        <v>1450</v>
      </c>
      <c r="K7" s="590" t="s">
        <v>20</v>
      </c>
    </row>
    <row r="8" spans="1:12">
      <c r="A8" s="585">
        <v>7</v>
      </c>
      <c r="B8" s="585" t="s">
        <v>6</v>
      </c>
      <c r="C8" s="586">
        <v>42480</v>
      </c>
      <c r="D8" s="585" t="s">
        <v>6</v>
      </c>
      <c r="E8" s="586">
        <v>42748</v>
      </c>
      <c r="F8" s="586" t="s">
        <v>3636</v>
      </c>
      <c r="G8" s="586">
        <v>42748</v>
      </c>
      <c r="H8" s="586" t="s">
        <v>3318</v>
      </c>
      <c r="I8" s="586">
        <v>42751</v>
      </c>
      <c r="J8" s="587">
        <v>98</v>
      </c>
      <c r="K8" s="590" t="s">
        <v>3637</v>
      </c>
    </row>
    <row r="9" spans="1:12">
      <c r="A9" s="585">
        <v>8</v>
      </c>
      <c r="B9" s="585" t="s">
        <v>3330</v>
      </c>
      <c r="C9" s="586">
        <v>42373</v>
      </c>
      <c r="D9" s="585" t="s">
        <v>6</v>
      </c>
      <c r="E9" s="586">
        <v>42739</v>
      </c>
      <c r="F9" s="585" t="s">
        <v>3321</v>
      </c>
      <c r="G9" s="586">
        <v>42739</v>
      </c>
      <c r="H9" s="586" t="s">
        <v>3320</v>
      </c>
      <c r="I9" s="586">
        <v>42748</v>
      </c>
      <c r="J9" s="587">
        <v>1450</v>
      </c>
      <c r="K9" s="590" t="s">
        <v>20</v>
      </c>
    </row>
    <row r="10" spans="1:12">
      <c r="A10" s="585">
        <v>9</v>
      </c>
      <c r="B10" s="585" t="s">
        <v>6</v>
      </c>
      <c r="C10" s="586">
        <v>42389</v>
      </c>
      <c r="D10" s="585" t="s">
        <v>6</v>
      </c>
      <c r="E10" s="586">
        <v>42749</v>
      </c>
      <c r="F10" s="585" t="s">
        <v>6</v>
      </c>
      <c r="G10" s="586">
        <v>42749</v>
      </c>
      <c r="H10" s="586" t="s">
        <v>3318</v>
      </c>
      <c r="I10" s="586">
        <v>42751</v>
      </c>
      <c r="J10" s="587">
        <v>510</v>
      </c>
      <c r="K10" s="590" t="s">
        <v>3638</v>
      </c>
    </row>
    <row r="11" spans="1:12">
      <c r="A11" s="585">
        <v>10</v>
      </c>
      <c r="B11" s="585" t="s">
        <v>3639</v>
      </c>
      <c r="C11" s="586">
        <v>42733</v>
      </c>
      <c r="D11" s="585" t="s">
        <v>6</v>
      </c>
      <c r="E11" s="586">
        <v>42744</v>
      </c>
      <c r="F11" s="585" t="s">
        <v>3321</v>
      </c>
      <c r="G11" s="586">
        <v>42744</v>
      </c>
      <c r="H11" s="586" t="s">
        <v>3318</v>
      </c>
      <c r="I11" s="586">
        <v>42745</v>
      </c>
      <c r="J11" s="587">
        <v>600</v>
      </c>
      <c r="K11" s="587"/>
    </row>
    <row r="12" spans="1:12">
      <c r="A12" s="585">
        <v>11</v>
      </c>
      <c r="B12" s="585" t="s">
        <v>3330</v>
      </c>
      <c r="C12" s="586">
        <v>42373</v>
      </c>
      <c r="D12" s="585" t="s">
        <v>6</v>
      </c>
      <c r="E12" s="586">
        <v>42748</v>
      </c>
      <c r="F12" s="585" t="s">
        <v>6</v>
      </c>
      <c r="G12" s="586">
        <v>42748</v>
      </c>
      <c r="H12" s="586" t="s">
        <v>3320</v>
      </c>
      <c r="I12" s="586">
        <v>42752</v>
      </c>
      <c r="J12" s="587">
        <v>1350</v>
      </c>
      <c r="K12" s="590" t="s">
        <v>20</v>
      </c>
    </row>
    <row r="13" spans="1:12">
      <c r="A13" s="585">
        <v>12</v>
      </c>
      <c r="B13" s="586" t="s">
        <v>3540</v>
      </c>
      <c r="C13" s="586">
        <v>42641</v>
      </c>
      <c r="D13" s="585" t="s">
        <v>6</v>
      </c>
      <c r="E13" s="586">
        <v>42753</v>
      </c>
      <c r="F13" s="585" t="s">
        <v>6</v>
      </c>
      <c r="G13" s="586">
        <v>42753</v>
      </c>
      <c r="H13" s="586" t="s">
        <v>3318</v>
      </c>
      <c r="I13" s="586">
        <v>42755</v>
      </c>
      <c r="J13" s="587">
        <v>450</v>
      </c>
      <c r="K13" s="590" t="s">
        <v>3541</v>
      </c>
    </row>
    <row r="14" spans="1:12">
      <c r="A14" s="585">
        <v>13</v>
      </c>
      <c r="B14" s="585" t="s">
        <v>6</v>
      </c>
      <c r="C14" s="586" t="s">
        <v>3640</v>
      </c>
      <c r="D14" s="585" t="s">
        <v>6</v>
      </c>
      <c r="E14" s="586">
        <v>42754</v>
      </c>
      <c r="F14" s="585" t="s">
        <v>3641</v>
      </c>
      <c r="G14" s="586">
        <v>42754</v>
      </c>
      <c r="H14" s="586" t="s">
        <v>3318</v>
      </c>
      <c r="I14" s="586">
        <v>42759</v>
      </c>
      <c r="J14" s="587">
        <v>140</v>
      </c>
      <c r="K14" s="587"/>
    </row>
    <row r="15" spans="1:12">
      <c r="A15" s="585">
        <v>14</v>
      </c>
      <c r="B15" s="585" t="s">
        <v>3330</v>
      </c>
      <c r="C15" s="586">
        <v>42373</v>
      </c>
      <c r="D15" s="585" t="s">
        <v>6</v>
      </c>
      <c r="E15" s="586">
        <v>42751</v>
      </c>
      <c r="F15" s="585" t="s">
        <v>6</v>
      </c>
      <c r="G15" s="586">
        <v>42751</v>
      </c>
      <c r="H15" s="586" t="s">
        <v>3320</v>
      </c>
      <c r="I15" s="586">
        <v>42752</v>
      </c>
      <c r="J15" s="587">
        <v>1350</v>
      </c>
      <c r="K15" s="590" t="s">
        <v>20</v>
      </c>
    </row>
    <row r="16" spans="1:12">
      <c r="A16" s="585">
        <v>15</v>
      </c>
      <c r="B16" s="585" t="s">
        <v>6</v>
      </c>
      <c r="C16" s="586">
        <v>42389</v>
      </c>
      <c r="D16" s="585" t="s">
        <v>6</v>
      </c>
      <c r="E16" s="586">
        <v>42754</v>
      </c>
      <c r="F16" s="585" t="s">
        <v>6</v>
      </c>
      <c r="G16" s="586">
        <v>42754</v>
      </c>
      <c r="H16" s="586" t="s">
        <v>3318</v>
      </c>
      <c r="I16" s="586">
        <v>42756</v>
      </c>
      <c r="J16" s="587">
        <v>600</v>
      </c>
      <c r="K16" s="590" t="s">
        <v>3638</v>
      </c>
    </row>
    <row r="17" spans="1:11">
      <c r="A17" s="585">
        <v>16</v>
      </c>
      <c r="B17" s="585" t="s">
        <v>6</v>
      </c>
      <c r="C17" s="586">
        <v>42480</v>
      </c>
      <c r="D17" s="585" t="s">
        <v>6</v>
      </c>
      <c r="E17" s="586">
        <v>42755</v>
      </c>
      <c r="F17" s="586">
        <v>42755</v>
      </c>
      <c r="G17" s="586">
        <v>42755</v>
      </c>
      <c r="H17" s="586" t="s">
        <v>3318</v>
      </c>
      <c r="I17" s="586">
        <v>42756</v>
      </c>
      <c r="J17" s="587">
        <v>97</v>
      </c>
      <c r="K17" s="590" t="s">
        <v>3637</v>
      </c>
    </row>
    <row r="18" spans="1:11">
      <c r="A18" s="593">
        <v>17</v>
      </c>
      <c r="B18" s="585" t="s">
        <v>6</v>
      </c>
      <c r="C18" s="586">
        <v>42389</v>
      </c>
      <c r="D18" s="585" t="s">
        <v>6</v>
      </c>
      <c r="E18" s="586">
        <v>42755</v>
      </c>
      <c r="F18" s="585" t="s">
        <v>6</v>
      </c>
      <c r="G18" s="586">
        <v>42755</v>
      </c>
      <c r="H18" s="586" t="s">
        <v>3318</v>
      </c>
      <c r="I18" s="586">
        <v>42758</v>
      </c>
      <c r="J18" s="587">
        <v>290</v>
      </c>
      <c r="K18" s="590" t="s">
        <v>3549</v>
      </c>
    </row>
    <row r="19" spans="1:11">
      <c r="A19" s="593">
        <v>18</v>
      </c>
      <c r="B19" s="585" t="s">
        <v>3330</v>
      </c>
      <c r="C19" s="586">
        <v>42373</v>
      </c>
      <c r="D19" s="585" t="s">
        <v>6</v>
      </c>
      <c r="E19" s="586">
        <v>42755</v>
      </c>
      <c r="F19" s="585" t="s">
        <v>3321</v>
      </c>
      <c r="G19" s="586">
        <v>42755</v>
      </c>
      <c r="H19" s="586" t="s">
        <v>3320</v>
      </c>
      <c r="I19" s="586">
        <v>42758</v>
      </c>
      <c r="J19" s="587">
        <v>1350</v>
      </c>
      <c r="K19" s="590" t="s">
        <v>20</v>
      </c>
    </row>
    <row r="20" spans="1:11">
      <c r="A20" s="593">
        <v>19</v>
      </c>
      <c r="B20" s="585" t="s">
        <v>6</v>
      </c>
      <c r="C20" s="586">
        <v>42759</v>
      </c>
      <c r="D20" s="585" t="s">
        <v>6</v>
      </c>
      <c r="E20" s="586">
        <v>42760</v>
      </c>
      <c r="F20" s="585" t="s">
        <v>6</v>
      </c>
      <c r="G20" s="586">
        <v>42760</v>
      </c>
      <c r="H20" s="586" t="s">
        <v>3318</v>
      </c>
      <c r="I20" s="586">
        <v>42761</v>
      </c>
      <c r="J20" s="587">
        <v>400</v>
      </c>
      <c r="K20" s="590"/>
    </row>
    <row r="21" spans="1:11">
      <c r="A21" s="593">
        <v>20</v>
      </c>
      <c r="B21" s="585" t="s">
        <v>3344</v>
      </c>
      <c r="C21" s="586">
        <v>42338</v>
      </c>
      <c r="D21" s="585" t="s">
        <v>6</v>
      </c>
      <c r="E21" s="586">
        <v>42759</v>
      </c>
      <c r="F21" s="585" t="s">
        <v>6</v>
      </c>
      <c r="G21" s="586">
        <v>42759</v>
      </c>
      <c r="H21" s="586" t="s">
        <v>3318</v>
      </c>
      <c r="I21" s="586">
        <v>42762</v>
      </c>
      <c r="J21" s="587">
        <v>300</v>
      </c>
      <c r="K21" s="590" t="s">
        <v>3319</v>
      </c>
    </row>
    <row r="22" spans="1:11">
      <c r="A22" s="593">
        <v>21</v>
      </c>
      <c r="B22" s="585" t="s">
        <v>3330</v>
      </c>
      <c r="C22" s="586">
        <v>42373</v>
      </c>
      <c r="D22" s="585" t="s">
        <v>6</v>
      </c>
      <c r="E22" s="586">
        <v>42756</v>
      </c>
      <c r="F22" s="585" t="s">
        <v>6</v>
      </c>
      <c r="G22" s="586">
        <v>42756</v>
      </c>
      <c r="H22" s="586" t="s">
        <v>3320</v>
      </c>
      <c r="I22" s="586">
        <v>42759</v>
      </c>
      <c r="J22" s="587">
        <v>1350</v>
      </c>
      <c r="K22" s="590" t="s">
        <v>20</v>
      </c>
    </row>
    <row r="23" spans="1:11">
      <c r="A23" s="593">
        <v>22</v>
      </c>
      <c r="B23" s="585" t="s">
        <v>6</v>
      </c>
      <c r="C23" s="586">
        <v>42389</v>
      </c>
      <c r="D23" s="585" t="s">
        <v>6</v>
      </c>
      <c r="E23" s="586">
        <v>42761</v>
      </c>
      <c r="F23" s="585" t="s">
        <v>6</v>
      </c>
      <c r="G23" s="586">
        <v>42761</v>
      </c>
      <c r="H23" s="586" t="s">
        <v>3318</v>
      </c>
      <c r="I23" s="586">
        <v>42762</v>
      </c>
      <c r="J23" s="587">
        <v>300</v>
      </c>
      <c r="K23" s="590" t="s">
        <v>3638</v>
      </c>
    </row>
    <row r="24" spans="1:11">
      <c r="A24" s="593">
        <v>23</v>
      </c>
      <c r="B24" s="585" t="s">
        <v>6</v>
      </c>
      <c r="C24" s="586">
        <v>42760</v>
      </c>
      <c r="D24" s="585" t="s">
        <v>6</v>
      </c>
      <c r="E24" s="586">
        <v>42761</v>
      </c>
      <c r="F24" s="585">
        <v>3835063</v>
      </c>
      <c r="G24" s="586">
        <v>42761</v>
      </c>
      <c r="H24" s="586" t="s">
        <v>3318</v>
      </c>
      <c r="I24" s="586">
        <v>42762</v>
      </c>
      <c r="J24" s="587">
        <v>10</v>
      </c>
      <c r="K24" s="590"/>
    </row>
    <row r="25" spans="1:11">
      <c r="A25" s="593">
        <v>24</v>
      </c>
      <c r="B25" s="585" t="s">
        <v>3642</v>
      </c>
      <c r="C25" s="586">
        <v>42761</v>
      </c>
      <c r="D25" s="585" t="s">
        <v>6</v>
      </c>
      <c r="E25" s="586">
        <v>42761</v>
      </c>
      <c r="F25" s="585" t="s">
        <v>6</v>
      </c>
      <c r="G25" s="586">
        <v>42761</v>
      </c>
      <c r="H25" s="586" t="s">
        <v>3318</v>
      </c>
      <c r="I25" s="586">
        <v>42762</v>
      </c>
      <c r="J25" s="587">
        <v>300</v>
      </c>
      <c r="K25" s="590"/>
    </row>
    <row r="26" spans="1:11">
      <c r="A26" s="593">
        <v>25</v>
      </c>
      <c r="B26" s="585" t="s">
        <v>3330</v>
      </c>
      <c r="C26" s="586">
        <v>42373</v>
      </c>
      <c r="D26" s="585" t="s">
        <v>6</v>
      </c>
      <c r="E26" s="586">
        <v>42758</v>
      </c>
      <c r="F26" s="585" t="s">
        <v>6</v>
      </c>
      <c r="G26" s="586">
        <v>42758</v>
      </c>
      <c r="H26" s="586" t="s">
        <v>3320</v>
      </c>
      <c r="I26" s="586">
        <v>42760</v>
      </c>
      <c r="J26" s="587">
        <v>1350</v>
      </c>
      <c r="K26" s="590" t="s">
        <v>20</v>
      </c>
    </row>
    <row r="27" spans="1:11">
      <c r="A27" s="593">
        <v>26</v>
      </c>
      <c r="B27" s="589">
        <v>13</v>
      </c>
      <c r="C27" s="586">
        <v>42579</v>
      </c>
      <c r="D27" s="585" t="s">
        <v>6</v>
      </c>
      <c r="E27" s="586">
        <v>42761</v>
      </c>
      <c r="F27" s="585" t="s">
        <v>3643</v>
      </c>
      <c r="G27" s="586">
        <v>42761</v>
      </c>
      <c r="H27" s="586" t="s">
        <v>3318</v>
      </c>
      <c r="I27" s="586">
        <v>42765</v>
      </c>
      <c r="J27" s="587">
        <v>380</v>
      </c>
      <c r="K27" s="590" t="s">
        <v>3644</v>
      </c>
    </row>
    <row r="28" spans="1:11">
      <c r="A28" s="593">
        <v>27</v>
      </c>
      <c r="B28" s="585" t="s">
        <v>6</v>
      </c>
      <c r="C28" s="586">
        <v>42480</v>
      </c>
      <c r="D28" s="585" t="s">
        <v>6</v>
      </c>
      <c r="E28" s="586">
        <v>42762</v>
      </c>
      <c r="F28" s="586">
        <v>42762</v>
      </c>
      <c r="G28" s="586">
        <v>42762</v>
      </c>
      <c r="H28" s="586" t="s">
        <v>3318</v>
      </c>
      <c r="I28" s="586">
        <v>42765</v>
      </c>
      <c r="J28" s="587">
        <v>97</v>
      </c>
      <c r="K28" s="590" t="s">
        <v>3637</v>
      </c>
    </row>
    <row r="29" spans="1:11">
      <c r="A29" s="593">
        <v>28</v>
      </c>
      <c r="B29" s="585" t="s">
        <v>3330</v>
      </c>
      <c r="C29" s="586">
        <v>42373</v>
      </c>
      <c r="D29" s="585" t="s">
        <v>6</v>
      </c>
      <c r="E29" s="586">
        <v>42758</v>
      </c>
      <c r="F29" s="585" t="s">
        <v>6</v>
      </c>
      <c r="G29" s="586">
        <v>42758</v>
      </c>
      <c r="H29" s="586" t="s">
        <v>3320</v>
      </c>
      <c r="I29" s="586">
        <v>42761</v>
      </c>
      <c r="J29" s="587">
        <v>1350</v>
      </c>
      <c r="K29" s="590" t="s">
        <v>20</v>
      </c>
    </row>
    <row r="30" spans="1:11">
      <c r="A30" s="593">
        <v>29</v>
      </c>
      <c r="B30" s="585" t="s">
        <v>6</v>
      </c>
      <c r="C30" s="586">
        <v>41659</v>
      </c>
      <c r="D30" s="585" t="s">
        <v>6</v>
      </c>
      <c r="E30" s="586">
        <v>42763</v>
      </c>
      <c r="F30" s="585" t="s">
        <v>3550</v>
      </c>
      <c r="G30" s="586">
        <v>42763</v>
      </c>
      <c r="H30" s="586" t="s">
        <v>3318</v>
      </c>
      <c r="I30" s="586">
        <v>42765</v>
      </c>
      <c r="J30" s="587">
        <v>1150</v>
      </c>
      <c r="K30" s="590" t="s">
        <v>3645</v>
      </c>
    </row>
    <row r="31" spans="1:11">
      <c r="A31" s="596">
        <v>30</v>
      </c>
      <c r="B31" s="585" t="s">
        <v>3330</v>
      </c>
      <c r="C31" s="586">
        <v>42373</v>
      </c>
      <c r="D31" s="585" t="s">
        <v>6</v>
      </c>
      <c r="E31" s="586">
        <v>42762</v>
      </c>
      <c r="F31" s="585" t="s">
        <v>3547</v>
      </c>
      <c r="G31" s="586">
        <v>42762</v>
      </c>
      <c r="H31" s="586" t="s">
        <v>3320</v>
      </c>
      <c r="I31" s="586">
        <v>42766</v>
      </c>
      <c r="J31" s="587">
        <v>1350</v>
      </c>
      <c r="K31" s="590" t="s">
        <v>20</v>
      </c>
    </row>
    <row r="32" spans="1:11">
      <c r="A32" s="596">
        <v>31</v>
      </c>
      <c r="B32" s="585" t="s">
        <v>3330</v>
      </c>
      <c r="C32" s="586">
        <v>42373</v>
      </c>
      <c r="D32" s="585" t="s">
        <v>6</v>
      </c>
      <c r="E32" s="586">
        <v>42762</v>
      </c>
      <c r="F32" s="585" t="s">
        <v>3557</v>
      </c>
      <c r="G32" s="586">
        <v>42762</v>
      </c>
      <c r="H32" s="586" t="s">
        <v>3320</v>
      </c>
      <c r="I32" s="586">
        <v>42766</v>
      </c>
      <c r="J32" s="587">
        <v>1350</v>
      </c>
      <c r="K32" s="590" t="s">
        <v>20</v>
      </c>
    </row>
    <row r="33" spans="1:11">
      <c r="A33" s="596">
        <v>32</v>
      </c>
      <c r="B33" s="585"/>
      <c r="C33" s="586"/>
      <c r="D33" s="585" t="s">
        <v>6</v>
      </c>
      <c r="E33" s="586"/>
      <c r="F33" s="585" t="s">
        <v>6</v>
      </c>
      <c r="G33" s="586"/>
      <c r="H33" s="586"/>
      <c r="I33" s="586"/>
      <c r="J33" s="587"/>
      <c r="K33" s="590"/>
    </row>
    <row r="34" spans="1:11">
      <c r="A34" s="596">
        <v>33</v>
      </c>
      <c r="B34" s="585"/>
      <c r="C34" s="586"/>
      <c r="D34" s="585" t="s">
        <v>6</v>
      </c>
      <c r="E34" s="586"/>
      <c r="F34" s="585" t="s">
        <v>6</v>
      </c>
      <c r="G34" s="586"/>
      <c r="H34" s="586"/>
      <c r="I34" s="586"/>
      <c r="J34" s="587"/>
      <c r="K34" s="590"/>
    </row>
  </sheetData>
  <pageMargins left="0.7" right="0.7" top="0.75" bottom="0.75" header="0.3" footer="0.3"/>
  <pageSetup paperSize="9" orientation="landscape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1"/>
  <sheetViews>
    <sheetView topLeftCell="A142" workbookViewId="0">
      <selection activeCell="C150" sqref="C150:D150"/>
    </sheetView>
  </sheetViews>
  <sheetFormatPr defaultRowHeight="12.75"/>
  <cols>
    <col min="1" max="1" width="4.7109375" customWidth="1"/>
    <col min="2" max="2" width="4.140625" customWidth="1"/>
    <col min="3" max="3" width="15" customWidth="1"/>
    <col min="7" max="7" width="20" customWidth="1"/>
    <col min="8" max="8" width="14" customWidth="1"/>
    <col min="12" max="12" width="28.42578125" customWidth="1"/>
  </cols>
  <sheetData>
    <row r="1" spans="2:13">
      <c r="B1" s="583">
        <f ca="1">B1:L28</f>
        <v>0</v>
      </c>
      <c r="C1" s="583" t="s">
        <v>3310</v>
      </c>
      <c r="D1" s="583" t="s">
        <v>27</v>
      </c>
      <c r="E1" s="583" t="s">
        <v>3311</v>
      </c>
      <c r="F1" s="583" t="s">
        <v>3312</v>
      </c>
      <c r="G1" s="583" t="s">
        <v>3313</v>
      </c>
      <c r="H1" s="583" t="s">
        <v>3314</v>
      </c>
      <c r="I1" s="583" t="s">
        <v>3315</v>
      </c>
      <c r="J1" s="583" t="s">
        <v>3316</v>
      </c>
      <c r="K1" s="583" t="s">
        <v>3317</v>
      </c>
      <c r="L1" s="583"/>
      <c r="M1" s="5">
        <f>SUM(K2:K51)</f>
        <v>27569</v>
      </c>
    </row>
    <row r="2" spans="2:13">
      <c r="B2" s="585">
        <v>1</v>
      </c>
      <c r="C2" s="585" t="s">
        <v>3344</v>
      </c>
      <c r="D2" s="586">
        <v>42338</v>
      </c>
      <c r="E2" s="585" t="s">
        <v>6</v>
      </c>
      <c r="F2" s="586">
        <v>42642</v>
      </c>
      <c r="G2" s="585" t="s">
        <v>6</v>
      </c>
      <c r="H2" s="586">
        <v>42642</v>
      </c>
      <c r="I2" s="586" t="s">
        <v>3318</v>
      </c>
      <c r="J2" s="586">
        <v>42646</v>
      </c>
      <c r="K2" s="587">
        <v>330</v>
      </c>
      <c r="L2" s="587" t="s">
        <v>3539</v>
      </c>
    </row>
    <row r="3" spans="2:13">
      <c r="B3" s="589">
        <v>2</v>
      </c>
      <c r="C3" s="585" t="s">
        <v>6</v>
      </c>
      <c r="D3" s="586">
        <v>42642</v>
      </c>
      <c r="E3" s="585" t="s">
        <v>6</v>
      </c>
      <c r="F3" s="586">
        <v>42643</v>
      </c>
      <c r="G3" s="585" t="s">
        <v>6</v>
      </c>
      <c r="H3" s="586">
        <v>42643</v>
      </c>
      <c r="I3" s="586" t="s">
        <v>3318</v>
      </c>
      <c r="J3" s="586">
        <v>42646</v>
      </c>
      <c r="K3" s="587">
        <v>330</v>
      </c>
      <c r="L3" s="590"/>
    </row>
    <row r="4" spans="2:13">
      <c r="B4" s="585">
        <v>3</v>
      </c>
      <c r="C4" s="585" t="s">
        <v>6</v>
      </c>
      <c r="D4" s="586">
        <v>42641</v>
      </c>
      <c r="E4" s="585" t="s">
        <v>6</v>
      </c>
      <c r="F4" s="586">
        <v>42641</v>
      </c>
      <c r="G4" s="585" t="s">
        <v>6</v>
      </c>
      <c r="H4" s="586">
        <v>42641</v>
      </c>
      <c r="I4" s="586" t="s">
        <v>3318</v>
      </c>
      <c r="J4" s="586">
        <v>42646</v>
      </c>
      <c r="K4" s="587">
        <v>200</v>
      </c>
      <c r="L4" s="590"/>
      <c r="M4" s="443">
        <f>SUM(M1,M52,M102)</f>
        <v>95298</v>
      </c>
    </row>
    <row r="5" spans="2:13">
      <c r="B5" s="585">
        <v>4</v>
      </c>
      <c r="C5" s="585" t="s">
        <v>3344</v>
      </c>
      <c r="D5" s="586">
        <v>42338</v>
      </c>
      <c r="E5" s="585" t="s">
        <v>6</v>
      </c>
      <c r="F5" s="586">
        <v>42643</v>
      </c>
      <c r="G5" s="585" t="s">
        <v>6</v>
      </c>
      <c r="H5" s="586">
        <v>42643</v>
      </c>
      <c r="I5" s="586" t="s">
        <v>3318</v>
      </c>
      <c r="J5" s="586">
        <v>42646</v>
      </c>
      <c r="K5" s="587">
        <v>350</v>
      </c>
      <c r="L5" s="587" t="s">
        <v>3539</v>
      </c>
    </row>
    <row r="6" spans="2:13">
      <c r="B6" s="585">
        <v>5</v>
      </c>
      <c r="C6" s="586" t="s">
        <v>3540</v>
      </c>
      <c r="D6" s="586">
        <v>42641</v>
      </c>
      <c r="E6" s="585" t="s">
        <v>6</v>
      </c>
      <c r="F6" s="586">
        <v>42643</v>
      </c>
      <c r="G6" s="585" t="s">
        <v>6</v>
      </c>
      <c r="H6" s="586">
        <v>42643</v>
      </c>
      <c r="I6" s="586" t="s">
        <v>3318</v>
      </c>
      <c r="J6" s="586">
        <v>42644</v>
      </c>
      <c r="K6" s="587">
        <v>570</v>
      </c>
      <c r="L6" s="587" t="s">
        <v>3541</v>
      </c>
    </row>
    <row r="7" spans="2:13">
      <c r="B7" s="585">
        <v>6</v>
      </c>
      <c r="C7" s="585" t="s">
        <v>6</v>
      </c>
      <c r="D7" s="586">
        <v>42396</v>
      </c>
      <c r="E7" s="585" t="s">
        <v>6</v>
      </c>
      <c r="F7" s="586">
        <v>42642</v>
      </c>
      <c r="G7" s="585" t="s">
        <v>6</v>
      </c>
      <c r="H7" s="586">
        <v>42642</v>
      </c>
      <c r="I7" s="586" t="s">
        <v>3318</v>
      </c>
      <c r="J7" s="586">
        <v>42646</v>
      </c>
      <c r="K7" s="587">
        <v>50</v>
      </c>
      <c r="L7" s="590" t="s">
        <v>3542</v>
      </c>
    </row>
    <row r="8" spans="2:13">
      <c r="B8" s="585">
        <v>7</v>
      </c>
      <c r="C8" s="585" t="s">
        <v>3330</v>
      </c>
      <c r="D8" s="586">
        <v>42373</v>
      </c>
      <c r="E8" s="585" t="s">
        <v>6</v>
      </c>
      <c r="F8" s="586">
        <v>42643</v>
      </c>
      <c r="G8" s="585" t="s">
        <v>6</v>
      </c>
      <c r="H8" s="586">
        <v>42643</v>
      </c>
      <c r="I8" s="586" t="s">
        <v>3320</v>
      </c>
      <c r="J8" s="586">
        <v>42646</v>
      </c>
      <c r="K8" s="587">
        <v>1350</v>
      </c>
      <c r="L8" s="590" t="s">
        <v>20</v>
      </c>
    </row>
    <row r="9" spans="2:13">
      <c r="B9" s="585">
        <v>8</v>
      </c>
      <c r="C9" s="585" t="s">
        <v>6</v>
      </c>
      <c r="D9" s="586">
        <v>42389</v>
      </c>
      <c r="E9" s="585" t="s">
        <v>6</v>
      </c>
      <c r="F9" s="586">
        <v>42647</v>
      </c>
      <c r="G9" s="585" t="s">
        <v>6</v>
      </c>
      <c r="H9" s="586">
        <v>42647</v>
      </c>
      <c r="I9" s="586" t="s">
        <v>3318</v>
      </c>
      <c r="J9" s="586">
        <v>42650</v>
      </c>
      <c r="K9" s="587">
        <v>300</v>
      </c>
      <c r="L9" s="590" t="s">
        <v>3543</v>
      </c>
    </row>
    <row r="10" spans="2:13">
      <c r="B10" s="585">
        <v>9</v>
      </c>
      <c r="C10" s="585">
        <v>28</v>
      </c>
      <c r="D10" s="586">
        <v>42648</v>
      </c>
      <c r="E10" s="585" t="s">
        <v>6</v>
      </c>
      <c r="F10" s="586">
        <v>42649</v>
      </c>
      <c r="G10" s="585" t="s">
        <v>6</v>
      </c>
      <c r="H10" s="586">
        <v>42649</v>
      </c>
      <c r="I10" s="586" t="s">
        <v>3318</v>
      </c>
      <c r="J10" s="586">
        <v>42650</v>
      </c>
      <c r="K10" s="587">
        <v>399</v>
      </c>
      <c r="L10" s="590"/>
    </row>
    <row r="11" spans="2:13">
      <c r="B11" s="585">
        <v>10</v>
      </c>
      <c r="C11" s="585" t="s">
        <v>3344</v>
      </c>
      <c r="D11" s="586">
        <v>42338</v>
      </c>
      <c r="E11" s="585" t="s">
        <v>6</v>
      </c>
      <c r="F11" s="586">
        <v>42646</v>
      </c>
      <c r="G11" s="585" t="s">
        <v>6</v>
      </c>
      <c r="H11" s="586">
        <v>42646</v>
      </c>
      <c r="I11" s="586" t="s">
        <v>3318</v>
      </c>
      <c r="J11" s="586">
        <v>42650</v>
      </c>
      <c r="K11" s="587">
        <v>90</v>
      </c>
      <c r="L11" s="587" t="s">
        <v>3539</v>
      </c>
    </row>
    <row r="12" spans="2:13">
      <c r="B12" s="585">
        <v>11</v>
      </c>
      <c r="C12" s="585" t="s">
        <v>3344</v>
      </c>
      <c r="D12" s="586">
        <v>42338</v>
      </c>
      <c r="E12" s="585" t="s">
        <v>6</v>
      </c>
      <c r="F12" s="586">
        <v>42646</v>
      </c>
      <c r="G12" s="585" t="s">
        <v>6</v>
      </c>
      <c r="H12" s="586">
        <v>42646</v>
      </c>
      <c r="I12" s="586" t="s">
        <v>3318</v>
      </c>
      <c r="J12" s="586">
        <v>42650</v>
      </c>
      <c r="K12" s="587">
        <v>260</v>
      </c>
      <c r="L12" s="587" t="s">
        <v>3539</v>
      </c>
    </row>
    <row r="13" spans="2:13">
      <c r="B13" s="585">
        <v>12</v>
      </c>
      <c r="C13" s="585" t="s">
        <v>3330</v>
      </c>
      <c r="D13" s="586">
        <v>42373</v>
      </c>
      <c r="E13" s="585" t="s">
        <v>6</v>
      </c>
      <c r="F13" s="586">
        <v>42646</v>
      </c>
      <c r="G13" s="585" t="s">
        <v>6</v>
      </c>
      <c r="H13" s="586">
        <v>42646</v>
      </c>
      <c r="I13" s="586" t="s">
        <v>3320</v>
      </c>
      <c r="J13" s="586">
        <v>42648</v>
      </c>
      <c r="K13" s="587">
        <v>1350</v>
      </c>
      <c r="L13" s="590" t="s">
        <v>20</v>
      </c>
    </row>
    <row r="14" spans="2:13">
      <c r="B14" s="585">
        <v>13</v>
      </c>
      <c r="C14" s="585" t="s">
        <v>6</v>
      </c>
      <c r="D14" s="586">
        <v>42509</v>
      </c>
      <c r="E14" s="585" t="s">
        <v>6</v>
      </c>
      <c r="F14" s="586">
        <v>42649</v>
      </c>
      <c r="G14" s="585" t="s">
        <v>6</v>
      </c>
      <c r="H14" s="586">
        <v>42649</v>
      </c>
      <c r="I14" s="586" t="s">
        <v>3318</v>
      </c>
      <c r="J14" s="586">
        <v>42653</v>
      </c>
      <c r="K14" s="587">
        <v>400</v>
      </c>
      <c r="L14" s="587" t="s">
        <v>3544</v>
      </c>
    </row>
    <row r="15" spans="2:13">
      <c r="B15" s="585">
        <v>14</v>
      </c>
      <c r="C15" s="585">
        <v>13</v>
      </c>
      <c r="D15" s="586">
        <v>42579</v>
      </c>
      <c r="E15" s="585" t="s">
        <v>6</v>
      </c>
      <c r="F15" s="586">
        <v>42650</v>
      </c>
      <c r="G15" s="585" t="s">
        <v>3321</v>
      </c>
      <c r="H15" s="586">
        <v>42650</v>
      </c>
      <c r="I15" s="586" t="s">
        <v>3318</v>
      </c>
      <c r="J15" s="586">
        <v>42653</v>
      </c>
      <c r="K15" s="587">
        <v>360</v>
      </c>
      <c r="L15" s="590" t="s">
        <v>3545</v>
      </c>
    </row>
    <row r="16" spans="2:13">
      <c r="B16" s="585">
        <v>15</v>
      </c>
      <c r="C16" s="585" t="s">
        <v>6</v>
      </c>
      <c r="D16" s="586">
        <v>42381</v>
      </c>
      <c r="E16" s="585" t="s">
        <v>6</v>
      </c>
      <c r="F16" s="586">
        <v>42650</v>
      </c>
      <c r="G16" s="586">
        <v>42650</v>
      </c>
      <c r="H16" s="586">
        <v>42650</v>
      </c>
      <c r="I16" s="586" t="s">
        <v>3318</v>
      </c>
      <c r="J16" s="586">
        <v>42653</v>
      </c>
      <c r="K16" s="587">
        <v>110</v>
      </c>
      <c r="L16" s="590" t="s">
        <v>142</v>
      </c>
    </row>
    <row r="17" spans="2:12">
      <c r="B17" s="585">
        <v>16</v>
      </c>
      <c r="C17" s="585" t="s">
        <v>3330</v>
      </c>
      <c r="D17" s="586">
        <v>42373</v>
      </c>
      <c r="E17" s="585" t="s">
        <v>6</v>
      </c>
      <c r="F17" s="586">
        <v>42646</v>
      </c>
      <c r="G17" s="585" t="s">
        <v>6</v>
      </c>
      <c r="H17" s="586">
        <v>42646</v>
      </c>
      <c r="I17" s="586" t="s">
        <v>3320</v>
      </c>
      <c r="J17" s="586">
        <v>42648</v>
      </c>
      <c r="K17" s="587">
        <v>1350</v>
      </c>
      <c r="L17" s="590" t="s">
        <v>20</v>
      </c>
    </row>
    <row r="18" spans="2:12">
      <c r="B18" s="593">
        <v>17</v>
      </c>
      <c r="C18" s="585" t="s">
        <v>6</v>
      </c>
      <c r="D18" s="586">
        <v>42389</v>
      </c>
      <c r="E18" s="585" t="s">
        <v>6</v>
      </c>
      <c r="F18" s="586">
        <v>42648</v>
      </c>
      <c r="G18" s="585" t="s">
        <v>3548</v>
      </c>
      <c r="H18" s="586" t="s">
        <v>3546</v>
      </c>
      <c r="I18" s="586" t="s">
        <v>3318</v>
      </c>
      <c r="J18" s="586">
        <v>42653</v>
      </c>
      <c r="K18" s="587">
        <v>1180</v>
      </c>
      <c r="L18" s="590" t="s">
        <v>2083</v>
      </c>
    </row>
    <row r="19" spans="2:12">
      <c r="B19" s="593">
        <v>18</v>
      </c>
      <c r="C19" s="585" t="s">
        <v>3330</v>
      </c>
      <c r="D19" s="586">
        <v>42373</v>
      </c>
      <c r="E19" s="585" t="s">
        <v>6</v>
      </c>
      <c r="F19" s="586">
        <v>42650</v>
      </c>
      <c r="G19" s="585" t="s">
        <v>3547</v>
      </c>
      <c r="H19" s="586">
        <v>42650</v>
      </c>
      <c r="I19" s="586" t="s">
        <v>3320</v>
      </c>
      <c r="J19" s="586">
        <v>42653</v>
      </c>
      <c r="K19" s="587">
        <v>1350</v>
      </c>
      <c r="L19" s="590" t="s">
        <v>20</v>
      </c>
    </row>
    <row r="20" spans="2:12">
      <c r="B20" s="593">
        <v>19</v>
      </c>
      <c r="C20" s="585" t="s">
        <v>6</v>
      </c>
      <c r="D20" s="586">
        <v>42389</v>
      </c>
      <c r="E20" s="585" t="s">
        <v>6</v>
      </c>
      <c r="F20" s="586">
        <v>42655</v>
      </c>
      <c r="G20" s="585" t="s">
        <v>6</v>
      </c>
      <c r="H20" s="586">
        <v>42655</v>
      </c>
      <c r="I20" s="586" t="s">
        <v>3318</v>
      </c>
      <c r="J20" s="586">
        <v>42656</v>
      </c>
      <c r="K20" s="587">
        <v>200</v>
      </c>
      <c r="L20" s="590" t="s">
        <v>3543</v>
      </c>
    </row>
    <row r="21" spans="2:12">
      <c r="B21" s="593">
        <v>20</v>
      </c>
      <c r="C21" s="585" t="s">
        <v>6</v>
      </c>
      <c r="D21" s="586">
        <v>42389</v>
      </c>
      <c r="E21" s="585" t="s">
        <v>6</v>
      </c>
      <c r="F21" s="586">
        <v>42655</v>
      </c>
      <c r="G21" s="585" t="s">
        <v>6</v>
      </c>
      <c r="H21" s="586">
        <v>42655</v>
      </c>
      <c r="I21" s="586" t="s">
        <v>3318</v>
      </c>
      <c r="J21" s="586">
        <v>42656</v>
      </c>
      <c r="K21" s="587">
        <v>200</v>
      </c>
      <c r="L21" s="590" t="s">
        <v>3549</v>
      </c>
    </row>
    <row r="22" spans="2:12">
      <c r="B22" s="593">
        <v>21</v>
      </c>
      <c r="C22" s="585" t="s">
        <v>6</v>
      </c>
      <c r="D22" s="586">
        <v>42389</v>
      </c>
      <c r="E22" s="585" t="s">
        <v>6</v>
      </c>
      <c r="F22" s="586">
        <v>42654</v>
      </c>
      <c r="G22" s="585" t="s">
        <v>6</v>
      </c>
      <c r="H22" s="586">
        <v>42654</v>
      </c>
      <c r="I22" s="586" t="s">
        <v>3318</v>
      </c>
      <c r="J22" s="586">
        <v>42656</v>
      </c>
      <c r="K22" s="587">
        <v>200</v>
      </c>
      <c r="L22" s="590" t="s">
        <v>3549</v>
      </c>
    </row>
    <row r="23" spans="2:12">
      <c r="B23" s="593">
        <v>22</v>
      </c>
      <c r="C23" s="585" t="s">
        <v>3330</v>
      </c>
      <c r="D23" s="586">
        <v>42373</v>
      </c>
      <c r="E23" s="585" t="s">
        <v>6</v>
      </c>
      <c r="F23" s="586">
        <v>42653</v>
      </c>
      <c r="G23" s="585" t="s">
        <v>3550</v>
      </c>
      <c r="H23" s="586">
        <v>42653</v>
      </c>
      <c r="I23" s="586" t="s">
        <v>3320</v>
      </c>
      <c r="J23" s="586">
        <v>42655</v>
      </c>
      <c r="K23" s="587">
        <v>1350</v>
      </c>
      <c r="L23" s="590" t="s">
        <v>20</v>
      </c>
    </row>
    <row r="24" spans="2:12">
      <c r="B24" s="593">
        <v>23</v>
      </c>
      <c r="C24" s="585" t="s">
        <v>6</v>
      </c>
      <c r="D24" s="586">
        <v>42381</v>
      </c>
      <c r="E24" s="585" t="s">
        <v>6</v>
      </c>
      <c r="F24" s="586">
        <v>42657</v>
      </c>
      <c r="G24" s="586">
        <v>42657</v>
      </c>
      <c r="H24" s="586">
        <v>42657</v>
      </c>
      <c r="I24" s="586" t="s">
        <v>3318</v>
      </c>
      <c r="J24" s="586">
        <v>42661</v>
      </c>
      <c r="K24" s="587">
        <v>110</v>
      </c>
      <c r="L24" s="590" t="s">
        <v>142</v>
      </c>
    </row>
    <row r="25" spans="2:12">
      <c r="B25" s="593">
        <v>24</v>
      </c>
      <c r="C25" s="585">
        <v>13</v>
      </c>
      <c r="D25" s="586">
        <v>42579</v>
      </c>
      <c r="E25" s="585" t="s">
        <v>6</v>
      </c>
      <c r="F25" s="586">
        <v>42656</v>
      </c>
      <c r="G25" s="585" t="s">
        <v>6</v>
      </c>
      <c r="H25" s="586">
        <v>42656</v>
      </c>
      <c r="I25" s="586" t="s">
        <v>3318</v>
      </c>
      <c r="J25" s="586">
        <v>42660</v>
      </c>
      <c r="K25" s="587">
        <v>320</v>
      </c>
      <c r="L25" s="590" t="s">
        <v>3545</v>
      </c>
    </row>
    <row r="26" spans="2:12">
      <c r="B26" s="593">
        <v>25</v>
      </c>
      <c r="C26" s="585">
        <v>2580</v>
      </c>
      <c r="D26" s="586">
        <v>42655</v>
      </c>
      <c r="E26" s="585" t="s">
        <v>6</v>
      </c>
      <c r="F26" s="586">
        <v>42656</v>
      </c>
      <c r="G26" s="585" t="s">
        <v>6</v>
      </c>
      <c r="H26" s="586">
        <v>42656</v>
      </c>
      <c r="I26" s="586" t="s">
        <v>3318</v>
      </c>
      <c r="J26" s="586">
        <v>42660</v>
      </c>
      <c r="K26" s="587">
        <v>300</v>
      </c>
      <c r="L26" s="587"/>
    </row>
    <row r="27" spans="2:12">
      <c r="B27" s="593">
        <v>26</v>
      </c>
      <c r="C27" s="585" t="s">
        <v>3330</v>
      </c>
      <c r="D27" s="586">
        <v>42373</v>
      </c>
      <c r="E27" s="585" t="s">
        <v>6</v>
      </c>
      <c r="F27" s="586">
        <v>42653</v>
      </c>
      <c r="G27" s="585" t="s">
        <v>6</v>
      </c>
      <c r="H27" s="586">
        <v>42653</v>
      </c>
      <c r="I27" s="586" t="s">
        <v>3320</v>
      </c>
      <c r="J27" s="586">
        <v>42654</v>
      </c>
      <c r="K27" s="587">
        <v>1350</v>
      </c>
      <c r="L27" s="590" t="s">
        <v>20</v>
      </c>
    </row>
    <row r="28" spans="2:12">
      <c r="B28" s="593">
        <v>27</v>
      </c>
      <c r="C28" s="585" t="s">
        <v>3344</v>
      </c>
      <c r="D28" s="586">
        <v>42338</v>
      </c>
      <c r="E28" s="585" t="s">
        <v>6</v>
      </c>
      <c r="F28" s="586">
        <v>42656</v>
      </c>
      <c r="G28" s="585" t="s">
        <v>6</v>
      </c>
      <c r="H28" s="586">
        <v>42656</v>
      </c>
      <c r="I28" s="586" t="s">
        <v>3318</v>
      </c>
      <c r="J28" s="586">
        <v>42660</v>
      </c>
      <c r="K28" s="587">
        <v>330</v>
      </c>
      <c r="L28" s="590" t="s">
        <v>3319</v>
      </c>
    </row>
    <row r="29" spans="2:12">
      <c r="B29" s="593">
        <v>28</v>
      </c>
      <c r="C29" s="585" t="s">
        <v>3330</v>
      </c>
      <c r="D29" s="586">
        <v>42373</v>
      </c>
      <c r="E29" s="585" t="s">
        <v>6</v>
      </c>
      <c r="F29" s="586">
        <v>42656</v>
      </c>
      <c r="G29" s="585" t="s">
        <v>3551</v>
      </c>
      <c r="H29" s="586">
        <v>42656</v>
      </c>
      <c r="I29" s="586" t="s">
        <v>3320</v>
      </c>
      <c r="J29" s="586">
        <v>42660</v>
      </c>
      <c r="K29" s="587">
        <v>1400</v>
      </c>
      <c r="L29" s="590" t="s">
        <v>20</v>
      </c>
    </row>
    <row r="30" spans="2:12">
      <c r="B30" s="593">
        <v>29</v>
      </c>
      <c r="C30" s="585" t="s">
        <v>6</v>
      </c>
      <c r="D30" s="586">
        <v>42662</v>
      </c>
      <c r="E30" s="585" t="s">
        <v>6</v>
      </c>
      <c r="F30" s="586">
        <v>42663</v>
      </c>
      <c r="G30" s="585" t="s">
        <v>6</v>
      </c>
      <c r="H30" s="586">
        <v>42663</v>
      </c>
      <c r="I30" s="586" t="s">
        <v>3318</v>
      </c>
      <c r="J30" s="586">
        <v>42664</v>
      </c>
      <c r="K30" s="587">
        <v>50</v>
      </c>
      <c r="L30" s="590"/>
    </row>
    <row r="31" spans="2:12">
      <c r="B31" s="596">
        <v>30</v>
      </c>
      <c r="C31" s="585" t="s">
        <v>6</v>
      </c>
      <c r="D31" s="586">
        <v>42404</v>
      </c>
      <c r="E31" s="585" t="s">
        <v>6</v>
      </c>
      <c r="F31" s="586">
        <v>42663</v>
      </c>
      <c r="G31" s="585" t="s">
        <v>6</v>
      </c>
      <c r="H31" s="586">
        <v>42663</v>
      </c>
      <c r="I31" s="586" t="s">
        <v>3318</v>
      </c>
      <c r="J31" s="586">
        <v>42664</v>
      </c>
      <c r="K31" s="587">
        <v>330</v>
      </c>
      <c r="L31" s="592"/>
    </row>
    <row r="32" spans="2:12">
      <c r="B32" s="596">
        <v>31</v>
      </c>
      <c r="C32" s="585" t="s">
        <v>3552</v>
      </c>
      <c r="D32" s="586">
        <v>42662</v>
      </c>
      <c r="E32" s="585" t="s">
        <v>6</v>
      </c>
      <c r="F32" s="586">
        <v>42663</v>
      </c>
      <c r="G32" s="585" t="s">
        <v>6</v>
      </c>
      <c r="H32" s="586">
        <v>42663</v>
      </c>
      <c r="I32" s="586" t="s">
        <v>3318</v>
      </c>
      <c r="J32" s="586">
        <v>42664</v>
      </c>
      <c r="K32" s="587">
        <v>400</v>
      </c>
      <c r="L32" s="592"/>
    </row>
    <row r="33" spans="2:12">
      <c r="B33" s="596">
        <v>32</v>
      </c>
      <c r="C33" s="585" t="s">
        <v>3330</v>
      </c>
      <c r="D33" s="586">
        <v>42373</v>
      </c>
      <c r="E33" s="585" t="s">
        <v>6</v>
      </c>
      <c r="F33" s="586">
        <v>42657</v>
      </c>
      <c r="G33" s="585" t="s">
        <v>3550</v>
      </c>
      <c r="H33" s="586">
        <v>42657</v>
      </c>
      <c r="I33" s="586" t="s">
        <v>3320</v>
      </c>
      <c r="J33" s="586">
        <v>42661</v>
      </c>
      <c r="K33" s="587">
        <v>1350</v>
      </c>
      <c r="L33" s="590" t="s">
        <v>20</v>
      </c>
    </row>
    <row r="34" spans="2:12">
      <c r="B34" s="596">
        <v>33</v>
      </c>
      <c r="C34" s="585" t="s">
        <v>3344</v>
      </c>
      <c r="D34" s="586">
        <v>42338</v>
      </c>
      <c r="E34" s="585" t="s">
        <v>6</v>
      </c>
      <c r="F34" s="586">
        <v>42663</v>
      </c>
      <c r="G34" s="585" t="s">
        <v>6</v>
      </c>
      <c r="H34" s="586">
        <v>42663</v>
      </c>
      <c r="I34" s="586" t="s">
        <v>3318</v>
      </c>
      <c r="J34" s="586">
        <v>42667</v>
      </c>
      <c r="K34" s="587">
        <v>500</v>
      </c>
      <c r="L34" s="590" t="s">
        <v>3319</v>
      </c>
    </row>
    <row r="35" spans="2:12">
      <c r="B35" s="596">
        <v>34</v>
      </c>
      <c r="C35" s="585" t="s">
        <v>6</v>
      </c>
      <c r="D35" s="586">
        <v>42662</v>
      </c>
      <c r="E35" s="585" t="s">
        <v>6</v>
      </c>
      <c r="F35" s="586">
        <v>42663</v>
      </c>
      <c r="G35" s="585" t="s">
        <v>6</v>
      </c>
      <c r="H35" s="586">
        <v>42663</v>
      </c>
      <c r="I35" s="586" t="s">
        <v>3318</v>
      </c>
      <c r="J35" s="586">
        <v>42667</v>
      </c>
      <c r="K35" s="587">
        <v>250</v>
      </c>
      <c r="L35" s="592"/>
    </row>
    <row r="36" spans="2:12">
      <c r="B36" s="596">
        <v>35</v>
      </c>
      <c r="C36" s="585" t="s">
        <v>6</v>
      </c>
      <c r="D36" s="586">
        <v>42396</v>
      </c>
      <c r="E36" s="585" t="s">
        <v>6</v>
      </c>
      <c r="F36" s="586">
        <v>42663</v>
      </c>
      <c r="G36" s="585" t="s">
        <v>6</v>
      </c>
      <c r="H36" s="586">
        <v>42663</v>
      </c>
      <c r="I36" s="586" t="s">
        <v>3318</v>
      </c>
      <c r="J36" s="586">
        <v>42667</v>
      </c>
      <c r="K36" s="587">
        <v>70</v>
      </c>
      <c r="L36" s="590" t="s">
        <v>3542</v>
      </c>
    </row>
    <row r="37" spans="2:12">
      <c r="B37" s="596">
        <v>36</v>
      </c>
      <c r="C37" s="585" t="s">
        <v>6</v>
      </c>
      <c r="D37" s="586">
        <v>42389</v>
      </c>
      <c r="E37" s="585" t="s">
        <v>6</v>
      </c>
      <c r="F37" s="586">
        <v>42663</v>
      </c>
      <c r="G37" s="585" t="s">
        <v>6</v>
      </c>
      <c r="H37" s="586">
        <v>42663</v>
      </c>
      <c r="I37" s="586" t="s">
        <v>3318</v>
      </c>
      <c r="J37" s="586">
        <v>42667</v>
      </c>
      <c r="K37" s="587">
        <v>100</v>
      </c>
      <c r="L37" s="590" t="s">
        <v>3549</v>
      </c>
    </row>
    <row r="38" spans="2:12">
      <c r="B38" s="596">
        <v>37</v>
      </c>
      <c r="C38" s="585" t="s">
        <v>6</v>
      </c>
      <c r="D38" s="586">
        <v>42404</v>
      </c>
      <c r="E38" s="585" t="s">
        <v>6</v>
      </c>
      <c r="F38" s="586">
        <v>42663</v>
      </c>
      <c r="G38" s="585" t="s">
        <v>6</v>
      </c>
      <c r="H38" s="586">
        <v>42663</v>
      </c>
      <c r="I38" s="586" t="s">
        <v>3318</v>
      </c>
      <c r="J38" s="586">
        <v>42667</v>
      </c>
      <c r="K38" s="587">
        <v>60</v>
      </c>
      <c r="L38" s="590" t="s">
        <v>3553</v>
      </c>
    </row>
    <row r="39" spans="2:12">
      <c r="B39" s="596">
        <v>38</v>
      </c>
      <c r="C39" s="585" t="s">
        <v>3330</v>
      </c>
      <c r="D39" s="586">
        <v>42373</v>
      </c>
      <c r="E39" s="585" t="s">
        <v>6</v>
      </c>
      <c r="F39" s="586">
        <v>42660</v>
      </c>
      <c r="G39" s="585" t="s">
        <v>6</v>
      </c>
      <c r="H39" s="586">
        <v>42660</v>
      </c>
      <c r="I39" s="586" t="s">
        <v>3320</v>
      </c>
      <c r="J39" s="586">
        <v>42662</v>
      </c>
      <c r="K39" s="587">
        <v>1350</v>
      </c>
      <c r="L39" s="590" t="s">
        <v>20</v>
      </c>
    </row>
    <row r="40" spans="2:12">
      <c r="B40" s="596">
        <v>39</v>
      </c>
      <c r="C40" s="585" t="s">
        <v>6</v>
      </c>
      <c r="D40" s="586">
        <v>42381</v>
      </c>
      <c r="E40" s="585" t="s">
        <v>6</v>
      </c>
      <c r="F40" s="586">
        <v>42664</v>
      </c>
      <c r="G40" s="586">
        <v>42664</v>
      </c>
      <c r="H40" s="586">
        <v>42664</v>
      </c>
      <c r="I40" s="586" t="s">
        <v>3318</v>
      </c>
      <c r="J40" s="586">
        <v>42667</v>
      </c>
      <c r="K40" s="587">
        <v>110</v>
      </c>
      <c r="L40" s="590" t="s">
        <v>142</v>
      </c>
    </row>
    <row r="41" spans="2:12">
      <c r="B41" s="596">
        <v>40</v>
      </c>
      <c r="C41" s="585" t="s">
        <v>3344</v>
      </c>
      <c r="D41" s="586">
        <v>42338</v>
      </c>
      <c r="E41" s="585" t="s">
        <v>6</v>
      </c>
      <c r="F41" s="586">
        <v>42663</v>
      </c>
      <c r="G41" s="585" t="s">
        <v>6</v>
      </c>
      <c r="H41" s="586">
        <v>42663</v>
      </c>
      <c r="I41" s="586" t="s">
        <v>3318</v>
      </c>
      <c r="J41" s="586">
        <v>42667</v>
      </c>
      <c r="K41" s="587">
        <v>370</v>
      </c>
      <c r="L41" s="590" t="s">
        <v>3319</v>
      </c>
    </row>
    <row r="42" spans="2:12">
      <c r="B42" s="596">
        <v>41</v>
      </c>
      <c r="C42" s="585" t="s">
        <v>6</v>
      </c>
      <c r="D42" s="586">
        <v>42626</v>
      </c>
      <c r="E42" s="585" t="s">
        <v>6</v>
      </c>
      <c r="F42" s="586">
        <v>42663</v>
      </c>
      <c r="G42" s="585" t="s">
        <v>6</v>
      </c>
      <c r="H42" s="586">
        <v>42663</v>
      </c>
      <c r="I42" s="586" t="s">
        <v>3318</v>
      </c>
      <c r="J42" s="586">
        <v>42667</v>
      </c>
      <c r="K42" s="587">
        <v>300</v>
      </c>
      <c r="L42" s="587"/>
    </row>
    <row r="43" spans="2:12">
      <c r="B43" s="596">
        <v>42</v>
      </c>
      <c r="C43" s="585" t="s">
        <v>6</v>
      </c>
      <c r="D43" s="586">
        <v>42389</v>
      </c>
      <c r="E43" s="585" t="s">
        <v>6</v>
      </c>
      <c r="F43" s="586">
        <v>42661</v>
      </c>
      <c r="G43" s="585" t="s">
        <v>6</v>
      </c>
      <c r="H43" s="586">
        <v>42661</v>
      </c>
      <c r="I43" s="586" t="s">
        <v>3320</v>
      </c>
      <c r="J43" s="586">
        <v>42662</v>
      </c>
      <c r="K43" s="587">
        <v>200</v>
      </c>
      <c r="L43" s="587" t="s">
        <v>3554</v>
      </c>
    </row>
    <row r="44" spans="2:12">
      <c r="B44" s="596">
        <v>43</v>
      </c>
      <c r="C44" s="585" t="s">
        <v>3330</v>
      </c>
      <c r="D44" s="586">
        <v>42373</v>
      </c>
      <c r="E44" s="585" t="s">
        <v>6</v>
      </c>
      <c r="F44" s="586">
        <v>42664</v>
      </c>
      <c r="G44" s="585" t="s">
        <v>6</v>
      </c>
      <c r="H44" s="586">
        <v>42664</v>
      </c>
      <c r="I44" s="586" t="s">
        <v>3320</v>
      </c>
      <c r="J44" s="586">
        <v>42668</v>
      </c>
      <c r="K44" s="587">
        <v>1350</v>
      </c>
      <c r="L44" s="590" t="s">
        <v>20</v>
      </c>
    </row>
    <row r="45" spans="2:12">
      <c r="B45" s="593">
        <v>44</v>
      </c>
      <c r="C45" s="585" t="s">
        <v>6</v>
      </c>
      <c r="D45" s="586">
        <v>42389</v>
      </c>
      <c r="E45" s="585" t="s">
        <v>6</v>
      </c>
      <c r="F45" s="586">
        <v>42670</v>
      </c>
      <c r="G45" s="585" t="s">
        <v>6</v>
      </c>
      <c r="H45" s="586">
        <v>42670</v>
      </c>
      <c r="I45" s="586" t="s">
        <v>3318</v>
      </c>
      <c r="J45" s="586">
        <v>42671</v>
      </c>
      <c r="K45" s="587">
        <v>1000</v>
      </c>
      <c r="L45" s="590" t="s">
        <v>2083</v>
      </c>
    </row>
    <row r="46" spans="2:12">
      <c r="B46" s="593">
        <v>45</v>
      </c>
      <c r="C46" s="585" t="s">
        <v>3330</v>
      </c>
      <c r="D46" s="586">
        <v>42373</v>
      </c>
      <c r="E46" s="585" t="s">
        <v>6</v>
      </c>
      <c r="F46" s="586">
        <v>42667</v>
      </c>
      <c r="G46" s="585" t="s">
        <v>3547</v>
      </c>
      <c r="H46" s="586">
        <v>42667</v>
      </c>
      <c r="I46" s="586" t="s">
        <v>3320</v>
      </c>
      <c r="J46" s="586">
        <v>42669</v>
      </c>
      <c r="K46" s="587">
        <v>1350</v>
      </c>
      <c r="L46" s="590" t="s">
        <v>20</v>
      </c>
    </row>
    <row r="47" spans="2:12">
      <c r="B47" s="593">
        <v>46</v>
      </c>
      <c r="C47" s="585" t="s">
        <v>6</v>
      </c>
      <c r="D47" s="586">
        <v>42443</v>
      </c>
      <c r="E47" s="585" t="s">
        <v>6</v>
      </c>
      <c r="F47" s="586">
        <v>42670</v>
      </c>
      <c r="G47" s="585" t="s">
        <v>6</v>
      </c>
      <c r="H47" s="586">
        <v>42670</v>
      </c>
      <c r="I47" s="586" t="s">
        <v>3318</v>
      </c>
      <c r="J47" s="586">
        <v>42672</v>
      </c>
      <c r="K47" s="587">
        <v>100</v>
      </c>
      <c r="L47" s="587"/>
    </row>
    <row r="48" spans="2:12">
      <c r="B48" s="593">
        <v>47</v>
      </c>
      <c r="C48" s="585" t="s">
        <v>3330</v>
      </c>
      <c r="D48" s="586">
        <v>42373</v>
      </c>
      <c r="E48" s="585" t="s">
        <v>6</v>
      </c>
      <c r="F48" s="586">
        <v>42667</v>
      </c>
      <c r="G48" s="585" t="s">
        <v>3557</v>
      </c>
      <c r="H48" s="586">
        <v>42667</v>
      </c>
      <c r="I48" s="586" t="s">
        <v>3320</v>
      </c>
      <c r="J48" s="586">
        <v>42669</v>
      </c>
      <c r="K48" s="587">
        <v>1350</v>
      </c>
      <c r="L48" s="590" t="s">
        <v>20</v>
      </c>
    </row>
    <row r="49" spans="1:13">
      <c r="B49" s="593">
        <v>48</v>
      </c>
      <c r="C49" s="589">
        <v>13</v>
      </c>
      <c r="D49" s="586">
        <v>42579</v>
      </c>
      <c r="E49" s="585" t="s">
        <v>6</v>
      </c>
      <c r="F49" s="586">
        <v>42670</v>
      </c>
      <c r="G49" s="585" t="s">
        <v>3547</v>
      </c>
      <c r="H49" s="586">
        <v>42670</v>
      </c>
      <c r="I49" s="586" t="s">
        <v>3318</v>
      </c>
      <c r="J49" s="586">
        <v>42674</v>
      </c>
      <c r="K49" s="587">
        <v>360</v>
      </c>
      <c r="L49" s="590" t="s">
        <v>3545</v>
      </c>
    </row>
    <row r="50" spans="1:13">
      <c r="B50" s="593">
        <v>49</v>
      </c>
      <c r="C50" s="585" t="s">
        <v>3558</v>
      </c>
      <c r="D50" s="586">
        <v>42669</v>
      </c>
      <c r="E50" s="585" t="s">
        <v>6</v>
      </c>
      <c r="F50" s="586">
        <v>42670</v>
      </c>
      <c r="G50" s="585" t="s">
        <v>6</v>
      </c>
      <c r="H50" s="586">
        <v>42670</v>
      </c>
      <c r="I50" s="586" t="s">
        <v>3318</v>
      </c>
      <c r="J50" s="586">
        <v>42672</v>
      </c>
      <c r="K50" s="587">
        <v>420</v>
      </c>
      <c r="L50" s="587"/>
    </row>
    <row r="51" spans="1:13">
      <c r="B51" s="593">
        <v>50</v>
      </c>
      <c r="C51" s="585" t="s">
        <v>6</v>
      </c>
      <c r="D51" s="586">
        <v>42381</v>
      </c>
      <c r="E51" s="585" t="s">
        <v>6</v>
      </c>
      <c r="F51" s="586">
        <v>42671</v>
      </c>
      <c r="G51" s="586">
        <v>42671</v>
      </c>
      <c r="H51" s="586">
        <v>42671</v>
      </c>
      <c r="I51" s="586" t="s">
        <v>3318</v>
      </c>
      <c r="J51" s="586">
        <v>42674</v>
      </c>
      <c r="K51" s="587">
        <v>110</v>
      </c>
      <c r="L51" s="590" t="s">
        <v>142</v>
      </c>
    </row>
    <row r="52" spans="1:13">
      <c r="A52" s="593">
        <v>51</v>
      </c>
      <c r="B52" s="593">
        <v>1</v>
      </c>
      <c r="C52" s="585" t="s">
        <v>6</v>
      </c>
      <c r="D52" s="586">
        <v>42389</v>
      </c>
      <c r="E52" s="585" t="s">
        <v>6</v>
      </c>
      <c r="F52" s="586">
        <v>42670</v>
      </c>
      <c r="G52" s="585" t="s">
        <v>3555</v>
      </c>
      <c r="H52" s="586" t="s">
        <v>3556</v>
      </c>
      <c r="I52" s="586" t="s">
        <v>3318</v>
      </c>
      <c r="J52" s="586">
        <v>42675</v>
      </c>
      <c r="K52" s="587">
        <v>700</v>
      </c>
      <c r="L52" s="590" t="s">
        <v>2083</v>
      </c>
      <c r="M52" s="5">
        <f>SUM(K52:K101)</f>
        <v>32709</v>
      </c>
    </row>
    <row r="53" spans="1:13">
      <c r="A53" s="593">
        <v>52</v>
      </c>
      <c r="B53" s="593">
        <v>2</v>
      </c>
      <c r="C53" s="585" t="s">
        <v>3330</v>
      </c>
      <c r="D53" s="586">
        <v>42373</v>
      </c>
      <c r="E53" s="585" t="s">
        <v>6</v>
      </c>
      <c r="F53" s="586">
        <v>42674</v>
      </c>
      <c r="G53" s="585" t="s">
        <v>3555</v>
      </c>
      <c r="H53" s="586">
        <v>42674</v>
      </c>
      <c r="I53" s="586" t="s">
        <v>3320</v>
      </c>
      <c r="J53" s="586">
        <v>42675</v>
      </c>
      <c r="K53" s="587">
        <v>1350</v>
      </c>
      <c r="L53" s="590" t="s">
        <v>20</v>
      </c>
    </row>
    <row r="54" spans="1:13">
      <c r="A54" s="593">
        <v>53</v>
      </c>
      <c r="B54" s="593">
        <v>3</v>
      </c>
      <c r="C54" s="585" t="s">
        <v>6</v>
      </c>
      <c r="D54" s="586">
        <v>42625</v>
      </c>
      <c r="E54" s="585" t="s">
        <v>6</v>
      </c>
      <c r="F54" s="586">
        <v>42676</v>
      </c>
      <c r="G54" s="586" t="s">
        <v>3559</v>
      </c>
      <c r="H54" s="586">
        <v>42676</v>
      </c>
      <c r="I54" s="586" t="s">
        <v>3318</v>
      </c>
      <c r="J54" s="586">
        <v>42678</v>
      </c>
      <c r="K54" s="587">
        <v>420</v>
      </c>
      <c r="L54" s="590" t="s">
        <v>3560</v>
      </c>
    </row>
    <row r="55" spans="1:13">
      <c r="A55" s="593">
        <v>54</v>
      </c>
      <c r="B55" s="593">
        <v>4</v>
      </c>
      <c r="C55" s="585" t="s">
        <v>3344</v>
      </c>
      <c r="D55" s="586">
        <v>42338</v>
      </c>
      <c r="E55" s="585" t="s">
        <v>6</v>
      </c>
      <c r="F55" s="586">
        <v>42677</v>
      </c>
      <c r="G55" s="585" t="s">
        <v>6</v>
      </c>
      <c r="H55" s="586">
        <v>42677</v>
      </c>
      <c r="I55" s="586" t="s">
        <v>3318</v>
      </c>
      <c r="J55" s="586">
        <v>42678</v>
      </c>
      <c r="K55" s="587">
        <v>180</v>
      </c>
      <c r="L55" s="590" t="s">
        <v>3319</v>
      </c>
    </row>
    <row r="56" spans="1:13">
      <c r="A56" s="593">
        <v>55</v>
      </c>
      <c r="B56" s="593">
        <v>5</v>
      </c>
      <c r="C56" s="585" t="s">
        <v>3344</v>
      </c>
      <c r="D56" s="586">
        <v>42338</v>
      </c>
      <c r="E56" s="585" t="s">
        <v>6</v>
      </c>
      <c r="F56" s="586">
        <v>42677</v>
      </c>
      <c r="G56" s="585" t="s">
        <v>6</v>
      </c>
      <c r="H56" s="586">
        <v>42677</v>
      </c>
      <c r="I56" s="586" t="s">
        <v>3318</v>
      </c>
      <c r="J56" s="586">
        <v>42678</v>
      </c>
      <c r="K56" s="587">
        <v>370</v>
      </c>
      <c r="L56" s="590" t="s">
        <v>3319</v>
      </c>
    </row>
    <row r="57" spans="1:13">
      <c r="A57" s="593">
        <v>56</v>
      </c>
      <c r="B57" s="593">
        <v>6</v>
      </c>
      <c r="C57" s="585" t="s">
        <v>3330</v>
      </c>
      <c r="D57" s="586">
        <v>42373</v>
      </c>
      <c r="E57" s="585" t="s">
        <v>6</v>
      </c>
      <c r="F57" s="586">
        <v>42674</v>
      </c>
      <c r="G57" s="585" t="s">
        <v>3555</v>
      </c>
      <c r="H57" s="586">
        <v>42674</v>
      </c>
      <c r="I57" s="586" t="s">
        <v>3320</v>
      </c>
      <c r="J57" s="586">
        <v>42675</v>
      </c>
      <c r="K57" s="587">
        <v>1400</v>
      </c>
      <c r="L57" s="590" t="s">
        <v>20</v>
      </c>
    </row>
    <row r="58" spans="1:13">
      <c r="A58" s="593">
        <v>57</v>
      </c>
      <c r="B58" s="593">
        <v>7</v>
      </c>
      <c r="C58" s="585" t="s">
        <v>6</v>
      </c>
      <c r="D58" s="586">
        <v>42625</v>
      </c>
      <c r="E58" s="585" t="s">
        <v>6</v>
      </c>
      <c r="F58" s="586">
        <v>42677</v>
      </c>
      <c r="G58" s="586">
        <v>42677</v>
      </c>
      <c r="H58" s="586">
        <v>42677</v>
      </c>
      <c r="I58" s="586" t="s">
        <v>3318</v>
      </c>
      <c r="J58" s="586">
        <v>42678</v>
      </c>
      <c r="K58" s="587">
        <v>300</v>
      </c>
      <c r="L58" s="590" t="s">
        <v>3560</v>
      </c>
    </row>
    <row r="59" spans="1:13">
      <c r="A59" s="593">
        <v>58</v>
      </c>
      <c r="B59" s="593">
        <v>8</v>
      </c>
      <c r="C59" s="585" t="s">
        <v>6</v>
      </c>
      <c r="D59" s="586">
        <v>42675</v>
      </c>
      <c r="E59" s="585" t="s">
        <v>6</v>
      </c>
      <c r="F59" s="586">
        <v>42676</v>
      </c>
      <c r="G59" s="585" t="s">
        <v>6</v>
      </c>
      <c r="H59" s="586">
        <v>42676</v>
      </c>
      <c r="I59" s="586" t="s">
        <v>3318</v>
      </c>
      <c r="J59" s="586">
        <v>42677</v>
      </c>
      <c r="K59" s="587">
        <v>650</v>
      </c>
      <c r="L59" s="590"/>
    </row>
    <row r="60" spans="1:13">
      <c r="A60" s="593">
        <v>59</v>
      </c>
      <c r="B60" s="593">
        <v>9</v>
      </c>
      <c r="C60" s="585" t="s">
        <v>3330</v>
      </c>
      <c r="D60" s="586">
        <v>42373</v>
      </c>
      <c r="E60" s="585" t="s">
        <v>6</v>
      </c>
      <c r="F60" s="586">
        <v>42674</v>
      </c>
      <c r="G60" s="585" t="s">
        <v>6</v>
      </c>
      <c r="H60" s="586">
        <v>42674</v>
      </c>
      <c r="I60" s="586" t="s">
        <v>3320</v>
      </c>
      <c r="J60" s="586">
        <v>42676</v>
      </c>
      <c r="K60" s="587">
        <v>1350</v>
      </c>
      <c r="L60" s="590" t="s">
        <v>20</v>
      </c>
    </row>
    <row r="61" spans="1:13">
      <c r="A61" s="593">
        <v>60</v>
      </c>
      <c r="B61" s="593">
        <v>10</v>
      </c>
      <c r="C61" s="586" t="s">
        <v>3561</v>
      </c>
      <c r="D61" s="586">
        <v>42464</v>
      </c>
      <c r="E61" s="585" t="s">
        <v>6</v>
      </c>
      <c r="F61" s="586">
        <v>42676</v>
      </c>
      <c r="G61" s="586" t="s">
        <v>3562</v>
      </c>
      <c r="H61" s="586" t="s">
        <v>3563</v>
      </c>
      <c r="I61" s="586" t="s">
        <v>3318</v>
      </c>
      <c r="J61" s="586">
        <v>42678</v>
      </c>
      <c r="K61" s="587">
        <v>600</v>
      </c>
      <c r="L61" s="590"/>
    </row>
    <row r="62" spans="1:13">
      <c r="A62" s="593">
        <v>61</v>
      </c>
      <c r="B62" s="593">
        <v>11</v>
      </c>
      <c r="C62" s="585" t="s">
        <v>3330</v>
      </c>
      <c r="D62" s="586">
        <v>42373</v>
      </c>
      <c r="E62" s="585" t="s">
        <v>6</v>
      </c>
      <c r="F62" s="586">
        <v>42678</v>
      </c>
      <c r="G62" s="585" t="s">
        <v>3547</v>
      </c>
      <c r="H62" s="586">
        <v>42678</v>
      </c>
      <c r="I62" s="586" t="s">
        <v>3320</v>
      </c>
      <c r="J62" s="586">
        <v>42683</v>
      </c>
      <c r="K62" s="587">
        <v>1350</v>
      </c>
      <c r="L62" s="590" t="s">
        <v>20</v>
      </c>
    </row>
    <row r="63" spans="1:13">
      <c r="A63" s="596">
        <v>62</v>
      </c>
      <c r="B63" s="593">
        <v>12</v>
      </c>
      <c r="C63" s="585" t="s">
        <v>6</v>
      </c>
      <c r="D63" s="586">
        <v>42389</v>
      </c>
      <c r="E63" s="585" t="s">
        <v>6</v>
      </c>
      <c r="F63" s="586">
        <v>42685</v>
      </c>
      <c r="G63" s="585" t="s">
        <v>6</v>
      </c>
      <c r="H63" s="586">
        <v>42685</v>
      </c>
      <c r="I63" s="586" t="s">
        <v>3318</v>
      </c>
      <c r="J63" s="586">
        <v>42688</v>
      </c>
      <c r="K63" s="587">
        <v>500</v>
      </c>
      <c r="L63" s="590" t="s">
        <v>3543</v>
      </c>
    </row>
    <row r="64" spans="1:13">
      <c r="A64" s="596">
        <v>63</v>
      </c>
      <c r="B64" s="593">
        <v>13</v>
      </c>
      <c r="C64" s="585" t="s">
        <v>6</v>
      </c>
      <c r="D64" s="586">
        <v>42381</v>
      </c>
      <c r="E64" s="585" t="s">
        <v>6</v>
      </c>
      <c r="F64" s="586">
        <v>42685</v>
      </c>
      <c r="G64" s="586">
        <v>42685</v>
      </c>
      <c r="H64" s="586">
        <v>42685</v>
      </c>
      <c r="I64" s="586" t="s">
        <v>3318</v>
      </c>
      <c r="J64" s="586">
        <v>42688</v>
      </c>
      <c r="K64" s="587">
        <v>110</v>
      </c>
      <c r="L64" s="590" t="s">
        <v>142</v>
      </c>
    </row>
    <row r="65" spans="1:12">
      <c r="A65" s="596">
        <v>64</v>
      </c>
      <c r="B65" s="593">
        <v>14</v>
      </c>
      <c r="C65" s="589">
        <v>13</v>
      </c>
      <c r="D65" s="586">
        <v>42579</v>
      </c>
      <c r="E65" s="585" t="s">
        <v>6</v>
      </c>
      <c r="F65" s="586">
        <v>42685</v>
      </c>
      <c r="G65" s="585" t="s">
        <v>3564</v>
      </c>
      <c r="H65" s="586">
        <v>42685</v>
      </c>
      <c r="I65" s="586" t="s">
        <v>3318</v>
      </c>
      <c r="J65" s="586">
        <v>42688</v>
      </c>
      <c r="K65" s="587">
        <v>450</v>
      </c>
      <c r="L65" s="590" t="s">
        <v>3545</v>
      </c>
    </row>
    <row r="66" spans="1:12">
      <c r="A66" s="596">
        <v>65</v>
      </c>
      <c r="B66" s="593">
        <v>15</v>
      </c>
      <c r="C66" s="585" t="s">
        <v>3330</v>
      </c>
      <c r="D66" s="586">
        <v>42373</v>
      </c>
      <c r="E66" s="585" t="s">
        <v>6</v>
      </c>
      <c r="F66" s="586">
        <v>42678</v>
      </c>
      <c r="G66" s="585" t="s">
        <v>3547</v>
      </c>
      <c r="H66" s="586">
        <v>42678</v>
      </c>
      <c r="I66" s="586" t="s">
        <v>3320</v>
      </c>
      <c r="J66" s="586">
        <v>42681</v>
      </c>
      <c r="K66" s="587">
        <v>1400</v>
      </c>
      <c r="L66" s="590" t="s">
        <v>20</v>
      </c>
    </row>
    <row r="67" spans="1:12">
      <c r="A67" s="596">
        <v>66</v>
      </c>
      <c r="B67" s="593">
        <v>16</v>
      </c>
      <c r="C67" s="585" t="s">
        <v>3344</v>
      </c>
      <c r="D67" s="586">
        <v>42338</v>
      </c>
      <c r="E67" s="585" t="s">
        <v>6</v>
      </c>
      <c r="F67" s="586">
        <v>42683</v>
      </c>
      <c r="G67" s="585" t="s">
        <v>6</v>
      </c>
      <c r="H67" s="586">
        <v>42683</v>
      </c>
      <c r="I67" s="586" t="s">
        <v>3318</v>
      </c>
      <c r="J67" s="586">
        <v>42685</v>
      </c>
      <c r="K67" s="587">
        <v>300</v>
      </c>
      <c r="L67" s="590" t="s">
        <v>3319</v>
      </c>
    </row>
    <row r="68" spans="1:12">
      <c r="A68" s="596">
        <v>67</v>
      </c>
      <c r="B68" s="593">
        <v>17</v>
      </c>
      <c r="C68" s="585" t="s">
        <v>3344</v>
      </c>
      <c r="D68" s="586">
        <v>42338</v>
      </c>
      <c r="E68" s="585" t="s">
        <v>6</v>
      </c>
      <c r="F68" s="586">
        <v>42683</v>
      </c>
      <c r="G68" s="585" t="s">
        <v>6</v>
      </c>
      <c r="H68" s="586">
        <v>42683</v>
      </c>
      <c r="I68" s="586" t="s">
        <v>3318</v>
      </c>
      <c r="J68" s="586">
        <v>42685</v>
      </c>
      <c r="K68" s="587">
        <v>200</v>
      </c>
      <c r="L68" s="590" t="s">
        <v>3319</v>
      </c>
    </row>
    <row r="69" spans="1:12">
      <c r="A69" s="596">
        <v>68</v>
      </c>
      <c r="B69" s="593">
        <v>18</v>
      </c>
      <c r="C69" s="585" t="s">
        <v>3344</v>
      </c>
      <c r="D69" s="586">
        <v>42338</v>
      </c>
      <c r="E69" s="585" t="s">
        <v>6</v>
      </c>
      <c r="F69" s="586">
        <v>42683</v>
      </c>
      <c r="G69" s="585" t="s">
        <v>6</v>
      </c>
      <c r="H69" s="586">
        <v>42683</v>
      </c>
      <c r="I69" s="586" t="s">
        <v>3318</v>
      </c>
      <c r="J69" s="586">
        <v>42685</v>
      </c>
      <c r="K69" s="587">
        <v>300</v>
      </c>
      <c r="L69" s="590" t="s">
        <v>3319</v>
      </c>
    </row>
    <row r="70" spans="1:12">
      <c r="A70" s="596">
        <v>69</v>
      </c>
      <c r="B70" s="593">
        <v>19</v>
      </c>
      <c r="C70" s="585" t="s">
        <v>3344</v>
      </c>
      <c r="D70" s="586">
        <v>42338</v>
      </c>
      <c r="E70" s="585" t="s">
        <v>6</v>
      </c>
      <c r="F70" s="586">
        <v>42684</v>
      </c>
      <c r="G70" s="585" t="s">
        <v>6</v>
      </c>
      <c r="H70" s="586">
        <v>42684</v>
      </c>
      <c r="I70" s="586" t="s">
        <v>3318</v>
      </c>
      <c r="J70" s="586">
        <v>42685</v>
      </c>
      <c r="K70" s="587">
        <v>270</v>
      </c>
      <c r="L70" s="590" t="s">
        <v>3319</v>
      </c>
    </row>
    <row r="71" spans="1:12">
      <c r="A71" s="596">
        <v>70</v>
      </c>
      <c r="B71" s="593">
        <v>20</v>
      </c>
      <c r="C71" s="585" t="s">
        <v>3330</v>
      </c>
      <c r="D71" s="586">
        <v>42373</v>
      </c>
      <c r="E71" s="585" t="s">
        <v>6</v>
      </c>
      <c r="F71" s="586">
        <v>42678</v>
      </c>
      <c r="G71" s="585" t="s">
        <v>3557</v>
      </c>
      <c r="H71" s="586">
        <v>42678</v>
      </c>
      <c r="I71" s="586" t="s">
        <v>3320</v>
      </c>
      <c r="J71" s="586">
        <v>42682</v>
      </c>
      <c r="K71" s="587">
        <v>1350</v>
      </c>
      <c r="L71" s="590" t="s">
        <v>20</v>
      </c>
    </row>
    <row r="72" spans="1:12">
      <c r="A72" s="596">
        <v>71</v>
      </c>
      <c r="B72" s="593">
        <v>21</v>
      </c>
      <c r="C72" s="589" t="s">
        <v>3565</v>
      </c>
      <c r="D72" s="586">
        <v>42683</v>
      </c>
      <c r="E72" s="585" t="s">
        <v>6</v>
      </c>
      <c r="F72" s="586">
        <v>42684</v>
      </c>
      <c r="G72" s="585" t="s">
        <v>6</v>
      </c>
      <c r="H72" s="586">
        <v>42684</v>
      </c>
      <c r="I72" s="586" t="s">
        <v>3318</v>
      </c>
      <c r="J72" s="586">
        <v>42688</v>
      </c>
      <c r="K72" s="587">
        <v>370</v>
      </c>
      <c r="L72" s="590"/>
    </row>
    <row r="73" spans="1:12">
      <c r="A73" s="596">
        <v>72</v>
      </c>
      <c r="B73" s="593">
        <v>22</v>
      </c>
      <c r="C73" s="585" t="s">
        <v>6</v>
      </c>
      <c r="D73" s="586">
        <v>42626</v>
      </c>
      <c r="E73" s="585" t="s">
        <v>6</v>
      </c>
      <c r="F73" s="586">
        <v>42684</v>
      </c>
      <c r="G73" s="585" t="s">
        <v>6</v>
      </c>
      <c r="H73" s="586">
        <v>42684</v>
      </c>
      <c r="I73" s="586" t="s">
        <v>3318</v>
      </c>
      <c r="J73" s="586">
        <v>42685</v>
      </c>
      <c r="K73" s="587">
        <v>270</v>
      </c>
      <c r="L73" s="587"/>
    </row>
    <row r="74" spans="1:12">
      <c r="A74" s="596">
        <v>73</v>
      </c>
      <c r="B74" s="593">
        <v>23</v>
      </c>
      <c r="C74" s="585" t="s">
        <v>6</v>
      </c>
      <c r="D74" s="586">
        <v>42625</v>
      </c>
      <c r="E74" s="585" t="s">
        <v>6</v>
      </c>
      <c r="F74" s="586">
        <v>42683</v>
      </c>
      <c r="G74" s="586">
        <v>42683</v>
      </c>
      <c r="H74" s="586">
        <v>42683</v>
      </c>
      <c r="I74" s="586" t="s">
        <v>3318</v>
      </c>
      <c r="J74" s="586">
        <v>42685</v>
      </c>
      <c r="K74" s="587">
        <v>250</v>
      </c>
      <c r="L74" s="590"/>
    </row>
    <row r="75" spans="1:12">
      <c r="A75" s="596">
        <v>74</v>
      </c>
      <c r="B75" s="593">
        <v>24</v>
      </c>
      <c r="C75" s="585" t="s">
        <v>6</v>
      </c>
      <c r="D75" s="586">
        <v>42682</v>
      </c>
      <c r="E75" s="585" t="s">
        <v>6</v>
      </c>
      <c r="F75" s="586">
        <v>42683</v>
      </c>
      <c r="G75" s="585" t="s">
        <v>6</v>
      </c>
      <c r="H75" s="586">
        <v>42683</v>
      </c>
      <c r="I75" s="586" t="s">
        <v>3318</v>
      </c>
      <c r="J75" s="586">
        <v>42685</v>
      </c>
      <c r="K75" s="587">
        <v>280</v>
      </c>
      <c r="L75" s="592" t="s">
        <v>3566</v>
      </c>
    </row>
    <row r="76" spans="1:12">
      <c r="A76" s="596">
        <v>75</v>
      </c>
      <c r="B76" s="593">
        <v>25</v>
      </c>
      <c r="C76" s="585" t="s">
        <v>3330</v>
      </c>
      <c r="D76" s="586">
        <v>42373</v>
      </c>
      <c r="E76" s="585" t="s">
        <v>6</v>
      </c>
      <c r="F76" s="586">
        <v>42685</v>
      </c>
      <c r="G76" s="585" t="s">
        <v>3550</v>
      </c>
      <c r="H76" s="586">
        <v>42685</v>
      </c>
      <c r="I76" s="586" t="s">
        <v>3320</v>
      </c>
      <c r="J76" s="586">
        <v>42688</v>
      </c>
      <c r="K76" s="587">
        <v>1400</v>
      </c>
      <c r="L76" s="590" t="s">
        <v>20</v>
      </c>
    </row>
    <row r="77" spans="1:12">
      <c r="A77" s="596">
        <v>76</v>
      </c>
      <c r="B77" s="593">
        <v>26</v>
      </c>
      <c r="C77" s="585" t="s">
        <v>6</v>
      </c>
      <c r="D77" s="586">
        <v>42389</v>
      </c>
      <c r="E77" s="585" t="s">
        <v>6</v>
      </c>
      <c r="F77" s="586">
        <v>42690</v>
      </c>
      <c r="G77" s="585" t="s">
        <v>6</v>
      </c>
      <c r="H77" s="586">
        <v>42690</v>
      </c>
      <c r="I77" s="586" t="s">
        <v>3318</v>
      </c>
      <c r="J77" s="586">
        <v>42691</v>
      </c>
      <c r="K77" s="587">
        <v>200</v>
      </c>
      <c r="L77" s="590" t="s">
        <v>3549</v>
      </c>
    </row>
    <row r="78" spans="1:12">
      <c r="A78" s="596">
        <v>77</v>
      </c>
      <c r="B78" s="593">
        <v>27</v>
      </c>
      <c r="C78" s="585" t="s">
        <v>6</v>
      </c>
      <c r="D78" s="586">
        <v>42389</v>
      </c>
      <c r="E78" s="585" t="s">
        <v>6</v>
      </c>
      <c r="F78" s="586">
        <v>42690</v>
      </c>
      <c r="G78" s="585" t="s">
        <v>6</v>
      </c>
      <c r="H78" s="586">
        <v>42690</v>
      </c>
      <c r="I78" s="586" t="s">
        <v>3318</v>
      </c>
      <c r="J78" s="586">
        <v>42691</v>
      </c>
      <c r="K78" s="587">
        <v>200</v>
      </c>
      <c r="L78" s="590" t="s">
        <v>3549</v>
      </c>
    </row>
    <row r="79" spans="1:12">
      <c r="A79" s="596">
        <v>78</v>
      </c>
      <c r="B79" s="593">
        <v>28</v>
      </c>
      <c r="C79" s="586" t="s">
        <v>3567</v>
      </c>
      <c r="D79" s="586">
        <v>42688</v>
      </c>
      <c r="E79" s="585" t="s">
        <v>6</v>
      </c>
      <c r="F79" s="586">
        <v>42690</v>
      </c>
      <c r="G79" s="585" t="s">
        <v>6</v>
      </c>
      <c r="H79" s="586">
        <v>42690</v>
      </c>
      <c r="I79" s="586" t="s">
        <v>3318</v>
      </c>
      <c r="J79" s="586">
        <v>42691</v>
      </c>
      <c r="K79" s="587">
        <v>513</v>
      </c>
      <c r="L79" s="590"/>
    </row>
    <row r="80" spans="1:12">
      <c r="A80" s="596">
        <v>79</v>
      </c>
      <c r="B80" s="593">
        <v>29</v>
      </c>
      <c r="C80" s="585" t="s">
        <v>3330</v>
      </c>
      <c r="D80" s="586">
        <v>42373</v>
      </c>
      <c r="E80" s="585" t="s">
        <v>6</v>
      </c>
      <c r="F80" s="586">
        <v>42685</v>
      </c>
      <c r="G80" s="585" t="s">
        <v>3557</v>
      </c>
      <c r="H80" s="586">
        <v>42685</v>
      </c>
      <c r="I80" s="586" t="s">
        <v>3320</v>
      </c>
      <c r="J80" s="586">
        <v>42689</v>
      </c>
      <c r="K80" s="587">
        <v>1350</v>
      </c>
      <c r="L80" s="590" t="s">
        <v>20</v>
      </c>
    </row>
    <row r="81" spans="1:12">
      <c r="A81" s="596">
        <v>80</v>
      </c>
      <c r="B81" s="593">
        <v>30</v>
      </c>
      <c r="C81" s="585" t="s">
        <v>6</v>
      </c>
      <c r="D81" s="586">
        <v>42389</v>
      </c>
      <c r="E81" s="585" t="s">
        <v>6</v>
      </c>
      <c r="F81" s="586">
        <v>42690</v>
      </c>
      <c r="G81" s="585" t="s">
        <v>3555</v>
      </c>
      <c r="H81" s="586">
        <v>42690</v>
      </c>
      <c r="I81" s="586" t="s">
        <v>3318</v>
      </c>
      <c r="J81" s="586">
        <v>42692</v>
      </c>
      <c r="K81" s="587">
        <v>1150</v>
      </c>
      <c r="L81" s="590" t="s">
        <v>2083</v>
      </c>
    </row>
    <row r="82" spans="1:12">
      <c r="A82" s="596">
        <v>81</v>
      </c>
      <c r="B82" s="593">
        <v>31</v>
      </c>
      <c r="C82" s="585" t="s">
        <v>3330</v>
      </c>
      <c r="D82" s="586">
        <v>42373</v>
      </c>
      <c r="E82" s="585" t="s">
        <v>6</v>
      </c>
      <c r="F82" s="586">
        <v>42688</v>
      </c>
      <c r="G82" s="585" t="s">
        <v>3547</v>
      </c>
      <c r="H82" s="586">
        <v>42688</v>
      </c>
      <c r="I82" s="586" t="s">
        <v>3320</v>
      </c>
      <c r="J82" s="586">
        <v>42690</v>
      </c>
      <c r="K82" s="587">
        <v>1400</v>
      </c>
      <c r="L82" s="590" t="s">
        <v>20</v>
      </c>
    </row>
    <row r="83" spans="1:12">
      <c r="A83" s="596">
        <v>82</v>
      </c>
      <c r="B83" s="593">
        <v>32</v>
      </c>
      <c r="C83" s="585" t="s">
        <v>3552</v>
      </c>
      <c r="D83" s="586">
        <v>42662</v>
      </c>
      <c r="E83" s="585" t="s">
        <v>6</v>
      </c>
      <c r="F83" s="586">
        <v>42691</v>
      </c>
      <c r="G83" s="585" t="s">
        <v>3557</v>
      </c>
      <c r="H83" s="586">
        <v>42691</v>
      </c>
      <c r="I83" s="586" t="s">
        <v>3318</v>
      </c>
      <c r="J83" s="586">
        <v>42695</v>
      </c>
      <c r="K83" s="587">
        <v>300</v>
      </c>
      <c r="L83" s="587"/>
    </row>
    <row r="84" spans="1:12">
      <c r="A84" s="596">
        <v>83</v>
      </c>
      <c r="B84" s="593">
        <v>33</v>
      </c>
      <c r="C84" s="585" t="s">
        <v>3552</v>
      </c>
      <c r="D84" s="586">
        <v>42662</v>
      </c>
      <c r="E84" s="585" t="s">
        <v>6</v>
      </c>
      <c r="F84" s="586">
        <v>42691</v>
      </c>
      <c r="G84" s="585" t="s">
        <v>3568</v>
      </c>
      <c r="H84" s="586">
        <v>42691</v>
      </c>
      <c r="I84" s="586" t="s">
        <v>3318</v>
      </c>
      <c r="J84" s="586">
        <v>42695</v>
      </c>
      <c r="K84" s="587">
        <v>100</v>
      </c>
      <c r="L84" s="587"/>
    </row>
    <row r="85" spans="1:12">
      <c r="A85" s="596">
        <v>84</v>
      </c>
      <c r="B85" s="593">
        <v>34</v>
      </c>
      <c r="C85" s="585" t="s">
        <v>6</v>
      </c>
      <c r="D85" s="586">
        <v>42353</v>
      </c>
      <c r="E85" s="585" t="s">
        <v>6</v>
      </c>
      <c r="F85" s="586">
        <v>42693</v>
      </c>
      <c r="G85" s="585" t="s">
        <v>6</v>
      </c>
      <c r="H85" s="586">
        <v>42693</v>
      </c>
      <c r="I85" s="586" t="s">
        <v>3318</v>
      </c>
      <c r="J85" s="586">
        <v>42695</v>
      </c>
      <c r="K85" s="587">
        <v>240</v>
      </c>
      <c r="L85" s="587"/>
    </row>
    <row r="86" spans="1:12">
      <c r="A86" s="596">
        <v>85</v>
      </c>
      <c r="B86" s="593">
        <v>35</v>
      </c>
      <c r="C86" s="585" t="s">
        <v>6</v>
      </c>
      <c r="D86" s="586">
        <v>42031</v>
      </c>
      <c r="E86" s="585" t="s">
        <v>6</v>
      </c>
      <c r="F86" s="586">
        <v>42691</v>
      </c>
      <c r="G86" s="585" t="s">
        <v>6</v>
      </c>
      <c r="H86" s="586">
        <v>42691</v>
      </c>
      <c r="I86" s="586" t="s">
        <v>3318</v>
      </c>
      <c r="J86" s="586">
        <v>42695</v>
      </c>
      <c r="K86" s="587">
        <v>100</v>
      </c>
      <c r="L86" s="592"/>
    </row>
    <row r="87" spans="1:12">
      <c r="A87" s="596">
        <v>86</v>
      </c>
      <c r="B87" s="593">
        <v>36</v>
      </c>
      <c r="C87" s="585" t="s">
        <v>3330</v>
      </c>
      <c r="D87" s="586">
        <v>42373</v>
      </c>
      <c r="E87" s="585" t="s">
        <v>6</v>
      </c>
      <c r="F87" s="586">
        <v>42688</v>
      </c>
      <c r="G87" s="585" t="s">
        <v>6</v>
      </c>
      <c r="H87" s="586">
        <v>42688</v>
      </c>
      <c r="I87" s="586" t="s">
        <v>3320</v>
      </c>
      <c r="J87" s="586">
        <v>42690</v>
      </c>
      <c r="K87" s="587">
        <v>1350</v>
      </c>
      <c r="L87" s="590" t="s">
        <v>20</v>
      </c>
    </row>
    <row r="88" spans="1:12">
      <c r="A88" s="596">
        <v>87</v>
      </c>
      <c r="B88" s="593">
        <v>37</v>
      </c>
      <c r="C88" s="585" t="s">
        <v>6</v>
      </c>
      <c r="D88" s="586">
        <v>42682</v>
      </c>
      <c r="E88" s="585" t="s">
        <v>6</v>
      </c>
      <c r="F88" s="586">
        <v>42691</v>
      </c>
      <c r="G88" s="585" t="s">
        <v>6</v>
      </c>
      <c r="H88" s="586">
        <v>42691</v>
      </c>
      <c r="I88" s="586" t="s">
        <v>3318</v>
      </c>
      <c r="J88" s="586">
        <v>42695</v>
      </c>
      <c r="K88" s="587">
        <v>150</v>
      </c>
      <c r="L88" s="587"/>
    </row>
    <row r="89" spans="1:12">
      <c r="A89" s="596">
        <v>88</v>
      </c>
      <c r="B89" s="593">
        <v>38</v>
      </c>
      <c r="C89" s="585" t="s">
        <v>6</v>
      </c>
      <c r="D89" s="586">
        <v>42480</v>
      </c>
      <c r="E89" s="585" t="s">
        <v>6</v>
      </c>
      <c r="F89" s="586">
        <v>42692</v>
      </c>
      <c r="G89" s="586">
        <v>42692</v>
      </c>
      <c r="H89" s="586">
        <v>42692</v>
      </c>
      <c r="I89" s="586" t="s">
        <v>3318</v>
      </c>
      <c r="J89" s="586">
        <v>42695</v>
      </c>
      <c r="K89" s="587">
        <v>98</v>
      </c>
      <c r="L89" s="592"/>
    </row>
    <row r="90" spans="1:12">
      <c r="A90" s="596">
        <v>89</v>
      </c>
      <c r="B90" s="593">
        <v>39</v>
      </c>
      <c r="C90" s="585" t="s">
        <v>3330</v>
      </c>
      <c r="D90" s="586">
        <v>42373</v>
      </c>
      <c r="E90" s="585" t="s">
        <v>6</v>
      </c>
      <c r="F90" s="586">
        <v>42692</v>
      </c>
      <c r="G90" s="585" t="s">
        <v>6</v>
      </c>
      <c r="H90" s="586">
        <v>42692</v>
      </c>
      <c r="I90" s="586" t="s">
        <v>3320</v>
      </c>
      <c r="J90" s="586">
        <v>42695</v>
      </c>
      <c r="K90" s="587">
        <v>1350</v>
      </c>
      <c r="L90" s="590" t="s">
        <v>20</v>
      </c>
    </row>
    <row r="91" spans="1:12">
      <c r="A91" s="596">
        <v>90</v>
      </c>
      <c r="B91" s="593">
        <v>40</v>
      </c>
      <c r="C91" s="585">
        <v>140</v>
      </c>
      <c r="D91" s="586" t="s">
        <v>3569</v>
      </c>
      <c r="E91" s="585" t="s">
        <v>6</v>
      </c>
      <c r="F91" s="586">
        <v>42696</v>
      </c>
      <c r="G91" s="585" t="s">
        <v>3570</v>
      </c>
      <c r="H91" s="586" t="s">
        <v>3571</v>
      </c>
      <c r="I91" s="586" t="s">
        <v>3318</v>
      </c>
      <c r="J91" s="586">
        <v>42698</v>
      </c>
      <c r="K91" s="587">
        <v>550</v>
      </c>
      <c r="L91" s="587"/>
    </row>
    <row r="92" spans="1:12">
      <c r="A92" s="596">
        <v>91</v>
      </c>
      <c r="B92" s="593">
        <v>41</v>
      </c>
      <c r="C92" s="585">
        <v>541</v>
      </c>
      <c r="D92" s="586">
        <v>41905</v>
      </c>
      <c r="E92" s="585" t="s">
        <v>6</v>
      </c>
      <c r="F92" s="586">
        <v>42696</v>
      </c>
      <c r="G92" s="585" t="s">
        <v>3321</v>
      </c>
      <c r="H92" s="586">
        <v>42696</v>
      </c>
      <c r="I92" s="586" t="s">
        <v>3318</v>
      </c>
      <c r="J92" s="586">
        <v>42698</v>
      </c>
      <c r="K92" s="587">
        <v>350</v>
      </c>
      <c r="L92" s="587"/>
    </row>
    <row r="93" spans="1:12">
      <c r="A93" s="596">
        <v>92</v>
      </c>
      <c r="B93" s="593">
        <v>42</v>
      </c>
      <c r="C93" s="585" t="s">
        <v>3330</v>
      </c>
      <c r="D93" s="586">
        <v>42373</v>
      </c>
      <c r="E93" s="585" t="s">
        <v>6</v>
      </c>
      <c r="F93" s="586">
        <v>42695</v>
      </c>
      <c r="G93" s="585" t="s">
        <v>6</v>
      </c>
      <c r="H93" s="586">
        <v>42695</v>
      </c>
      <c r="I93" s="586" t="s">
        <v>3320</v>
      </c>
      <c r="J93" s="586">
        <v>42697</v>
      </c>
      <c r="K93" s="587">
        <v>1350</v>
      </c>
      <c r="L93" s="590" t="s">
        <v>20</v>
      </c>
    </row>
    <row r="94" spans="1:12">
      <c r="A94" s="596">
        <v>93</v>
      </c>
      <c r="B94" s="593">
        <v>43</v>
      </c>
      <c r="C94" s="585" t="s">
        <v>6</v>
      </c>
      <c r="D94" s="586">
        <v>41659</v>
      </c>
      <c r="E94" s="585" t="s">
        <v>6</v>
      </c>
      <c r="F94" s="586">
        <v>42698</v>
      </c>
      <c r="G94" s="585" t="s">
        <v>3321</v>
      </c>
      <c r="H94" s="586" t="s">
        <v>3572</v>
      </c>
      <c r="I94" s="586" t="s">
        <v>3318</v>
      </c>
      <c r="J94" s="586">
        <v>42702</v>
      </c>
      <c r="K94" s="587">
        <v>700</v>
      </c>
      <c r="L94" s="587" t="s">
        <v>2083</v>
      </c>
    </row>
    <row r="95" spans="1:12">
      <c r="A95" s="596">
        <v>94</v>
      </c>
      <c r="B95" s="593">
        <v>44</v>
      </c>
      <c r="C95" s="585" t="s">
        <v>3573</v>
      </c>
      <c r="D95" s="586">
        <v>41967</v>
      </c>
      <c r="E95" s="585" t="s">
        <v>6</v>
      </c>
      <c r="F95" s="586">
        <v>42699</v>
      </c>
      <c r="G95" s="585" t="s">
        <v>6</v>
      </c>
      <c r="H95" s="586">
        <v>42699</v>
      </c>
      <c r="I95" s="586" t="s">
        <v>3318</v>
      </c>
      <c r="J95" s="586">
        <v>42702</v>
      </c>
      <c r="K95" s="587">
        <v>350</v>
      </c>
      <c r="L95" s="587"/>
    </row>
    <row r="96" spans="1:12">
      <c r="A96" s="596">
        <v>95</v>
      </c>
      <c r="B96" s="593">
        <v>45</v>
      </c>
      <c r="C96" s="585" t="s">
        <v>3330</v>
      </c>
      <c r="D96" s="586">
        <v>42373</v>
      </c>
      <c r="E96" s="585" t="s">
        <v>6</v>
      </c>
      <c r="F96" s="586">
        <v>42696</v>
      </c>
      <c r="G96" s="585" t="s">
        <v>3550</v>
      </c>
      <c r="H96" s="586">
        <v>42696</v>
      </c>
      <c r="I96" s="586" t="s">
        <v>3320</v>
      </c>
      <c r="J96" s="586">
        <v>42697</v>
      </c>
      <c r="K96" s="587">
        <v>1350</v>
      </c>
      <c r="L96" s="590" t="s">
        <v>20</v>
      </c>
    </row>
    <row r="97" spans="1:13">
      <c r="A97" s="596">
        <v>96</v>
      </c>
      <c r="B97" s="593">
        <v>46</v>
      </c>
      <c r="C97" s="585" t="s">
        <v>6</v>
      </c>
      <c r="D97" s="586">
        <v>42480</v>
      </c>
      <c r="E97" s="585" t="s">
        <v>6</v>
      </c>
      <c r="F97" s="586">
        <v>42699</v>
      </c>
      <c r="G97" s="586">
        <v>42699</v>
      </c>
      <c r="H97" s="586">
        <v>42699</v>
      </c>
      <c r="I97" s="586" t="s">
        <v>3318</v>
      </c>
      <c r="J97" s="586">
        <v>42702</v>
      </c>
      <c r="K97" s="587">
        <v>98</v>
      </c>
      <c r="L97" s="592"/>
    </row>
    <row r="98" spans="1:13">
      <c r="A98" s="596">
        <v>97</v>
      </c>
      <c r="B98" s="593">
        <v>47</v>
      </c>
      <c r="C98" s="585" t="s">
        <v>3574</v>
      </c>
      <c r="D98" s="586">
        <v>42697</v>
      </c>
      <c r="E98" s="585" t="s">
        <v>6</v>
      </c>
      <c r="F98" s="586">
        <v>42698</v>
      </c>
      <c r="G98" s="585" t="s">
        <v>6</v>
      </c>
      <c r="H98" s="586">
        <v>42698</v>
      </c>
      <c r="I98" s="586" t="s">
        <v>3318</v>
      </c>
      <c r="J98" s="586">
        <v>42702</v>
      </c>
      <c r="K98" s="587">
        <v>370</v>
      </c>
      <c r="L98" s="592"/>
    </row>
    <row r="99" spans="1:13">
      <c r="A99" s="596">
        <v>98</v>
      </c>
      <c r="B99" s="593">
        <v>48</v>
      </c>
      <c r="C99" s="585" t="s">
        <v>3575</v>
      </c>
      <c r="D99" s="586">
        <v>42122</v>
      </c>
      <c r="E99" s="585" t="s">
        <v>6</v>
      </c>
      <c r="F99" s="586">
        <v>42699</v>
      </c>
      <c r="G99" s="586">
        <v>42699</v>
      </c>
      <c r="H99" s="586">
        <v>42699</v>
      </c>
      <c r="I99" s="586" t="s">
        <v>3318</v>
      </c>
      <c r="J99" s="586">
        <v>42702</v>
      </c>
      <c r="K99" s="587">
        <v>270</v>
      </c>
      <c r="L99" s="590"/>
    </row>
    <row r="100" spans="1:13">
      <c r="A100" s="596">
        <v>99</v>
      </c>
      <c r="B100" s="593">
        <v>49</v>
      </c>
      <c r="C100" s="585" t="s">
        <v>3330</v>
      </c>
      <c r="D100" s="586">
        <v>42373</v>
      </c>
      <c r="E100" s="585" t="s">
        <v>6</v>
      </c>
      <c r="F100" s="586">
        <v>42699</v>
      </c>
      <c r="G100" s="585" t="s">
        <v>3550</v>
      </c>
      <c r="H100" s="586">
        <v>42699</v>
      </c>
      <c r="I100" s="586" t="s">
        <v>3320</v>
      </c>
      <c r="J100" s="586">
        <v>42702</v>
      </c>
      <c r="K100" s="587">
        <v>1350</v>
      </c>
      <c r="L100" s="590" t="s">
        <v>20</v>
      </c>
    </row>
    <row r="101" spans="1:13">
      <c r="A101" s="596">
        <v>100</v>
      </c>
      <c r="B101" s="593">
        <v>50</v>
      </c>
      <c r="C101" s="585" t="s">
        <v>3330</v>
      </c>
      <c r="D101" s="586">
        <v>42373</v>
      </c>
      <c r="E101" s="585" t="s">
        <v>6</v>
      </c>
      <c r="F101" s="586">
        <v>42702</v>
      </c>
      <c r="G101" s="585" t="s">
        <v>3557</v>
      </c>
      <c r="H101" s="586">
        <v>42702</v>
      </c>
      <c r="I101" s="586" t="s">
        <v>3320</v>
      </c>
      <c r="J101" s="586">
        <v>42704</v>
      </c>
      <c r="K101" s="587">
        <v>1350</v>
      </c>
      <c r="L101" s="590" t="s">
        <v>20</v>
      </c>
    </row>
    <row r="102" spans="1:13">
      <c r="A102" s="596">
        <v>101</v>
      </c>
      <c r="B102" s="596">
        <v>1</v>
      </c>
      <c r="C102" s="585" t="s">
        <v>6</v>
      </c>
      <c r="D102" s="586">
        <v>42389</v>
      </c>
      <c r="E102" s="585" t="s">
        <v>6</v>
      </c>
      <c r="F102" s="586">
        <v>42703</v>
      </c>
      <c r="G102" s="585" t="s">
        <v>6</v>
      </c>
      <c r="H102" s="586">
        <v>42703</v>
      </c>
      <c r="I102" s="586" t="s">
        <v>3318</v>
      </c>
      <c r="J102" s="586">
        <v>42705</v>
      </c>
      <c r="K102" s="587">
        <v>500</v>
      </c>
      <c r="L102" s="592" t="s">
        <v>3543</v>
      </c>
      <c r="M102" s="5">
        <f>SUM(K102:K161)</f>
        <v>35020</v>
      </c>
    </row>
    <row r="103" spans="1:13">
      <c r="A103" s="596">
        <v>102</v>
      </c>
      <c r="B103" s="596">
        <v>2</v>
      </c>
      <c r="C103" s="585" t="s">
        <v>6</v>
      </c>
      <c r="D103" s="586">
        <v>42625</v>
      </c>
      <c r="E103" s="585" t="s">
        <v>6</v>
      </c>
      <c r="F103" s="586">
        <v>42703</v>
      </c>
      <c r="G103" s="585" t="s">
        <v>3576</v>
      </c>
      <c r="H103" s="586">
        <v>42703</v>
      </c>
      <c r="I103" s="586" t="s">
        <v>3318</v>
      </c>
      <c r="J103" s="586">
        <v>42705</v>
      </c>
      <c r="K103" s="587">
        <v>516</v>
      </c>
      <c r="L103" s="590"/>
    </row>
    <row r="104" spans="1:13">
      <c r="A104" s="596">
        <v>103</v>
      </c>
      <c r="B104" s="596">
        <v>3</v>
      </c>
      <c r="C104" s="585" t="s">
        <v>6</v>
      </c>
      <c r="D104" s="586">
        <v>42443</v>
      </c>
      <c r="E104" s="585" t="s">
        <v>6</v>
      </c>
      <c r="F104" s="586">
        <v>42704</v>
      </c>
      <c r="G104" s="585" t="s">
        <v>6</v>
      </c>
      <c r="H104" s="586">
        <v>42704</v>
      </c>
      <c r="I104" s="586" t="s">
        <v>3318</v>
      </c>
      <c r="J104" s="586">
        <v>42705</v>
      </c>
      <c r="K104" s="587">
        <v>100</v>
      </c>
      <c r="L104" s="592"/>
    </row>
    <row r="105" spans="1:13">
      <c r="A105" s="596">
        <v>104</v>
      </c>
      <c r="B105" s="596">
        <v>4</v>
      </c>
      <c r="C105" s="585" t="s">
        <v>3558</v>
      </c>
      <c r="D105" s="586">
        <v>42669</v>
      </c>
      <c r="E105" s="585" t="s">
        <v>6</v>
      </c>
      <c r="F105" s="586">
        <v>42705</v>
      </c>
      <c r="G105" s="585" t="s">
        <v>3547</v>
      </c>
      <c r="H105" s="586">
        <v>42705</v>
      </c>
      <c r="I105" s="586" t="s">
        <v>3318</v>
      </c>
      <c r="J105" s="586">
        <v>42707</v>
      </c>
      <c r="K105" s="587">
        <v>410</v>
      </c>
      <c r="L105" s="590"/>
    </row>
    <row r="106" spans="1:13">
      <c r="A106" s="596">
        <v>105</v>
      </c>
      <c r="B106" s="596">
        <v>5</v>
      </c>
      <c r="C106" s="585" t="s">
        <v>6</v>
      </c>
      <c r="D106" s="586">
        <v>42682</v>
      </c>
      <c r="E106" s="585" t="s">
        <v>6</v>
      </c>
      <c r="F106" s="586">
        <v>42706</v>
      </c>
      <c r="G106" s="585" t="s">
        <v>6</v>
      </c>
      <c r="H106" s="586">
        <v>42706</v>
      </c>
      <c r="I106" s="586" t="s">
        <v>3318</v>
      </c>
      <c r="J106" s="586">
        <v>42709</v>
      </c>
      <c r="K106" s="587">
        <v>280</v>
      </c>
      <c r="L106" s="590"/>
    </row>
    <row r="107" spans="1:13">
      <c r="A107" s="596">
        <v>106</v>
      </c>
      <c r="B107" s="596">
        <v>6</v>
      </c>
      <c r="C107" s="585" t="s">
        <v>6</v>
      </c>
      <c r="D107" s="586">
        <v>42509</v>
      </c>
      <c r="E107" s="585" t="s">
        <v>6</v>
      </c>
      <c r="F107" s="586">
        <v>42706</v>
      </c>
      <c r="G107" s="585" t="s">
        <v>6</v>
      </c>
      <c r="H107" s="586">
        <v>42706</v>
      </c>
      <c r="I107" s="586" t="s">
        <v>3318</v>
      </c>
      <c r="J107" s="586">
        <v>42709</v>
      </c>
      <c r="K107" s="587">
        <v>430</v>
      </c>
      <c r="L107" s="590"/>
    </row>
    <row r="108" spans="1:13">
      <c r="A108" s="596">
        <v>107</v>
      </c>
      <c r="B108" s="596">
        <v>7</v>
      </c>
      <c r="C108" s="585" t="s">
        <v>3330</v>
      </c>
      <c r="D108" s="586">
        <v>42373</v>
      </c>
      <c r="E108" s="585" t="s">
        <v>6</v>
      </c>
      <c r="F108" s="586">
        <v>42702</v>
      </c>
      <c r="G108" s="585" t="s">
        <v>3557</v>
      </c>
      <c r="H108" s="586">
        <v>42702</v>
      </c>
      <c r="I108" s="586" t="s">
        <v>3320</v>
      </c>
      <c r="J108" s="586">
        <v>42705</v>
      </c>
      <c r="K108" s="587">
        <v>1350</v>
      </c>
      <c r="L108" s="590" t="s">
        <v>20</v>
      </c>
    </row>
    <row r="109" spans="1:13">
      <c r="A109" s="596">
        <v>108</v>
      </c>
      <c r="B109" s="596">
        <v>8</v>
      </c>
      <c r="C109" s="585" t="s">
        <v>6</v>
      </c>
      <c r="D109" s="586">
        <v>42480</v>
      </c>
      <c r="E109" s="585" t="s">
        <v>6</v>
      </c>
      <c r="F109" s="586">
        <v>42706</v>
      </c>
      <c r="G109" s="586">
        <v>42706</v>
      </c>
      <c r="H109" s="586">
        <v>42706</v>
      </c>
      <c r="I109" s="586" t="s">
        <v>3318</v>
      </c>
      <c r="J109" s="586">
        <v>42709</v>
      </c>
      <c r="K109" s="587">
        <v>99</v>
      </c>
      <c r="L109" s="587"/>
    </row>
    <row r="110" spans="1:13">
      <c r="A110" s="596">
        <v>109</v>
      </c>
      <c r="B110" s="596">
        <v>9</v>
      </c>
      <c r="C110" s="585" t="s">
        <v>6</v>
      </c>
      <c r="D110" s="586">
        <v>42404</v>
      </c>
      <c r="E110" s="585" t="s">
        <v>6</v>
      </c>
      <c r="F110" s="586">
        <v>42705</v>
      </c>
      <c r="G110" s="585" t="s">
        <v>6</v>
      </c>
      <c r="H110" s="586">
        <v>42705</v>
      </c>
      <c r="I110" s="586" t="s">
        <v>3318</v>
      </c>
      <c r="J110" s="586">
        <v>42709</v>
      </c>
      <c r="K110" s="587">
        <v>100</v>
      </c>
      <c r="L110" s="587" t="s">
        <v>3577</v>
      </c>
    </row>
    <row r="111" spans="1:13">
      <c r="A111" s="596">
        <v>110</v>
      </c>
      <c r="B111" s="596">
        <v>10</v>
      </c>
      <c r="C111" s="585" t="s">
        <v>6</v>
      </c>
      <c r="D111" s="586">
        <v>42389</v>
      </c>
      <c r="E111" s="585" t="s">
        <v>6</v>
      </c>
      <c r="F111" s="586">
        <v>42706</v>
      </c>
      <c r="G111" s="585" t="s">
        <v>6</v>
      </c>
      <c r="H111" s="586">
        <v>42706</v>
      </c>
      <c r="I111" s="586" t="s">
        <v>3318</v>
      </c>
      <c r="J111" s="586">
        <v>42709</v>
      </c>
      <c r="K111" s="587">
        <v>110</v>
      </c>
      <c r="L111" s="592" t="s">
        <v>3549</v>
      </c>
    </row>
    <row r="112" spans="1:13">
      <c r="A112" s="596">
        <v>111</v>
      </c>
      <c r="B112" s="596">
        <v>11</v>
      </c>
      <c r="C112" s="585" t="s">
        <v>3330</v>
      </c>
      <c r="D112" s="586">
        <v>42373</v>
      </c>
      <c r="E112" s="585" t="s">
        <v>6</v>
      </c>
      <c r="F112" s="586">
        <v>42706</v>
      </c>
      <c r="G112" s="585" t="s">
        <v>3547</v>
      </c>
      <c r="H112" s="586">
        <v>42706</v>
      </c>
      <c r="I112" s="586" t="s">
        <v>3320</v>
      </c>
      <c r="J112" s="586">
        <v>42709</v>
      </c>
      <c r="K112" s="587">
        <v>1350</v>
      </c>
      <c r="L112" s="590" t="s">
        <v>20</v>
      </c>
    </row>
    <row r="113" spans="1:12">
      <c r="A113" s="596">
        <v>112</v>
      </c>
      <c r="B113" s="596">
        <v>12</v>
      </c>
      <c r="C113" s="585" t="s">
        <v>3344</v>
      </c>
      <c r="D113" s="586">
        <v>42338</v>
      </c>
      <c r="E113" s="585" t="s">
        <v>6</v>
      </c>
      <c r="F113" s="586">
        <v>42711</v>
      </c>
      <c r="G113" s="585" t="s">
        <v>6</v>
      </c>
      <c r="H113" s="586">
        <v>42711</v>
      </c>
      <c r="I113" s="586" t="s">
        <v>3318</v>
      </c>
      <c r="J113" s="586">
        <v>42713</v>
      </c>
      <c r="K113" s="587">
        <v>350</v>
      </c>
      <c r="L113" s="590" t="s">
        <v>3319</v>
      </c>
    </row>
    <row r="114" spans="1:12">
      <c r="A114" s="596">
        <v>113</v>
      </c>
      <c r="B114" s="596">
        <v>13</v>
      </c>
      <c r="C114" s="585" t="s">
        <v>3344</v>
      </c>
      <c r="D114" s="586">
        <v>42338</v>
      </c>
      <c r="E114" s="585" t="s">
        <v>6</v>
      </c>
      <c r="F114" s="586">
        <v>42711</v>
      </c>
      <c r="G114" s="585" t="s">
        <v>6</v>
      </c>
      <c r="H114" s="586">
        <v>42711</v>
      </c>
      <c r="I114" s="586" t="s">
        <v>3318</v>
      </c>
      <c r="J114" s="586">
        <v>42712</v>
      </c>
      <c r="K114" s="587">
        <v>100</v>
      </c>
      <c r="L114" s="590" t="s">
        <v>3319</v>
      </c>
    </row>
    <row r="115" spans="1:12">
      <c r="A115" s="596">
        <v>114</v>
      </c>
      <c r="B115" s="596">
        <v>14</v>
      </c>
      <c r="C115" s="585" t="s">
        <v>3565</v>
      </c>
      <c r="D115" s="586">
        <v>42683</v>
      </c>
      <c r="E115" s="585" t="s">
        <v>6</v>
      </c>
      <c r="F115" s="586">
        <v>42710</v>
      </c>
      <c r="G115" s="585" t="s">
        <v>3547</v>
      </c>
      <c r="H115" s="586">
        <v>42710</v>
      </c>
      <c r="I115" s="586" t="s">
        <v>3318</v>
      </c>
      <c r="J115" s="586">
        <v>42712</v>
      </c>
      <c r="K115" s="587">
        <v>350</v>
      </c>
      <c r="L115" s="592"/>
    </row>
    <row r="116" spans="1:12">
      <c r="A116" s="596">
        <v>115</v>
      </c>
      <c r="B116" s="596">
        <v>15</v>
      </c>
      <c r="C116" s="585" t="s">
        <v>6</v>
      </c>
      <c r="D116" s="586">
        <v>42040</v>
      </c>
      <c r="E116" s="585" t="s">
        <v>6</v>
      </c>
      <c r="F116" s="586">
        <v>42711</v>
      </c>
      <c r="G116" s="585" t="s">
        <v>6</v>
      </c>
      <c r="H116" s="586">
        <v>42711</v>
      </c>
      <c r="I116" s="586" t="s">
        <v>3318</v>
      </c>
      <c r="J116" s="586">
        <v>42712</v>
      </c>
      <c r="K116" s="587">
        <v>280</v>
      </c>
      <c r="L116" s="598"/>
    </row>
    <row r="117" spans="1:12">
      <c r="A117" s="596">
        <v>116</v>
      </c>
      <c r="B117" s="596">
        <v>16</v>
      </c>
      <c r="C117" s="585" t="s">
        <v>3330</v>
      </c>
      <c r="D117" s="586">
        <v>42373</v>
      </c>
      <c r="E117" s="585" t="s">
        <v>6</v>
      </c>
      <c r="F117" s="586">
        <v>42706</v>
      </c>
      <c r="G117" s="585" t="s">
        <v>6</v>
      </c>
      <c r="H117" s="586">
        <v>42706</v>
      </c>
      <c r="I117" s="586" t="s">
        <v>3320</v>
      </c>
      <c r="J117" s="586">
        <v>42710</v>
      </c>
      <c r="K117" s="587">
        <v>1350</v>
      </c>
      <c r="L117" s="590" t="s">
        <v>20</v>
      </c>
    </row>
    <row r="118" spans="1:12">
      <c r="A118" s="596">
        <v>117</v>
      </c>
      <c r="B118" s="596">
        <v>17</v>
      </c>
      <c r="C118" s="585" t="s">
        <v>6</v>
      </c>
      <c r="D118" s="586">
        <v>41659</v>
      </c>
      <c r="E118" s="585" t="s">
        <v>6</v>
      </c>
      <c r="F118" s="586">
        <v>42713</v>
      </c>
      <c r="G118" s="585" t="s">
        <v>3550</v>
      </c>
      <c r="H118" s="586" t="s">
        <v>3578</v>
      </c>
      <c r="I118" s="586" t="s">
        <v>3318</v>
      </c>
      <c r="J118" s="586">
        <v>42716</v>
      </c>
      <c r="K118" s="587">
        <v>1100</v>
      </c>
      <c r="L118" s="587" t="s">
        <v>2083</v>
      </c>
    </row>
    <row r="119" spans="1:12">
      <c r="A119" s="596">
        <v>118</v>
      </c>
      <c r="B119" s="596">
        <v>18</v>
      </c>
      <c r="C119" s="585" t="s">
        <v>3330</v>
      </c>
      <c r="D119" s="586">
        <v>42373</v>
      </c>
      <c r="E119" s="585" t="s">
        <v>6</v>
      </c>
      <c r="F119" s="586">
        <v>42709</v>
      </c>
      <c r="G119" s="585" t="s">
        <v>6</v>
      </c>
      <c r="H119" s="586">
        <v>42709</v>
      </c>
      <c r="I119" s="586" t="s">
        <v>3320</v>
      </c>
      <c r="J119" s="586">
        <v>42711</v>
      </c>
      <c r="K119" s="587">
        <v>1350</v>
      </c>
      <c r="L119" s="590" t="s">
        <v>20</v>
      </c>
    </row>
    <row r="120" spans="1:12">
      <c r="A120" s="596">
        <v>119</v>
      </c>
      <c r="B120" s="596">
        <v>19</v>
      </c>
      <c r="C120" s="585" t="s">
        <v>6</v>
      </c>
      <c r="D120" s="586">
        <v>41659</v>
      </c>
      <c r="E120" s="585" t="s">
        <v>6</v>
      </c>
      <c r="F120" s="586">
        <v>42713</v>
      </c>
      <c r="G120" s="586">
        <v>42713</v>
      </c>
      <c r="H120" s="586">
        <v>42713</v>
      </c>
      <c r="I120" s="586" t="s">
        <v>3318</v>
      </c>
      <c r="J120" s="586">
        <v>42716</v>
      </c>
      <c r="K120" s="587">
        <v>470</v>
      </c>
      <c r="L120" s="587" t="s">
        <v>2083</v>
      </c>
    </row>
    <row r="121" spans="1:12">
      <c r="A121" s="596">
        <v>120</v>
      </c>
      <c r="B121" s="596">
        <v>20</v>
      </c>
      <c r="C121" s="585" t="s">
        <v>6</v>
      </c>
      <c r="D121" s="586">
        <v>42480</v>
      </c>
      <c r="E121" s="585" t="s">
        <v>6</v>
      </c>
      <c r="F121" s="586">
        <v>42713</v>
      </c>
      <c r="G121" s="586">
        <v>42713</v>
      </c>
      <c r="H121" s="586">
        <v>42713</v>
      </c>
      <c r="I121" s="586" t="s">
        <v>3318</v>
      </c>
      <c r="J121" s="586">
        <v>42716</v>
      </c>
      <c r="K121" s="587">
        <v>99</v>
      </c>
      <c r="L121" s="592"/>
    </row>
    <row r="122" spans="1:12">
      <c r="A122" s="596">
        <v>121</v>
      </c>
      <c r="B122" s="596">
        <v>21</v>
      </c>
      <c r="C122" s="585" t="s">
        <v>6</v>
      </c>
      <c r="D122" s="586">
        <v>42404</v>
      </c>
      <c r="E122" s="585" t="s">
        <v>6</v>
      </c>
      <c r="F122" s="586">
        <v>42712</v>
      </c>
      <c r="G122" s="585" t="s">
        <v>6</v>
      </c>
      <c r="H122" s="586">
        <v>42712</v>
      </c>
      <c r="I122" s="586" t="s">
        <v>3318</v>
      </c>
      <c r="J122" s="586">
        <v>42716</v>
      </c>
      <c r="K122" s="587">
        <v>80</v>
      </c>
      <c r="L122" s="587" t="s">
        <v>3577</v>
      </c>
    </row>
    <row r="123" spans="1:12">
      <c r="A123" s="596">
        <v>122</v>
      </c>
      <c r="B123" s="596">
        <v>22</v>
      </c>
      <c r="C123" s="585" t="s">
        <v>6</v>
      </c>
      <c r="D123" s="586">
        <v>42396</v>
      </c>
      <c r="E123" s="585" t="s">
        <v>6</v>
      </c>
      <c r="F123" s="586">
        <v>42712</v>
      </c>
      <c r="G123" s="585" t="s">
        <v>6</v>
      </c>
      <c r="H123" s="586">
        <v>42712</v>
      </c>
      <c r="I123" s="586" t="s">
        <v>3318</v>
      </c>
      <c r="J123" s="586">
        <v>42716</v>
      </c>
      <c r="K123" s="587">
        <v>60</v>
      </c>
      <c r="L123" s="587" t="s">
        <v>3542</v>
      </c>
    </row>
    <row r="124" spans="1:12">
      <c r="A124" s="596">
        <v>123</v>
      </c>
      <c r="B124" s="596">
        <v>23</v>
      </c>
      <c r="C124" s="585" t="s">
        <v>3330</v>
      </c>
      <c r="D124" s="586">
        <v>42373</v>
      </c>
      <c r="E124" s="585" t="s">
        <v>6</v>
      </c>
      <c r="F124" s="586">
        <v>42713</v>
      </c>
      <c r="G124" s="585" t="s">
        <v>6</v>
      </c>
      <c r="H124" s="586">
        <v>42713</v>
      </c>
      <c r="I124" s="586" t="s">
        <v>3320</v>
      </c>
      <c r="J124" s="586">
        <v>42716</v>
      </c>
      <c r="K124" s="587">
        <v>1350</v>
      </c>
      <c r="L124" s="590" t="s">
        <v>20</v>
      </c>
    </row>
    <row r="125" spans="1:12">
      <c r="A125" s="596">
        <v>124</v>
      </c>
      <c r="B125" s="596">
        <v>24</v>
      </c>
      <c r="C125" s="585">
        <v>247</v>
      </c>
      <c r="D125" s="586">
        <v>42718</v>
      </c>
      <c r="E125" s="585" t="s">
        <v>6</v>
      </c>
      <c r="F125" s="586">
        <v>42719</v>
      </c>
      <c r="G125" s="585" t="s">
        <v>6</v>
      </c>
      <c r="H125" s="586">
        <v>42719</v>
      </c>
      <c r="I125" s="586" t="s">
        <v>3318</v>
      </c>
      <c r="J125" s="586">
        <v>42720</v>
      </c>
      <c r="K125" s="587">
        <v>350</v>
      </c>
      <c r="L125" s="590"/>
    </row>
    <row r="126" spans="1:12">
      <c r="A126" s="596">
        <v>125</v>
      </c>
      <c r="B126" s="596">
        <v>25</v>
      </c>
      <c r="C126" s="585">
        <v>221</v>
      </c>
      <c r="D126" s="586">
        <v>42263</v>
      </c>
      <c r="E126" s="585" t="s">
        <v>6</v>
      </c>
      <c r="F126" s="586">
        <v>42719</v>
      </c>
      <c r="G126" s="607">
        <v>1658381</v>
      </c>
      <c r="H126" s="586">
        <v>42719</v>
      </c>
      <c r="I126" s="586" t="s">
        <v>3318</v>
      </c>
      <c r="J126" s="586">
        <v>42720</v>
      </c>
      <c r="K126" s="587">
        <v>200</v>
      </c>
      <c r="L126" s="592"/>
    </row>
    <row r="127" spans="1:12">
      <c r="A127" s="596">
        <v>126</v>
      </c>
      <c r="B127" s="596">
        <v>26</v>
      </c>
      <c r="C127" s="585" t="s">
        <v>3344</v>
      </c>
      <c r="D127" s="586">
        <v>42338</v>
      </c>
      <c r="E127" s="585" t="s">
        <v>6</v>
      </c>
      <c r="F127" s="586">
        <v>42719</v>
      </c>
      <c r="G127" s="585" t="s">
        <v>3321</v>
      </c>
      <c r="H127" s="586">
        <v>42719</v>
      </c>
      <c r="I127" s="586" t="s">
        <v>3318</v>
      </c>
      <c r="J127" s="586">
        <v>42720</v>
      </c>
      <c r="K127" s="587">
        <v>330</v>
      </c>
      <c r="L127" s="590" t="s">
        <v>3319</v>
      </c>
    </row>
    <row r="128" spans="1:12">
      <c r="A128" s="596">
        <v>127</v>
      </c>
      <c r="B128" s="596">
        <v>27</v>
      </c>
      <c r="C128" s="585" t="s">
        <v>3579</v>
      </c>
      <c r="D128" s="586">
        <v>42350</v>
      </c>
      <c r="E128" s="585" t="s">
        <v>6</v>
      </c>
      <c r="F128" s="586">
        <v>42717</v>
      </c>
      <c r="G128" s="585" t="s">
        <v>3321</v>
      </c>
      <c r="H128" s="586">
        <v>42717</v>
      </c>
      <c r="I128" s="586" t="s">
        <v>3318</v>
      </c>
      <c r="J128" s="586">
        <v>42719</v>
      </c>
      <c r="K128" s="587">
        <v>400</v>
      </c>
      <c r="L128" s="587"/>
    </row>
    <row r="129" spans="1:12">
      <c r="A129" s="596">
        <v>128</v>
      </c>
      <c r="B129" s="596">
        <v>28</v>
      </c>
      <c r="C129" s="585" t="s">
        <v>3330</v>
      </c>
      <c r="D129" s="586">
        <v>42373</v>
      </c>
      <c r="E129" s="585" t="s">
        <v>6</v>
      </c>
      <c r="F129" s="586">
        <v>42713</v>
      </c>
      <c r="G129" s="585" t="s">
        <v>6</v>
      </c>
      <c r="H129" s="586">
        <v>42713</v>
      </c>
      <c r="I129" s="586" t="s">
        <v>3320</v>
      </c>
      <c r="J129" s="586">
        <v>42717</v>
      </c>
      <c r="K129" s="587">
        <v>1350</v>
      </c>
      <c r="L129" s="590" t="s">
        <v>20</v>
      </c>
    </row>
    <row r="130" spans="1:12">
      <c r="A130" s="596">
        <v>129</v>
      </c>
      <c r="B130" s="596">
        <v>29</v>
      </c>
      <c r="C130" s="608" t="s">
        <v>3580</v>
      </c>
      <c r="D130" s="586">
        <v>42030</v>
      </c>
      <c r="E130" s="585" t="s">
        <v>6</v>
      </c>
      <c r="F130" s="586">
        <v>42719</v>
      </c>
      <c r="G130" s="585" t="s">
        <v>6</v>
      </c>
      <c r="H130" s="586">
        <v>42719</v>
      </c>
      <c r="I130" s="586" t="s">
        <v>3318</v>
      </c>
      <c r="J130" s="586">
        <v>42723</v>
      </c>
      <c r="K130" s="587">
        <v>300</v>
      </c>
      <c r="L130" s="592"/>
    </row>
    <row r="131" spans="1:12">
      <c r="A131" s="596">
        <v>130</v>
      </c>
      <c r="B131" s="596">
        <v>30</v>
      </c>
      <c r="C131" s="608" t="s">
        <v>6</v>
      </c>
      <c r="D131" s="586">
        <v>42625</v>
      </c>
      <c r="E131" s="585" t="s">
        <v>6</v>
      </c>
      <c r="F131" s="586">
        <v>42720</v>
      </c>
      <c r="G131" s="585" t="s">
        <v>6</v>
      </c>
      <c r="H131" s="586">
        <v>42720</v>
      </c>
      <c r="I131" s="586" t="s">
        <v>3318</v>
      </c>
      <c r="J131" s="586">
        <v>42723</v>
      </c>
      <c r="K131" s="587">
        <v>404</v>
      </c>
      <c r="L131" s="592"/>
    </row>
    <row r="132" spans="1:12">
      <c r="A132" s="596">
        <v>131</v>
      </c>
      <c r="B132" s="596">
        <v>31</v>
      </c>
      <c r="C132" s="608" t="s">
        <v>3581</v>
      </c>
      <c r="D132" s="586">
        <v>42579</v>
      </c>
      <c r="E132" s="585" t="s">
        <v>6</v>
      </c>
      <c r="F132" s="586">
        <v>42720</v>
      </c>
      <c r="G132" s="585" t="s">
        <v>3550</v>
      </c>
      <c r="H132" s="586">
        <v>42720</v>
      </c>
      <c r="I132" s="586" t="s">
        <v>3318</v>
      </c>
      <c r="J132" s="586">
        <v>42723</v>
      </c>
      <c r="K132" s="587">
        <v>480</v>
      </c>
      <c r="L132" s="592"/>
    </row>
    <row r="133" spans="1:12">
      <c r="A133" s="596">
        <v>132</v>
      </c>
      <c r="B133" s="596">
        <v>32</v>
      </c>
      <c r="C133" s="585" t="s">
        <v>3330</v>
      </c>
      <c r="D133" s="586">
        <v>42373</v>
      </c>
      <c r="E133" s="585" t="s">
        <v>6</v>
      </c>
      <c r="F133" s="586">
        <v>42716</v>
      </c>
      <c r="G133" s="585" t="s">
        <v>6</v>
      </c>
      <c r="H133" s="586">
        <v>42716</v>
      </c>
      <c r="I133" s="586" t="s">
        <v>3320</v>
      </c>
      <c r="J133" s="586">
        <v>42718</v>
      </c>
      <c r="K133" s="587">
        <v>1350</v>
      </c>
      <c r="L133" s="590" t="s">
        <v>20</v>
      </c>
    </row>
    <row r="134" spans="1:12">
      <c r="A134" s="596">
        <v>133</v>
      </c>
      <c r="B134" s="596">
        <v>33</v>
      </c>
      <c r="C134" s="585" t="s">
        <v>6</v>
      </c>
      <c r="D134" s="586">
        <v>42480</v>
      </c>
      <c r="E134" s="585" t="s">
        <v>6</v>
      </c>
      <c r="F134" s="586">
        <v>42720</v>
      </c>
      <c r="G134" s="586">
        <v>42720</v>
      </c>
      <c r="H134" s="586">
        <v>42720</v>
      </c>
      <c r="I134" s="586" t="s">
        <v>3318</v>
      </c>
      <c r="J134" s="586">
        <v>42723</v>
      </c>
      <c r="K134" s="587">
        <v>99</v>
      </c>
      <c r="L134" s="592"/>
    </row>
    <row r="135" spans="1:12">
      <c r="A135" s="596">
        <v>134</v>
      </c>
      <c r="B135" s="596">
        <v>34</v>
      </c>
      <c r="C135" s="608" t="s">
        <v>6</v>
      </c>
      <c r="D135" s="586">
        <v>42389</v>
      </c>
      <c r="E135" s="585" t="s">
        <v>6</v>
      </c>
      <c r="F135" s="586">
        <v>42720</v>
      </c>
      <c r="G135" s="585" t="s">
        <v>6</v>
      </c>
      <c r="H135" s="586">
        <v>42720</v>
      </c>
      <c r="I135" s="586" t="s">
        <v>3318</v>
      </c>
      <c r="J135" s="586">
        <v>42723</v>
      </c>
      <c r="K135" s="587">
        <v>750</v>
      </c>
      <c r="L135" s="592"/>
    </row>
    <row r="136" spans="1:12">
      <c r="A136" s="596">
        <v>135</v>
      </c>
      <c r="B136" s="596">
        <v>35</v>
      </c>
      <c r="C136" s="608" t="s">
        <v>6</v>
      </c>
      <c r="D136" s="586">
        <v>42662</v>
      </c>
      <c r="E136" s="585" t="s">
        <v>6</v>
      </c>
      <c r="F136" s="586">
        <v>42720</v>
      </c>
      <c r="G136" s="585" t="s">
        <v>6</v>
      </c>
      <c r="H136" s="586">
        <v>42720</v>
      </c>
      <c r="I136" s="586" t="s">
        <v>3318</v>
      </c>
      <c r="J136" s="586">
        <v>42723</v>
      </c>
      <c r="K136" s="587">
        <v>250</v>
      </c>
      <c r="L136" s="592"/>
    </row>
    <row r="137" spans="1:12">
      <c r="A137" s="596">
        <v>136</v>
      </c>
      <c r="B137" s="596">
        <v>36</v>
      </c>
      <c r="C137" s="585" t="s">
        <v>3330</v>
      </c>
      <c r="D137" s="586">
        <v>42373</v>
      </c>
      <c r="E137" s="585" t="s">
        <v>6</v>
      </c>
      <c r="F137" s="586">
        <v>42716</v>
      </c>
      <c r="G137" s="585" t="s">
        <v>6</v>
      </c>
      <c r="H137" s="586">
        <v>42716</v>
      </c>
      <c r="I137" s="586" t="s">
        <v>3320</v>
      </c>
      <c r="J137" s="586">
        <v>42723</v>
      </c>
      <c r="K137" s="587">
        <v>1350</v>
      </c>
      <c r="L137" s="590" t="s">
        <v>20</v>
      </c>
    </row>
    <row r="138" spans="1:12">
      <c r="A138" s="596">
        <v>137</v>
      </c>
      <c r="B138" s="596">
        <v>37</v>
      </c>
      <c r="C138" s="585" t="s">
        <v>6</v>
      </c>
      <c r="D138" s="586">
        <v>42389</v>
      </c>
      <c r="E138" s="585" t="s">
        <v>6</v>
      </c>
      <c r="F138" s="586">
        <v>42724</v>
      </c>
      <c r="G138" s="585" t="s">
        <v>6</v>
      </c>
      <c r="H138" s="586">
        <v>42724</v>
      </c>
      <c r="I138" s="586" t="s">
        <v>3318</v>
      </c>
      <c r="J138" s="586">
        <v>42726</v>
      </c>
      <c r="K138" s="587">
        <v>270</v>
      </c>
      <c r="L138" s="590" t="s">
        <v>3549</v>
      </c>
    </row>
    <row r="139" spans="1:12">
      <c r="A139" s="596">
        <v>138</v>
      </c>
      <c r="B139" s="596">
        <v>38</v>
      </c>
      <c r="C139" s="585" t="s">
        <v>6</v>
      </c>
      <c r="D139" s="586">
        <v>42389</v>
      </c>
      <c r="E139" s="585" t="s">
        <v>6</v>
      </c>
      <c r="F139" s="586">
        <v>42725</v>
      </c>
      <c r="G139" s="585" t="s">
        <v>6</v>
      </c>
      <c r="H139" s="586">
        <v>42725</v>
      </c>
      <c r="I139" s="586" t="s">
        <v>3318</v>
      </c>
      <c r="J139" s="586">
        <v>42726</v>
      </c>
      <c r="K139" s="587">
        <v>270</v>
      </c>
      <c r="L139" s="590" t="s">
        <v>3549</v>
      </c>
    </row>
    <row r="140" spans="1:12">
      <c r="A140" s="596">
        <v>139</v>
      </c>
      <c r="B140" s="596">
        <v>39</v>
      </c>
      <c r="C140" s="585" t="s">
        <v>3344</v>
      </c>
      <c r="D140" s="586">
        <v>42338</v>
      </c>
      <c r="E140" s="585" t="s">
        <v>6</v>
      </c>
      <c r="F140" s="586">
        <v>42725</v>
      </c>
      <c r="G140" s="585" t="s">
        <v>6</v>
      </c>
      <c r="H140" s="586">
        <v>42725</v>
      </c>
      <c r="I140" s="586" t="s">
        <v>3318</v>
      </c>
      <c r="J140" s="586">
        <v>42726</v>
      </c>
      <c r="K140" s="587">
        <v>460</v>
      </c>
      <c r="L140" s="590" t="s">
        <v>3319</v>
      </c>
    </row>
    <row r="141" spans="1:12">
      <c r="A141" s="596">
        <v>140</v>
      </c>
      <c r="B141" s="596">
        <v>40</v>
      </c>
      <c r="C141" s="585" t="s">
        <v>3344</v>
      </c>
      <c r="D141" s="586">
        <v>42338</v>
      </c>
      <c r="E141" s="585" t="s">
        <v>6</v>
      </c>
      <c r="F141" s="586">
        <v>42725</v>
      </c>
      <c r="G141" s="585" t="s">
        <v>6</v>
      </c>
      <c r="H141" s="586">
        <v>42725</v>
      </c>
      <c r="I141" s="586" t="s">
        <v>3318</v>
      </c>
      <c r="J141" s="586">
        <v>42726</v>
      </c>
      <c r="K141" s="587">
        <v>200</v>
      </c>
      <c r="L141" s="590" t="s">
        <v>3319</v>
      </c>
    </row>
    <row r="142" spans="1:12" ht="15.75">
      <c r="A142" s="596">
        <v>141</v>
      </c>
      <c r="B142" s="596">
        <v>41</v>
      </c>
      <c r="C142" s="585" t="s">
        <v>3330</v>
      </c>
      <c r="D142" s="586">
        <v>42373</v>
      </c>
      <c r="E142" s="585" t="s">
        <v>6</v>
      </c>
      <c r="F142" s="586">
        <v>42723</v>
      </c>
      <c r="G142" s="606">
        <v>658450</v>
      </c>
      <c r="H142" s="586">
        <v>42723</v>
      </c>
      <c r="I142" s="586" t="s">
        <v>3320</v>
      </c>
      <c r="J142" s="586">
        <v>42723</v>
      </c>
      <c r="K142" s="587">
        <v>0</v>
      </c>
      <c r="L142" s="590" t="s">
        <v>20</v>
      </c>
    </row>
    <row r="143" spans="1:12">
      <c r="A143" s="596">
        <v>142</v>
      </c>
      <c r="B143" s="596">
        <v>42</v>
      </c>
      <c r="C143" s="585" t="s">
        <v>3330</v>
      </c>
      <c r="D143" s="586">
        <v>42373</v>
      </c>
      <c r="E143" s="585" t="s">
        <v>6</v>
      </c>
      <c r="F143" s="586">
        <v>42723</v>
      </c>
      <c r="G143" s="585" t="s">
        <v>3547</v>
      </c>
      <c r="H143" s="586">
        <v>42723</v>
      </c>
      <c r="I143" s="586" t="s">
        <v>3320</v>
      </c>
      <c r="J143" s="586">
        <v>42725</v>
      </c>
      <c r="K143" s="587">
        <v>1350</v>
      </c>
      <c r="L143" s="590" t="s">
        <v>20</v>
      </c>
    </row>
    <row r="144" spans="1:12">
      <c r="A144" s="596">
        <v>143</v>
      </c>
      <c r="B144" s="596">
        <v>43</v>
      </c>
      <c r="C144" s="585" t="s">
        <v>6</v>
      </c>
      <c r="D144" s="586">
        <v>41659</v>
      </c>
      <c r="E144" s="585" t="s">
        <v>6</v>
      </c>
      <c r="F144" s="586">
        <v>42726</v>
      </c>
      <c r="G144" s="585" t="s">
        <v>3547</v>
      </c>
      <c r="H144" s="586">
        <v>42726</v>
      </c>
      <c r="I144" s="586" t="s">
        <v>3318</v>
      </c>
      <c r="J144" s="586">
        <v>42730</v>
      </c>
      <c r="K144" s="587">
        <v>150</v>
      </c>
      <c r="L144" s="587" t="s">
        <v>2083</v>
      </c>
    </row>
    <row r="145" spans="1:12">
      <c r="A145" s="596">
        <v>144</v>
      </c>
      <c r="B145" s="596">
        <v>44</v>
      </c>
      <c r="C145" s="589">
        <v>13</v>
      </c>
      <c r="D145" s="586">
        <v>42579</v>
      </c>
      <c r="E145" s="585" t="s">
        <v>6</v>
      </c>
      <c r="F145" s="586">
        <v>42727</v>
      </c>
      <c r="G145" s="585" t="s">
        <v>3550</v>
      </c>
      <c r="H145" s="586">
        <v>42727</v>
      </c>
      <c r="I145" s="586" t="s">
        <v>3318</v>
      </c>
      <c r="J145" s="586">
        <v>42730</v>
      </c>
      <c r="K145" s="587">
        <v>600</v>
      </c>
      <c r="L145" s="590" t="s">
        <v>3545</v>
      </c>
    </row>
    <row r="146" spans="1:12">
      <c r="A146" s="596">
        <v>145</v>
      </c>
      <c r="B146" s="596">
        <v>45</v>
      </c>
      <c r="C146" s="585" t="s">
        <v>3330</v>
      </c>
      <c r="D146" s="586">
        <v>42373</v>
      </c>
      <c r="E146" s="585" t="s">
        <v>6</v>
      </c>
      <c r="F146" s="586">
        <v>42723</v>
      </c>
      <c r="G146" s="585" t="s">
        <v>6</v>
      </c>
      <c r="H146" s="586">
        <v>42723</v>
      </c>
      <c r="I146" s="586" t="s">
        <v>3320</v>
      </c>
      <c r="J146" s="586">
        <v>42725</v>
      </c>
      <c r="K146" s="587">
        <v>1350</v>
      </c>
      <c r="L146" s="590" t="s">
        <v>20</v>
      </c>
    </row>
    <row r="147" spans="1:12">
      <c r="A147" s="596">
        <v>146</v>
      </c>
      <c r="B147" s="596">
        <v>46</v>
      </c>
      <c r="C147" s="585" t="s">
        <v>6</v>
      </c>
      <c r="D147" s="586">
        <v>42480</v>
      </c>
      <c r="E147" s="585" t="s">
        <v>6</v>
      </c>
      <c r="F147" s="586">
        <v>42727</v>
      </c>
      <c r="G147" s="586">
        <v>42727</v>
      </c>
      <c r="H147" s="586">
        <v>42727</v>
      </c>
      <c r="I147" s="586" t="s">
        <v>3318</v>
      </c>
      <c r="J147" s="586">
        <v>42730</v>
      </c>
      <c r="K147" s="587">
        <v>97</v>
      </c>
      <c r="L147" s="592"/>
    </row>
    <row r="148" spans="1:12">
      <c r="A148" s="596">
        <v>147</v>
      </c>
      <c r="B148" s="596">
        <v>47</v>
      </c>
      <c r="C148" s="585">
        <v>151</v>
      </c>
      <c r="D148" s="586">
        <v>42726</v>
      </c>
      <c r="E148" s="585" t="s">
        <v>6</v>
      </c>
      <c r="F148" s="586">
        <v>42726</v>
      </c>
      <c r="G148" s="609" t="s">
        <v>3582</v>
      </c>
      <c r="H148" s="586">
        <v>42726</v>
      </c>
      <c r="I148" s="586" t="s">
        <v>3318</v>
      </c>
      <c r="J148" s="586">
        <v>42730</v>
      </c>
      <c r="K148" s="587">
        <v>416</v>
      </c>
      <c r="L148" s="592"/>
    </row>
    <row r="149" spans="1:12">
      <c r="A149" s="596">
        <v>148</v>
      </c>
      <c r="B149" s="596">
        <v>48</v>
      </c>
      <c r="C149" s="585" t="s">
        <v>3330</v>
      </c>
      <c r="D149" s="586">
        <v>42373</v>
      </c>
      <c r="E149" s="585" t="s">
        <v>6</v>
      </c>
      <c r="F149" s="586">
        <v>42724</v>
      </c>
      <c r="G149" s="585" t="s">
        <v>3547</v>
      </c>
      <c r="H149" s="586">
        <v>42724</v>
      </c>
      <c r="I149" s="586" t="s">
        <v>3320</v>
      </c>
      <c r="J149" s="586">
        <v>42725</v>
      </c>
      <c r="K149" s="587">
        <v>1350</v>
      </c>
      <c r="L149" s="590" t="s">
        <v>20</v>
      </c>
    </row>
    <row r="150" spans="1:12">
      <c r="A150" s="596">
        <v>149</v>
      </c>
      <c r="B150" s="596">
        <v>49</v>
      </c>
      <c r="C150" s="585" t="s">
        <v>6</v>
      </c>
      <c r="D150" s="586">
        <v>41659</v>
      </c>
      <c r="E150" s="585" t="s">
        <v>6</v>
      </c>
      <c r="F150" s="586">
        <v>42726</v>
      </c>
      <c r="G150" s="585" t="s">
        <v>3557</v>
      </c>
      <c r="H150" s="586">
        <v>42726</v>
      </c>
      <c r="I150" s="586" t="s">
        <v>3318</v>
      </c>
      <c r="J150" s="586">
        <v>42727</v>
      </c>
      <c r="K150" s="587">
        <v>1300</v>
      </c>
      <c r="L150" s="587" t="s">
        <v>2083</v>
      </c>
    </row>
    <row r="151" spans="1:12" ht="15.75">
      <c r="A151" s="596">
        <v>150</v>
      </c>
      <c r="B151" s="596">
        <v>50</v>
      </c>
      <c r="C151" s="585" t="s">
        <v>3330</v>
      </c>
      <c r="D151" s="586">
        <v>42373</v>
      </c>
      <c r="E151" s="585" t="s">
        <v>6</v>
      </c>
      <c r="F151" s="586">
        <v>42727</v>
      </c>
      <c r="G151" s="606">
        <v>324420</v>
      </c>
      <c r="H151" s="586">
        <v>42727</v>
      </c>
      <c r="I151" s="586" t="s">
        <v>3320</v>
      </c>
      <c r="J151" s="586">
        <v>42727</v>
      </c>
      <c r="K151" s="587">
        <v>0</v>
      </c>
      <c r="L151" s="590" t="s">
        <v>20</v>
      </c>
    </row>
    <row r="152" spans="1:12">
      <c r="A152" s="596">
        <v>151</v>
      </c>
      <c r="B152" s="596">
        <v>51</v>
      </c>
      <c r="C152" s="585" t="s">
        <v>3330</v>
      </c>
      <c r="D152" s="586">
        <v>42373</v>
      </c>
      <c r="E152" s="585" t="s">
        <v>6</v>
      </c>
      <c r="F152" s="586">
        <v>42727</v>
      </c>
      <c r="G152" s="585" t="s">
        <v>3547</v>
      </c>
      <c r="H152" s="586">
        <v>42727</v>
      </c>
      <c r="I152" s="586" t="s">
        <v>3320</v>
      </c>
      <c r="J152" s="586">
        <v>42730</v>
      </c>
      <c r="K152" s="587">
        <v>1350</v>
      </c>
      <c r="L152" s="590" t="s">
        <v>20</v>
      </c>
    </row>
    <row r="153" spans="1:12">
      <c r="A153" s="596">
        <v>152</v>
      </c>
      <c r="B153" s="596">
        <v>52</v>
      </c>
      <c r="C153" s="585" t="s">
        <v>3583</v>
      </c>
      <c r="D153" s="586">
        <v>42000</v>
      </c>
      <c r="E153" s="585" t="s">
        <v>6</v>
      </c>
      <c r="F153" s="586">
        <v>42732</v>
      </c>
      <c r="G153" s="585" t="s">
        <v>3557</v>
      </c>
      <c r="H153" s="586">
        <v>42732</v>
      </c>
      <c r="I153" s="586" t="s">
        <v>3318</v>
      </c>
      <c r="J153" s="586">
        <v>42733</v>
      </c>
      <c r="K153" s="587">
        <v>400</v>
      </c>
      <c r="L153" s="592"/>
    </row>
    <row r="154" spans="1:12">
      <c r="A154" s="596">
        <v>153</v>
      </c>
      <c r="B154" s="596">
        <v>53</v>
      </c>
      <c r="C154" s="585" t="s">
        <v>6</v>
      </c>
      <c r="D154" s="586">
        <v>41999</v>
      </c>
      <c r="E154" s="585" t="s">
        <v>6</v>
      </c>
      <c r="F154" s="586">
        <v>42731</v>
      </c>
      <c r="G154" s="585" t="s">
        <v>3557</v>
      </c>
      <c r="H154" s="586">
        <v>42731</v>
      </c>
      <c r="I154" s="586" t="s">
        <v>3318</v>
      </c>
      <c r="J154" s="586">
        <v>42733</v>
      </c>
      <c r="K154" s="587">
        <v>350</v>
      </c>
      <c r="L154" s="592"/>
    </row>
    <row r="155" spans="1:12">
      <c r="A155" s="596">
        <v>154</v>
      </c>
      <c r="B155" s="596">
        <v>54</v>
      </c>
      <c r="C155" s="585" t="s">
        <v>3330</v>
      </c>
      <c r="D155" s="586">
        <v>42373</v>
      </c>
      <c r="E155" s="585" t="s">
        <v>6</v>
      </c>
      <c r="F155" s="586">
        <v>42727</v>
      </c>
      <c r="G155" s="585" t="s">
        <v>3557</v>
      </c>
      <c r="H155" s="586">
        <v>42727</v>
      </c>
      <c r="I155" s="586" t="s">
        <v>3320</v>
      </c>
      <c r="J155" s="586">
        <v>42730</v>
      </c>
      <c r="K155" s="587">
        <v>1350</v>
      </c>
      <c r="L155" s="590" t="s">
        <v>20</v>
      </c>
    </row>
    <row r="156" spans="1:12">
      <c r="A156" s="596">
        <v>155</v>
      </c>
      <c r="B156" s="596">
        <v>55</v>
      </c>
      <c r="C156" s="585" t="s">
        <v>6</v>
      </c>
      <c r="D156" s="586">
        <v>42396</v>
      </c>
      <c r="E156" s="585" t="s">
        <v>6</v>
      </c>
      <c r="F156" s="586">
        <v>42731</v>
      </c>
      <c r="G156" s="585" t="s">
        <v>6</v>
      </c>
      <c r="H156" s="586">
        <v>42731</v>
      </c>
      <c r="I156" s="586" t="s">
        <v>3318</v>
      </c>
      <c r="J156" s="586">
        <v>42732</v>
      </c>
      <c r="K156" s="587">
        <v>60</v>
      </c>
      <c r="L156" s="587" t="s">
        <v>3542</v>
      </c>
    </row>
    <row r="157" spans="1:12">
      <c r="A157" s="596">
        <v>156</v>
      </c>
      <c r="B157" s="596">
        <v>56</v>
      </c>
      <c r="C157" s="589">
        <v>13</v>
      </c>
      <c r="D157" s="586">
        <v>42579</v>
      </c>
      <c r="E157" s="585" t="s">
        <v>6</v>
      </c>
      <c r="F157" s="586">
        <v>42731</v>
      </c>
      <c r="G157" s="585" t="s">
        <v>3550</v>
      </c>
      <c r="H157" s="586">
        <v>42731</v>
      </c>
      <c r="I157" s="586" t="s">
        <v>3318</v>
      </c>
      <c r="J157" s="586">
        <v>42732</v>
      </c>
      <c r="K157" s="587">
        <v>480</v>
      </c>
      <c r="L157" s="590" t="s">
        <v>3545</v>
      </c>
    </row>
    <row r="158" spans="1:12">
      <c r="A158" s="596">
        <v>157</v>
      </c>
      <c r="B158" s="596">
        <v>57</v>
      </c>
      <c r="C158" s="585" t="s">
        <v>3330</v>
      </c>
      <c r="D158" s="586">
        <v>42373</v>
      </c>
      <c r="E158" s="585" t="s">
        <v>6</v>
      </c>
      <c r="F158" s="586">
        <v>42730</v>
      </c>
      <c r="G158" s="585" t="s">
        <v>3557</v>
      </c>
      <c r="H158" s="586">
        <v>42730</v>
      </c>
      <c r="I158" s="586" t="s">
        <v>3320</v>
      </c>
      <c r="J158" s="586">
        <v>42732</v>
      </c>
      <c r="K158" s="587">
        <v>1350</v>
      </c>
      <c r="L158" s="590" t="s">
        <v>20</v>
      </c>
    </row>
    <row r="159" spans="1:12">
      <c r="A159" s="596">
        <v>158</v>
      </c>
      <c r="B159" s="596">
        <v>58</v>
      </c>
      <c r="C159" s="585" t="s">
        <v>3330</v>
      </c>
      <c r="D159" s="586">
        <v>42373</v>
      </c>
      <c r="E159" s="585" t="s">
        <v>6</v>
      </c>
      <c r="F159" s="586">
        <v>42730</v>
      </c>
      <c r="G159" s="585" t="s">
        <v>3557</v>
      </c>
      <c r="H159" s="586">
        <v>42730</v>
      </c>
      <c r="I159" s="586" t="s">
        <v>3320</v>
      </c>
      <c r="J159" s="586">
        <v>42731</v>
      </c>
      <c r="K159" s="587">
        <v>1350</v>
      </c>
      <c r="L159" s="590" t="s">
        <v>20</v>
      </c>
    </row>
    <row r="160" spans="1:12">
      <c r="A160" s="596">
        <v>159</v>
      </c>
      <c r="B160" s="596">
        <v>59</v>
      </c>
      <c r="C160" s="589">
        <v>143</v>
      </c>
      <c r="D160" s="586">
        <v>42292</v>
      </c>
      <c r="E160" s="585" t="s">
        <v>6</v>
      </c>
      <c r="F160" s="586">
        <v>42733</v>
      </c>
      <c r="G160" s="585" t="s">
        <v>3547</v>
      </c>
      <c r="H160" s="586">
        <v>42733</v>
      </c>
      <c r="I160" s="586" t="s">
        <v>3318</v>
      </c>
      <c r="J160" s="586">
        <v>42734</v>
      </c>
      <c r="K160" s="587">
        <v>320</v>
      </c>
      <c r="L160" s="590"/>
    </row>
    <row r="161" spans="1:12">
      <c r="A161" s="596">
        <v>160</v>
      </c>
      <c r="B161" s="596">
        <v>60</v>
      </c>
      <c r="C161" s="589" t="s">
        <v>3584</v>
      </c>
      <c r="D161" s="586">
        <v>42626</v>
      </c>
      <c r="E161" s="585" t="s">
        <v>6</v>
      </c>
      <c r="F161" s="586">
        <v>42733</v>
      </c>
      <c r="G161" s="585" t="s">
        <v>6</v>
      </c>
      <c r="H161" s="586">
        <v>42733</v>
      </c>
      <c r="I161" s="586" t="s">
        <v>3318</v>
      </c>
      <c r="J161" s="586">
        <v>42734</v>
      </c>
      <c r="K161" s="587">
        <v>400</v>
      </c>
      <c r="L161" s="590"/>
    </row>
  </sheetData>
  <pageMargins left="0.7" right="0.7" top="0.75" bottom="0.75" header="0.3" footer="0.3"/>
  <pageSetup paperSize="9" scale="89" fitToHeight="0" orientation="landscape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"/>
  <sheetViews>
    <sheetView workbookViewId="0">
      <selection activeCell="F10" sqref="F10"/>
    </sheetView>
  </sheetViews>
  <sheetFormatPr defaultRowHeight="15"/>
  <cols>
    <col min="1" max="1" width="9.140625" style="584"/>
    <col min="2" max="2" width="16.7109375" style="584" customWidth="1"/>
    <col min="3" max="6" width="9.140625" style="584"/>
    <col min="7" max="7" width="14.140625" style="584" customWidth="1"/>
    <col min="8" max="10" width="9.140625" style="584"/>
    <col min="11" max="11" width="16.140625" style="584" customWidth="1"/>
    <col min="12" max="12" width="9.140625" style="584"/>
    <col min="13" max="13" width="12.42578125" style="584" bestFit="1" customWidth="1"/>
    <col min="14" max="16384" width="9.140625" style="584"/>
  </cols>
  <sheetData>
    <row r="1" spans="1:13">
      <c r="A1" s="583">
        <f ca="1">A1:K28</f>
        <v>0</v>
      </c>
      <c r="B1" s="583" t="s">
        <v>3310</v>
      </c>
      <c r="C1" s="583" t="s">
        <v>27</v>
      </c>
      <c r="D1" s="583" t="s">
        <v>3311</v>
      </c>
      <c r="E1" s="583" t="s">
        <v>3312</v>
      </c>
      <c r="F1" s="583" t="s">
        <v>3313</v>
      </c>
      <c r="G1" s="583" t="s">
        <v>3314</v>
      </c>
      <c r="H1" s="583" t="s">
        <v>3315</v>
      </c>
      <c r="I1" s="583" t="s">
        <v>3316</v>
      </c>
      <c r="J1" s="583" t="s">
        <v>3317</v>
      </c>
      <c r="K1" s="583"/>
      <c r="L1" s="583"/>
    </row>
    <row r="2" spans="1:13">
      <c r="A2" s="585">
        <v>1</v>
      </c>
      <c r="B2" s="585"/>
      <c r="C2" s="586">
        <v>42389</v>
      </c>
      <c r="D2" s="585" t="s">
        <v>6</v>
      </c>
      <c r="E2" s="586">
        <v>42552</v>
      </c>
      <c r="F2" s="585" t="s">
        <v>6</v>
      </c>
      <c r="G2" s="586">
        <v>42552</v>
      </c>
      <c r="H2" s="586" t="s">
        <v>3318</v>
      </c>
      <c r="I2" s="586">
        <v>42555</v>
      </c>
      <c r="J2" s="587">
        <v>410</v>
      </c>
      <c r="K2" s="587" t="s">
        <v>1051</v>
      </c>
      <c r="L2" s="583"/>
      <c r="M2" s="588"/>
    </row>
    <row r="3" spans="1:13">
      <c r="A3" s="589">
        <v>2</v>
      </c>
      <c r="B3" s="585" t="s">
        <v>3325</v>
      </c>
      <c r="C3" s="586">
        <v>42628</v>
      </c>
      <c r="D3" s="585" t="s">
        <v>6</v>
      </c>
      <c r="E3" s="586">
        <v>42551</v>
      </c>
      <c r="F3" s="600" t="s">
        <v>6</v>
      </c>
      <c r="G3" s="586">
        <v>42551</v>
      </c>
      <c r="H3" s="586" t="s">
        <v>3318</v>
      </c>
      <c r="I3" s="586">
        <v>42555</v>
      </c>
      <c r="J3" s="587">
        <v>400</v>
      </c>
      <c r="K3" s="590" t="s">
        <v>3326</v>
      </c>
      <c r="L3" s="591"/>
    </row>
    <row r="4" spans="1:13">
      <c r="A4" s="585">
        <v>3</v>
      </c>
      <c r="B4" s="585" t="s">
        <v>3328</v>
      </c>
      <c r="C4" s="586">
        <v>42396</v>
      </c>
      <c r="D4" s="585" t="s">
        <v>6</v>
      </c>
      <c r="E4" s="586">
        <v>42551</v>
      </c>
      <c r="F4" s="600" t="s">
        <v>6</v>
      </c>
      <c r="G4" s="586">
        <v>42551</v>
      </c>
      <c r="H4" s="586" t="s">
        <v>3318</v>
      </c>
      <c r="I4" s="586">
        <v>42555</v>
      </c>
      <c r="J4" s="587">
        <v>430</v>
      </c>
      <c r="K4" s="590" t="s">
        <v>3329</v>
      </c>
      <c r="L4" s="583"/>
    </row>
    <row r="5" spans="1:13">
      <c r="A5" s="585">
        <v>4</v>
      </c>
      <c r="B5" s="585" t="s">
        <v>6</v>
      </c>
      <c r="C5" s="586">
        <v>42381</v>
      </c>
      <c r="D5" s="585" t="s">
        <v>6</v>
      </c>
      <c r="E5" s="586">
        <v>42552</v>
      </c>
      <c r="F5" s="595">
        <v>42552</v>
      </c>
      <c r="G5" s="586">
        <v>42552</v>
      </c>
      <c r="H5" s="586" t="s">
        <v>3318</v>
      </c>
      <c r="I5" s="586">
        <v>42555</v>
      </c>
      <c r="J5" s="587">
        <v>110</v>
      </c>
      <c r="K5" s="587" t="s">
        <v>142</v>
      </c>
      <c r="L5" s="583"/>
    </row>
    <row r="6" spans="1:13">
      <c r="A6" s="585">
        <v>5</v>
      </c>
      <c r="B6" s="585" t="s">
        <v>3330</v>
      </c>
      <c r="C6" s="586">
        <v>42373</v>
      </c>
      <c r="D6" s="585" t="s">
        <v>6</v>
      </c>
      <c r="E6" s="586">
        <v>42552</v>
      </c>
      <c r="F6" s="600" t="s">
        <v>6</v>
      </c>
      <c r="G6" s="586">
        <v>42552</v>
      </c>
      <c r="H6" s="586" t="s">
        <v>3320</v>
      </c>
      <c r="I6" s="586">
        <v>42555</v>
      </c>
      <c r="J6" s="587">
        <v>1400</v>
      </c>
      <c r="K6" s="587" t="s">
        <v>20</v>
      </c>
      <c r="L6" s="583"/>
    </row>
    <row r="7" spans="1:13">
      <c r="A7" s="585">
        <v>6</v>
      </c>
      <c r="B7" s="585" t="s">
        <v>6</v>
      </c>
      <c r="C7" s="586">
        <v>42380</v>
      </c>
      <c r="D7" s="585" t="s">
        <v>6</v>
      </c>
      <c r="E7" s="586">
        <v>42557</v>
      </c>
      <c r="F7" s="585">
        <v>672016</v>
      </c>
      <c r="G7" s="586">
        <v>42557</v>
      </c>
      <c r="H7" s="586" t="s">
        <v>3318</v>
      </c>
      <c r="I7" s="586">
        <v>42558</v>
      </c>
      <c r="J7" s="587">
        <v>400</v>
      </c>
      <c r="K7" s="590" t="s">
        <v>3331</v>
      </c>
      <c r="L7" s="583"/>
    </row>
    <row r="8" spans="1:13">
      <c r="A8" s="585">
        <v>7</v>
      </c>
      <c r="B8" s="585" t="s">
        <v>6</v>
      </c>
      <c r="C8" s="586">
        <v>42556</v>
      </c>
      <c r="D8" s="585" t="s">
        <v>6</v>
      </c>
      <c r="E8" s="586">
        <v>42557</v>
      </c>
      <c r="F8" s="585" t="s">
        <v>6</v>
      </c>
      <c r="G8" s="586">
        <v>42557</v>
      </c>
      <c r="H8" s="586" t="s">
        <v>3318</v>
      </c>
      <c r="I8" s="586">
        <v>42559</v>
      </c>
      <c r="J8" s="587">
        <v>400</v>
      </c>
      <c r="K8" s="590" t="s">
        <v>3332</v>
      </c>
      <c r="L8" s="583"/>
    </row>
    <row r="9" spans="1:13">
      <c r="A9" s="585">
        <v>8</v>
      </c>
      <c r="B9" s="585" t="s">
        <v>6</v>
      </c>
      <c r="C9" s="586">
        <v>42556</v>
      </c>
      <c r="D9" s="585" t="s">
        <v>6</v>
      </c>
      <c r="E9" s="586">
        <v>42557</v>
      </c>
      <c r="F9" s="585">
        <v>17336937</v>
      </c>
      <c r="G9" s="586">
        <v>42557</v>
      </c>
      <c r="H9" s="586" t="s">
        <v>3318</v>
      </c>
      <c r="I9" s="586">
        <v>42558</v>
      </c>
      <c r="J9" s="587">
        <v>50</v>
      </c>
      <c r="K9" s="590" t="s">
        <v>3333</v>
      </c>
      <c r="L9" s="583"/>
    </row>
    <row r="10" spans="1:13">
      <c r="A10" s="585">
        <v>9</v>
      </c>
      <c r="B10" s="585" t="s">
        <v>3330</v>
      </c>
      <c r="C10" s="586">
        <v>42373</v>
      </c>
      <c r="D10" s="585" t="s">
        <v>6</v>
      </c>
      <c r="E10" s="586">
        <v>42555</v>
      </c>
      <c r="F10" s="585" t="s">
        <v>6</v>
      </c>
      <c r="G10" s="586">
        <v>42555</v>
      </c>
      <c r="H10" s="586" t="s">
        <v>3320</v>
      </c>
      <c r="I10" s="586">
        <v>42556</v>
      </c>
      <c r="J10" s="587">
        <v>1350</v>
      </c>
      <c r="K10" s="587" t="s">
        <v>20</v>
      </c>
      <c r="L10" s="583"/>
    </row>
    <row r="11" spans="1:13">
      <c r="A11" s="585">
        <v>10</v>
      </c>
      <c r="B11" s="585" t="s">
        <v>6</v>
      </c>
      <c r="C11" s="586">
        <v>42389</v>
      </c>
      <c r="D11" s="585" t="s">
        <v>6</v>
      </c>
      <c r="E11" s="586">
        <v>42557</v>
      </c>
      <c r="F11" s="585" t="s">
        <v>6</v>
      </c>
      <c r="G11" s="586">
        <v>42557</v>
      </c>
      <c r="H11" s="586" t="s">
        <v>3318</v>
      </c>
      <c r="I11" s="586">
        <v>42559</v>
      </c>
      <c r="J11" s="587">
        <v>370</v>
      </c>
      <c r="K11" s="590" t="s">
        <v>2083</v>
      </c>
      <c r="L11" s="583"/>
    </row>
    <row r="12" spans="1:13">
      <c r="A12" s="585">
        <v>11</v>
      </c>
      <c r="B12" s="585" t="s">
        <v>3334</v>
      </c>
      <c r="C12" s="601">
        <v>42307</v>
      </c>
      <c r="D12" s="585" t="s">
        <v>6</v>
      </c>
      <c r="E12" s="586">
        <v>42558</v>
      </c>
      <c r="F12" s="585" t="s">
        <v>6</v>
      </c>
      <c r="G12" s="586">
        <v>42558</v>
      </c>
      <c r="H12" s="586" t="s">
        <v>3318</v>
      </c>
      <c r="I12" s="586">
        <v>42559</v>
      </c>
      <c r="J12" s="587">
        <v>90</v>
      </c>
      <c r="K12" s="590" t="s">
        <v>558</v>
      </c>
      <c r="L12" s="583"/>
    </row>
    <row r="13" spans="1:13">
      <c r="A13" s="585">
        <v>12</v>
      </c>
      <c r="B13" s="585" t="s">
        <v>3334</v>
      </c>
      <c r="C13" s="601">
        <v>42307</v>
      </c>
      <c r="D13" s="585" t="s">
        <v>6</v>
      </c>
      <c r="E13" s="586">
        <v>42558</v>
      </c>
      <c r="F13" s="585" t="s">
        <v>6</v>
      </c>
      <c r="G13" s="586">
        <v>42558</v>
      </c>
      <c r="H13" s="586" t="s">
        <v>3318</v>
      </c>
      <c r="I13" s="586">
        <v>42559</v>
      </c>
      <c r="J13" s="587">
        <v>290</v>
      </c>
      <c r="K13" s="590" t="s">
        <v>558</v>
      </c>
      <c r="L13" s="583"/>
    </row>
    <row r="14" spans="1:13">
      <c r="A14" s="585">
        <v>13</v>
      </c>
      <c r="B14" s="585" t="s">
        <v>3330</v>
      </c>
      <c r="C14" s="586">
        <v>42373</v>
      </c>
      <c r="D14" s="585" t="s">
        <v>6</v>
      </c>
      <c r="E14" s="586">
        <v>42555</v>
      </c>
      <c r="F14" s="585" t="s">
        <v>3321</v>
      </c>
      <c r="G14" s="586">
        <v>42555</v>
      </c>
      <c r="H14" s="586" t="s">
        <v>3320</v>
      </c>
      <c r="I14" s="586">
        <v>42556</v>
      </c>
      <c r="J14" s="587">
        <v>1350</v>
      </c>
      <c r="K14" s="587" t="s">
        <v>20</v>
      </c>
      <c r="L14" s="583"/>
    </row>
    <row r="15" spans="1:13">
      <c r="A15" s="585">
        <v>14</v>
      </c>
      <c r="B15" s="585" t="s">
        <v>3335</v>
      </c>
      <c r="C15" s="586">
        <v>42557</v>
      </c>
      <c r="D15" s="585" t="s">
        <v>6</v>
      </c>
      <c r="E15" s="586">
        <v>42559</v>
      </c>
      <c r="F15" s="585" t="s">
        <v>6</v>
      </c>
      <c r="G15" s="586">
        <v>42559</v>
      </c>
      <c r="H15" s="586" t="s">
        <v>3318</v>
      </c>
      <c r="I15" s="586">
        <v>42562</v>
      </c>
      <c r="J15" s="587">
        <v>280</v>
      </c>
      <c r="K15" s="590" t="s">
        <v>3336</v>
      </c>
      <c r="L15" s="583"/>
    </row>
    <row r="16" spans="1:13">
      <c r="A16" s="585">
        <v>15</v>
      </c>
      <c r="B16" s="585" t="s">
        <v>3337</v>
      </c>
      <c r="C16" s="601">
        <v>42030</v>
      </c>
      <c r="D16" s="585" t="s">
        <v>6</v>
      </c>
      <c r="E16" s="586">
        <v>42559</v>
      </c>
      <c r="F16" s="585" t="s">
        <v>6</v>
      </c>
      <c r="G16" s="586">
        <v>42559</v>
      </c>
      <c r="H16" s="586" t="s">
        <v>3318</v>
      </c>
      <c r="I16" s="586">
        <v>42562</v>
      </c>
      <c r="J16" s="587">
        <v>340</v>
      </c>
      <c r="K16" s="590" t="s">
        <v>3338</v>
      </c>
      <c r="L16" s="583"/>
    </row>
    <row r="17" spans="1:12">
      <c r="A17" s="585">
        <v>16</v>
      </c>
      <c r="B17" s="585" t="s">
        <v>3339</v>
      </c>
      <c r="C17" s="586">
        <v>42389</v>
      </c>
      <c r="D17" s="585" t="s">
        <v>6</v>
      </c>
      <c r="E17" s="586">
        <v>42559</v>
      </c>
      <c r="F17" s="585" t="s">
        <v>6</v>
      </c>
      <c r="G17" s="586">
        <v>42559</v>
      </c>
      <c r="H17" s="586" t="s">
        <v>3318</v>
      </c>
      <c r="I17" s="586">
        <v>42562</v>
      </c>
      <c r="J17" s="587">
        <v>330</v>
      </c>
      <c r="K17" s="590" t="s">
        <v>3340</v>
      </c>
      <c r="L17" s="583"/>
    </row>
    <row r="18" spans="1:12">
      <c r="A18" s="593">
        <v>17</v>
      </c>
      <c r="B18" s="585" t="s">
        <v>3330</v>
      </c>
      <c r="C18" s="586">
        <v>42373</v>
      </c>
      <c r="D18" s="585" t="s">
        <v>6</v>
      </c>
      <c r="E18" s="586">
        <v>42556</v>
      </c>
      <c r="F18" s="585" t="s">
        <v>3321</v>
      </c>
      <c r="G18" s="586">
        <v>42556</v>
      </c>
      <c r="H18" s="586" t="s">
        <v>3320</v>
      </c>
      <c r="I18" s="586">
        <v>42557</v>
      </c>
      <c r="J18" s="587">
        <v>1400</v>
      </c>
      <c r="K18" s="587" t="s">
        <v>20</v>
      </c>
      <c r="L18" s="591"/>
    </row>
    <row r="19" spans="1:12">
      <c r="A19" s="593">
        <v>18</v>
      </c>
      <c r="B19" s="585" t="s">
        <v>3341</v>
      </c>
      <c r="C19" s="586">
        <v>42558</v>
      </c>
      <c r="D19" s="585" t="s">
        <v>6</v>
      </c>
      <c r="E19" s="586">
        <v>42558</v>
      </c>
      <c r="F19" s="585">
        <v>5400</v>
      </c>
      <c r="G19" s="586">
        <v>42558</v>
      </c>
      <c r="H19" s="586" t="s">
        <v>3318</v>
      </c>
      <c r="I19" s="586">
        <v>42562</v>
      </c>
      <c r="J19" s="587">
        <v>400</v>
      </c>
      <c r="K19" s="590" t="s">
        <v>3342</v>
      </c>
      <c r="L19" s="583"/>
    </row>
    <row r="20" spans="1:12">
      <c r="A20" s="593">
        <v>19</v>
      </c>
      <c r="B20" s="585" t="s">
        <v>6</v>
      </c>
      <c r="C20" s="586">
        <v>42395</v>
      </c>
      <c r="D20" s="585" t="s">
        <v>6</v>
      </c>
      <c r="E20" s="586">
        <v>42558</v>
      </c>
      <c r="F20" s="585" t="s">
        <v>6</v>
      </c>
      <c r="G20" s="586">
        <v>42558</v>
      </c>
      <c r="H20" s="586" t="s">
        <v>3318</v>
      </c>
      <c r="I20" s="586">
        <v>42563</v>
      </c>
      <c r="J20" s="587">
        <v>350</v>
      </c>
      <c r="K20" s="590" t="s">
        <v>3343</v>
      </c>
      <c r="L20" s="583"/>
    </row>
    <row r="21" spans="1:12">
      <c r="A21" s="593">
        <v>20</v>
      </c>
      <c r="B21" s="585" t="s">
        <v>6</v>
      </c>
      <c r="C21" s="586">
        <v>42381</v>
      </c>
      <c r="D21" s="585" t="s">
        <v>6</v>
      </c>
      <c r="E21" s="586">
        <v>42559</v>
      </c>
      <c r="F21" s="586">
        <v>42559</v>
      </c>
      <c r="G21" s="586">
        <v>42559</v>
      </c>
      <c r="H21" s="586" t="s">
        <v>3318</v>
      </c>
      <c r="I21" s="586">
        <v>42562</v>
      </c>
      <c r="J21" s="587">
        <v>110</v>
      </c>
      <c r="K21" s="587" t="s">
        <v>142</v>
      </c>
      <c r="L21" s="583"/>
    </row>
    <row r="22" spans="1:12">
      <c r="A22" s="593">
        <v>21</v>
      </c>
      <c r="B22" s="585" t="s">
        <v>3330</v>
      </c>
      <c r="C22" s="586">
        <v>42373</v>
      </c>
      <c r="D22" s="585" t="s">
        <v>6</v>
      </c>
      <c r="E22" s="586">
        <v>42559</v>
      </c>
      <c r="F22" s="585" t="s">
        <v>6</v>
      </c>
      <c r="G22" s="586">
        <v>42559</v>
      </c>
      <c r="H22" s="586" t="s">
        <v>3320</v>
      </c>
      <c r="I22" s="586">
        <v>42562</v>
      </c>
      <c r="J22" s="587">
        <v>1350</v>
      </c>
      <c r="K22" s="587" t="s">
        <v>20</v>
      </c>
      <c r="L22" s="583"/>
    </row>
    <row r="23" spans="1:12">
      <c r="A23" s="593">
        <v>22</v>
      </c>
      <c r="B23" s="585" t="s">
        <v>6</v>
      </c>
      <c r="C23" s="586">
        <v>42389</v>
      </c>
      <c r="D23" s="585" t="s">
        <v>6</v>
      </c>
      <c r="E23" s="586">
        <v>42563</v>
      </c>
      <c r="F23" s="585" t="s">
        <v>6</v>
      </c>
      <c r="G23" s="586">
        <v>42563</v>
      </c>
      <c r="H23" s="586" t="s">
        <v>3318</v>
      </c>
      <c r="I23" s="586">
        <v>42565</v>
      </c>
      <c r="J23" s="587">
        <v>800</v>
      </c>
      <c r="K23" s="590" t="s">
        <v>2083</v>
      </c>
      <c r="L23" s="594"/>
    </row>
    <row r="24" spans="1:12">
      <c r="A24" s="593">
        <v>23</v>
      </c>
      <c r="B24" s="585" t="s">
        <v>3344</v>
      </c>
      <c r="C24" s="601">
        <v>42338</v>
      </c>
      <c r="D24" s="585" t="s">
        <v>6</v>
      </c>
      <c r="E24" s="586">
        <v>42564</v>
      </c>
      <c r="F24" s="585" t="s">
        <v>6</v>
      </c>
      <c r="G24" s="586">
        <v>42564</v>
      </c>
      <c r="H24" s="586" t="s">
        <v>3318</v>
      </c>
      <c r="I24" s="586">
        <v>42565</v>
      </c>
      <c r="J24" s="587">
        <v>100</v>
      </c>
      <c r="K24" s="590" t="s">
        <v>3319</v>
      </c>
      <c r="L24" s="583"/>
    </row>
    <row r="25" spans="1:12">
      <c r="A25" s="593">
        <v>24</v>
      </c>
      <c r="B25" s="585" t="s">
        <v>3344</v>
      </c>
      <c r="C25" s="601">
        <v>42338</v>
      </c>
      <c r="D25" s="585" t="s">
        <v>6</v>
      </c>
      <c r="E25" s="586">
        <v>42564</v>
      </c>
      <c r="F25" s="585" t="s">
        <v>6</v>
      </c>
      <c r="G25" s="586">
        <v>42564</v>
      </c>
      <c r="H25" s="586" t="s">
        <v>3318</v>
      </c>
      <c r="I25" s="586">
        <v>42565</v>
      </c>
      <c r="J25" s="587">
        <v>380</v>
      </c>
      <c r="K25" s="590" t="s">
        <v>3319</v>
      </c>
    </row>
    <row r="26" spans="1:12">
      <c r="A26" s="593">
        <v>25</v>
      </c>
      <c r="B26" s="585" t="s">
        <v>3330</v>
      </c>
      <c r="C26" s="586">
        <v>42373</v>
      </c>
      <c r="D26" s="585" t="s">
        <v>6</v>
      </c>
      <c r="E26" s="586">
        <v>42562</v>
      </c>
      <c r="F26" s="585" t="s">
        <v>6</v>
      </c>
      <c r="G26" s="586">
        <v>42562</v>
      </c>
      <c r="H26" s="586" t="s">
        <v>3320</v>
      </c>
      <c r="I26" s="586">
        <v>42563</v>
      </c>
      <c r="J26" s="587">
        <v>1350</v>
      </c>
      <c r="K26" s="587" t="s">
        <v>20</v>
      </c>
      <c r="L26" s="583"/>
    </row>
    <row r="27" spans="1:12">
      <c r="A27" s="593">
        <v>26</v>
      </c>
      <c r="B27" s="585" t="s">
        <v>6</v>
      </c>
      <c r="C27" s="586">
        <v>42416</v>
      </c>
      <c r="D27" s="585" t="s">
        <v>6</v>
      </c>
      <c r="E27" s="586">
        <v>42565</v>
      </c>
      <c r="F27" s="585" t="s">
        <v>6</v>
      </c>
      <c r="G27" s="586">
        <v>42565</v>
      </c>
      <c r="H27" s="586" t="s">
        <v>3318</v>
      </c>
      <c r="I27" s="586">
        <v>42569</v>
      </c>
      <c r="J27" s="587">
        <v>600</v>
      </c>
      <c r="K27" s="590" t="s">
        <v>3347</v>
      </c>
      <c r="L27" s="583"/>
    </row>
    <row r="28" spans="1:12">
      <c r="A28" s="593">
        <v>27</v>
      </c>
      <c r="B28" s="585" t="s">
        <v>6</v>
      </c>
      <c r="C28" s="586">
        <v>42416</v>
      </c>
      <c r="D28" s="585" t="s">
        <v>6</v>
      </c>
      <c r="E28" s="586">
        <v>42565</v>
      </c>
      <c r="F28" s="585" t="s">
        <v>6</v>
      </c>
      <c r="G28" s="586">
        <v>42565</v>
      </c>
      <c r="H28" s="586" t="s">
        <v>3318</v>
      </c>
      <c r="I28" s="586">
        <v>42569</v>
      </c>
      <c r="J28" s="587">
        <v>600</v>
      </c>
      <c r="K28" s="590" t="s">
        <v>3347</v>
      </c>
      <c r="L28" s="583"/>
    </row>
    <row r="29" spans="1:12">
      <c r="A29" s="593">
        <v>28</v>
      </c>
      <c r="B29" s="585" t="s">
        <v>6</v>
      </c>
      <c r="C29" s="586"/>
      <c r="D29" s="585" t="s">
        <v>6</v>
      </c>
      <c r="E29" s="586"/>
      <c r="F29" s="585" t="s">
        <v>6</v>
      </c>
      <c r="G29" s="586"/>
      <c r="H29" s="586"/>
      <c r="I29" s="586"/>
      <c r="J29" s="587"/>
      <c r="K29" s="592"/>
      <c r="L29" s="583"/>
    </row>
    <row r="30" spans="1:12">
      <c r="A30" s="593">
        <v>29</v>
      </c>
      <c r="B30" s="585" t="s">
        <v>6</v>
      </c>
      <c r="C30" s="586"/>
      <c r="D30" s="585" t="s">
        <v>6</v>
      </c>
      <c r="E30" s="586"/>
      <c r="F30" s="585" t="s">
        <v>6</v>
      </c>
      <c r="G30" s="586"/>
      <c r="H30" s="586"/>
      <c r="I30" s="586"/>
      <c r="J30" s="587"/>
      <c r="K30" s="590"/>
      <c r="L30" s="583"/>
    </row>
    <row r="31" spans="1:12">
      <c r="A31" s="596">
        <v>30</v>
      </c>
      <c r="B31" s="585" t="s">
        <v>6</v>
      </c>
      <c r="C31" s="586"/>
      <c r="D31" s="585" t="s">
        <v>6</v>
      </c>
      <c r="E31" s="586"/>
      <c r="F31" s="585" t="s">
        <v>6</v>
      </c>
      <c r="G31" s="586"/>
      <c r="H31" s="586"/>
      <c r="I31" s="586"/>
      <c r="J31" s="587"/>
      <c r="K31" s="592"/>
      <c r="L31" s="583"/>
    </row>
    <row r="32" spans="1:12">
      <c r="A32" s="596">
        <v>31</v>
      </c>
      <c r="B32" s="585" t="s">
        <v>6</v>
      </c>
      <c r="C32" s="586"/>
      <c r="D32" s="585" t="s">
        <v>6</v>
      </c>
      <c r="E32" s="586"/>
      <c r="F32" s="585" t="s">
        <v>6</v>
      </c>
      <c r="G32" s="586"/>
      <c r="H32" s="586"/>
      <c r="I32" s="586"/>
      <c r="J32" s="587"/>
      <c r="K32" s="592"/>
      <c r="L32" s="583"/>
    </row>
    <row r="33" spans="1:12">
      <c r="A33" s="596">
        <v>32</v>
      </c>
      <c r="B33" s="585" t="s">
        <v>6</v>
      </c>
      <c r="C33" s="586"/>
      <c r="D33" s="585" t="s">
        <v>6</v>
      </c>
      <c r="E33" s="586"/>
      <c r="F33" s="585" t="s">
        <v>6</v>
      </c>
      <c r="G33" s="586"/>
      <c r="H33" s="586"/>
      <c r="I33" s="586"/>
      <c r="J33" s="587"/>
      <c r="K33" s="590"/>
      <c r="L33" s="583"/>
    </row>
    <row r="34" spans="1:12">
      <c r="A34" s="596">
        <v>33</v>
      </c>
      <c r="B34" s="585" t="s">
        <v>6</v>
      </c>
      <c r="C34" s="586"/>
      <c r="D34" s="585" t="s">
        <v>6</v>
      </c>
      <c r="E34" s="586"/>
      <c r="F34" s="585" t="s">
        <v>6</v>
      </c>
      <c r="G34" s="586"/>
      <c r="H34" s="586"/>
      <c r="I34" s="586"/>
      <c r="J34" s="587"/>
      <c r="K34" s="590"/>
      <c r="L34" s="583"/>
    </row>
    <row r="35" spans="1:12">
      <c r="A35" s="596">
        <v>34</v>
      </c>
      <c r="B35" s="585" t="s">
        <v>6</v>
      </c>
      <c r="C35" s="586"/>
      <c r="D35" s="585" t="s">
        <v>6</v>
      </c>
      <c r="E35" s="586"/>
      <c r="F35" s="585" t="s">
        <v>6</v>
      </c>
      <c r="G35" s="586"/>
      <c r="H35" s="586"/>
      <c r="I35" s="586"/>
      <c r="J35" s="587"/>
      <c r="K35" s="592"/>
      <c r="L35" s="583"/>
    </row>
    <row r="36" spans="1:12">
      <c r="A36" s="596">
        <v>35</v>
      </c>
      <c r="B36" s="585" t="s">
        <v>6</v>
      </c>
      <c r="C36" s="586"/>
      <c r="D36" s="585" t="s">
        <v>6</v>
      </c>
      <c r="E36" s="586"/>
      <c r="F36" s="585" t="s">
        <v>6</v>
      </c>
      <c r="G36" s="586"/>
      <c r="H36" s="586"/>
      <c r="I36" s="586"/>
      <c r="J36" s="587"/>
      <c r="K36" s="587"/>
      <c r="L36" s="583"/>
    </row>
    <row r="37" spans="1:12">
      <c r="A37" s="596">
        <v>36</v>
      </c>
      <c r="B37" s="585" t="s">
        <v>6</v>
      </c>
      <c r="C37" s="586"/>
      <c r="D37" s="585" t="s">
        <v>6</v>
      </c>
      <c r="E37" s="586"/>
      <c r="F37" s="585" t="s">
        <v>6</v>
      </c>
      <c r="G37" s="586"/>
      <c r="H37" s="586"/>
      <c r="I37" s="586"/>
      <c r="J37" s="587"/>
      <c r="K37" s="587"/>
      <c r="L37" s="583"/>
    </row>
    <row r="38" spans="1:12">
      <c r="A38" s="596">
        <v>37</v>
      </c>
      <c r="B38" s="585" t="s">
        <v>6</v>
      </c>
      <c r="C38" s="586"/>
      <c r="D38" s="585" t="s">
        <v>6</v>
      </c>
      <c r="E38" s="586"/>
      <c r="F38" s="585" t="s">
        <v>6</v>
      </c>
      <c r="G38" s="586"/>
      <c r="H38" s="586"/>
      <c r="I38" s="586"/>
      <c r="J38" s="587"/>
      <c r="K38" s="587"/>
      <c r="L38" s="583"/>
    </row>
    <row r="39" spans="1:12">
      <c r="A39" s="596">
        <v>38</v>
      </c>
      <c r="B39" s="585" t="s">
        <v>6</v>
      </c>
      <c r="C39" s="586"/>
      <c r="D39" s="585" t="s">
        <v>6</v>
      </c>
      <c r="E39" s="586"/>
      <c r="F39" s="585" t="s">
        <v>6</v>
      </c>
      <c r="G39" s="586"/>
      <c r="H39" s="586"/>
      <c r="I39" s="586"/>
      <c r="J39" s="587"/>
      <c r="K39" s="587"/>
      <c r="L39" s="583"/>
    </row>
    <row r="40" spans="1:12">
      <c r="A40" s="596">
        <v>39</v>
      </c>
      <c r="B40" s="585" t="s">
        <v>6</v>
      </c>
      <c r="C40" s="586"/>
      <c r="D40" s="585" t="s">
        <v>6</v>
      </c>
      <c r="E40" s="586"/>
      <c r="F40" s="585" t="s">
        <v>6</v>
      </c>
      <c r="G40" s="586"/>
      <c r="H40" s="586"/>
      <c r="I40" s="586"/>
      <c r="J40" s="587"/>
      <c r="K40" s="592"/>
      <c r="L40" s="583"/>
    </row>
    <row r="41" spans="1:12">
      <c r="A41" s="596">
        <v>40</v>
      </c>
      <c r="B41" s="585" t="s">
        <v>6</v>
      </c>
      <c r="C41" s="586"/>
      <c r="D41" s="585" t="s">
        <v>6</v>
      </c>
      <c r="E41" s="586"/>
      <c r="F41" s="585" t="s">
        <v>6</v>
      </c>
      <c r="G41" s="586"/>
      <c r="H41" s="586"/>
      <c r="I41" s="586"/>
      <c r="J41" s="587"/>
      <c r="K41" s="587"/>
      <c r="L41" s="583"/>
    </row>
    <row r="42" spans="1:12">
      <c r="A42" s="596">
        <v>41</v>
      </c>
      <c r="B42" s="585" t="s">
        <v>6</v>
      </c>
      <c r="C42" s="586"/>
      <c r="D42" s="585" t="s">
        <v>6</v>
      </c>
      <c r="E42" s="586"/>
      <c r="F42" s="585" t="s">
        <v>6</v>
      </c>
      <c r="G42" s="586"/>
      <c r="H42" s="586"/>
      <c r="I42" s="586"/>
      <c r="J42" s="587"/>
      <c r="K42" s="587"/>
      <c r="L42" s="583"/>
    </row>
    <row r="43" spans="1:12">
      <c r="A43" s="596">
        <v>42</v>
      </c>
      <c r="B43" s="585" t="s">
        <v>6</v>
      </c>
      <c r="C43" s="586"/>
      <c r="D43" s="585" t="s">
        <v>6</v>
      </c>
      <c r="E43" s="586"/>
      <c r="F43" s="585" t="s">
        <v>6</v>
      </c>
      <c r="G43" s="586"/>
      <c r="H43" s="586"/>
      <c r="I43" s="586"/>
      <c r="J43" s="587"/>
      <c r="K43" s="587"/>
      <c r="L43" s="583"/>
    </row>
    <row r="44" spans="1:12">
      <c r="A44" s="596">
        <v>43</v>
      </c>
      <c r="B44" s="585" t="s">
        <v>6</v>
      </c>
      <c r="C44" s="586"/>
      <c r="D44" s="585" t="s">
        <v>6</v>
      </c>
      <c r="E44" s="586"/>
      <c r="F44" s="585" t="s">
        <v>6</v>
      </c>
      <c r="G44" s="586"/>
      <c r="H44" s="586"/>
      <c r="I44" s="586"/>
      <c r="J44" s="587"/>
      <c r="K44" s="587"/>
      <c r="L44" s="583"/>
    </row>
    <row r="45" spans="1:12">
      <c r="A45" s="593">
        <v>44</v>
      </c>
      <c r="B45" s="585" t="s">
        <v>6</v>
      </c>
      <c r="C45" s="586"/>
      <c r="D45" s="585" t="s">
        <v>6</v>
      </c>
      <c r="E45" s="586"/>
      <c r="F45" s="585" t="s">
        <v>6</v>
      </c>
      <c r="G45" s="586"/>
      <c r="H45" s="586"/>
      <c r="I45" s="586"/>
      <c r="J45" s="587"/>
      <c r="K45" s="590"/>
      <c r="L45" s="583"/>
    </row>
    <row r="46" spans="1:12">
      <c r="A46" s="593">
        <v>45</v>
      </c>
      <c r="B46" s="585" t="s">
        <v>6</v>
      </c>
      <c r="C46" s="586"/>
      <c r="D46" s="585" t="s">
        <v>6</v>
      </c>
      <c r="E46" s="586"/>
      <c r="F46" s="585" t="s">
        <v>6</v>
      </c>
      <c r="G46" s="586"/>
      <c r="H46" s="586"/>
      <c r="I46" s="586"/>
      <c r="J46" s="587"/>
      <c r="K46" s="587"/>
      <c r="L46" s="583"/>
    </row>
    <row r="47" spans="1:12">
      <c r="A47" s="593">
        <v>46</v>
      </c>
      <c r="B47" s="585" t="s">
        <v>6</v>
      </c>
      <c r="C47" s="586"/>
      <c r="D47" s="585" t="s">
        <v>6</v>
      </c>
      <c r="E47" s="586"/>
      <c r="F47" s="585" t="s">
        <v>6</v>
      </c>
      <c r="G47" s="586"/>
      <c r="H47" s="586"/>
      <c r="I47" s="586"/>
      <c r="J47" s="587"/>
      <c r="K47" s="587"/>
      <c r="L47" s="583"/>
    </row>
    <row r="48" spans="1:12">
      <c r="A48" s="593">
        <v>47</v>
      </c>
      <c r="B48" s="585" t="s">
        <v>6</v>
      </c>
      <c r="C48" s="586"/>
      <c r="D48" s="585" t="s">
        <v>6</v>
      </c>
      <c r="E48" s="586"/>
      <c r="F48" s="585" t="s">
        <v>6</v>
      </c>
      <c r="G48" s="586"/>
      <c r="H48" s="586"/>
      <c r="I48" s="586"/>
      <c r="J48" s="587"/>
      <c r="K48" s="587"/>
      <c r="L48" s="583"/>
    </row>
    <row r="49" spans="1:12">
      <c r="A49" s="593">
        <v>48</v>
      </c>
      <c r="B49" s="585" t="s">
        <v>6</v>
      </c>
      <c r="C49" s="586"/>
      <c r="D49" s="585" t="s">
        <v>6</v>
      </c>
      <c r="E49" s="586"/>
      <c r="F49" s="585" t="s">
        <v>6</v>
      </c>
      <c r="G49" s="586"/>
      <c r="H49" s="586"/>
      <c r="I49" s="586"/>
      <c r="J49" s="587"/>
      <c r="K49" s="592"/>
      <c r="L49" s="583"/>
    </row>
    <row r="50" spans="1:12">
      <c r="A50" s="593">
        <v>49</v>
      </c>
      <c r="B50" s="585" t="s">
        <v>6</v>
      </c>
      <c r="C50" s="586"/>
      <c r="D50" s="585" t="s">
        <v>6</v>
      </c>
      <c r="E50" s="586"/>
      <c r="F50" s="585" t="s">
        <v>6</v>
      </c>
      <c r="G50" s="586"/>
      <c r="H50" s="586"/>
      <c r="I50" s="586"/>
      <c r="J50" s="587"/>
      <c r="K50" s="587"/>
      <c r="L50" s="583"/>
    </row>
    <row r="51" spans="1:12">
      <c r="A51" s="593">
        <v>50</v>
      </c>
      <c r="B51" s="585" t="s">
        <v>6</v>
      </c>
      <c r="C51" s="586"/>
      <c r="D51" s="585" t="s">
        <v>6</v>
      </c>
      <c r="E51" s="586"/>
      <c r="F51" s="585" t="s">
        <v>6</v>
      </c>
      <c r="G51" s="586"/>
      <c r="H51" s="586"/>
      <c r="I51" s="586"/>
      <c r="J51" s="587"/>
      <c r="K51" s="587"/>
      <c r="L51" s="583"/>
    </row>
    <row r="52" spans="1:12">
      <c r="A52" s="593">
        <v>51</v>
      </c>
      <c r="B52" s="585" t="s">
        <v>6</v>
      </c>
      <c r="C52" s="586"/>
      <c r="D52" s="585" t="s">
        <v>6</v>
      </c>
      <c r="E52" s="586"/>
      <c r="F52" s="585" t="s">
        <v>6</v>
      </c>
      <c r="G52" s="586"/>
      <c r="H52" s="586"/>
      <c r="I52" s="586"/>
      <c r="J52" s="587"/>
      <c r="K52" s="590"/>
      <c r="L52" s="583"/>
    </row>
    <row r="53" spans="1:12">
      <c r="A53" s="593">
        <v>52</v>
      </c>
      <c r="B53" s="585" t="s">
        <v>6</v>
      </c>
      <c r="C53" s="586"/>
      <c r="D53" s="585" t="s">
        <v>6</v>
      </c>
      <c r="E53" s="586"/>
      <c r="F53" s="585" t="s">
        <v>6</v>
      </c>
      <c r="G53" s="586"/>
      <c r="H53" s="586"/>
      <c r="I53" s="586"/>
      <c r="J53" s="587"/>
      <c r="K53" s="592"/>
      <c r="L53" s="583"/>
    </row>
    <row r="54" spans="1:12">
      <c r="A54" s="593">
        <v>53</v>
      </c>
      <c r="B54" s="585" t="s">
        <v>6</v>
      </c>
      <c r="C54" s="586"/>
      <c r="D54" s="585" t="s">
        <v>6</v>
      </c>
      <c r="E54" s="586"/>
      <c r="F54" s="585" t="s">
        <v>6</v>
      </c>
      <c r="G54" s="586"/>
      <c r="H54" s="586"/>
      <c r="I54" s="586"/>
      <c r="J54" s="587"/>
      <c r="K54" s="587"/>
      <c r="L54" s="583"/>
    </row>
    <row r="55" spans="1:12">
      <c r="A55" s="593">
        <v>54</v>
      </c>
      <c r="B55" s="585" t="s">
        <v>6</v>
      </c>
      <c r="C55" s="586"/>
      <c r="D55" s="585" t="s">
        <v>6</v>
      </c>
      <c r="E55" s="586"/>
      <c r="F55" s="585" t="s">
        <v>6</v>
      </c>
      <c r="G55" s="586"/>
      <c r="H55" s="586"/>
      <c r="I55" s="586"/>
      <c r="J55" s="587"/>
      <c r="K55" s="587"/>
      <c r="L55" s="583"/>
    </row>
    <row r="56" spans="1:12">
      <c r="A56" s="593">
        <v>55</v>
      </c>
      <c r="B56" s="585" t="s">
        <v>6</v>
      </c>
      <c r="C56" s="586"/>
      <c r="D56" s="585" t="s">
        <v>6</v>
      </c>
      <c r="E56" s="586"/>
      <c r="F56" s="585" t="s">
        <v>6</v>
      </c>
      <c r="G56" s="586"/>
      <c r="H56" s="586"/>
      <c r="I56" s="586"/>
      <c r="J56" s="587"/>
      <c r="K56" s="592"/>
      <c r="L56" s="583"/>
    </row>
    <row r="57" spans="1:12">
      <c r="A57" s="593">
        <v>56</v>
      </c>
      <c r="B57" s="585" t="s">
        <v>6</v>
      </c>
      <c r="C57" s="586"/>
      <c r="D57" s="585" t="s">
        <v>6</v>
      </c>
      <c r="E57" s="586"/>
      <c r="F57" s="585" t="s">
        <v>6</v>
      </c>
      <c r="G57" s="586"/>
      <c r="H57" s="586"/>
      <c r="I57" s="586"/>
      <c r="J57" s="587"/>
      <c r="K57" s="590"/>
      <c r="L57" s="583"/>
    </row>
    <row r="58" spans="1:12">
      <c r="A58" s="593">
        <v>57</v>
      </c>
      <c r="B58" s="585" t="s">
        <v>6</v>
      </c>
      <c r="C58" s="586"/>
      <c r="D58" s="585" t="s">
        <v>6</v>
      </c>
      <c r="E58" s="586"/>
      <c r="F58" s="585" t="s">
        <v>6</v>
      </c>
      <c r="G58" s="586"/>
      <c r="H58" s="586"/>
      <c r="I58" s="586"/>
      <c r="J58" s="587"/>
      <c r="K58" s="590"/>
      <c r="L58" s="583"/>
    </row>
    <row r="59" spans="1:12">
      <c r="A59" s="593">
        <v>58</v>
      </c>
      <c r="B59" s="585" t="s">
        <v>6</v>
      </c>
      <c r="C59" s="586"/>
      <c r="D59" s="585" t="s">
        <v>6</v>
      </c>
      <c r="E59" s="586"/>
      <c r="F59" s="585" t="s">
        <v>6</v>
      </c>
      <c r="G59" s="586"/>
      <c r="H59" s="586"/>
      <c r="I59" s="586"/>
      <c r="J59" s="587"/>
      <c r="K59" s="590"/>
      <c r="L59" s="583"/>
    </row>
    <row r="60" spans="1:12">
      <c r="A60" s="593">
        <v>59</v>
      </c>
      <c r="B60" s="585" t="s">
        <v>6</v>
      </c>
      <c r="C60" s="586"/>
      <c r="D60" s="585" t="s">
        <v>6</v>
      </c>
      <c r="E60" s="586"/>
      <c r="F60" s="585" t="s">
        <v>6</v>
      </c>
      <c r="G60" s="586"/>
      <c r="H60" s="586"/>
      <c r="I60" s="586"/>
      <c r="J60" s="587"/>
      <c r="K60" s="592"/>
      <c r="L60" s="583"/>
    </row>
    <row r="61" spans="1:12">
      <c r="A61" s="593">
        <v>60</v>
      </c>
      <c r="B61" s="585" t="s">
        <v>6</v>
      </c>
      <c r="C61" s="586"/>
      <c r="D61" s="585" t="s">
        <v>6</v>
      </c>
      <c r="E61" s="586"/>
      <c r="F61" s="585" t="s">
        <v>6</v>
      </c>
      <c r="G61" s="586"/>
      <c r="H61" s="586"/>
      <c r="I61" s="586"/>
      <c r="J61" s="587"/>
      <c r="K61" s="590"/>
      <c r="L61" s="583"/>
    </row>
    <row r="62" spans="1:12">
      <c r="A62" s="593">
        <v>61</v>
      </c>
      <c r="B62" s="585" t="s">
        <v>6</v>
      </c>
      <c r="C62" s="586"/>
      <c r="D62" s="585" t="s">
        <v>6</v>
      </c>
      <c r="E62" s="586"/>
      <c r="F62" s="585" t="s">
        <v>6</v>
      </c>
      <c r="G62" s="586"/>
      <c r="H62" s="586"/>
      <c r="I62" s="586"/>
      <c r="J62" s="587"/>
      <c r="K62" s="590"/>
      <c r="L62" s="583"/>
    </row>
    <row r="63" spans="1:12">
      <c r="A63" s="596">
        <v>62</v>
      </c>
      <c r="B63" s="585" t="s">
        <v>6</v>
      </c>
      <c r="C63" s="586"/>
      <c r="D63" s="585" t="s">
        <v>6</v>
      </c>
      <c r="E63" s="586"/>
      <c r="F63" s="585" t="s">
        <v>6</v>
      </c>
      <c r="G63" s="586"/>
      <c r="H63" s="586"/>
      <c r="I63" s="586"/>
      <c r="J63" s="587"/>
      <c r="K63" s="592"/>
      <c r="L63" s="591"/>
    </row>
    <row r="64" spans="1:12">
      <c r="A64" s="596">
        <v>63</v>
      </c>
      <c r="B64" s="585" t="s">
        <v>6</v>
      </c>
      <c r="C64" s="586"/>
      <c r="D64" s="585" t="s">
        <v>6</v>
      </c>
      <c r="E64" s="586"/>
      <c r="F64" s="585" t="s">
        <v>6</v>
      </c>
      <c r="G64" s="586"/>
      <c r="H64" s="586"/>
      <c r="I64" s="586"/>
      <c r="J64" s="587"/>
      <c r="K64" s="590"/>
      <c r="L64" s="591"/>
    </row>
    <row r="65" spans="1:12">
      <c r="A65" s="596">
        <v>64</v>
      </c>
      <c r="B65" s="585" t="s">
        <v>6</v>
      </c>
      <c r="C65" s="586"/>
      <c r="D65" s="585" t="s">
        <v>6</v>
      </c>
      <c r="E65" s="586"/>
      <c r="F65" s="585" t="s">
        <v>6</v>
      </c>
      <c r="G65" s="586"/>
      <c r="H65" s="586"/>
      <c r="I65" s="586"/>
      <c r="J65" s="587"/>
      <c r="K65" s="592"/>
      <c r="L65" s="591"/>
    </row>
    <row r="66" spans="1:12">
      <c r="A66" s="596">
        <v>65</v>
      </c>
      <c r="B66" s="585" t="s">
        <v>6</v>
      </c>
      <c r="C66" s="586"/>
      <c r="D66" s="585" t="s">
        <v>6</v>
      </c>
      <c r="E66" s="586"/>
      <c r="F66" s="585" t="s">
        <v>6</v>
      </c>
      <c r="G66" s="586"/>
      <c r="H66" s="586"/>
      <c r="I66" s="586"/>
      <c r="J66" s="587"/>
      <c r="K66" s="587"/>
      <c r="L66" s="591"/>
    </row>
    <row r="67" spans="1:12">
      <c r="A67" s="596">
        <v>66</v>
      </c>
      <c r="B67" s="585" t="s">
        <v>6</v>
      </c>
      <c r="C67" s="586"/>
      <c r="D67" s="585" t="s">
        <v>6</v>
      </c>
      <c r="E67" s="586"/>
      <c r="F67" s="585" t="s">
        <v>6</v>
      </c>
      <c r="G67" s="586"/>
      <c r="H67" s="586"/>
      <c r="I67" s="586"/>
      <c r="J67" s="587"/>
      <c r="K67" s="592"/>
      <c r="L67" s="591"/>
    </row>
    <row r="68" spans="1:12">
      <c r="A68" s="596">
        <v>67</v>
      </c>
      <c r="B68" s="585" t="s">
        <v>6</v>
      </c>
      <c r="C68" s="586"/>
      <c r="D68" s="585" t="s">
        <v>6</v>
      </c>
      <c r="E68" s="586"/>
      <c r="F68" s="585" t="s">
        <v>6</v>
      </c>
      <c r="G68" s="586"/>
      <c r="H68" s="586"/>
      <c r="I68" s="586"/>
      <c r="J68" s="587"/>
      <c r="K68" s="587"/>
      <c r="L68" s="591"/>
    </row>
    <row r="69" spans="1:12">
      <c r="A69" s="596">
        <v>68</v>
      </c>
      <c r="B69" s="585" t="s">
        <v>6</v>
      </c>
      <c r="C69" s="586"/>
      <c r="D69" s="585" t="s">
        <v>6</v>
      </c>
      <c r="E69" s="586"/>
      <c r="F69" s="585" t="s">
        <v>6</v>
      </c>
      <c r="G69" s="586"/>
      <c r="H69" s="586"/>
      <c r="I69" s="586"/>
      <c r="J69" s="587"/>
      <c r="K69" s="587"/>
      <c r="L69" s="591"/>
    </row>
    <row r="70" spans="1:12">
      <c r="A70" s="596">
        <v>69</v>
      </c>
      <c r="B70" s="585" t="s">
        <v>6</v>
      </c>
      <c r="C70" s="586"/>
      <c r="D70" s="585" t="s">
        <v>6</v>
      </c>
      <c r="E70" s="586"/>
      <c r="F70" s="585" t="s">
        <v>6</v>
      </c>
      <c r="G70" s="586"/>
      <c r="H70" s="586"/>
      <c r="I70" s="586"/>
      <c r="J70" s="587"/>
      <c r="K70" s="587"/>
      <c r="L70" s="591"/>
    </row>
    <row r="71" spans="1:12">
      <c r="A71" s="596">
        <v>70</v>
      </c>
      <c r="B71" s="585" t="s">
        <v>6</v>
      </c>
      <c r="C71" s="586"/>
      <c r="D71" s="585" t="s">
        <v>6</v>
      </c>
      <c r="E71" s="586"/>
      <c r="F71" s="585" t="s">
        <v>6</v>
      </c>
      <c r="G71" s="586"/>
      <c r="H71" s="586"/>
      <c r="I71" s="586"/>
      <c r="J71" s="587"/>
      <c r="K71" s="587"/>
      <c r="L71" s="591"/>
    </row>
    <row r="72" spans="1:12">
      <c r="A72" s="596">
        <v>71</v>
      </c>
      <c r="B72" s="585" t="s">
        <v>6</v>
      </c>
      <c r="C72" s="586"/>
      <c r="D72" s="585" t="s">
        <v>6</v>
      </c>
      <c r="E72" s="586"/>
      <c r="F72" s="585" t="s">
        <v>6</v>
      </c>
      <c r="G72" s="586"/>
      <c r="H72" s="586"/>
      <c r="I72" s="586"/>
      <c r="J72" s="587"/>
      <c r="K72" s="592"/>
      <c r="L72" s="591"/>
    </row>
    <row r="73" spans="1:12">
      <c r="A73" s="596">
        <v>72</v>
      </c>
      <c r="B73" s="585" t="s">
        <v>6</v>
      </c>
      <c r="C73" s="586"/>
      <c r="D73" s="585" t="s">
        <v>6</v>
      </c>
      <c r="E73" s="586"/>
      <c r="F73" s="585" t="s">
        <v>6</v>
      </c>
      <c r="G73" s="586"/>
      <c r="H73" s="586"/>
      <c r="I73" s="586"/>
      <c r="J73" s="587"/>
      <c r="K73" s="587"/>
      <c r="L73" s="591"/>
    </row>
    <row r="74" spans="1:12">
      <c r="A74" s="596">
        <v>73</v>
      </c>
      <c r="B74" s="585" t="s">
        <v>6</v>
      </c>
      <c r="C74" s="586"/>
      <c r="D74" s="585" t="s">
        <v>6</v>
      </c>
      <c r="E74" s="586"/>
      <c r="F74" s="585" t="s">
        <v>6</v>
      </c>
      <c r="G74" s="586"/>
      <c r="H74" s="586"/>
      <c r="I74" s="586"/>
      <c r="J74" s="587"/>
      <c r="K74" s="590"/>
      <c r="L74" s="591"/>
    </row>
    <row r="75" spans="1:12">
      <c r="A75" s="596">
        <v>74</v>
      </c>
      <c r="B75" s="585" t="s">
        <v>6</v>
      </c>
      <c r="C75" s="586"/>
      <c r="D75" s="585" t="s">
        <v>6</v>
      </c>
      <c r="E75" s="586"/>
      <c r="F75" s="585" t="s">
        <v>6</v>
      </c>
      <c r="G75" s="586"/>
      <c r="H75" s="586"/>
      <c r="I75" s="586"/>
      <c r="J75" s="587"/>
      <c r="K75" s="592"/>
      <c r="L75" s="591"/>
    </row>
    <row r="76" spans="1:12">
      <c r="A76" s="596">
        <v>75</v>
      </c>
      <c r="B76" s="585" t="s">
        <v>6</v>
      </c>
      <c r="C76" s="586"/>
      <c r="D76" s="585" t="s">
        <v>6</v>
      </c>
      <c r="E76" s="586"/>
      <c r="F76" s="585" t="s">
        <v>6</v>
      </c>
      <c r="G76" s="586"/>
      <c r="H76" s="586"/>
      <c r="I76" s="586"/>
      <c r="J76" s="587"/>
      <c r="K76" s="592"/>
      <c r="L76" s="591"/>
    </row>
    <row r="77" spans="1:12">
      <c r="A77" s="596">
        <v>76</v>
      </c>
      <c r="B77" s="585" t="s">
        <v>6</v>
      </c>
      <c r="C77" s="586"/>
      <c r="D77" s="585" t="s">
        <v>6</v>
      </c>
      <c r="E77" s="586"/>
      <c r="F77" s="585" t="s">
        <v>6</v>
      </c>
      <c r="G77" s="586"/>
      <c r="H77" s="586"/>
      <c r="I77" s="586"/>
      <c r="J77" s="587"/>
      <c r="K77" s="587"/>
      <c r="L77" s="591"/>
    </row>
    <row r="78" spans="1:12">
      <c r="A78" s="596">
        <v>77</v>
      </c>
      <c r="B78" s="585" t="s">
        <v>6</v>
      </c>
      <c r="C78" s="586"/>
      <c r="D78" s="585" t="s">
        <v>6</v>
      </c>
      <c r="E78" s="586"/>
      <c r="F78" s="585" t="s">
        <v>6</v>
      </c>
      <c r="G78" s="586"/>
      <c r="H78" s="586"/>
      <c r="I78" s="586"/>
      <c r="J78" s="587"/>
      <c r="K78" s="587"/>
      <c r="L78" s="591"/>
    </row>
    <row r="79" spans="1:12">
      <c r="A79" s="596">
        <v>78</v>
      </c>
      <c r="B79" s="585" t="s">
        <v>6</v>
      </c>
      <c r="C79" s="586"/>
      <c r="D79" s="585" t="s">
        <v>6</v>
      </c>
      <c r="E79" s="586"/>
      <c r="F79" s="585" t="s">
        <v>6</v>
      </c>
      <c r="G79" s="586"/>
      <c r="H79" s="586"/>
      <c r="I79" s="586"/>
      <c r="J79" s="587"/>
      <c r="K79" s="592"/>
      <c r="L79" s="591"/>
    </row>
    <row r="80" spans="1:12">
      <c r="A80" s="596">
        <v>79</v>
      </c>
      <c r="B80" s="585" t="s">
        <v>6</v>
      </c>
      <c r="C80" s="586"/>
      <c r="D80" s="585" t="s">
        <v>6</v>
      </c>
      <c r="E80" s="586"/>
      <c r="F80" s="585" t="s">
        <v>6</v>
      </c>
      <c r="G80" s="586"/>
      <c r="H80" s="586"/>
      <c r="I80" s="586"/>
      <c r="J80" s="587"/>
      <c r="K80" s="590"/>
      <c r="L80" s="591"/>
    </row>
    <row r="81" spans="1:12">
      <c r="A81" s="596">
        <v>80</v>
      </c>
      <c r="B81" s="585" t="s">
        <v>6</v>
      </c>
      <c r="C81" s="586"/>
      <c r="D81" s="585" t="s">
        <v>6</v>
      </c>
      <c r="E81" s="586"/>
      <c r="F81" s="585" t="s">
        <v>6</v>
      </c>
      <c r="G81" s="586"/>
      <c r="H81" s="586"/>
      <c r="I81" s="586"/>
      <c r="J81" s="587"/>
      <c r="K81" s="590"/>
      <c r="L81" s="591"/>
    </row>
    <row r="82" spans="1:12">
      <c r="A82" s="596">
        <v>81</v>
      </c>
      <c r="B82" s="585" t="s">
        <v>6</v>
      </c>
      <c r="C82" s="586"/>
      <c r="D82" s="585" t="s">
        <v>6</v>
      </c>
      <c r="E82" s="586"/>
      <c r="F82" s="585" t="s">
        <v>6</v>
      </c>
      <c r="G82" s="586"/>
      <c r="H82" s="586"/>
      <c r="I82" s="586"/>
      <c r="J82" s="587"/>
      <c r="K82" s="592"/>
      <c r="L82" s="591"/>
    </row>
    <row r="83" spans="1:12">
      <c r="A83" s="596">
        <v>82</v>
      </c>
      <c r="B83" s="585" t="s">
        <v>6</v>
      </c>
      <c r="C83" s="586"/>
      <c r="D83" s="585" t="s">
        <v>6</v>
      </c>
      <c r="E83" s="586"/>
      <c r="F83" s="585" t="s">
        <v>6</v>
      </c>
      <c r="G83" s="586"/>
      <c r="H83" s="586"/>
      <c r="I83" s="586"/>
      <c r="J83" s="587"/>
      <c r="K83" s="587"/>
      <c r="L83" s="591"/>
    </row>
    <row r="84" spans="1:12">
      <c r="A84" s="596">
        <v>83</v>
      </c>
      <c r="B84" s="585" t="s">
        <v>6</v>
      </c>
      <c r="C84" s="586"/>
      <c r="D84" s="585" t="s">
        <v>6</v>
      </c>
      <c r="E84" s="586"/>
      <c r="F84" s="585" t="s">
        <v>6</v>
      </c>
      <c r="G84" s="586"/>
      <c r="H84" s="586"/>
      <c r="I84" s="586"/>
      <c r="J84" s="587"/>
      <c r="K84" s="587"/>
      <c r="L84" s="591"/>
    </row>
    <row r="85" spans="1:12">
      <c r="A85" s="596">
        <v>84</v>
      </c>
      <c r="B85" s="585" t="s">
        <v>6</v>
      </c>
      <c r="C85" s="586"/>
      <c r="D85" s="585" t="s">
        <v>6</v>
      </c>
      <c r="E85" s="586"/>
      <c r="F85" s="585" t="s">
        <v>6</v>
      </c>
      <c r="G85" s="586"/>
      <c r="H85" s="586"/>
      <c r="I85" s="586"/>
      <c r="J85" s="587"/>
      <c r="K85" s="587"/>
      <c r="L85" s="591"/>
    </row>
    <row r="86" spans="1:12">
      <c r="A86" s="596">
        <v>85</v>
      </c>
      <c r="B86" s="585" t="s">
        <v>6</v>
      </c>
      <c r="C86" s="586"/>
      <c r="D86" s="585" t="s">
        <v>6</v>
      </c>
      <c r="E86" s="586"/>
      <c r="F86" s="585" t="s">
        <v>6</v>
      </c>
      <c r="G86" s="586"/>
      <c r="H86" s="586"/>
      <c r="I86" s="586"/>
      <c r="J86" s="587"/>
      <c r="K86" s="592"/>
      <c r="L86" s="591"/>
    </row>
    <row r="87" spans="1:12">
      <c r="A87" s="596">
        <v>86</v>
      </c>
      <c r="B87" s="585" t="s">
        <v>6</v>
      </c>
      <c r="C87" s="586"/>
      <c r="D87" s="585" t="s">
        <v>6</v>
      </c>
      <c r="E87" s="586"/>
      <c r="F87" s="585" t="s">
        <v>6</v>
      </c>
      <c r="G87" s="586"/>
      <c r="H87" s="586"/>
      <c r="I87" s="586"/>
      <c r="J87" s="587"/>
      <c r="K87" s="590"/>
      <c r="L87" s="591"/>
    </row>
    <row r="88" spans="1:12">
      <c r="A88" s="596">
        <v>87</v>
      </c>
      <c r="B88" s="585" t="s">
        <v>6</v>
      </c>
      <c r="C88" s="586"/>
      <c r="D88" s="585" t="s">
        <v>6</v>
      </c>
      <c r="E88" s="586"/>
      <c r="F88" s="585" t="s">
        <v>6</v>
      </c>
      <c r="G88" s="586"/>
      <c r="H88" s="586"/>
      <c r="I88" s="586"/>
      <c r="J88" s="587"/>
      <c r="K88" s="587"/>
      <c r="L88" s="591"/>
    </row>
    <row r="89" spans="1:12">
      <c r="A89" s="596">
        <v>88</v>
      </c>
      <c r="B89" s="585" t="s">
        <v>6</v>
      </c>
      <c r="C89" s="586"/>
      <c r="D89" s="585" t="s">
        <v>6</v>
      </c>
      <c r="E89" s="586"/>
      <c r="F89" s="585" t="s">
        <v>6</v>
      </c>
      <c r="G89" s="586"/>
      <c r="H89" s="586"/>
      <c r="I89" s="586"/>
      <c r="J89" s="587"/>
      <c r="K89" s="592"/>
      <c r="L89" s="591"/>
    </row>
    <row r="90" spans="1:12">
      <c r="A90" s="596">
        <v>89</v>
      </c>
      <c r="B90" s="585" t="s">
        <v>6</v>
      </c>
      <c r="C90" s="586"/>
      <c r="D90" s="585" t="s">
        <v>6</v>
      </c>
      <c r="E90" s="586"/>
      <c r="F90" s="585" t="s">
        <v>6</v>
      </c>
      <c r="G90" s="586"/>
      <c r="H90" s="586"/>
      <c r="I90" s="586"/>
      <c r="J90" s="587"/>
      <c r="K90" s="590"/>
      <c r="L90" s="591"/>
    </row>
    <row r="91" spans="1:12">
      <c r="A91" s="596">
        <v>90</v>
      </c>
      <c r="B91" s="585" t="s">
        <v>6</v>
      </c>
      <c r="C91" s="586"/>
      <c r="D91" s="585" t="s">
        <v>6</v>
      </c>
      <c r="E91" s="586"/>
      <c r="F91" s="585" t="s">
        <v>6</v>
      </c>
      <c r="G91" s="586"/>
      <c r="H91" s="586"/>
      <c r="I91" s="586"/>
      <c r="J91" s="587"/>
      <c r="K91" s="587"/>
      <c r="L91" s="591"/>
    </row>
    <row r="92" spans="1:12">
      <c r="A92" s="596">
        <v>91</v>
      </c>
      <c r="B92" s="585" t="s">
        <v>6</v>
      </c>
      <c r="C92" s="586"/>
      <c r="D92" s="585" t="s">
        <v>6</v>
      </c>
      <c r="E92" s="586"/>
      <c r="F92" s="585" t="s">
        <v>6</v>
      </c>
      <c r="G92" s="586"/>
      <c r="H92" s="586"/>
      <c r="I92" s="586"/>
      <c r="J92" s="587"/>
      <c r="K92" s="587"/>
      <c r="L92" s="591"/>
    </row>
    <row r="93" spans="1:12">
      <c r="A93" s="596">
        <v>92</v>
      </c>
      <c r="B93" s="585" t="s">
        <v>6</v>
      </c>
      <c r="C93" s="586"/>
      <c r="D93" s="585" t="s">
        <v>6</v>
      </c>
      <c r="E93" s="586"/>
      <c r="F93" s="585" t="s">
        <v>6</v>
      </c>
      <c r="G93" s="586"/>
      <c r="H93" s="586"/>
      <c r="I93" s="586"/>
      <c r="J93" s="587"/>
      <c r="K93" s="592"/>
      <c r="L93" s="591"/>
    </row>
    <row r="94" spans="1:12">
      <c r="A94" s="596">
        <v>93</v>
      </c>
      <c r="B94" s="585" t="s">
        <v>6</v>
      </c>
      <c r="C94" s="586"/>
      <c r="D94" s="585" t="s">
        <v>6</v>
      </c>
      <c r="E94" s="586"/>
      <c r="F94" s="585" t="s">
        <v>6</v>
      </c>
      <c r="G94" s="586"/>
      <c r="H94" s="586"/>
      <c r="I94" s="586"/>
      <c r="J94" s="587"/>
      <c r="K94" s="587"/>
      <c r="L94" s="591"/>
    </row>
    <row r="95" spans="1:12">
      <c r="A95" s="596">
        <v>94</v>
      </c>
      <c r="B95" s="585" t="s">
        <v>6</v>
      </c>
      <c r="C95" s="586"/>
      <c r="D95" s="585" t="s">
        <v>6</v>
      </c>
      <c r="E95" s="586"/>
      <c r="F95" s="585" t="s">
        <v>6</v>
      </c>
      <c r="G95" s="586"/>
      <c r="H95" s="586"/>
      <c r="I95" s="586"/>
      <c r="J95" s="587"/>
      <c r="K95" s="587"/>
      <c r="L95" s="591"/>
    </row>
    <row r="96" spans="1:12">
      <c r="A96" s="596">
        <v>95</v>
      </c>
      <c r="B96" s="585" t="s">
        <v>6</v>
      </c>
      <c r="C96" s="586"/>
      <c r="D96" s="585" t="s">
        <v>6</v>
      </c>
      <c r="E96" s="586"/>
      <c r="F96" s="585" t="s">
        <v>6</v>
      </c>
      <c r="G96" s="586"/>
      <c r="H96" s="586"/>
      <c r="I96" s="586"/>
      <c r="J96" s="587"/>
      <c r="K96" s="592"/>
      <c r="L96" s="597"/>
    </row>
    <row r="97" spans="1:12">
      <c r="A97" s="596">
        <v>96</v>
      </c>
      <c r="B97" s="585" t="s">
        <v>6</v>
      </c>
      <c r="C97" s="586"/>
      <c r="D97" s="585" t="s">
        <v>6</v>
      </c>
      <c r="E97" s="586"/>
      <c r="F97" s="585" t="s">
        <v>6</v>
      </c>
      <c r="G97" s="586"/>
      <c r="H97" s="586"/>
      <c r="I97" s="586"/>
      <c r="J97" s="587"/>
      <c r="K97" s="592"/>
      <c r="L97" s="591"/>
    </row>
    <row r="98" spans="1:12">
      <c r="A98" s="596">
        <v>97</v>
      </c>
      <c r="B98" s="585" t="s">
        <v>6</v>
      </c>
      <c r="C98" s="586"/>
      <c r="D98" s="585" t="s">
        <v>6</v>
      </c>
      <c r="E98" s="586"/>
      <c r="F98" s="585" t="s">
        <v>6</v>
      </c>
      <c r="G98" s="586"/>
      <c r="H98" s="586"/>
      <c r="I98" s="586"/>
      <c r="J98" s="587"/>
      <c r="K98" s="592"/>
      <c r="L98" s="591"/>
    </row>
    <row r="99" spans="1:12">
      <c r="A99" s="596">
        <v>98</v>
      </c>
      <c r="B99" s="585" t="s">
        <v>6</v>
      </c>
      <c r="C99" s="586"/>
      <c r="D99" s="585" t="s">
        <v>6</v>
      </c>
      <c r="E99" s="586"/>
      <c r="F99" s="585" t="s">
        <v>6</v>
      </c>
      <c r="G99" s="586"/>
      <c r="H99" s="586"/>
      <c r="I99" s="586"/>
      <c r="J99" s="587"/>
      <c r="K99" s="590"/>
      <c r="L99" s="591"/>
    </row>
    <row r="100" spans="1:12">
      <c r="A100" s="596">
        <v>99</v>
      </c>
      <c r="B100" s="585" t="s">
        <v>6</v>
      </c>
      <c r="C100" s="586"/>
      <c r="D100" s="585" t="s">
        <v>6</v>
      </c>
      <c r="E100" s="586"/>
      <c r="F100" s="585" t="s">
        <v>6</v>
      </c>
      <c r="G100" s="586"/>
      <c r="H100" s="586"/>
      <c r="I100" s="586"/>
      <c r="J100" s="587"/>
      <c r="K100" s="587"/>
      <c r="L100" s="591"/>
    </row>
    <row r="101" spans="1:12">
      <c r="A101" s="596">
        <v>100</v>
      </c>
      <c r="B101" s="585" t="s">
        <v>6</v>
      </c>
      <c r="C101" s="586"/>
      <c r="D101" s="585" t="s">
        <v>6</v>
      </c>
      <c r="E101" s="586"/>
      <c r="F101" s="585" t="s">
        <v>6</v>
      </c>
      <c r="G101" s="586"/>
      <c r="H101" s="586"/>
      <c r="I101" s="586"/>
      <c r="J101" s="587"/>
      <c r="K101" s="592"/>
      <c r="L101" s="591"/>
    </row>
    <row r="102" spans="1:12">
      <c r="A102" s="596">
        <v>101</v>
      </c>
      <c r="B102" s="585" t="s">
        <v>6</v>
      </c>
      <c r="C102" s="586"/>
      <c r="D102" s="585" t="s">
        <v>6</v>
      </c>
      <c r="E102" s="586"/>
      <c r="F102" s="585" t="s">
        <v>6</v>
      </c>
      <c r="G102" s="586"/>
      <c r="H102" s="586"/>
      <c r="I102" s="586"/>
      <c r="J102" s="587"/>
      <c r="K102" s="590"/>
      <c r="L102" s="591"/>
    </row>
    <row r="103" spans="1:12">
      <c r="A103" s="596">
        <v>102</v>
      </c>
      <c r="B103" s="585" t="s">
        <v>6</v>
      </c>
      <c r="C103" s="586"/>
      <c r="D103" s="585" t="s">
        <v>6</v>
      </c>
      <c r="E103" s="586"/>
      <c r="F103" s="585" t="s">
        <v>6</v>
      </c>
      <c r="G103" s="586"/>
      <c r="H103" s="586"/>
      <c r="I103" s="586"/>
      <c r="J103" s="587"/>
      <c r="K103" s="592"/>
      <c r="L103" s="591"/>
    </row>
    <row r="104" spans="1:12">
      <c r="A104" s="596">
        <v>103</v>
      </c>
      <c r="B104" s="585" t="s">
        <v>6</v>
      </c>
      <c r="C104" s="586"/>
      <c r="D104" s="585" t="s">
        <v>6</v>
      </c>
      <c r="E104" s="586"/>
      <c r="F104" s="585" t="s">
        <v>6</v>
      </c>
      <c r="G104" s="586"/>
      <c r="H104" s="586"/>
      <c r="I104" s="586"/>
      <c r="J104" s="587"/>
      <c r="K104" s="592"/>
      <c r="L104" s="591"/>
    </row>
    <row r="105" spans="1:12">
      <c r="A105" s="596">
        <v>104</v>
      </c>
      <c r="B105" s="585" t="s">
        <v>6</v>
      </c>
      <c r="C105" s="586"/>
      <c r="D105" s="585" t="s">
        <v>6</v>
      </c>
      <c r="E105" s="586"/>
      <c r="F105" s="585" t="s">
        <v>6</v>
      </c>
      <c r="G105" s="586"/>
      <c r="H105" s="586"/>
      <c r="I105" s="586"/>
      <c r="J105" s="587"/>
      <c r="K105" s="590"/>
      <c r="L105" s="591"/>
    </row>
    <row r="106" spans="1:12">
      <c r="A106" s="596">
        <v>105</v>
      </c>
      <c r="B106" s="585" t="s">
        <v>6</v>
      </c>
      <c r="C106" s="586"/>
      <c r="D106" s="585" t="s">
        <v>6</v>
      </c>
      <c r="E106" s="586"/>
      <c r="F106" s="585" t="s">
        <v>6</v>
      </c>
      <c r="G106" s="586"/>
      <c r="H106" s="586"/>
      <c r="I106" s="586"/>
      <c r="J106" s="587"/>
      <c r="K106" s="590"/>
      <c r="L106" s="591"/>
    </row>
    <row r="107" spans="1:12">
      <c r="A107" s="596">
        <v>106</v>
      </c>
      <c r="B107" s="585" t="s">
        <v>6</v>
      </c>
      <c r="C107" s="586"/>
      <c r="D107" s="585" t="s">
        <v>6</v>
      </c>
      <c r="E107" s="586"/>
      <c r="F107" s="585" t="s">
        <v>6</v>
      </c>
      <c r="G107" s="586"/>
      <c r="H107" s="586"/>
      <c r="I107" s="586"/>
      <c r="J107" s="587"/>
      <c r="K107" s="590"/>
      <c r="L107" s="591"/>
    </row>
    <row r="108" spans="1:12">
      <c r="A108" s="596">
        <v>107</v>
      </c>
      <c r="B108" s="585" t="s">
        <v>6</v>
      </c>
      <c r="C108" s="586"/>
      <c r="D108" s="585" t="s">
        <v>6</v>
      </c>
      <c r="E108" s="586"/>
      <c r="F108" s="585" t="s">
        <v>6</v>
      </c>
      <c r="G108" s="586"/>
      <c r="H108" s="586"/>
      <c r="I108" s="586"/>
      <c r="J108" s="587"/>
      <c r="K108" s="592"/>
      <c r="L108" s="591"/>
    </row>
    <row r="109" spans="1:12">
      <c r="A109" s="596">
        <v>108</v>
      </c>
      <c r="B109" s="585" t="s">
        <v>6</v>
      </c>
      <c r="C109" s="586"/>
      <c r="D109" s="585" t="s">
        <v>6</v>
      </c>
      <c r="E109" s="586"/>
      <c r="F109" s="585" t="s">
        <v>6</v>
      </c>
      <c r="G109" s="586"/>
      <c r="H109" s="586"/>
      <c r="I109" s="586"/>
      <c r="J109" s="587"/>
      <c r="K109" s="587"/>
      <c r="L109" s="591"/>
    </row>
    <row r="110" spans="1:12">
      <c r="A110" s="596">
        <v>109</v>
      </c>
      <c r="B110" s="585" t="s">
        <v>6</v>
      </c>
      <c r="C110" s="586"/>
      <c r="D110" s="585" t="s">
        <v>6</v>
      </c>
      <c r="E110" s="586"/>
      <c r="F110" s="585" t="s">
        <v>6</v>
      </c>
      <c r="G110" s="586"/>
      <c r="H110" s="586"/>
      <c r="I110" s="586"/>
      <c r="J110" s="587"/>
      <c r="K110" s="587"/>
      <c r="L110" s="591"/>
    </row>
    <row r="111" spans="1:12">
      <c r="A111" s="596">
        <v>110</v>
      </c>
      <c r="B111" s="585" t="s">
        <v>6</v>
      </c>
      <c r="C111" s="586"/>
      <c r="D111" s="585" t="s">
        <v>6</v>
      </c>
      <c r="E111" s="586"/>
      <c r="F111" s="585" t="s">
        <v>6</v>
      </c>
      <c r="G111" s="586"/>
      <c r="H111" s="586"/>
      <c r="I111" s="586"/>
      <c r="J111" s="587"/>
      <c r="K111" s="592"/>
      <c r="L111" s="591"/>
    </row>
    <row r="112" spans="1:12">
      <c r="A112" s="596">
        <v>111</v>
      </c>
      <c r="B112" s="585" t="s">
        <v>6</v>
      </c>
      <c r="C112" s="586"/>
      <c r="D112" s="585" t="s">
        <v>6</v>
      </c>
      <c r="E112" s="586"/>
      <c r="F112" s="585" t="s">
        <v>6</v>
      </c>
      <c r="G112" s="586"/>
      <c r="H112" s="586"/>
      <c r="I112" s="586"/>
      <c r="J112" s="587"/>
      <c r="K112" s="587"/>
      <c r="L112" s="591"/>
    </row>
    <row r="113" spans="1:12">
      <c r="A113" s="596">
        <v>112</v>
      </c>
      <c r="B113" s="585" t="s">
        <v>6</v>
      </c>
      <c r="C113" s="586"/>
      <c r="D113" s="585" t="s">
        <v>6</v>
      </c>
      <c r="E113" s="586"/>
      <c r="F113" s="585" t="s">
        <v>6</v>
      </c>
      <c r="G113" s="586"/>
      <c r="H113" s="586"/>
      <c r="I113" s="586"/>
      <c r="J113" s="587"/>
      <c r="K113" s="590"/>
      <c r="L113" s="591"/>
    </row>
    <row r="114" spans="1:12">
      <c r="A114" s="596">
        <v>113</v>
      </c>
      <c r="B114" s="585" t="s">
        <v>6</v>
      </c>
      <c r="C114" s="586"/>
      <c r="D114" s="585" t="s">
        <v>6</v>
      </c>
      <c r="E114" s="586"/>
      <c r="F114" s="585" t="s">
        <v>6</v>
      </c>
      <c r="G114" s="586"/>
      <c r="H114" s="586"/>
      <c r="I114" s="586"/>
      <c r="J114" s="587"/>
      <c r="K114" s="598"/>
      <c r="L114" s="591"/>
    </row>
    <row r="115" spans="1:12">
      <c r="A115" s="596">
        <v>114</v>
      </c>
      <c r="B115" s="585" t="s">
        <v>6</v>
      </c>
      <c r="C115" s="586"/>
      <c r="D115" s="585" t="s">
        <v>6</v>
      </c>
      <c r="E115" s="586"/>
      <c r="F115" s="585" t="s">
        <v>6</v>
      </c>
      <c r="G115" s="586"/>
      <c r="H115" s="586"/>
      <c r="I115" s="586"/>
      <c r="J115" s="587"/>
      <c r="K115" s="592"/>
      <c r="L115" s="591"/>
    </row>
    <row r="116" spans="1:12">
      <c r="A116" s="596">
        <v>115</v>
      </c>
      <c r="B116" s="585" t="s">
        <v>6</v>
      </c>
      <c r="C116" s="586"/>
      <c r="D116" s="585" t="s">
        <v>6</v>
      </c>
      <c r="E116" s="586"/>
      <c r="F116" s="585" t="s">
        <v>6</v>
      </c>
      <c r="G116" s="586"/>
      <c r="H116" s="586"/>
      <c r="I116" s="586"/>
      <c r="J116" s="587"/>
      <c r="K116" s="598"/>
      <c r="L116" s="591"/>
    </row>
    <row r="117" spans="1:12">
      <c r="A117" s="596">
        <v>116</v>
      </c>
      <c r="B117" s="585" t="s">
        <v>6</v>
      </c>
      <c r="C117" s="586"/>
      <c r="D117" s="585" t="s">
        <v>6</v>
      </c>
      <c r="E117" s="586"/>
      <c r="F117" s="585" t="s">
        <v>6</v>
      </c>
      <c r="G117" s="586"/>
      <c r="H117" s="586"/>
      <c r="I117" s="586"/>
      <c r="J117" s="587"/>
      <c r="K117" s="592"/>
      <c r="L117" s="591"/>
    </row>
    <row r="118" spans="1:12">
      <c r="A118" s="596">
        <v>117</v>
      </c>
      <c r="B118" s="585" t="s">
        <v>6</v>
      </c>
      <c r="C118" s="586"/>
      <c r="D118" s="585" t="s">
        <v>6</v>
      </c>
      <c r="E118" s="586"/>
      <c r="F118" s="585" t="s">
        <v>6</v>
      </c>
      <c r="G118" s="586"/>
      <c r="H118" s="586"/>
      <c r="I118" s="586"/>
      <c r="J118" s="587"/>
      <c r="K118" s="592"/>
      <c r="L118" s="591"/>
    </row>
    <row r="119" spans="1:12">
      <c r="A119" s="596">
        <v>118</v>
      </c>
      <c r="B119" s="585" t="s">
        <v>6</v>
      </c>
      <c r="C119" s="586"/>
      <c r="D119" s="585" t="s">
        <v>6</v>
      </c>
      <c r="E119" s="586"/>
      <c r="F119" s="585" t="s">
        <v>6</v>
      </c>
      <c r="G119" s="586"/>
      <c r="H119" s="586"/>
      <c r="I119" s="586"/>
      <c r="J119" s="587"/>
      <c r="K119" s="598"/>
      <c r="L119" s="591"/>
    </row>
    <row r="120" spans="1:12">
      <c r="A120" s="596">
        <v>119</v>
      </c>
      <c r="B120" s="585" t="s">
        <v>6</v>
      </c>
      <c r="C120" s="586"/>
      <c r="D120" s="585" t="s">
        <v>6</v>
      </c>
      <c r="E120" s="586"/>
      <c r="F120" s="585" t="s">
        <v>6</v>
      </c>
      <c r="G120" s="586"/>
      <c r="H120" s="586"/>
      <c r="I120" s="586"/>
      <c r="J120" s="587"/>
      <c r="K120" s="592"/>
      <c r="L120" s="591"/>
    </row>
    <row r="121" spans="1:12">
      <c r="A121" s="596">
        <v>120</v>
      </c>
      <c r="B121" s="585" t="s">
        <v>6</v>
      </c>
      <c r="C121" s="586"/>
      <c r="D121" s="585" t="s">
        <v>6</v>
      </c>
      <c r="E121" s="586"/>
      <c r="F121" s="585" t="s">
        <v>6</v>
      </c>
      <c r="G121" s="586"/>
      <c r="H121" s="586"/>
      <c r="I121" s="586"/>
      <c r="J121" s="587"/>
      <c r="K121" s="592"/>
      <c r="L121" s="591"/>
    </row>
    <row r="122" spans="1:12">
      <c r="A122" s="596">
        <v>121</v>
      </c>
      <c r="B122" s="585" t="s">
        <v>6</v>
      </c>
      <c r="C122" s="586"/>
      <c r="D122" s="585" t="s">
        <v>6</v>
      </c>
      <c r="E122" s="586"/>
      <c r="F122" s="585" t="s">
        <v>6</v>
      </c>
      <c r="G122" s="586"/>
      <c r="H122" s="586"/>
      <c r="I122" s="586"/>
      <c r="J122" s="587"/>
      <c r="K122" s="592"/>
      <c r="L122" s="591"/>
    </row>
    <row r="123" spans="1:12">
      <c r="A123" s="596">
        <v>122</v>
      </c>
      <c r="B123" s="585" t="s">
        <v>6</v>
      </c>
      <c r="C123" s="586"/>
      <c r="D123" s="585" t="s">
        <v>6</v>
      </c>
      <c r="E123" s="586"/>
      <c r="F123" s="585" t="s">
        <v>6</v>
      </c>
      <c r="G123" s="586"/>
      <c r="H123" s="586"/>
      <c r="I123" s="586"/>
      <c r="J123" s="587"/>
      <c r="K123" s="587"/>
      <c r="L123" s="591"/>
    </row>
    <row r="124" spans="1:12">
      <c r="A124" s="596">
        <v>123</v>
      </c>
      <c r="B124" s="585" t="s">
        <v>6</v>
      </c>
      <c r="C124" s="586"/>
      <c r="D124" s="585" t="s">
        <v>6</v>
      </c>
      <c r="E124" s="586"/>
      <c r="F124" s="585" t="s">
        <v>6</v>
      </c>
      <c r="G124" s="586"/>
      <c r="H124" s="586"/>
      <c r="I124" s="586"/>
      <c r="J124" s="587"/>
      <c r="K124" s="587"/>
      <c r="L124" s="591"/>
    </row>
    <row r="125" spans="1:12">
      <c r="A125" s="596">
        <v>124</v>
      </c>
      <c r="B125" s="585" t="s">
        <v>6</v>
      </c>
      <c r="C125" s="586"/>
      <c r="D125" s="585" t="s">
        <v>6</v>
      </c>
      <c r="E125" s="586"/>
      <c r="F125" s="585" t="s">
        <v>6</v>
      </c>
      <c r="G125" s="586"/>
      <c r="H125" s="586"/>
      <c r="I125" s="586"/>
      <c r="J125" s="587"/>
      <c r="K125" s="590"/>
      <c r="L125" s="591"/>
    </row>
    <row r="126" spans="1:12">
      <c r="A126" s="596">
        <v>125</v>
      </c>
      <c r="B126" s="585" t="s">
        <v>6</v>
      </c>
      <c r="C126" s="586"/>
      <c r="D126" s="585" t="s">
        <v>6</v>
      </c>
      <c r="E126" s="586"/>
      <c r="F126" s="585" t="s">
        <v>6</v>
      </c>
      <c r="G126" s="586"/>
      <c r="H126" s="586"/>
      <c r="I126" s="586"/>
      <c r="J126" s="587"/>
      <c r="K126" s="592"/>
      <c r="L126" s="591"/>
    </row>
    <row r="127" spans="1:12">
      <c r="A127" s="596">
        <v>126</v>
      </c>
      <c r="B127" s="585" t="s">
        <v>6</v>
      </c>
      <c r="C127" s="586"/>
      <c r="D127" s="585" t="s">
        <v>6</v>
      </c>
      <c r="E127" s="586"/>
      <c r="F127" s="585" t="s">
        <v>6</v>
      </c>
      <c r="G127" s="586"/>
      <c r="H127" s="586"/>
      <c r="I127" s="586"/>
      <c r="J127" s="587"/>
      <c r="K127" s="587"/>
      <c r="L127" s="591"/>
    </row>
    <row r="128" spans="1:12">
      <c r="A128" s="596">
        <v>127</v>
      </c>
      <c r="B128" s="585" t="s">
        <v>6</v>
      </c>
      <c r="C128" s="586"/>
      <c r="D128" s="585" t="s">
        <v>6</v>
      </c>
      <c r="E128" s="586"/>
      <c r="F128" s="585" t="s">
        <v>6</v>
      </c>
      <c r="G128" s="586"/>
      <c r="H128" s="586"/>
      <c r="I128" s="586"/>
      <c r="J128" s="587"/>
      <c r="K128" s="587"/>
      <c r="L128" s="591"/>
    </row>
    <row r="129" spans="1:12">
      <c r="A129" s="596">
        <v>128</v>
      </c>
      <c r="B129" s="585" t="s">
        <v>6</v>
      </c>
      <c r="C129" s="586"/>
      <c r="D129" s="585" t="s">
        <v>6</v>
      </c>
      <c r="E129" s="586"/>
      <c r="F129" s="585" t="s">
        <v>6</v>
      </c>
      <c r="G129" s="586"/>
      <c r="H129" s="586"/>
      <c r="I129" s="586"/>
      <c r="J129" s="587"/>
      <c r="K129" s="592"/>
      <c r="L129" s="591"/>
    </row>
    <row r="130" spans="1:12">
      <c r="A130" s="596">
        <v>129</v>
      </c>
      <c r="B130" s="585" t="s">
        <v>6</v>
      </c>
      <c r="C130" s="586"/>
      <c r="D130" s="585" t="s">
        <v>6</v>
      </c>
      <c r="E130" s="586"/>
      <c r="F130" s="585" t="s">
        <v>6</v>
      </c>
      <c r="G130" s="586"/>
      <c r="H130" s="586"/>
      <c r="I130" s="586"/>
      <c r="J130" s="587"/>
      <c r="K130" s="592"/>
      <c r="L130" s="591"/>
    </row>
    <row r="131" spans="1:12">
      <c r="A131" s="596">
        <v>130</v>
      </c>
      <c r="B131" s="585" t="s">
        <v>6</v>
      </c>
      <c r="C131" s="586"/>
      <c r="D131" s="585" t="s">
        <v>6</v>
      </c>
      <c r="E131" s="586"/>
      <c r="F131" s="585" t="s">
        <v>6</v>
      </c>
      <c r="G131" s="586"/>
      <c r="H131" s="586"/>
      <c r="I131" s="586"/>
      <c r="J131" s="587"/>
      <c r="K131" s="592"/>
      <c r="L131" s="591"/>
    </row>
    <row r="132" spans="1:12">
      <c r="A132" s="596">
        <v>131</v>
      </c>
      <c r="B132" s="585" t="s">
        <v>6</v>
      </c>
      <c r="C132" s="586"/>
      <c r="D132" s="585" t="s">
        <v>6</v>
      </c>
      <c r="E132" s="586"/>
      <c r="F132" s="585" t="s">
        <v>6</v>
      </c>
      <c r="G132" s="586"/>
      <c r="H132" s="586"/>
      <c r="I132" s="586"/>
      <c r="J132" s="587"/>
      <c r="K132" s="592"/>
      <c r="L132" s="591"/>
    </row>
    <row r="133" spans="1:12">
      <c r="A133" s="596">
        <v>132</v>
      </c>
      <c r="B133" s="585" t="s">
        <v>6</v>
      </c>
      <c r="C133" s="586"/>
      <c r="D133" s="585" t="s">
        <v>6</v>
      </c>
      <c r="E133" s="586"/>
      <c r="F133" s="585" t="s">
        <v>6</v>
      </c>
      <c r="G133" s="586"/>
      <c r="H133" s="586"/>
      <c r="I133" s="586"/>
      <c r="J133" s="587"/>
      <c r="K133" s="592"/>
      <c r="L133" s="591"/>
    </row>
    <row r="134" spans="1:12">
      <c r="A134" s="596">
        <v>133</v>
      </c>
      <c r="B134" s="585" t="s">
        <v>6</v>
      </c>
      <c r="C134" s="586"/>
      <c r="D134" s="585" t="s">
        <v>6</v>
      </c>
      <c r="E134" s="586"/>
      <c r="F134" s="585" t="s">
        <v>6</v>
      </c>
      <c r="G134" s="586"/>
      <c r="H134" s="586"/>
      <c r="I134" s="586"/>
      <c r="J134" s="587"/>
      <c r="K134" s="592"/>
      <c r="L134" s="591"/>
    </row>
    <row r="135" spans="1:12">
      <c r="A135" s="596">
        <v>134</v>
      </c>
      <c r="B135" s="585" t="s">
        <v>6</v>
      </c>
      <c r="C135" s="586"/>
      <c r="D135" s="585" t="s">
        <v>6</v>
      </c>
      <c r="E135" s="586"/>
      <c r="F135" s="585" t="s">
        <v>6</v>
      </c>
      <c r="G135" s="586"/>
      <c r="H135" s="586"/>
      <c r="I135" s="586"/>
      <c r="J135" s="587"/>
      <c r="K135" s="592"/>
      <c r="L135" s="591"/>
    </row>
    <row r="136" spans="1:12">
      <c r="A136" s="596">
        <v>135</v>
      </c>
      <c r="B136" s="585" t="s">
        <v>6</v>
      </c>
      <c r="C136" s="586"/>
      <c r="D136" s="585" t="s">
        <v>6</v>
      </c>
      <c r="E136" s="586"/>
      <c r="F136" s="585" t="s">
        <v>6</v>
      </c>
      <c r="G136" s="586"/>
      <c r="H136" s="586"/>
      <c r="I136" s="586"/>
      <c r="J136" s="587"/>
      <c r="K136" s="592"/>
      <c r="L136" s="591"/>
    </row>
    <row r="137" spans="1:12">
      <c r="A137" s="596">
        <v>136</v>
      </c>
      <c r="B137" s="585" t="s">
        <v>6</v>
      </c>
      <c r="C137" s="586"/>
      <c r="D137" s="585" t="s">
        <v>6</v>
      </c>
      <c r="E137" s="586"/>
      <c r="F137" s="585" t="s">
        <v>6</v>
      </c>
      <c r="G137" s="586"/>
      <c r="H137" s="586"/>
      <c r="I137" s="586"/>
      <c r="J137" s="587"/>
      <c r="K137" s="592"/>
      <c r="L137" s="591"/>
    </row>
    <row r="138" spans="1:12">
      <c r="A138" s="596">
        <v>137</v>
      </c>
      <c r="B138" s="585" t="s">
        <v>6</v>
      </c>
      <c r="C138" s="586"/>
      <c r="D138" s="585" t="s">
        <v>6</v>
      </c>
      <c r="E138" s="586"/>
      <c r="F138" s="585" t="s">
        <v>6</v>
      </c>
      <c r="G138" s="586"/>
      <c r="H138" s="586"/>
      <c r="I138" s="586"/>
      <c r="J138" s="587"/>
      <c r="K138" s="590"/>
      <c r="L138" s="591"/>
    </row>
    <row r="139" spans="1:12">
      <c r="A139" s="596">
        <v>138</v>
      </c>
      <c r="B139" s="585" t="s">
        <v>6</v>
      </c>
      <c r="C139" s="586"/>
      <c r="D139" s="585" t="s">
        <v>6</v>
      </c>
      <c r="E139" s="586"/>
      <c r="F139" s="585" t="s">
        <v>6</v>
      </c>
      <c r="G139" s="586"/>
      <c r="H139" s="586"/>
      <c r="I139" s="586"/>
      <c r="J139" s="587"/>
      <c r="K139" s="592"/>
      <c r="L139" s="591"/>
    </row>
    <row r="140" spans="1:12">
      <c r="A140" s="596">
        <v>139</v>
      </c>
      <c r="B140" s="585" t="s">
        <v>6</v>
      </c>
      <c r="C140" s="586"/>
      <c r="D140" s="585" t="s">
        <v>6</v>
      </c>
      <c r="E140" s="586"/>
      <c r="F140" s="585" t="s">
        <v>6</v>
      </c>
      <c r="G140" s="586"/>
      <c r="H140" s="586"/>
      <c r="I140" s="586"/>
      <c r="J140" s="587"/>
      <c r="K140" s="592"/>
      <c r="L140" s="591"/>
    </row>
    <row r="141" spans="1:12">
      <c r="A141" s="596">
        <v>140</v>
      </c>
      <c r="B141" s="585" t="s">
        <v>6</v>
      </c>
      <c r="C141" s="586"/>
      <c r="D141" s="585" t="s">
        <v>6</v>
      </c>
      <c r="E141" s="586"/>
      <c r="F141" s="585" t="s">
        <v>6</v>
      </c>
      <c r="G141" s="586"/>
      <c r="H141" s="586"/>
      <c r="I141" s="586"/>
      <c r="J141" s="587"/>
      <c r="K141" s="592"/>
      <c r="L141" s="591"/>
    </row>
    <row r="142" spans="1:12">
      <c r="A142" s="596">
        <v>141</v>
      </c>
      <c r="B142" s="585" t="s">
        <v>6</v>
      </c>
      <c r="C142" s="586"/>
      <c r="D142" s="585" t="s">
        <v>6</v>
      </c>
      <c r="E142" s="586"/>
      <c r="F142" s="585" t="s">
        <v>6</v>
      </c>
      <c r="G142" s="586"/>
      <c r="H142" s="586"/>
      <c r="I142" s="586"/>
      <c r="J142" s="587"/>
      <c r="K142" s="592"/>
      <c r="L142" s="591"/>
    </row>
    <row r="143" spans="1:12">
      <c r="A143" s="596">
        <v>142</v>
      </c>
      <c r="B143" s="585" t="s">
        <v>6</v>
      </c>
      <c r="C143" s="586"/>
      <c r="D143" s="585" t="s">
        <v>6</v>
      </c>
      <c r="E143" s="586"/>
      <c r="F143" s="585" t="s">
        <v>6</v>
      </c>
      <c r="G143" s="586"/>
      <c r="H143" s="586"/>
      <c r="I143" s="586"/>
      <c r="J143" s="587"/>
      <c r="K143" s="592"/>
      <c r="L143" s="591"/>
    </row>
    <row r="144" spans="1:12">
      <c r="A144" s="596">
        <v>143</v>
      </c>
      <c r="B144" s="585" t="s">
        <v>6</v>
      </c>
      <c r="C144" s="586"/>
      <c r="D144" s="585" t="s">
        <v>6</v>
      </c>
      <c r="E144" s="586"/>
      <c r="F144" s="585" t="s">
        <v>6</v>
      </c>
      <c r="G144" s="586"/>
      <c r="H144" s="586"/>
      <c r="I144" s="586"/>
      <c r="J144" s="587"/>
      <c r="K144" s="592"/>
      <c r="L144" s="591"/>
    </row>
    <row r="145" spans="1:12">
      <c r="A145" s="596">
        <v>144</v>
      </c>
      <c r="B145" s="585" t="s">
        <v>6</v>
      </c>
      <c r="C145" s="586"/>
      <c r="D145" s="585" t="s">
        <v>6</v>
      </c>
      <c r="E145" s="586"/>
      <c r="F145" s="585" t="s">
        <v>6</v>
      </c>
      <c r="G145" s="586"/>
      <c r="H145" s="586"/>
      <c r="I145" s="586"/>
      <c r="J145" s="587"/>
      <c r="K145" s="592"/>
      <c r="L145" s="591"/>
    </row>
    <row r="146" spans="1:12">
      <c r="A146" s="596">
        <v>145</v>
      </c>
      <c r="B146" s="585" t="s">
        <v>6</v>
      </c>
      <c r="C146" s="586"/>
      <c r="D146" s="585" t="s">
        <v>6</v>
      </c>
      <c r="E146" s="586"/>
      <c r="F146" s="585" t="s">
        <v>6</v>
      </c>
      <c r="G146" s="586"/>
      <c r="H146" s="586"/>
      <c r="I146" s="586"/>
      <c r="J146" s="587"/>
      <c r="K146" s="592"/>
      <c r="L146" s="591"/>
    </row>
    <row r="147" spans="1:12">
      <c r="A147" s="596">
        <v>146</v>
      </c>
      <c r="B147" s="585" t="s">
        <v>6</v>
      </c>
      <c r="C147" s="586"/>
      <c r="D147" s="585" t="s">
        <v>6</v>
      </c>
      <c r="E147" s="586"/>
      <c r="F147" s="585" t="s">
        <v>6</v>
      </c>
      <c r="G147" s="586"/>
      <c r="H147" s="586"/>
      <c r="I147" s="586"/>
      <c r="J147" s="587"/>
      <c r="K147" s="592"/>
      <c r="L147" s="591"/>
    </row>
    <row r="148" spans="1:12">
      <c r="A148" s="596">
        <v>147</v>
      </c>
      <c r="B148" s="585" t="s">
        <v>6</v>
      </c>
      <c r="C148" s="586"/>
      <c r="D148" s="585" t="s">
        <v>6</v>
      </c>
      <c r="E148" s="586"/>
      <c r="F148" s="585" t="s">
        <v>6</v>
      </c>
      <c r="G148" s="586"/>
      <c r="H148" s="586"/>
      <c r="I148" s="586"/>
      <c r="J148" s="587"/>
      <c r="K148" s="592"/>
      <c r="L148" s="591"/>
    </row>
    <row r="149" spans="1:12">
      <c r="A149" s="596">
        <v>148</v>
      </c>
      <c r="B149" s="585" t="s">
        <v>6</v>
      </c>
      <c r="C149" s="586"/>
      <c r="D149" s="585" t="s">
        <v>6</v>
      </c>
      <c r="E149" s="586"/>
      <c r="F149" s="585" t="s">
        <v>6</v>
      </c>
      <c r="G149" s="586"/>
      <c r="H149" s="586"/>
      <c r="I149" s="586"/>
      <c r="J149" s="587"/>
      <c r="K149" s="592"/>
      <c r="L149" s="591"/>
    </row>
    <row r="150" spans="1:12">
      <c r="A150" s="596">
        <v>149</v>
      </c>
      <c r="B150" s="585" t="s">
        <v>6</v>
      </c>
      <c r="C150" s="586"/>
      <c r="D150" s="585" t="s">
        <v>6</v>
      </c>
      <c r="E150" s="586"/>
      <c r="F150" s="585" t="s">
        <v>6</v>
      </c>
      <c r="G150" s="586"/>
      <c r="H150" s="586"/>
      <c r="I150" s="586"/>
      <c r="J150" s="587"/>
      <c r="K150" s="592"/>
      <c r="L150" s="591"/>
    </row>
    <row r="151" spans="1:12">
      <c r="A151" s="596">
        <v>150</v>
      </c>
      <c r="B151" s="585" t="s">
        <v>6</v>
      </c>
      <c r="C151" s="586"/>
      <c r="D151" s="585" t="s">
        <v>6</v>
      </c>
      <c r="E151" s="586"/>
      <c r="F151" s="585" t="s">
        <v>6</v>
      </c>
      <c r="G151" s="586"/>
      <c r="H151" s="586"/>
      <c r="I151" s="586"/>
      <c r="J151" s="587"/>
      <c r="K151" s="592"/>
      <c r="L151" s="591"/>
    </row>
    <row r="152" spans="1:12">
      <c r="A152" s="596">
        <v>151</v>
      </c>
      <c r="B152" s="585" t="s">
        <v>6</v>
      </c>
      <c r="C152" s="586"/>
      <c r="D152" s="585" t="s">
        <v>6</v>
      </c>
      <c r="E152" s="586"/>
      <c r="F152" s="585" t="s">
        <v>6</v>
      </c>
      <c r="G152" s="586"/>
      <c r="H152" s="586"/>
      <c r="I152" s="586"/>
      <c r="J152" s="587"/>
      <c r="K152" s="592"/>
      <c r="L152" s="591"/>
    </row>
    <row r="153" spans="1:12">
      <c r="A153" s="596">
        <v>152</v>
      </c>
      <c r="B153" s="585" t="s">
        <v>6</v>
      </c>
      <c r="C153" s="586"/>
      <c r="D153" s="585" t="s">
        <v>6</v>
      </c>
      <c r="E153" s="586"/>
      <c r="F153" s="585" t="s">
        <v>6</v>
      </c>
      <c r="G153" s="586"/>
      <c r="H153" s="586"/>
      <c r="I153" s="586"/>
      <c r="J153" s="587"/>
      <c r="K153" s="592"/>
      <c r="L153" s="591"/>
    </row>
    <row r="154" spans="1:12">
      <c r="A154" s="596">
        <v>153</v>
      </c>
      <c r="B154" s="585" t="s">
        <v>6</v>
      </c>
      <c r="C154" s="586"/>
      <c r="D154" s="585" t="s">
        <v>6</v>
      </c>
      <c r="E154" s="586"/>
      <c r="F154" s="585" t="s">
        <v>6</v>
      </c>
      <c r="G154" s="586"/>
      <c r="H154" s="586"/>
      <c r="I154" s="586"/>
      <c r="J154" s="587"/>
      <c r="K154" s="592"/>
      <c r="L154" s="591"/>
    </row>
    <row r="155" spans="1:12">
      <c r="A155" s="596">
        <v>154</v>
      </c>
      <c r="B155" s="585" t="s">
        <v>6</v>
      </c>
      <c r="C155" s="586"/>
      <c r="D155" s="585" t="s">
        <v>6</v>
      </c>
      <c r="E155" s="586"/>
      <c r="F155" s="585" t="s">
        <v>6</v>
      </c>
      <c r="G155" s="586"/>
      <c r="H155" s="586"/>
      <c r="I155" s="586"/>
      <c r="J155" s="587"/>
      <c r="K155" s="592"/>
      <c r="L155" s="591"/>
    </row>
    <row r="156" spans="1:12">
      <c r="A156" s="596">
        <v>155</v>
      </c>
      <c r="B156" s="585" t="s">
        <v>6</v>
      </c>
      <c r="C156" s="586"/>
      <c r="D156" s="585" t="s">
        <v>6</v>
      </c>
      <c r="E156" s="586"/>
      <c r="F156" s="585" t="s">
        <v>6</v>
      </c>
      <c r="G156" s="586"/>
      <c r="H156" s="586"/>
      <c r="I156" s="586"/>
      <c r="J156" s="587"/>
      <c r="K156" s="592"/>
      <c r="L156" s="591"/>
    </row>
    <row r="157" spans="1:12">
      <c r="A157" s="596">
        <v>156</v>
      </c>
      <c r="B157" s="585" t="s">
        <v>6</v>
      </c>
      <c r="C157" s="586"/>
      <c r="D157" s="585" t="s">
        <v>6</v>
      </c>
      <c r="E157" s="586"/>
      <c r="F157" s="585" t="s">
        <v>6</v>
      </c>
      <c r="G157" s="586"/>
      <c r="H157" s="586"/>
      <c r="I157" s="586"/>
      <c r="J157" s="587"/>
      <c r="K157" s="592"/>
      <c r="L157" s="591"/>
    </row>
    <row r="158" spans="1:12">
      <c r="A158" s="596">
        <v>157</v>
      </c>
      <c r="B158" s="585" t="s">
        <v>6</v>
      </c>
      <c r="C158" s="586"/>
      <c r="D158" s="585" t="s">
        <v>6</v>
      </c>
      <c r="E158" s="586"/>
      <c r="F158" s="585" t="s">
        <v>6</v>
      </c>
      <c r="G158" s="586"/>
      <c r="H158" s="586"/>
      <c r="I158" s="586"/>
      <c r="J158" s="587"/>
      <c r="K158" s="592"/>
      <c r="L158" s="591"/>
    </row>
    <row r="159" spans="1:12">
      <c r="A159" s="596">
        <v>158</v>
      </c>
      <c r="B159" s="585" t="s">
        <v>6</v>
      </c>
      <c r="C159" s="586"/>
      <c r="D159" s="585" t="s">
        <v>6</v>
      </c>
      <c r="E159" s="586"/>
      <c r="F159" s="585" t="s">
        <v>6</v>
      </c>
      <c r="G159" s="586"/>
      <c r="H159" s="586"/>
      <c r="I159" s="586"/>
      <c r="J159" s="587"/>
      <c r="K159" s="592"/>
      <c r="L159" s="591"/>
    </row>
    <row r="160" spans="1:12">
      <c r="A160" s="596">
        <v>159</v>
      </c>
      <c r="B160" s="585" t="s">
        <v>6</v>
      </c>
      <c r="C160" s="586"/>
      <c r="D160" s="585" t="s">
        <v>6</v>
      </c>
      <c r="E160" s="586"/>
      <c r="F160" s="585" t="s">
        <v>6</v>
      </c>
      <c r="G160" s="586"/>
      <c r="H160" s="586"/>
      <c r="I160" s="586"/>
      <c r="J160" s="587"/>
      <c r="K160" s="592"/>
      <c r="L160" s="591"/>
    </row>
    <row r="161" spans="1:12">
      <c r="A161" s="596">
        <v>160</v>
      </c>
      <c r="B161" s="585" t="s">
        <v>6</v>
      </c>
      <c r="C161" s="586"/>
      <c r="D161" s="585" t="s">
        <v>6</v>
      </c>
      <c r="E161" s="586"/>
      <c r="F161" s="585" t="s">
        <v>6</v>
      </c>
      <c r="G161" s="586"/>
      <c r="H161" s="586"/>
      <c r="I161" s="586"/>
      <c r="J161" s="587"/>
      <c r="K161" s="592"/>
      <c r="L161" s="591"/>
    </row>
    <row r="162" spans="1:12">
      <c r="A162" s="596">
        <v>161</v>
      </c>
      <c r="B162" s="585" t="s">
        <v>6</v>
      </c>
      <c r="C162" s="586"/>
      <c r="D162" s="585" t="s">
        <v>6</v>
      </c>
      <c r="E162" s="586"/>
      <c r="F162" s="585" t="s">
        <v>6</v>
      </c>
      <c r="G162" s="586"/>
      <c r="H162" s="586"/>
      <c r="I162" s="586"/>
      <c r="J162" s="587"/>
      <c r="K162" s="592"/>
      <c r="L162" s="591"/>
    </row>
    <row r="163" spans="1:12">
      <c r="A163" s="596">
        <v>162</v>
      </c>
      <c r="B163" s="585" t="s">
        <v>6</v>
      </c>
      <c r="C163" s="586"/>
      <c r="D163" s="585" t="s">
        <v>6</v>
      </c>
      <c r="E163" s="586"/>
      <c r="F163" s="585" t="s">
        <v>6</v>
      </c>
      <c r="G163" s="586"/>
      <c r="H163" s="586"/>
      <c r="I163" s="586"/>
      <c r="J163" s="587"/>
      <c r="K163" s="592"/>
      <c r="L163" s="591"/>
    </row>
    <row r="164" spans="1:12">
      <c r="A164" s="596">
        <v>163</v>
      </c>
      <c r="B164" s="585" t="s">
        <v>6</v>
      </c>
      <c r="C164" s="586"/>
      <c r="D164" s="585" t="s">
        <v>6</v>
      </c>
      <c r="E164" s="586"/>
      <c r="F164" s="585" t="s">
        <v>6</v>
      </c>
      <c r="G164" s="586"/>
      <c r="H164" s="586"/>
      <c r="I164" s="586"/>
      <c r="J164" s="587"/>
      <c r="K164" s="592"/>
      <c r="L164" s="591"/>
    </row>
    <row r="165" spans="1:12">
      <c r="A165" s="596">
        <v>164</v>
      </c>
      <c r="B165" s="585" t="s">
        <v>6</v>
      </c>
      <c r="C165" s="586"/>
      <c r="D165" s="585" t="s">
        <v>6</v>
      </c>
      <c r="E165" s="586"/>
      <c r="F165" s="585" t="s">
        <v>6</v>
      </c>
      <c r="G165" s="586"/>
      <c r="H165" s="586"/>
      <c r="I165" s="586"/>
      <c r="J165" s="587"/>
      <c r="K165" s="592"/>
      <c r="L165" s="591"/>
    </row>
  </sheetData>
  <pageMargins left="0.7" right="0.7" top="0.75" bottom="0.75" header="0.3" footer="0.3"/>
  <pageSetup paperSize="9" orientation="landscape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72"/>
  <sheetViews>
    <sheetView topLeftCell="A1060" workbookViewId="0">
      <selection activeCell="E1075" sqref="E1075:E1076"/>
    </sheetView>
  </sheetViews>
  <sheetFormatPr defaultRowHeight="12.75"/>
  <cols>
    <col min="1" max="1" width="4.28515625" customWidth="1"/>
    <col min="2" max="2" width="16" customWidth="1"/>
    <col min="3" max="3" width="12.5703125" customWidth="1"/>
    <col min="4" max="4" width="12" customWidth="1"/>
    <col min="5" max="5" width="23.28515625" customWidth="1"/>
    <col min="6" max="7" width="9.140625" customWidth="1"/>
    <col min="8" max="8" width="13.28515625" customWidth="1"/>
    <col min="9" max="9" width="12.7109375" customWidth="1"/>
    <col min="10" max="10" width="10.28515625" bestFit="1" customWidth="1"/>
    <col min="11" max="11" width="11.5703125" customWidth="1"/>
    <col min="12" max="12" width="12" customWidth="1"/>
    <col min="13" max="13" width="13.140625" customWidth="1"/>
    <col min="14" max="14" width="15.7109375" customWidth="1"/>
  </cols>
  <sheetData>
    <row r="1" spans="1:14" ht="75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1005" t="s">
        <v>7</v>
      </c>
      <c r="G1" s="1006"/>
      <c r="H1" s="3" t="s">
        <v>3</v>
      </c>
      <c r="I1" s="3" t="s">
        <v>21</v>
      </c>
      <c r="J1" s="3" t="s">
        <v>22</v>
      </c>
      <c r="K1" s="3" t="s">
        <v>4</v>
      </c>
      <c r="L1" s="3" t="s">
        <v>5</v>
      </c>
    </row>
    <row r="2" spans="1:14" ht="21.75" customHeight="1">
      <c r="A2" s="1013" t="s">
        <v>33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4"/>
      <c r="M2" s="5">
        <f>SUM(I4:I33,I36:I51)</f>
        <v>170005000</v>
      </c>
      <c r="N2" s="533">
        <f>SUM(L4:L33,L36:L51)</f>
        <v>0</v>
      </c>
    </row>
    <row r="3" spans="1:14" ht="18" customHeight="1" thickBot="1">
      <c r="A3" s="1015" t="s">
        <v>859</v>
      </c>
      <c r="B3" s="1015"/>
      <c r="C3" s="1015"/>
      <c r="D3" s="1015"/>
      <c r="E3" s="1015"/>
      <c r="F3" s="1015"/>
      <c r="G3" s="1015"/>
      <c r="H3" s="1015"/>
      <c r="I3" s="1015"/>
      <c r="J3" s="1015"/>
      <c r="K3" s="1015"/>
      <c r="L3" s="1016"/>
    </row>
    <row r="4" spans="1:14">
      <c r="A4" s="991">
        <v>1</v>
      </c>
      <c r="B4" s="968" t="s">
        <v>1855</v>
      </c>
      <c r="C4" s="969" t="s">
        <v>1879</v>
      </c>
      <c r="D4" s="1020">
        <v>42018</v>
      </c>
      <c r="E4" s="968" t="str">
        <f>E16</f>
        <v>ООО"Громин"</v>
      </c>
      <c r="F4" s="1011"/>
      <c r="G4" s="1012"/>
      <c r="H4" s="973">
        <f>I4/J4</f>
        <v>54751.131221719457</v>
      </c>
      <c r="I4" s="973">
        <v>12100000</v>
      </c>
      <c r="J4" s="974">
        <v>221</v>
      </c>
      <c r="K4" s="973">
        <v>12100000</v>
      </c>
      <c r="L4" s="967">
        <f>K4-I4</f>
        <v>0</v>
      </c>
      <c r="M4" s="5">
        <f>N2-N4</f>
        <v>0</v>
      </c>
      <c r="N4" s="5">
        <f>L4+L12+L16+L20+L24+L28+L32+L36+L46+L50</f>
        <v>0</v>
      </c>
    </row>
    <row r="5" spans="1:14">
      <c r="A5" s="992"/>
      <c r="B5" s="865"/>
      <c r="C5" s="904"/>
      <c r="D5" s="865"/>
      <c r="E5" s="865"/>
      <c r="F5" s="1009"/>
      <c r="G5" s="1010"/>
      <c r="H5" s="905"/>
      <c r="I5" s="906"/>
      <c r="J5" s="910"/>
      <c r="K5" s="911"/>
      <c r="L5" s="946"/>
    </row>
    <row r="6" spans="1:14" ht="12.75" customHeight="1">
      <c r="A6" s="992">
        <v>2</v>
      </c>
      <c r="B6" s="955"/>
      <c r="C6" s="904" t="s">
        <v>46</v>
      </c>
      <c r="D6" s="658" t="s">
        <v>1874</v>
      </c>
      <c r="E6" s="865" t="s">
        <v>98</v>
      </c>
      <c r="F6" s="1007"/>
      <c r="G6" s="1008"/>
      <c r="H6" s="905">
        <v>800000</v>
      </c>
      <c r="I6" s="905">
        <f>H6</f>
        <v>800000</v>
      </c>
      <c r="J6" s="909"/>
      <c r="K6" s="911">
        <v>800000</v>
      </c>
      <c r="L6" s="946">
        <f>K6-I6</f>
        <v>0</v>
      </c>
    </row>
    <row r="7" spans="1:14" ht="12.75" customHeight="1" thickBot="1">
      <c r="A7" s="992"/>
      <c r="B7" s="955"/>
      <c r="C7" s="904"/>
      <c r="D7" s="658"/>
      <c r="E7" s="865"/>
      <c r="F7" s="1009"/>
      <c r="G7" s="1010"/>
      <c r="H7" s="905"/>
      <c r="I7" s="906"/>
      <c r="J7" s="910"/>
      <c r="K7" s="911"/>
      <c r="L7" s="946"/>
    </row>
    <row r="8" spans="1:14">
      <c r="A8" s="991">
        <v>3</v>
      </c>
      <c r="B8" s="1021"/>
      <c r="C8" s="904" t="s">
        <v>50</v>
      </c>
      <c r="D8" s="658" t="s">
        <v>1874</v>
      </c>
      <c r="E8" s="865" t="s">
        <v>1872</v>
      </c>
      <c r="F8" s="865"/>
      <c r="G8" s="865"/>
      <c r="H8" s="905">
        <v>800000</v>
      </c>
      <c r="I8" s="905">
        <f>H8</f>
        <v>800000</v>
      </c>
      <c r="J8" s="909"/>
      <c r="K8" s="911">
        <v>800000</v>
      </c>
      <c r="L8" s="903">
        <f>K8-I8</f>
        <v>0</v>
      </c>
    </row>
    <row r="9" spans="1:14">
      <c r="A9" s="992"/>
      <c r="B9" s="1021"/>
      <c r="C9" s="904"/>
      <c r="D9" s="658"/>
      <c r="E9" s="865"/>
      <c r="F9" s="865"/>
      <c r="G9" s="865"/>
      <c r="H9" s="905"/>
      <c r="I9" s="906"/>
      <c r="J9" s="910"/>
      <c r="K9" s="911"/>
      <c r="L9" s="903"/>
    </row>
    <row r="10" spans="1:14" ht="12.75" customHeight="1">
      <c r="A10" s="992">
        <v>4</v>
      </c>
      <c r="B10" s="957"/>
      <c r="C10" s="914" t="s">
        <v>45</v>
      </c>
      <c r="D10" s="660" t="s">
        <v>1874</v>
      </c>
      <c r="E10" s="879" t="s">
        <v>117</v>
      </c>
      <c r="F10" s="828"/>
      <c r="G10" s="829"/>
      <c r="H10" s="916">
        <v>900000</v>
      </c>
      <c r="I10" s="916">
        <f>H10</f>
        <v>900000</v>
      </c>
      <c r="J10" s="949"/>
      <c r="K10" s="920">
        <v>900000</v>
      </c>
      <c r="L10" s="901">
        <f>K10-I10</f>
        <v>0</v>
      </c>
    </row>
    <row r="11" spans="1:14" ht="12.75" customHeight="1" thickBot="1">
      <c r="A11" s="992"/>
      <c r="B11" s="955"/>
      <c r="C11" s="904"/>
      <c r="D11" s="658"/>
      <c r="E11" s="865"/>
      <c r="F11" s="655"/>
      <c r="G11" s="656"/>
      <c r="H11" s="905"/>
      <c r="I11" s="906"/>
      <c r="J11" s="910"/>
      <c r="K11" s="911"/>
      <c r="L11" s="903"/>
    </row>
    <row r="12" spans="1:14" ht="12.75" customHeight="1">
      <c r="A12" s="991">
        <v>5</v>
      </c>
      <c r="B12" s="1017" t="s">
        <v>1854</v>
      </c>
      <c r="C12" s="1018" t="s">
        <v>1875</v>
      </c>
      <c r="D12" s="1019" t="s">
        <v>1869</v>
      </c>
      <c r="E12" s="1017" t="s">
        <v>1873</v>
      </c>
      <c r="F12" s="1011"/>
      <c r="G12" s="1012"/>
      <c r="H12" s="999">
        <v>12100000</v>
      </c>
      <c r="I12" s="999">
        <v>12100000</v>
      </c>
      <c r="J12" s="1000"/>
      <c r="K12" s="1001">
        <v>12100000</v>
      </c>
      <c r="L12" s="1002">
        <f>K12-I12</f>
        <v>0</v>
      </c>
    </row>
    <row r="13" spans="1:14" ht="12.75" customHeight="1">
      <c r="A13" s="992"/>
      <c r="B13" s="879"/>
      <c r="C13" s="914"/>
      <c r="D13" s="660"/>
      <c r="E13" s="879"/>
      <c r="F13" s="1009"/>
      <c r="G13" s="1010"/>
      <c r="H13" s="916"/>
      <c r="I13" s="916"/>
      <c r="J13" s="949"/>
      <c r="K13" s="920"/>
      <c r="L13" s="951"/>
    </row>
    <row r="14" spans="1:14">
      <c r="A14" s="992">
        <v>6</v>
      </c>
      <c r="B14" s="955"/>
      <c r="C14" s="904" t="s">
        <v>39</v>
      </c>
      <c r="D14" s="940">
        <v>42019</v>
      </c>
      <c r="E14" s="865" t="s">
        <v>1669</v>
      </c>
      <c r="F14" s="1007"/>
      <c r="G14" s="1008"/>
      <c r="H14" s="905">
        <f>430*18000</f>
        <v>7740000</v>
      </c>
      <c r="I14" s="905">
        <f>H14</f>
        <v>7740000</v>
      </c>
      <c r="J14" s="909"/>
      <c r="K14" s="911">
        <v>7740000</v>
      </c>
      <c r="L14" s="946">
        <f>K14-I14</f>
        <v>0</v>
      </c>
    </row>
    <row r="15" spans="1:14" ht="13.5" thickBot="1">
      <c r="A15" s="992"/>
      <c r="B15" s="955"/>
      <c r="C15" s="904"/>
      <c r="D15" s="865"/>
      <c r="E15" s="865"/>
      <c r="F15" s="1009"/>
      <c r="G15" s="1010"/>
      <c r="H15" s="905"/>
      <c r="I15" s="906"/>
      <c r="J15" s="910"/>
      <c r="K15" s="911"/>
      <c r="L15" s="946"/>
    </row>
    <row r="16" spans="1:14" ht="12.75" customHeight="1">
      <c r="A16" s="991">
        <v>7</v>
      </c>
      <c r="B16" s="1022" t="s">
        <v>1856</v>
      </c>
      <c r="C16" s="969" t="s">
        <v>1877</v>
      </c>
      <c r="D16" s="970" t="s">
        <v>1870</v>
      </c>
      <c r="E16" s="968" t="str">
        <f>E12</f>
        <v>ООО"Громин"</v>
      </c>
      <c r="F16" s="971"/>
      <c r="G16" s="972"/>
      <c r="H16" s="973">
        <v>12100000</v>
      </c>
      <c r="I16" s="973">
        <v>12100000</v>
      </c>
      <c r="J16" s="974"/>
      <c r="K16" s="966">
        <v>12100000</v>
      </c>
      <c r="L16" s="967">
        <f>K16-I16</f>
        <v>0</v>
      </c>
    </row>
    <row r="17" spans="1:12">
      <c r="A17" s="992"/>
      <c r="B17" s="1023"/>
      <c r="C17" s="904"/>
      <c r="D17" s="658"/>
      <c r="E17" s="865"/>
      <c r="F17" s="655"/>
      <c r="G17" s="656"/>
      <c r="H17" s="905"/>
      <c r="I17" s="906"/>
      <c r="J17" s="910"/>
      <c r="K17" s="911"/>
      <c r="L17" s="946"/>
    </row>
    <row r="18" spans="1:12">
      <c r="A18" s="992">
        <v>8</v>
      </c>
      <c r="B18" s="955"/>
      <c r="C18" s="904" t="s">
        <v>43</v>
      </c>
      <c r="D18" s="940">
        <v>42020</v>
      </c>
      <c r="E18" s="865" t="s">
        <v>1880</v>
      </c>
      <c r="F18" s="653"/>
      <c r="G18" s="654"/>
      <c r="H18" s="905">
        <v>2450000</v>
      </c>
      <c r="I18" s="905">
        <f>H18</f>
        <v>2450000</v>
      </c>
      <c r="J18" s="909"/>
      <c r="K18" s="905">
        <v>2450000</v>
      </c>
      <c r="L18" s="946">
        <f>K18-I18</f>
        <v>0</v>
      </c>
    </row>
    <row r="19" spans="1:12" ht="13.5" thickBot="1">
      <c r="A19" s="992"/>
      <c r="B19" s="955"/>
      <c r="C19" s="904"/>
      <c r="D19" s="865"/>
      <c r="E19" s="865"/>
      <c r="F19" s="655"/>
      <c r="G19" s="656"/>
      <c r="H19" s="905"/>
      <c r="I19" s="906"/>
      <c r="J19" s="910"/>
      <c r="K19" s="911"/>
      <c r="L19" s="946"/>
    </row>
    <row r="20" spans="1:12">
      <c r="A20" s="991">
        <v>9</v>
      </c>
      <c r="B20" s="968" t="s">
        <v>1868</v>
      </c>
      <c r="C20" s="970" t="s">
        <v>1878</v>
      </c>
      <c r="D20" s="970" t="s">
        <v>1871</v>
      </c>
      <c r="E20" s="968" t="str">
        <f>E16</f>
        <v>ООО"Громин"</v>
      </c>
      <c r="F20" s="1011"/>
      <c r="G20" s="1012"/>
      <c r="H20" s="973">
        <f>I20/J20</f>
        <v>52941.176470588238</v>
      </c>
      <c r="I20" s="973">
        <v>11700000</v>
      </c>
      <c r="J20" s="974">
        <v>221</v>
      </c>
      <c r="K20" s="966">
        <v>11700000</v>
      </c>
      <c r="L20" s="967">
        <f>K20-I20</f>
        <v>0</v>
      </c>
    </row>
    <row r="21" spans="1:12" ht="13.5" thickBot="1">
      <c r="A21" s="992"/>
      <c r="B21" s="865"/>
      <c r="C21" s="658"/>
      <c r="D21" s="658"/>
      <c r="E21" s="865"/>
      <c r="F21" s="1009"/>
      <c r="G21" s="1010"/>
      <c r="H21" s="905"/>
      <c r="I21" s="905"/>
      <c r="J21" s="909"/>
      <c r="K21" s="911"/>
      <c r="L21" s="946"/>
    </row>
    <row r="22" spans="1:12">
      <c r="A22" s="992">
        <v>10</v>
      </c>
      <c r="B22" s="955"/>
      <c r="C22" s="904" t="s">
        <v>44</v>
      </c>
      <c r="D22" s="658" t="s">
        <v>1874</v>
      </c>
      <c r="E22" s="865" t="s">
        <v>1601</v>
      </c>
      <c r="F22" s="653"/>
      <c r="G22" s="654"/>
      <c r="H22" s="905">
        <v>8000000</v>
      </c>
      <c r="I22" s="973">
        <f>H22</f>
        <v>8000000</v>
      </c>
      <c r="J22" s="909"/>
      <c r="K22" s="911">
        <v>8000000</v>
      </c>
      <c r="L22" s="946">
        <f>K22-I22</f>
        <v>0</v>
      </c>
    </row>
    <row r="23" spans="1:12" ht="13.5" thickBot="1">
      <c r="A23" s="992"/>
      <c r="B23" s="962"/>
      <c r="C23" s="938"/>
      <c r="D23" s="939"/>
      <c r="E23" s="937"/>
      <c r="F23" s="964"/>
      <c r="G23" s="965"/>
      <c r="H23" s="942"/>
      <c r="I23" s="905"/>
      <c r="J23" s="944"/>
      <c r="K23" s="945"/>
      <c r="L23" s="947"/>
    </row>
    <row r="24" spans="1:12">
      <c r="A24" s="991">
        <v>11</v>
      </c>
      <c r="B24" s="865" t="s">
        <v>1876</v>
      </c>
      <c r="C24" s="904" t="s">
        <v>1883</v>
      </c>
      <c r="D24" s="658" t="s">
        <v>1874</v>
      </c>
      <c r="E24" s="865" t="str">
        <f>E16</f>
        <v>ООО"Громин"</v>
      </c>
      <c r="F24" s="653"/>
      <c r="G24" s="654"/>
      <c r="H24" s="905">
        <f>I24/J24</f>
        <v>48577.680525164113</v>
      </c>
      <c r="I24" s="905">
        <v>11100000</v>
      </c>
      <c r="J24" s="909">
        <v>228.5</v>
      </c>
      <c r="K24" s="911">
        <v>11100000</v>
      </c>
      <c r="L24" s="903">
        <f>K24-I24</f>
        <v>0</v>
      </c>
    </row>
    <row r="25" spans="1:12">
      <c r="A25" s="992"/>
      <c r="B25" s="865"/>
      <c r="C25" s="904"/>
      <c r="D25" s="658"/>
      <c r="E25" s="865"/>
      <c r="F25" s="655"/>
      <c r="G25" s="656"/>
      <c r="H25" s="905"/>
      <c r="I25" s="906"/>
      <c r="J25" s="910"/>
      <c r="K25" s="911"/>
      <c r="L25" s="903"/>
    </row>
    <row r="26" spans="1:12" ht="12.75" customHeight="1">
      <c r="A26" s="992">
        <v>12</v>
      </c>
      <c r="B26" s="955"/>
      <c r="C26" s="904" t="s">
        <v>53</v>
      </c>
      <c r="D26" s="658" t="s">
        <v>1889</v>
      </c>
      <c r="E26" s="865" t="s">
        <v>1140</v>
      </c>
      <c r="F26" s="653"/>
      <c r="G26" s="654"/>
      <c r="H26" s="905">
        <v>5000000</v>
      </c>
      <c r="I26" s="905">
        <f>H26</f>
        <v>5000000</v>
      </c>
      <c r="J26" s="909"/>
      <c r="K26" s="911">
        <v>5000000</v>
      </c>
      <c r="L26" s="903">
        <f>K26-I26</f>
        <v>0</v>
      </c>
    </row>
    <row r="27" spans="1:12" ht="12.75" customHeight="1" thickBot="1">
      <c r="A27" s="992"/>
      <c r="B27" s="955"/>
      <c r="C27" s="904"/>
      <c r="D27" s="658"/>
      <c r="E27" s="865"/>
      <c r="F27" s="655"/>
      <c r="G27" s="656"/>
      <c r="H27" s="905"/>
      <c r="I27" s="906"/>
      <c r="J27" s="910"/>
      <c r="K27" s="911"/>
      <c r="L27" s="903"/>
    </row>
    <row r="28" spans="1:12">
      <c r="A28" s="991">
        <v>13</v>
      </c>
      <c r="B28" s="968" t="s">
        <v>1882</v>
      </c>
      <c r="C28" s="969" t="s">
        <v>1891</v>
      </c>
      <c r="D28" s="970" t="s">
        <v>1881</v>
      </c>
      <c r="E28" s="968" t="str">
        <f>E16</f>
        <v>ООО"Громин"</v>
      </c>
      <c r="F28" s="971"/>
      <c r="G28" s="972"/>
      <c r="H28" s="973">
        <f>I28/J28</f>
        <v>46929.824561403511</v>
      </c>
      <c r="I28" s="973">
        <v>10700000</v>
      </c>
      <c r="J28" s="974">
        <v>228</v>
      </c>
      <c r="K28" s="966">
        <v>10700000</v>
      </c>
      <c r="L28" s="967">
        <f>K28-I28</f>
        <v>0</v>
      </c>
    </row>
    <row r="29" spans="1:12">
      <c r="A29" s="992"/>
      <c r="B29" s="865"/>
      <c r="C29" s="904"/>
      <c r="D29" s="658"/>
      <c r="E29" s="865"/>
      <c r="F29" s="655"/>
      <c r="G29" s="656"/>
      <c r="H29" s="905"/>
      <c r="I29" s="906"/>
      <c r="J29" s="910"/>
      <c r="K29" s="911"/>
      <c r="L29" s="946"/>
    </row>
    <row r="30" spans="1:12" ht="12.75" customHeight="1">
      <c r="A30" s="992">
        <v>14</v>
      </c>
      <c r="B30" s="955"/>
      <c r="C30" s="904" t="s">
        <v>51</v>
      </c>
      <c r="D30" s="658" t="s">
        <v>1890</v>
      </c>
      <c r="E30" s="865" t="s">
        <v>1857</v>
      </c>
      <c r="F30" s="653"/>
      <c r="G30" s="654"/>
      <c r="H30" s="905">
        <v>15000000</v>
      </c>
      <c r="I30" s="905">
        <f>H30</f>
        <v>15000000</v>
      </c>
      <c r="J30" s="909"/>
      <c r="K30" s="911">
        <v>15000000</v>
      </c>
      <c r="L30" s="946">
        <f>K30-I30</f>
        <v>0</v>
      </c>
    </row>
    <row r="31" spans="1:12" ht="12.75" customHeight="1" thickBot="1">
      <c r="A31" s="992"/>
      <c r="B31" s="962"/>
      <c r="C31" s="938"/>
      <c r="D31" s="939"/>
      <c r="E31" s="937"/>
      <c r="F31" s="964"/>
      <c r="G31" s="965"/>
      <c r="H31" s="942"/>
      <c r="I31" s="943"/>
      <c r="J31" s="944"/>
      <c r="K31" s="945"/>
      <c r="L31" s="947"/>
    </row>
    <row r="32" spans="1:12">
      <c r="A32" s="991">
        <v>15</v>
      </c>
      <c r="B32" s="865" t="s">
        <v>1885</v>
      </c>
      <c r="C32" s="904" t="s">
        <v>1899</v>
      </c>
      <c r="D32" s="658" t="s">
        <v>1892</v>
      </c>
      <c r="E32" s="865" t="str">
        <f>E28</f>
        <v>ООО"Громин"</v>
      </c>
      <c r="F32" s="653"/>
      <c r="G32" s="654"/>
      <c r="H32" s="905">
        <v>11100000</v>
      </c>
      <c r="I32" s="905">
        <f>H32</f>
        <v>11100000</v>
      </c>
      <c r="J32" s="909"/>
      <c r="K32" s="911">
        <v>11100000</v>
      </c>
      <c r="L32" s="903">
        <f>K32-I32</f>
        <v>0</v>
      </c>
    </row>
    <row r="33" spans="1:12">
      <c r="A33" s="992"/>
      <c r="B33" s="865"/>
      <c r="C33" s="904"/>
      <c r="D33" s="658"/>
      <c r="E33" s="865"/>
      <c r="F33" s="655"/>
      <c r="G33" s="656"/>
      <c r="H33" s="905"/>
      <c r="I33" s="906"/>
      <c r="J33" s="910"/>
      <c r="K33" s="911"/>
      <c r="L33" s="903"/>
    </row>
    <row r="34" spans="1:12" ht="12.75" customHeight="1">
      <c r="A34" s="992">
        <v>16</v>
      </c>
      <c r="B34" s="955"/>
      <c r="C34" s="904" t="s">
        <v>67</v>
      </c>
      <c r="D34" s="674" t="s">
        <v>1896</v>
      </c>
      <c r="E34" s="865" t="s">
        <v>1895</v>
      </c>
      <c r="F34" s="653"/>
      <c r="G34" s="654"/>
      <c r="H34" s="905">
        <v>4768400</v>
      </c>
      <c r="I34" s="905">
        <f>H34</f>
        <v>4768400</v>
      </c>
      <c r="J34" s="909"/>
      <c r="K34" s="911">
        <v>4768400</v>
      </c>
      <c r="L34" s="903">
        <f>K34-I34</f>
        <v>0</v>
      </c>
    </row>
    <row r="35" spans="1:12" ht="12.75" customHeight="1" thickBot="1">
      <c r="A35" s="992"/>
      <c r="B35" s="955"/>
      <c r="C35" s="904"/>
      <c r="D35" s="674"/>
      <c r="E35" s="865"/>
      <c r="F35" s="655"/>
      <c r="G35" s="656"/>
      <c r="H35" s="905"/>
      <c r="I35" s="906"/>
      <c r="J35" s="910"/>
      <c r="K35" s="911"/>
      <c r="L35" s="903"/>
    </row>
    <row r="36" spans="1:12">
      <c r="A36" s="991">
        <v>17</v>
      </c>
      <c r="B36" s="968" t="s">
        <v>1884</v>
      </c>
      <c r="C36" s="969" t="s">
        <v>1897</v>
      </c>
      <c r="D36" s="970" t="s">
        <v>1892</v>
      </c>
      <c r="E36" s="968" t="str">
        <f>E32</f>
        <v>ООО"Громин"</v>
      </c>
      <c r="F36" s="971"/>
      <c r="G36" s="972"/>
      <c r="H36" s="973">
        <v>10700000</v>
      </c>
      <c r="I36" s="973">
        <f>H36</f>
        <v>10700000</v>
      </c>
      <c r="J36" s="974"/>
      <c r="K36" s="966">
        <v>10700000</v>
      </c>
      <c r="L36" s="967">
        <f>K36-I36</f>
        <v>0</v>
      </c>
    </row>
    <row r="37" spans="1:12">
      <c r="A37" s="992"/>
      <c r="B37" s="865"/>
      <c r="C37" s="904"/>
      <c r="D37" s="658"/>
      <c r="E37" s="865"/>
      <c r="F37" s="655"/>
      <c r="G37" s="656"/>
      <c r="H37" s="905"/>
      <c r="I37" s="906"/>
      <c r="J37" s="910"/>
      <c r="K37" s="911"/>
      <c r="L37" s="946"/>
    </row>
    <row r="38" spans="1:12" ht="12.75" customHeight="1">
      <c r="A38" s="992">
        <v>18</v>
      </c>
      <c r="B38" s="955"/>
      <c r="C38" s="904" t="s">
        <v>54</v>
      </c>
      <c r="D38" s="658" t="s">
        <v>1893</v>
      </c>
      <c r="E38" s="865" t="s">
        <v>1362</v>
      </c>
      <c r="F38" s="653"/>
      <c r="G38" s="654"/>
      <c r="H38" s="905">
        <v>6000000</v>
      </c>
      <c r="I38" s="905">
        <f>H38</f>
        <v>6000000</v>
      </c>
      <c r="J38" s="909"/>
      <c r="K38" s="911">
        <v>6000000</v>
      </c>
      <c r="L38" s="946">
        <f>K38-I38</f>
        <v>0</v>
      </c>
    </row>
    <row r="39" spans="1:12" ht="12.75" customHeight="1" thickBot="1">
      <c r="A39" s="992"/>
      <c r="B39" s="955"/>
      <c r="C39" s="904"/>
      <c r="D39" s="658"/>
      <c r="E39" s="865"/>
      <c r="F39" s="655"/>
      <c r="G39" s="656"/>
      <c r="H39" s="905"/>
      <c r="I39" s="906"/>
      <c r="J39" s="910"/>
      <c r="K39" s="911"/>
      <c r="L39" s="946"/>
    </row>
    <row r="40" spans="1:12">
      <c r="A40" s="991">
        <v>19</v>
      </c>
      <c r="B40" s="865"/>
      <c r="C40" s="904" t="s">
        <v>56</v>
      </c>
      <c r="D40" s="658" t="s">
        <v>1894</v>
      </c>
      <c r="E40" s="865" t="s">
        <v>1457</v>
      </c>
      <c r="F40" s="653"/>
      <c r="G40" s="654"/>
      <c r="H40" s="905">
        <v>2000000</v>
      </c>
      <c r="I40" s="905">
        <f>H40</f>
        <v>2000000</v>
      </c>
      <c r="J40" s="909"/>
      <c r="K40" s="911">
        <v>2000000</v>
      </c>
      <c r="L40" s="946">
        <f>K40-I40</f>
        <v>0</v>
      </c>
    </row>
    <row r="41" spans="1:12" ht="13.5" thickBot="1">
      <c r="A41" s="992"/>
      <c r="B41" s="937"/>
      <c r="C41" s="938"/>
      <c r="D41" s="939"/>
      <c r="E41" s="937"/>
      <c r="F41" s="964"/>
      <c r="G41" s="965"/>
      <c r="H41" s="942"/>
      <c r="I41" s="943"/>
      <c r="J41" s="944"/>
      <c r="K41" s="945"/>
      <c r="L41" s="947"/>
    </row>
    <row r="42" spans="1:12" ht="12.75" customHeight="1">
      <c r="A42" s="992">
        <v>20</v>
      </c>
      <c r="B42" s="968" t="s">
        <v>1886</v>
      </c>
      <c r="C42" s="969" t="s">
        <v>53</v>
      </c>
      <c r="D42" s="970" t="s">
        <v>1893</v>
      </c>
      <c r="E42" s="968" t="s">
        <v>252</v>
      </c>
      <c r="F42" s="971"/>
      <c r="G42" s="972"/>
      <c r="H42" s="973">
        <v>2315000</v>
      </c>
      <c r="I42" s="973">
        <f>H42</f>
        <v>2315000</v>
      </c>
      <c r="J42" s="974"/>
      <c r="K42" s="966">
        <v>2315000</v>
      </c>
      <c r="L42" s="967">
        <f>K42-I42</f>
        <v>0</v>
      </c>
    </row>
    <row r="43" spans="1:12" ht="12.75" customHeight="1" thickBot="1">
      <c r="A43" s="992"/>
      <c r="B43" s="865"/>
      <c r="C43" s="904"/>
      <c r="D43" s="658"/>
      <c r="E43" s="865"/>
      <c r="F43" s="655"/>
      <c r="G43" s="656"/>
      <c r="H43" s="905"/>
      <c r="I43" s="906"/>
      <c r="J43" s="910"/>
      <c r="K43" s="911"/>
      <c r="L43" s="946"/>
    </row>
    <row r="44" spans="1:12" ht="12.75" customHeight="1">
      <c r="A44" s="991">
        <v>21</v>
      </c>
      <c r="B44" s="955"/>
      <c r="C44" s="904"/>
      <c r="D44" s="658"/>
      <c r="E44" s="865"/>
      <c r="F44" s="653"/>
      <c r="G44" s="654"/>
      <c r="H44" s="905"/>
      <c r="I44" s="905"/>
      <c r="J44" s="909"/>
      <c r="K44" s="911"/>
      <c r="L44" s="946"/>
    </row>
    <row r="45" spans="1:12" ht="12.75" customHeight="1" thickBot="1">
      <c r="A45" s="992"/>
      <c r="B45" s="962"/>
      <c r="C45" s="938"/>
      <c r="D45" s="939"/>
      <c r="E45" s="937"/>
      <c r="F45" s="964"/>
      <c r="G45" s="965"/>
      <c r="H45" s="942"/>
      <c r="I45" s="943"/>
      <c r="J45" s="944"/>
      <c r="K45" s="945"/>
      <c r="L45" s="947"/>
    </row>
    <row r="46" spans="1:12">
      <c r="A46" s="992">
        <v>22</v>
      </c>
      <c r="B46" s="968" t="s">
        <v>1887</v>
      </c>
      <c r="C46" s="969" t="s">
        <v>1898</v>
      </c>
      <c r="D46" s="970" t="s">
        <v>1892</v>
      </c>
      <c r="E46" s="968" t="str">
        <f>E36</f>
        <v>ООО"Громин"</v>
      </c>
      <c r="F46" s="971"/>
      <c r="G46" s="972"/>
      <c r="H46" s="973">
        <v>10700000</v>
      </c>
      <c r="I46" s="973">
        <f>H46</f>
        <v>10700000</v>
      </c>
      <c r="J46" s="974"/>
      <c r="K46" s="966">
        <v>10700000</v>
      </c>
      <c r="L46" s="967">
        <f>K46-I46</f>
        <v>0</v>
      </c>
    </row>
    <row r="47" spans="1:12" ht="13.5" thickBot="1">
      <c r="A47" s="992"/>
      <c r="B47" s="865"/>
      <c r="C47" s="904"/>
      <c r="D47" s="658"/>
      <c r="E47" s="865"/>
      <c r="F47" s="655"/>
      <c r="G47" s="656"/>
      <c r="H47" s="905"/>
      <c r="I47" s="906"/>
      <c r="J47" s="910"/>
      <c r="K47" s="911"/>
      <c r="L47" s="946"/>
    </row>
    <row r="48" spans="1:12" ht="12.75" customHeight="1">
      <c r="A48" s="991">
        <v>23</v>
      </c>
      <c r="B48" s="955"/>
      <c r="C48" s="904" t="s">
        <v>66</v>
      </c>
      <c r="D48" s="658" t="s">
        <v>1893</v>
      </c>
      <c r="E48" s="865" t="s">
        <v>1906</v>
      </c>
      <c r="F48" s="653"/>
      <c r="G48" s="654"/>
      <c r="H48" s="905">
        <v>6000000</v>
      </c>
      <c r="I48" s="905">
        <f>H48</f>
        <v>6000000</v>
      </c>
      <c r="J48" s="909"/>
      <c r="K48" s="911">
        <v>6000000</v>
      </c>
      <c r="L48" s="946">
        <f>K48-I48</f>
        <v>0</v>
      </c>
    </row>
    <row r="49" spans="1:14" ht="12.75" customHeight="1" thickBot="1">
      <c r="A49" s="992"/>
      <c r="B49" s="962"/>
      <c r="C49" s="938"/>
      <c r="D49" s="939"/>
      <c r="E49" s="937"/>
      <c r="F49" s="964"/>
      <c r="G49" s="965"/>
      <c r="H49" s="942"/>
      <c r="I49" s="943"/>
      <c r="J49" s="944"/>
      <c r="K49" s="945"/>
      <c r="L49" s="947"/>
    </row>
    <row r="50" spans="1:14">
      <c r="A50" s="992">
        <v>24</v>
      </c>
      <c r="B50" s="968" t="s">
        <v>1888</v>
      </c>
      <c r="C50" s="969" t="s">
        <v>1900</v>
      </c>
      <c r="D50" s="970" t="s">
        <v>1892</v>
      </c>
      <c r="E50" s="968" t="str">
        <f>E46</f>
        <v>ООО"Громин"</v>
      </c>
      <c r="F50" s="971"/>
      <c r="G50" s="972"/>
      <c r="H50" s="973">
        <v>10700000</v>
      </c>
      <c r="I50" s="973">
        <f>H50</f>
        <v>10700000</v>
      </c>
      <c r="J50" s="974"/>
      <c r="K50" s="966">
        <v>10700000</v>
      </c>
      <c r="L50" s="967">
        <f>K50-I50</f>
        <v>0</v>
      </c>
    </row>
    <row r="51" spans="1:14" ht="13.5" thickBot="1">
      <c r="A51" s="992"/>
      <c r="B51" s="865"/>
      <c r="C51" s="904"/>
      <c r="D51" s="658"/>
      <c r="E51" s="865"/>
      <c r="F51" s="655"/>
      <c r="G51" s="656"/>
      <c r="H51" s="905"/>
      <c r="I51" s="906"/>
      <c r="J51" s="910"/>
      <c r="K51" s="911"/>
      <c r="L51" s="946"/>
    </row>
    <row r="52" spans="1:14" ht="12.75" customHeight="1">
      <c r="A52" s="991">
        <v>25</v>
      </c>
      <c r="B52" s="955"/>
      <c r="C52" s="904" t="s">
        <v>70</v>
      </c>
      <c r="D52" s="674" t="s">
        <v>1896</v>
      </c>
      <c r="E52" s="865" t="s">
        <v>280</v>
      </c>
      <c r="F52" s="653"/>
      <c r="G52" s="654"/>
      <c r="H52" s="905">
        <v>900000</v>
      </c>
      <c r="I52" s="905">
        <f>H52</f>
        <v>900000</v>
      </c>
      <c r="J52" s="909"/>
      <c r="K52" s="911">
        <v>900000</v>
      </c>
      <c r="L52" s="946">
        <f>K52-I52</f>
        <v>0</v>
      </c>
    </row>
    <row r="53" spans="1:14" ht="12.75" customHeight="1">
      <c r="A53" s="992"/>
      <c r="B53" s="955"/>
      <c r="C53" s="904"/>
      <c r="D53" s="674"/>
      <c r="E53" s="865"/>
      <c r="F53" s="655"/>
      <c r="G53" s="656"/>
      <c r="H53" s="905"/>
      <c r="I53" s="906"/>
      <c r="J53" s="910"/>
      <c r="K53" s="911"/>
      <c r="L53" s="946"/>
    </row>
    <row r="54" spans="1:14">
      <c r="A54" s="992">
        <v>26</v>
      </c>
      <c r="B54" s="865"/>
      <c r="C54" s="904"/>
      <c r="D54" s="658"/>
      <c r="E54" s="865"/>
      <c r="F54" s="653"/>
      <c r="G54" s="654"/>
      <c r="H54" s="905"/>
      <c r="I54" s="905">
        <f>H54</f>
        <v>0</v>
      </c>
      <c r="J54" s="909"/>
      <c r="K54" s="911"/>
      <c r="L54" s="946"/>
      <c r="M54" t="s">
        <v>1588</v>
      </c>
    </row>
    <row r="55" spans="1:14" ht="13.5" thickBot="1">
      <c r="A55" s="992"/>
      <c r="B55" s="937"/>
      <c r="C55" s="938"/>
      <c r="D55" s="939"/>
      <c r="E55" s="937"/>
      <c r="F55" s="964"/>
      <c r="G55" s="965"/>
      <c r="H55" s="942"/>
      <c r="I55" s="943"/>
      <c r="J55" s="944"/>
      <c r="K55" s="945"/>
      <c r="L55" s="947"/>
    </row>
    <row r="56" spans="1:14" ht="21.75" customHeight="1" thickBot="1">
      <c r="A56" s="1024" t="s">
        <v>90</v>
      </c>
      <c r="B56" s="1024"/>
      <c r="C56" s="1024"/>
      <c r="D56" s="1024"/>
      <c r="E56" s="1024"/>
      <c r="F56" s="1024"/>
      <c r="G56" s="1024"/>
      <c r="H56" s="1024"/>
      <c r="I56" s="1024"/>
      <c r="J56" s="1024"/>
      <c r="K56" s="1024"/>
      <c r="L56" s="1025"/>
      <c r="M56" s="5">
        <f>SUM(I34,I52:I53,I57:I124,I129)</f>
        <v>174602400</v>
      </c>
      <c r="N56" s="533">
        <f>SUM(L34,L52:L53,L57:L124,L129)</f>
        <v>0</v>
      </c>
    </row>
    <row r="57" spans="1:14">
      <c r="A57" s="991">
        <v>27</v>
      </c>
      <c r="B57" s="968" t="s">
        <v>1901</v>
      </c>
      <c r="C57" s="969" t="s">
        <v>1913</v>
      </c>
      <c r="D57" s="970" t="s">
        <v>1914</v>
      </c>
      <c r="E57" s="968" t="str">
        <f>E4</f>
        <v>ООО"Громин"</v>
      </c>
      <c r="F57" s="971"/>
      <c r="G57" s="972"/>
      <c r="H57" s="973">
        <v>11100000</v>
      </c>
      <c r="I57" s="973">
        <f>H57</f>
        <v>11100000</v>
      </c>
      <c r="J57" s="974"/>
      <c r="K57" s="966">
        <v>11100000</v>
      </c>
      <c r="L57" s="967">
        <f>K57-I57</f>
        <v>0</v>
      </c>
      <c r="M57" t="s">
        <v>120</v>
      </c>
    </row>
    <row r="58" spans="1:14">
      <c r="A58" s="992"/>
      <c r="B58" s="865"/>
      <c r="C58" s="904"/>
      <c r="D58" s="658"/>
      <c r="E58" s="865"/>
      <c r="F58" s="655"/>
      <c r="G58" s="656"/>
      <c r="H58" s="905"/>
      <c r="I58" s="906"/>
      <c r="J58" s="910"/>
      <c r="K58" s="911"/>
      <c r="L58" s="946"/>
      <c r="M58" s="5">
        <f>N56-N58</f>
        <v>0</v>
      </c>
      <c r="N58" s="5">
        <f>L57+L65+L71+L81+L85</f>
        <v>0</v>
      </c>
    </row>
    <row r="59" spans="1:14" ht="12.75" customHeight="1">
      <c r="A59" s="992">
        <v>28</v>
      </c>
      <c r="B59" s="955"/>
      <c r="C59" s="904" t="s">
        <v>76</v>
      </c>
      <c r="D59" s="658" t="s">
        <v>1910</v>
      </c>
      <c r="E59" s="990" t="s">
        <v>889</v>
      </c>
      <c r="F59" s="653"/>
      <c r="G59" s="654"/>
      <c r="H59" s="905">
        <f>280*16000</f>
        <v>4480000</v>
      </c>
      <c r="I59" s="905">
        <f>H59</f>
        <v>4480000</v>
      </c>
      <c r="J59" s="909"/>
      <c r="K59" s="911">
        <v>4480000</v>
      </c>
      <c r="L59" s="946">
        <f>K59-I59</f>
        <v>0</v>
      </c>
    </row>
    <row r="60" spans="1:14" ht="12.75" customHeight="1" thickBot="1">
      <c r="A60" s="992"/>
      <c r="B60" s="955"/>
      <c r="C60" s="904"/>
      <c r="D60" s="658"/>
      <c r="E60" s="990"/>
      <c r="F60" s="655"/>
      <c r="G60" s="656"/>
      <c r="H60" s="905"/>
      <c r="I60" s="906"/>
      <c r="J60" s="910"/>
      <c r="K60" s="911"/>
      <c r="L60" s="946"/>
    </row>
    <row r="61" spans="1:14" ht="12.75" customHeight="1">
      <c r="A61" s="991">
        <v>29</v>
      </c>
      <c r="B61" s="955"/>
      <c r="C61" s="904" t="s">
        <v>77</v>
      </c>
      <c r="D61" s="658" t="s">
        <v>1908</v>
      </c>
      <c r="E61" s="865" t="s">
        <v>98</v>
      </c>
      <c r="F61" s="653"/>
      <c r="G61" s="654"/>
      <c r="H61" s="905">
        <v>800000</v>
      </c>
      <c r="I61" s="905">
        <f>H61</f>
        <v>800000</v>
      </c>
      <c r="J61" s="909"/>
      <c r="K61" s="911">
        <v>800000</v>
      </c>
      <c r="L61" s="946">
        <f>K61-I61</f>
        <v>0</v>
      </c>
    </row>
    <row r="62" spans="1:14" ht="12.75" customHeight="1">
      <c r="A62" s="992"/>
      <c r="B62" s="955"/>
      <c r="C62" s="904"/>
      <c r="D62" s="658"/>
      <c r="E62" s="865"/>
      <c r="F62" s="655"/>
      <c r="G62" s="656"/>
      <c r="H62" s="905"/>
      <c r="I62" s="906"/>
      <c r="J62" s="910"/>
      <c r="K62" s="911"/>
      <c r="L62" s="946"/>
    </row>
    <row r="63" spans="1:14">
      <c r="A63" s="992">
        <v>30</v>
      </c>
      <c r="B63" s="865"/>
      <c r="C63" s="904" t="s">
        <v>78</v>
      </c>
      <c r="D63" s="658" t="s">
        <v>1908</v>
      </c>
      <c r="E63" s="865" t="s">
        <v>117</v>
      </c>
      <c r="F63" s="653"/>
      <c r="G63" s="654"/>
      <c r="H63" s="905">
        <v>900000</v>
      </c>
      <c r="I63" s="905">
        <f>H63</f>
        <v>900000</v>
      </c>
      <c r="J63" s="909"/>
      <c r="K63" s="911">
        <v>900000</v>
      </c>
      <c r="L63" s="946">
        <f>K63-I63</f>
        <v>0</v>
      </c>
      <c r="N63">
        <f>5+10+5+5+10+5+5+10+10+10+5+5+10+10+5+5+10</f>
        <v>125</v>
      </c>
    </row>
    <row r="64" spans="1:14" ht="13.5" thickBot="1">
      <c r="A64" s="992"/>
      <c r="B64" s="937"/>
      <c r="C64" s="938"/>
      <c r="D64" s="939"/>
      <c r="E64" s="937"/>
      <c r="F64" s="964"/>
      <c r="G64" s="965"/>
      <c r="H64" s="942"/>
      <c r="I64" s="943"/>
      <c r="J64" s="944"/>
      <c r="K64" s="945"/>
      <c r="L64" s="947"/>
    </row>
    <row r="65" spans="1:12" ht="12.75" customHeight="1">
      <c r="A65" s="991">
        <v>31</v>
      </c>
      <c r="B65" s="968" t="s">
        <v>1902</v>
      </c>
      <c r="C65" s="969" t="s">
        <v>1915</v>
      </c>
      <c r="D65" s="970" t="s">
        <v>1914</v>
      </c>
      <c r="E65" s="968" t="str">
        <f>E57</f>
        <v>ООО"Громин"</v>
      </c>
      <c r="F65" s="971"/>
      <c r="G65" s="972"/>
      <c r="H65" s="973">
        <v>10700000</v>
      </c>
      <c r="I65" s="973">
        <f>H65</f>
        <v>10700000</v>
      </c>
      <c r="J65" s="974"/>
      <c r="K65" s="966">
        <v>10700000</v>
      </c>
      <c r="L65" s="967">
        <f>K65-I65</f>
        <v>0</v>
      </c>
    </row>
    <row r="66" spans="1:12" ht="12.75" customHeight="1">
      <c r="A66" s="992"/>
      <c r="B66" s="865"/>
      <c r="C66" s="904"/>
      <c r="D66" s="658"/>
      <c r="E66" s="865"/>
      <c r="F66" s="655"/>
      <c r="G66" s="656"/>
      <c r="H66" s="905"/>
      <c r="I66" s="906"/>
      <c r="J66" s="910"/>
      <c r="K66" s="911"/>
      <c r="L66" s="946"/>
    </row>
    <row r="67" spans="1:12">
      <c r="A67" s="992">
        <v>32</v>
      </c>
      <c r="B67" s="955"/>
      <c r="C67" s="904" t="s">
        <v>75</v>
      </c>
      <c r="D67" s="658" t="s">
        <v>1908</v>
      </c>
      <c r="E67" s="865" t="s">
        <v>1140</v>
      </c>
      <c r="F67" s="653"/>
      <c r="G67" s="654"/>
      <c r="H67" s="905">
        <v>7000000</v>
      </c>
      <c r="I67" s="905">
        <f>H67</f>
        <v>7000000</v>
      </c>
      <c r="J67" s="909"/>
      <c r="K67" s="911">
        <v>7000000</v>
      </c>
      <c r="L67" s="946">
        <f>K67-I67</f>
        <v>0</v>
      </c>
    </row>
    <row r="68" spans="1:12" ht="13.5" thickBot="1">
      <c r="A68" s="992"/>
      <c r="B68" s="955"/>
      <c r="C68" s="904"/>
      <c r="D68" s="658"/>
      <c r="E68" s="865"/>
      <c r="F68" s="655"/>
      <c r="G68" s="656"/>
      <c r="H68" s="905"/>
      <c r="I68" s="906"/>
      <c r="J68" s="910"/>
      <c r="K68" s="911"/>
      <c r="L68" s="946"/>
    </row>
    <row r="69" spans="1:12">
      <c r="A69" s="991">
        <v>33</v>
      </c>
      <c r="B69" s="955"/>
      <c r="C69" s="904" t="s">
        <v>79</v>
      </c>
      <c r="D69" s="658" t="s">
        <v>1910</v>
      </c>
      <c r="E69" s="865" t="s">
        <v>1919</v>
      </c>
      <c r="F69" s="653"/>
      <c r="G69" s="654"/>
      <c r="H69" s="905">
        <v>1600000</v>
      </c>
      <c r="I69" s="905">
        <f>H69</f>
        <v>1600000</v>
      </c>
      <c r="J69" s="909"/>
      <c r="K69" s="911">
        <v>1600000</v>
      </c>
      <c r="L69" s="946">
        <f>K69-I69</f>
        <v>0</v>
      </c>
    </row>
    <row r="70" spans="1:12" ht="13.5" thickBot="1">
      <c r="A70" s="992"/>
      <c r="B70" s="962"/>
      <c r="C70" s="938"/>
      <c r="D70" s="939"/>
      <c r="E70" s="937"/>
      <c r="F70" s="964"/>
      <c r="G70" s="965"/>
      <c r="H70" s="942"/>
      <c r="I70" s="943"/>
      <c r="J70" s="944"/>
      <c r="K70" s="945"/>
      <c r="L70" s="947"/>
    </row>
    <row r="71" spans="1:12">
      <c r="A71" s="992">
        <v>34</v>
      </c>
      <c r="B71" s="879" t="s">
        <v>1903</v>
      </c>
      <c r="C71" s="914"/>
      <c r="D71" s="660" t="s">
        <v>1916</v>
      </c>
      <c r="E71" s="879" t="str">
        <f>E65</f>
        <v>ООО"Громин"</v>
      </c>
      <c r="F71" s="828"/>
      <c r="G71" s="829"/>
      <c r="H71" s="916">
        <v>10700000</v>
      </c>
      <c r="I71" s="916">
        <f>H71</f>
        <v>10700000</v>
      </c>
      <c r="J71" s="949"/>
      <c r="K71" s="920">
        <v>10700000</v>
      </c>
      <c r="L71" s="901">
        <f>K71-I71</f>
        <v>0</v>
      </c>
    </row>
    <row r="72" spans="1:12" ht="13.5" thickBot="1">
      <c r="A72" s="992"/>
      <c r="B72" s="865"/>
      <c r="C72" s="904"/>
      <c r="D72" s="658"/>
      <c r="E72" s="865"/>
      <c r="F72" s="655"/>
      <c r="G72" s="656"/>
      <c r="H72" s="905"/>
      <c r="I72" s="906"/>
      <c r="J72" s="910"/>
      <c r="K72" s="911"/>
      <c r="L72" s="903"/>
    </row>
    <row r="73" spans="1:12" ht="12.75" customHeight="1">
      <c r="A73" s="991">
        <v>35</v>
      </c>
      <c r="B73" s="955"/>
      <c r="C73" s="904" t="s">
        <v>81</v>
      </c>
      <c r="D73" s="658" t="s">
        <v>1912</v>
      </c>
      <c r="E73" s="865" t="s">
        <v>1925</v>
      </c>
      <c r="F73" s="653"/>
      <c r="G73" s="654"/>
      <c r="H73" s="905">
        <v>6000000</v>
      </c>
      <c r="I73" s="905">
        <f>H73</f>
        <v>6000000</v>
      </c>
      <c r="J73" s="909"/>
      <c r="K73" s="911">
        <v>6000000</v>
      </c>
      <c r="L73" s="903">
        <f>K73-I73</f>
        <v>0</v>
      </c>
    </row>
    <row r="74" spans="1:12" ht="12.75" customHeight="1">
      <c r="A74" s="992"/>
      <c r="B74" s="956"/>
      <c r="C74" s="913"/>
      <c r="D74" s="659"/>
      <c r="E74" s="878"/>
      <c r="F74" s="828"/>
      <c r="G74" s="829"/>
      <c r="H74" s="915"/>
      <c r="I74" s="982"/>
      <c r="J74" s="917"/>
      <c r="K74" s="919"/>
      <c r="L74" s="900"/>
    </row>
    <row r="75" spans="1:12" ht="12.75" customHeight="1">
      <c r="A75" s="992">
        <v>36</v>
      </c>
      <c r="B75" s="955"/>
      <c r="C75" s="904" t="s">
        <v>82</v>
      </c>
      <c r="D75" s="658" t="s">
        <v>1912</v>
      </c>
      <c r="E75" s="865" t="s">
        <v>1926</v>
      </c>
      <c r="F75" s="653"/>
      <c r="G75" s="654"/>
      <c r="H75" s="905">
        <v>3000000</v>
      </c>
      <c r="I75" s="905">
        <f>H75</f>
        <v>3000000</v>
      </c>
      <c r="J75" s="909"/>
      <c r="K75" s="911">
        <v>3000000</v>
      </c>
      <c r="L75" s="903">
        <f>K75-I75</f>
        <v>0</v>
      </c>
    </row>
    <row r="76" spans="1:12" ht="12.75" customHeight="1" thickBot="1">
      <c r="A76" s="992"/>
      <c r="B76" s="956"/>
      <c r="C76" s="913"/>
      <c r="D76" s="659"/>
      <c r="E76" s="878"/>
      <c r="F76" s="828"/>
      <c r="G76" s="829"/>
      <c r="H76" s="915"/>
      <c r="I76" s="982"/>
      <c r="J76" s="917"/>
      <c r="K76" s="919"/>
      <c r="L76" s="900"/>
    </row>
    <row r="77" spans="1:12">
      <c r="A77" s="991">
        <v>37</v>
      </c>
      <c r="B77" s="968" t="s">
        <v>1904</v>
      </c>
      <c r="C77" s="969" t="s">
        <v>71</v>
      </c>
      <c r="D77" s="970" t="s">
        <v>1905</v>
      </c>
      <c r="E77" s="968" t="s">
        <v>252</v>
      </c>
      <c r="F77" s="971"/>
      <c r="G77" s="972"/>
      <c r="H77" s="973">
        <v>2178000</v>
      </c>
      <c r="I77" s="973">
        <f>H77</f>
        <v>2178000</v>
      </c>
      <c r="J77" s="974"/>
      <c r="K77" s="966">
        <v>2178000</v>
      </c>
      <c r="L77" s="967">
        <f>K77-I77</f>
        <v>0</v>
      </c>
    </row>
    <row r="78" spans="1:12">
      <c r="A78" s="992"/>
      <c r="B78" s="865"/>
      <c r="C78" s="904"/>
      <c r="D78" s="658"/>
      <c r="E78" s="865"/>
      <c r="F78" s="655"/>
      <c r="G78" s="656"/>
      <c r="H78" s="905"/>
      <c r="I78" s="906"/>
      <c r="J78" s="910"/>
      <c r="K78" s="911"/>
      <c r="L78" s="946"/>
    </row>
    <row r="79" spans="1:12" ht="12.75" customHeight="1">
      <c r="A79" s="992">
        <v>38</v>
      </c>
      <c r="B79" s="955"/>
      <c r="C79" s="904"/>
      <c r="D79" s="658"/>
      <c r="E79" s="865"/>
      <c r="F79" s="653"/>
      <c r="G79" s="654"/>
      <c r="H79" s="905"/>
      <c r="I79" s="905"/>
      <c r="J79" s="909"/>
      <c r="K79" s="911"/>
      <c r="L79" s="946"/>
    </row>
    <row r="80" spans="1:12" ht="12.75" customHeight="1" thickBot="1">
      <c r="A80" s="992"/>
      <c r="B80" s="962"/>
      <c r="C80" s="938"/>
      <c r="D80" s="939"/>
      <c r="E80" s="937"/>
      <c r="F80" s="964"/>
      <c r="G80" s="965"/>
      <c r="H80" s="942"/>
      <c r="I80" s="943"/>
      <c r="J80" s="944"/>
      <c r="K80" s="945"/>
      <c r="L80" s="947"/>
    </row>
    <row r="81" spans="1:14">
      <c r="A81" s="991">
        <v>39</v>
      </c>
      <c r="B81" s="968" t="s">
        <v>1907</v>
      </c>
      <c r="C81" s="969"/>
      <c r="D81" s="970" t="s">
        <v>1922</v>
      </c>
      <c r="E81" s="968" t="s">
        <v>20</v>
      </c>
      <c r="F81" s="971"/>
      <c r="G81" s="972"/>
      <c r="H81" s="973">
        <v>12000000</v>
      </c>
      <c r="I81" s="973">
        <f>H81</f>
        <v>12000000</v>
      </c>
      <c r="J81" s="974"/>
      <c r="K81" s="966">
        <v>12000000</v>
      </c>
      <c r="L81" s="967">
        <f>K81-I81</f>
        <v>0</v>
      </c>
      <c r="N81">
        <f>50000000*15/100</f>
        <v>7500000</v>
      </c>
    </row>
    <row r="82" spans="1:14">
      <c r="A82" s="992"/>
      <c r="B82" s="865"/>
      <c r="C82" s="904"/>
      <c r="D82" s="658"/>
      <c r="E82" s="865"/>
      <c r="F82" s="655"/>
      <c r="G82" s="656"/>
      <c r="H82" s="905"/>
      <c r="I82" s="906"/>
      <c r="J82" s="910"/>
      <c r="K82" s="911"/>
      <c r="L82" s="946"/>
    </row>
    <row r="83" spans="1:14" ht="12.75" customHeight="1">
      <c r="A83" s="992">
        <v>40</v>
      </c>
      <c r="B83" s="955"/>
      <c r="C83" s="904" t="s">
        <v>84</v>
      </c>
      <c r="D83" s="658" t="s">
        <v>1918</v>
      </c>
      <c r="E83" s="865" t="s">
        <v>1706</v>
      </c>
      <c r="F83" s="653"/>
      <c r="G83" s="654"/>
      <c r="H83" s="905">
        <v>8500000</v>
      </c>
      <c r="I83" s="905">
        <f>H83</f>
        <v>8500000</v>
      </c>
      <c r="J83" s="909"/>
      <c r="K83" s="911">
        <v>8500000</v>
      </c>
      <c r="L83" s="946">
        <f>K83-I83</f>
        <v>0</v>
      </c>
    </row>
    <row r="84" spans="1:14" ht="12.75" customHeight="1" thickBot="1">
      <c r="A84" s="992"/>
      <c r="B84" s="962"/>
      <c r="C84" s="938"/>
      <c r="D84" s="939"/>
      <c r="E84" s="937"/>
      <c r="F84" s="964"/>
      <c r="G84" s="965"/>
      <c r="H84" s="942"/>
      <c r="I84" s="943"/>
      <c r="J84" s="944"/>
      <c r="K84" s="945"/>
      <c r="L84" s="947"/>
    </row>
    <row r="85" spans="1:14">
      <c r="A85" s="991">
        <v>41</v>
      </c>
      <c r="B85" s="879" t="s">
        <v>1909</v>
      </c>
      <c r="C85" s="914" t="s">
        <v>1923</v>
      </c>
      <c r="D85" s="660" t="s">
        <v>1922</v>
      </c>
      <c r="E85" s="879" t="s">
        <v>428</v>
      </c>
      <c r="F85" s="828"/>
      <c r="G85" s="829"/>
      <c r="H85" s="916">
        <v>11600000</v>
      </c>
      <c r="I85" s="916">
        <f>H85</f>
        <v>11600000</v>
      </c>
      <c r="J85" s="949"/>
      <c r="K85" s="920">
        <v>11600000</v>
      </c>
      <c r="L85" s="901">
        <f>K85-I85</f>
        <v>0</v>
      </c>
    </row>
    <row r="86" spans="1:14">
      <c r="A86" s="992"/>
      <c r="B86" s="865"/>
      <c r="C86" s="904"/>
      <c r="D86" s="658"/>
      <c r="E86" s="865"/>
      <c r="F86" s="655"/>
      <c r="G86" s="656"/>
      <c r="H86" s="905"/>
      <c r="I86" s="906"/>
      <c r="J86" s="910"/>
      <c r="K86" s="911"/>
      <c r="L86" s="903"/>
    </row>
    <row r="87" spans="1:14" ht="12.75" customHeight="1">
      <c r="A87" s="992">
        <v>42</v>
      </c>
      <c r="B87" s="955"/>
      <c r="C87" s="904" t="s">
        <v>85</v>
      </c>
      <c r="D87" s="658" t="s">
        <v>1921</v>
      </c>
      <c r="E87" s="865" t="s">
        <v>117</v>
      </c>
      <c r="F87" s="653"/>
      <c r="G87" s="654"/>
      <c r="H87" s="905">
        <v>900000</v>
      </c>
      <c r="I87" s="905">
        <f>H87</f>
        <v>900000</v>
      </c>
      <c r="J87" s="909"/>
      <c r="K87" s="911">
        <v>900000</v>
      </c>
      <c r="L87" s="903">
        <f>K87-I87</f>
        <v>0</v>
      </c>
    </row>
    <row r="88" spans="1:14" ht="12.75" customHeight="1" thickBot="1">
      <c r="A88" s="992"/>
      <c r="B88" s="955"/>
      <c r="C88" s="904"/>
      <c r="D88" s="658"/>
      <c r="E88" s="865"/>
      <c r="F88" s="655"/>
      <c r="G88" s="656"/>
      <c r="H88" s="905"/>
      <c r="I88" s="906"/>
      <c r="J88" s="910"/>
      <c r="K88" s="911"/>
      <c r="L88" s="903"/>
    </row>
    <row r="89" spans="1:14">
      <c r="A89" s="991">
        <v>43</v>
      </c>
      <c r="B89" s="865"/>
      <c r="C89" s="904" t="s">
        <v>86</v>
      </c>
      <c r="D89" s="658" t="s">
        <v>1921</v>
      </c>
      <c r="E89" s="865" t="s">
        <v>1872</v>
      </c>
      <c r="F89" s="653"/>
      <c r="G89" s="654"/>
      <c r="H89" s="905">
        <f>25*16000</f>
        <v>400000</v>
      </c>
      <c r="I89" s="905">
        <f>H89</f>
        <v>400000</v>
      </c>
      <c r="J89" s="909"/>
      <c r="K89" s="911">
        <v>400000</v>
      </c>
      <c r="L89" s="903">
        <f>K89-I89</f>
        <v>0</v>
      </c>
    </row>
    <row r="90" spans="1:14" ht="13.5" thickBot="1">
      <c r="A90" s="992"/>
      <c r="B90" s="878"/>
      <c r="C90" s="913"/>
      <c r="D90" s="659"/>
      <c r="E90" s="865"/>
      <c r="F90" s="828"/>
      <c r="G90" s="829"/>
      <c r="H90" s="915"/>
      <c r="I90" s="982"/>
      <c r="J90" s="917"/>
      <c r="K90" s="919"/>
      <c r="L90" s="900"/>
    </row>
    <row r="91" spans="1:14">
      <c r="A91" s="992">
        <v>44</v>
      </c>
      <c r="B91" s="968" t="s">
        <v>1911</v>
      </c>
      <c r="C91" s="969" t="s">
        <v>80</v>
      </c>
      <c r="D91" s="970" t="s">
        <v>1912</v>
      </c>
      <c r="E91" s="968" t="s">
        <v>252</v>
      </c>
      <c r="F91" s="971"/>
      <c r="G91" s="972"/>
      <c r="H91" s="973">
        <v>1803000</v>
      </c>
      <c r="I91" s="973">
        <f>H91</f>
        <v>1803000</v>
      </c>
      <c r="J91" s="974"/>
      <c r="K91" s="966">
        <v>1803000</v>
      </c>
      <c r="L91" s="967">
        <f>K91-I91</f>
        <v>0</v>
      </c>
    </row>
    <row r="92" spans="1:14" ht="13.5" thickBot="1">
      <c r="A92" s="992"/>
      <c r="B92" s="865"/>
      <c r="C92" s="904"/>
      <c r="D92" s="658"/>
      <c r="E92" s="865"/>
      <c r="F92" s="655"/>
      <c r="G92" s="656"/>
      <c r="H92" s="905"/>
      <c r="I92" s="906"/>
      <c r="J92" s="910"/>
      <c r="K92" s="911"/>
      <c r="L92" s="946"/>
    </row>
    <row r="93" spans="1:14">
      <c r="A93" s="991">
        <v>45</v>
      </c>
      <c r="B93" s="955"/>
      <c r="C93" s="904"/>
      <c r="D93" s="658"/>
      <c r="E93" s="865"/>
      <c r="F93" s="653"/>
      <c r="G93" s="654"/>
      <c r="H93" s="905"/>
      <c r="I93" s="905">
        <f>H93</f>
        <v>0</v>
      </c>
      <c r="J93" s="909"/>
      <c r="K93" s="911"/>
      <c r="L93" s="946">
        <f>K93-I93</f>
        <v>0</v>
      </c>
    </row>
    <row r="94" spans="1:14" ht="13.5" thickBot="1">
      <c r="A94" s="992"/>
      <c r="B94" s="962"/>
      <c r="C94" s="938"/>
      <c r="D94" s="939"/>
      <c r="E94" s="937"/>
      <c r="F94" s="964"/>
      <c r="G94" s="965"/>
      <c r="H94" s="942"/>
      <c r="I94" s="943"/>
      <c r="J94" s="944"/>
      <c r="K94" s="945"/>
      <c r="L94" s="947"/>
    </row>
    <row r="95" spans="1:14">
      <c r="A95" s="992">
        <v>46</v>
      </c>
      <c r="B95" s="968" t="s">
        <v>1917</v>
      </c>
      <c r="C95" s="969" t="s">
        <v>87</v>
      </c>
      <c r="D95" s="970" t="s">
        <v>1924</v>
      </c>
      <c r="E95" s="968" t="s">
        <v>1931</v>
      </c>
      <c r="F95" s="971"/>
      <c r="G95" s="972"/>
      <c r="H95" s="973">
        <v>983000</v>
      </c>
      <c r="I95" s="973">
        <f>H95</f>
        <v>983000</v>
      </c>
      <c r="J95" s="974"/>
      <c r="K95" s="966">
        <v>983000</v>
      </c>
      <c r="L95" s="967">
        <f>K95-I95</f>
        <v>0</v>
      </c>
    </row>
    <row r="96" spans="1:14" ht="13.5" thickBot="1">
      <c r="A96" s="992"/>
      <c r="B96" s="865"/>
      <c r="C96" s="904"/>
      <c r="D96" s="658"/>
      <c r="E96" s="865"/>
      <c r="F96" s="655"/>
      <c r="G96" s="656"/>
      <c r="H96" s="905"/>
      <c r="I96" s="906"/>
      <c r="J96" s="910"/>
      <c r="K96" s="911"/>
      <c r="L96" s="946"/>
    </row>
    <row r="97" spans="1:12" ht="12.75" customHeight="1">
      <c r="A97" s="991">
        <v>47</v>
      </c>
      <c r="B97" s="955"/>
      <c r="C97" s="904"/>
      <c r="D97" s="658"/>
      <c r="E97" s="865"/>
      <c r="F97" s="653"/>
      <c r="G97" s="654"/>
      <c r="H97" s="905"/>
      <c r="I97" s="905">
        <f>H97</f>
        <v>0</v>
      </c>
      <c r="J97" s="909"/>
      <c r="K97" s="911"/>
      <c r="L97" s="946">
        <f>K97-I97</f>
        <v>0</v>
      </c>
    </row>
    <row r="98" spans="1:12" ht="12.75" customHeight="1" thickBot="1">
      <c r="A98" s="992"/>
      <c r="B98" s="962"/>
      <c r="C98" s="938"/>
      <c r="D98" s="939"/>
      <c r="E98" s="937"/>
      <c r="F98" s="964"/>
      <c r="G98" s="965"/>
      <c r="H98" s="942"/>
      <c r="I98" s="943"/>
      <c r="J98" s="944"/>
      <c r="K98" s="945"/>
      <c r="L98" s="947"/>
    </row>
    <row r="99" spans="1:12">
      <c r="A99" s="992">
        <v>48</v>
      </c>
      <c r="B99" s="968" t="s">
        <v>1940</v>
      </c>
      <c r="C99" s="969" t="s">
        <v>1937</v>
      </c>
      <c r="D99" s="970" t="s">
        <v>1921</v>
      </c>
      <c r="E99" s="968" t="s">
        <v>239</v>
      </c>
      <c r="F99" s="971"/>
      <c r="G99" s="972"/>
      <c r="H99" s="973">
        <v>48366</v>
      </c>
      <c r="I99" s="973">
        <v>11100000</v>
      </c>
      <c r="J99" s="974">
        <v>229.5</v>
      </c>
      <c r="K99" s="966">
        <v>11100000</v>
      </c>
      <c r="L99" s="967">
        <f>K99-I99</f>
        <v>0</v>
      </c>
    </row>
    <row r="100" spans="1:12" ht="13.5" thickBot="1">
      <c r="A100" s="992"/>
      <c r="B100" s="865"/>
      <c r="C100" s="904"/>
      <c r="D100" s="658"/>
      <c r="E100" s="865"/>
      <c r="F100" s="655"/>
      <c r="G100" s="656"/>
      <c r="H100" s="905"/>
      <c r="I100" s="906"/>
      <c r="J100" s="910"/>
      <c r="K100" s="911"/>
      <c r="L100" s="946"/>
    </row>
    <row r="101" spans="1:12">
      <c r="A101" s="991">
        <v>49</v>
      </c>
      <c r="B101" s="955"/>
      <c r="C101" s="904" t="s">
        <v>102</v>
      </c>
      <c r="D101" s="658" t="s">
        <v>1936</v>
      </c>
      <c r="E101" s="865" t="s">
        <v>1933</v>
      </c>
      <c r="F101" s="653"/>
      <c r="G101" s="654"/>
      <c r="H101" s="905">
        <v>4650000</v>
      </c>
      <c r="I101" s="905">
        <f>H101</f>
        <v>4650000</v>
      </c>
      <c r="J101" s="909"/>
      <c r="K101" s="911">
        <v>4650000</v>
      </c>
      <c r="L101" s="946">
        <f>K101-I101</f>
        <v>0</v>
      </c>
    </row>
    <row r="102" spans="1:12">
      <c r="A102" s="992"/>
      <c r="B102" s="955"/>
      <c r="C102" s="904"/>
      <c r="D102" s="658"/>
      <c r="E102" s="865"/>
      <c r="F102" s="655"/>
      <c r="G102" s="656"/>
      <c r="H102" s="905"/>
      <c r="I102" s="906"/>
      <c r="J102" s="910"/>
      <c r="K102" s="911"/>
      <c r="L102" s="946"/>
    </row>
    <row r="103" spans="1:12">
      <c r="A103" s="992">
        <v>50</v>
      </c>
      <c r="B103" s="955"/>
      <c r="C103" s="904" t="s">
        <v>103</v>
      </c>
      <c r="D103" s="658" t="s">
        <v>1929</v>
      </c>
      <c r="E103" s="865" t="s">
        <v>1932</v>
      </c>
      <c r="F103" s="653"/>
      <c r="G103" s="654"/>
      <c r="H103" s="905">
        <v>4000000</v>
      </c>
      <c r="I103" s="905">
        <f>H103</f>
        <v>4000000</v>
      </c>
      <c r="J103" s="909"/>
      <c r="K103" s="911">
        <v>4000000</v>
      </c>
      <c r="L103" s="946">
        <f>K103-I103</f>
        <v>0</v>
      </c>
    </row>
    <row r="104" spans="1:12" ht="13.5" thickBot="1">
      <c r="A104" s="992"/>
      <c r="B104" s="962"/>
      <c r="C104" s="938"/>
      <c r="D104" s="939"/>
      <c r="E104" s="937"/>
      <c r="F104" s="964"/>
      <c r="G104" s="965"/>
      <c r="H104" s="942"/>
      <c r="I104" s="943"/>
      <c r="J104" s="944"/>
      <c r="K104" s="945"/>
      <c r="L104" s="947"/>
    </row>
    <row r="105" spans="1:12">
      <c r="A105" s="991">
        <v>51</v>
      </c>
      <c r="B105" s="879" t="s">
        <v>1920</v>
      </c>
      <c r="C105" s="914" t="s">
        <v>1939</v>
      </c>
      <c r="D105" s="660" t="s">
        <v>1938</v>
      </c>
      <c r="E105" s="879" t="s">
        <v>239</v>
      </c>
      <c r="F105" s="828"/>
      <c r="G105" s="829"/>
      <c r="H105" s="916">
        <v>49569</v>
      </c>
      <c r="I105" s="916">
        <v>11500000</v>
      </c>
      <c r="J105" s="949">
        <v>232</v>
      </c>
      <c r="K105" s="920">
        <v>11500000</v>
      </c>
      <c r="L105" s="901">
        <f>K105-I105</f>
        <v>0</v>
      </c>
    </row>
    <row r="106" spans="1:12">
      <c r="A106" s="992"/>
      <c r="B106" s="865"/>
      <c r="C106" s="904"/>
      <c r="D106" s="658"/>
      <c r="E106" s="865"/>
      <c r="F106" s="655"/>
      <c r="G106" s="656"/>
      <c r="H106" s="905"/>
      <c r="I106" s="906"/>
      <c r="J106" s="910"/>
      <c r="K106" s="911"/>
      <c r="L106" s="903"/>
    </row>
    <row r="107" spans="1:12" ht="12.75" customHeight="1">
      <c r="A107" s="992">
        <v>52</v>
      </c>
      <c r="B107" s="955"/>
      <c r="C107" s="904" t="s">
        <v>118</v>
      </c>
      <c r="D107" s="658" t="s">
        <v>1930</v>
      </c>
      <c r="E107" s="865" t="s">
        <v>117</v>
      </c>
      <c r="F107" s="653"/>
      <c r="G107" s="654"/>
      <c r="H107" s="905">
        <v>900000</v>
      </c>
      <c r="I107" s="905">
        <f>H107</f>
        <v>900000</v>
      </c>
      <c r="J107" s="909"/>
      <c r="K107" s="911">
        <v>900000</v>
      </c>
      <c r="L107" s="903">
        <f>K107-I107</f>
        <v>0</v>
      </c>
    </row>
    <row r="108" spans="1:12" ht="12.75" customHeight="1" thickBot="1">
      <c r="A108" s="992"/>
      <c r="B108" s="955"/>
      <c r="C108" s="904"/>
      <c r="D108" s="658"/>
      <c r="E108" s="865"/>
      <c r="F108" s="655"/>
      <c r="G108" s="656"/>
      <c r="H108" s="905"/>
      <c r="I108" s="906"/>
      <c r="J108" s="910"/>
      <c r="K108" s="911"/>
      <c r="L108" s="903"/>
    </row>
    <row r="109" spans="1:12">
      <c r="A109" s="991">
        <v>53</v>
      </c>
      <c r="B109" s="955"/>
      <c r="C109" s="904" t="s">
        <v>119</v>
      </c>
      <c r="D109" s="658" t="s">
        <v>1930</v>
      </c>
      <c r="E109" s="865" t="s">
        <v>1864</v>
      </c>
      <c r="F109" s="653"/>
      <c r="G109" s="654"/>
      <c r="H109" s="905">
        <v>2000000</v>
      </c>
      <c r="I109" s="905">
        <f>H109</f>
        <v>2000000</v>
      </c>
      <c r="J109" s="909"/>
      <c r="K109" s="911">
        <v>2000000</v>
      </c>
      <c r="L109" s="903">
        <f>K109-I109</f>
        <v>0</v>
      </c>
    </row>
    <row r="110" spans="1:12">
      <c r="A110" s="992"/>
      <c r="B110" s="955"/>
      <c r="C110" s="904"/>
      <c r="D110" s="658"/>
      <c r="E110" s="865"/>
      <c r="F110" s="655"/>
      <c r="G110" s="656"/>
      <c r="H110" s="905"/>
      <c r="I110" s="906"/>
      <c r="J110" s="910"/>
      <c r="K110" s="911"/>
      <c r="L110" s="903"/>
    </row>
    <row r="111" spans="1:12">
      <c r="A111" s="992">
        <v>54</v>
      </c>
      <c r="B111" s="865"/>
      <c r="C111" s="904" t="s">
        <v>137</v>
      </c>
      <c r="D111" s="658" t="s">
        <v>1930</v>
      </c>
      <c r="E111" s="865" t="s">
        <v>1941</v>
      </c>
      <c r="F111" s="653"/>
      <c r="G111" s="654"/>
      <c r="H111" s="905">
        <v>3000000</v>
      </c>
      <c r="I111" s="905">
        <f>H111</f>
        <v>3000000</v>
      </c>
      <c r="J111" s="909"/>
      <c r="K111" s="911">
        <v>3000000</v>
      </c>
      <c r="L111" s="903">
        <f>K111-I111</f>
        <v>0</v>
      </c>
    </row>
    <row r="112" spans="1:12" ht="13.5" thickBot="1">
      <c r="A112" s="992"/>
      <c r="B112" s="878"/>
      <c r="C112" s="913"/>
      <c r="D112" s="659"/>
      <c r="E112" s="878"/>
      <c r="F112" s="828"/>
      <c r="G112" s="829"/>
      <c r="H112" s="915"/>
      <c r="I112" s="982"/>
      <c r="J112" s="917"/>
      <c r="K112" s="919"/>
      <c r="L112" s="900"/>
    </row>
    <row r="113" spans="1:14" ht="12.75" customHeight="1">
      <c r="A113" s="991">
        <v>55</v>
      </c>
      <c r="B113" s="1017" t="s">
        <v>1928</v>
      </c>
      <c r="C113" s="1018" t="s">
        <v>95</v>
      </c>
      <c r="D113" s="1019" t="s">
        <v>1929</v>
      </c>
      <c r="E113" s="1017" t="s">
        <v>252</v>
      </c>
      <c r="F113" s="971"/>
      <c r="G113" s="972"/>
      <c r="H113" s="999">
        <v>1657000</v>
      </c>
      <c r="I113" s="999">
        <f>H113</f>
        <v>1657000</v>
      </c>
      <c r="J113" s="1000"/>
      <c r="K113" s="1001">
        <v>1657000</v>
      </c>
      <c r="L113" s="1002">
        <f>K113-I113</f>
        <v>0</v>
      </c>
    </row>
    <row r="114" spans="1:14" ht="12.75" customHeight="1">
      <c r="A114" s="992"/>
      <c r="B114" s="879"/>
      <c r="C114" s="914"/>
      <c r="D114" s="660"/>
      <c r="E114" s="879"/>
      <c r="F114" s="655"/>
      <c r="G114" s="656"/>
      <c r="H114" s="916"/>
      <c r="I114" s="916"/>
      <c r="J114" s="949"/>
      <c r="K114" s="920"/>
      <c r="L114" s="951"/>
    </row>
    <row r="115" spans="1:14">
      <c r="A115" s="992">
        <v>56</v>
      </c>
      <c r="B115" s="955"/>
      <c r="C115" s="904"/>
      <c r="D115" s="658"/>
      <c r="E115" s="865"/>
      <c r="F115" s="653"/>
      <c r="G115" s="654"/>
      <c r="H115" s="905"/>
      <c r="I115" s="905">
        <f>H115</f>
        <v>0</v>
      </c>
      <c r="J115" s="909"/>
      <c r="K115" s="911"/>
      <c r="L115" s="946">
        <f>K115-I115</f>
        <v>0</v>
      </c>
    </row>
    <row r="116" spans="1:14" ht="13.5" thickBot="1">
      <c r="A116" s="992"/>
      <c r="B116" s="962"/>
      <c r="C116" s="938"/>
      <c r="D116" s="939"/>
      <c r="E116" s="937"/>
      <c r="F116" s="964"/>
      <c r="G116" s="965"/>
      <c r="H116" s="942"/>
      <c r="I116" s="943"/>
      <c r="J116" s="944"/>
      <c r="K116" s="945"/>
      <c r="L116" s="947"/>
    </row>
    <row r="117" spans="1:14">
      <c r="A117" s="991">
        <v>57</v>
      </c>
      <c r="B117" s="879" t="s">
        <v>1955</v>
      </c>
      <c r="C117" s="914" t="s">
        <v>1948</v>
      </c>
      <c r="D117" s="660" t="s">
        <v>1947</v>
      </c>
      <c r="E117" s="879" t="s">
        <v>239</v>
      </c>
      <c r="F117" s="828"/>
      <c r="G117" s="829"/>
      <c r="H117" s="916">
        <v>12000000</v>
      </c>
      <c r="I117" s="916">
        <f>H117</f>
        <v>12000000</v>
      </c>
      <c r="J117" s="949"/>
      <c r="K117" s="920">
        <v>12000000</v>
      </c>
      <c r="L117" s="901">
        <f>K117-I117</f>
        <v>0</v>
      </c>
    </row>
    <row r="118" spans="1:14">
      <c r="A118" s="992"/>
      <c r="B118" s="865"/>
      <c r="C118" s="904"/>
      <c r="D118" s="658"/>
      <c r="E118" s="865"/>
      <c r="F118" s="655"/>
      <c r="G118" s="656"/>
      <c r="H118" s="905"/>
      <c r="I118" s="906"/>
      <c r="J118" s="910"/>
      <c r="K118" s="911"/>
      <c r="L118" s="903"/>
      <c r="N118">
        <v>4350000</v>
      </c>
    </row>
    <row r="119" spans="1:14">
      <c r="A119" s="992">
        <v>58</v>
      </c>
      <c r="B119" s="955"/>
      <c r="C119" s="904" t="s">
        <v>141</v>
      </c>
      <c r="D119" s="658" t="s">
        <v>1954</v>
      </c>
      <c r="E119" s="865" t="s">
        <v>1956</v>
      </c>
      <c r="F119" s="653"/>
      <c r="G119" s="654"/>
      <c r="H119" s="905">
        <v>6500000</v>
      </c>
      <c r="I119" s="905">
        <f>H119</f>
        <v>6500000</v>
      </c>
      <c r="J119" s="909"/>
      <c r="K119" s="911">
        <v>6500000</v>
      </c>
      <c r="L119" s="903">
        <f>K119-I119</f>
        <v>0</v>
      </c>
    </row>
    <row r="120" spans="1:14" ht="13.5" thickBot="1">
      <c r="A120" s="992"/>
      <c r="B120" s="955"/>
      <c r="C120" s="904"/>
      <c r="D120" s="658"/>
      <c r="E120" s="865"/>
      <c r="F120" s="655"/>
      <c r="G120" s="656"/>
      <c r="H120" s="905"/>
      <c r="I120" s="906"/>
      <c r="J120" s="910"/>
      <c r="K120" s="911"/>
      <c r="L120" s="903"/>
    </row>
    <row r="121" spans="1:14">
      <c r="A121" s="991">
        <v>59</v>
      </c>
      <c r="B121" s="955"/>
      <c r="C121" s="904" t="s">
        <v>144</v>
      </c>
      <c r="D121" s="658" t="s">
        <v>1954</v>
      </c>
      <c r="E121" s="865" t="s">
        <v>1957</v>
      </c>
      <c r="F121" s="653"/>
      <c r="G121" s="654"/>
      <c r="H121" s="905">
        <v>4500000</v>
      </c>
      <c r="I121" s="905">
        <f>H121</f>
        <v>4500000</v>
      </c>
      <c r="J121" s="909"/>
      <c r="K121" s="911">
        <v>4500000</v>
      </c>
      <c r="L121" s="903">
        <f>K121-I121</f>
        <v>0</v>
      </c>
    </row>
    <row r="122" spans="1:14" ht="13.5" thickBot="1">
      <c r="A122" s="992"/>
      <c r="B122" s="956"/>
      <c r="C122" s="913"/>
      <c r="D122" s="659"/>
      <c r="E122" s="878"/>
      <c r="F122" s="828"/>
      <c r="G122" s="829"/>
      <c r="H122" s="915"/>
      <c r="I122" s="982"/>
      <c r="J122" s="917"/>
      <c r="K122" s="919"/>
      <c r="L122" s="900"/>
    </row>
    <row r="123" spans="1:14">
      <c r="A123" s="992">
        <v>60</v>
      </c>
      <c r="B123" s="968" t="s">
        <v>1927</v>
      </c>
      <c r="C123" s="969" t="s">
        <v>1953</v>
      </c>
      <c r="D123" s="970" t="s">
        <v>1947</v>
      </c>
      <c r="E123" s="968" t="s">
        <v>1873</v>
      </c>
      <c r="F123" s="971"/>
      <c r="G123" s="972"/>
      <c r="H123" s="973">
        <v>11100000</v>
      </c>
      <c r="I123" s="973">
        <f>H123</f>
        <v>11100000</v>
      </c>
      <c r="J123" s="974"/>
      <c r="K123" s="966">
        <v>11100000</v>
      </c>
      <c r="L123" s="967">
        <f>K123-I123</f>
        <v>0</v>
      </c>
    </row>
    <row r="124" spans="1:14" ht="13.5" thickBot="1">
      <c r="A124" s="992"/>
      <c r="B124" s="865"/>
      <c r="C124" s="904"/>
      <c r="D124" s="658"/>
      <c r="E124" s="865"/>
      <c r="F124" s="655"/>
      <c r="G124" s="656"/>
      <c r="H124" s="905"/>
      <c r="I124" s="906"/>
      <c r="J124" s="910"/>
      <c r="K124" s="911"/>
      <c r="L124" s="946"/>
    </row>
    <row r="125" spans="1:14" ht="12.75" customHeight="1">
      <c r="A125" s="991">
        <v>61</v>
      </c>
      <c r="B125" s="955"/>
      <c r="C125" s="904" t="s">
        <v>145</v>
      </c>
      <c r="D125" s="674" t="s">
        <v>1944</v>
      </c>
      <c r="E125" s="865" t="s">
        <v>142</v>
      </c>
      <c r="F125" s="653"/>
      <c r="G125" s="654"/>
      <c r="H125" s="905">
        <v>900000</v>
      </c>
      <c r="I125" s="905">
        <f>H125</f>
        <v>900000</v>
      </c>
      <c r="J125" s="909"/>
      <c r="K125" s="911">
        <v>900000</v>
      </c>
      <c r="L125" s="946">
        <f>K125-I125</f>
        <v>0</v>
      </c>
    </row>
    <row r="126" spans="1:14" ht="12.75" customHeight="1">
      <c r="A126" s="992"/>
      <c r="B126" s="955"/>
      <c r="C126" s="904"/>
      <c r="D126" s="674"/>
      <c r="E126" s="865"/>
      <c r="F126" s="655"/>
      <c r="G126" s="656"/>
      <c r="H126" s="905"/>
      <c r="I126" s="906"/>
      <c r="J126" s="910"/>
      <c r="K126" s="911"/>
      <c r="L126" s="946"/>
    </row>
    <row r="127" spans="1:14">
      <c r="A127" s="992">
        <v>62</v>
      </c>
      <c r="B127" s="865"/>
      <c r="C127" s="904" t="s">
        <v>146</v>
      </c>
      <c r="D127" s="674" t="s">
        <v>1944</v>
      </c>
      <c r="E127" s="865" t="s">
        <v>40</v>
      </c>
      <c r="F127" s="653"/>
      <c r="G127" s="654"/>
      <c r="H127" s="905">
        <v>4800000</v>
      </c>
      <c r="I127" s="905">
        <f>H127</f>
        <v>4800000</v>
      </c>
      <c r="J127" s="909"/>
      <c r="K127" s="911">
        <v>4800000</v>
      </c>
      <c r="L127" s="946">
        <f>K127-I127</f>
        <v>0</v>
      </c>
    </row>
    <row r="128" spans="1:14" ht="13.5" thickBot="1">
      <c r="A128" s="992"/>
      <c r="B128" s="937"/>
      <c r="C128" s="938"/>
      <c r="D128" s="963"/>
      <c r="E128" s="937"/>
      <c r="F128" s="964"/>
      <c r="G128" s="965"/>
      <c r="H128" s="942"/>
      <c r="I128" s="943"/>
      <c r="J128" s="944"/>
      <c r="K128" s="945"/>
      <c r="L128" s="947"/>
    </row>
    <row r="129" spans="1:14">
      <c r="A129" s="991">
        <v>63</v>
      </c>
      <c r="B129" s="968" t="s">
        <v>1934</v>
      </c>
      <c r="C129" s="969" t="s">
        <v>140</v>
      </c>
      <c r="D129" s="970" t="s">
        <v>1935</v>
      </c>
      <c r="E129" s="968" t="s">
        <v>1110</v>
      </c>
      <c r="F129" s="971"/>
      <c r="G129" s="972"/>
      <c r="H129" s="973">
        <v>1383000</v>
      </c>
      <c r="I129" s="973">
        <f>H129</f>
        <v>1383000</v>
      </c>
      <c r="J129" s="974"/>
      <c r="K129" s="966">
        <v>1383000</v>
      </c>
      <c r="L129" s="967">
        <f>K129-I129</f>
        <v>0</v>
      </c>
    </row>
    <row r="130" spans="1:14">
      <c r="A130" s="992"/>
      <c r="B130" s="865"/>
      <c r="C130" s="904"/>
      <c r="D130" s="658"/>
      <c r="E130" s="865"/>
      <c r="F130" s="655"/>
      <c r="G130" s="656"/>
      <c r="H130" s="905"/>
      <c r="I130" s="906"/>
      <c r="J130" s="910"/>
      <c r="K130" s="911"/>
      <c r="L130" s="946"/>
    </row>
    <row r="131" spans="1:14">
      <c r="A131" s="992">
        <v>64</v>
      </c>
      <c r="B131" s="955"/>
      <c r="C131" s="904"/>
      <c r="D131" s="658"/>
      <c r="E131" s="865"/>
      <c r="F131" s="653"/>
      <c r="G131" s="654"/>
      <c r="H131" s="905"/>
      <c r="I131" s="905"/>
      <c r="J131" s="909"/>
      <c r="K131" s="911"/>
      <c r="L131" s="946"/>
      <c r="M131" t="s">
        <v>1832</v>
      </c>
    </row>
    <row r="132" spans="1:14" ht="13.5" thickBot="1">
      <c r="A132" s="992"/>
      <c r="B132" s="955"/>
      <c r="C132" s="904"/>
      <c r="D132" s="658"/>
      <c r="E132" s="865"/>
      <c r="F132" s="655"/>
      <c r="G132" s="656"/>
      <c r="H132" s="905"/>
      <c r="I132" s="906"/>
      <c r="J132" s="910"/>
      <c r="K132" s="911"/>
      <c r="L132" s="946"/>
    </row>
    <row r="133" spans="1:14" ht="21.75" customHeight="1" thickBot="1">
      <c r="A133" s="952" t="s">
        <v>1946</v>
      </c>
      <c r="B133" s="953"/>
      <c r="C133" s="953"/>
      <c r="D133" s="953"/>
      <c r="E133" s="953"/>
      <c r="F133" s="953"/>
      <c r="G133" s="953"/>
      <c r="H133" s="953"/>
      <c r="I133" s="953"/>
      <c r="J133" s="953"/>
      <c r="K133" s="953"/>
      <c r="L133" s="954"/>
      <c r="M133" s="5">
        <f>SUM(I125:I128,I134:I219,I221,I225,I229)</f>
        <v>262341000</v>
      </c>
      <c r="N133" s="533">
        <f>SUM(L134:L219,L125:L128,L221,L225,L229)</f>
        <v>0</v>
      </c>
    </row>
    <row r="134" spans="1:14" ht="12.75" customHeight="1">
      <c r="A134" s="991">
        <v>65</v>
      </c>
      <c r="B134" s="995" t="s">
        <v>218</v>
      </c>
      <c r="C134" s="996"/>
      <c r="D134" s="970" t="s">
        <v>1951</v>
      </c>
      <c r="E134" s="968" t="s">
        <v>1952</v>
      </c>
      <c r="F134" s="971"/>
      <c r="G134" s="972"/>
      <c r="H134" s="973">
        <v>5700000</v>
      </c>
      <c r="I134" s="973">
        <v>2200000</v>
      </c>
      <c r="J134" s="974"/>
      <c r="K134" s="973">
        <f>H134-I134</f>
        <v>3500000</v>
      </c>
      <c r="L134" s="967">
        <v>0</v>
      </c>
    </row>
    <row r="135" spans="1:14" ht="12.75" customHeight="1" thickBot="1">
      <c r="A135" s="994"/>
      <c r="B135" s="997"/>
      <c r="C135" s="998"/>
      <c r="D135" s="939"/>
      <c r="E135" s="937"/>
      <c r="F135" s="964"/>
      <c r="G135" s="965"/>
      <c r="H135" s="942"/>
      <c r="I135" s="943"/>
      <c r="J135" s="944"/>
      <c r="K135" s="945"/>
      <c r="L135" s="947"/>
    </row>
    <row r="136" spans="1:14">
      <c r="A136" s="991">
        <v>66</v>
      </c>
      <c r="B136" s="968" t="s">
        <v>1942</v>
      </c>
      <c r="C136" s="969" t="s">
        <v>1959</v>
      </c>
      <c r="D136" s="970" t="s">
        <v>1945</v>
      </c>
      <c r="E136" s="968" t="s">
        <v>20</v>
      </c>
      <c r="F136" s="971"/>
      <c r="G136" s="972"/>
      <c r="H136" s="973">
        <v>11100000</v>
      </c>
      <c r="I136" s="973">
        <f>H136</f>
        <v>11100000</v>
      </c>
      <c r="J136" s="974"/>
      <c r="K136" s="966">
        <v>11100000</v>
      </c>
      <c r="L136" s="967">
        <f>K136-I136</f>
        <v>0</v>
      </c>
    </row>
    <row r="137" spans="1:14">
      <c r="A137" s="992"/>
      <c r="B137" s="865"/>
      <c r="C137" s="904"/>
      <c r="D137" s="658"/>
      <c r="E137" s="865"/>
      <c r="F137" s="655"/>
      <c r="G137" s="656"/>
      <c r="H137" s="905"/>
      <c r="I137" s="906"/>
      <c r="J137" s="910"/>
      <c r="K137" s="911"/>
      <c r="L137" s="946"/>
    </row>
    <row r="138" spans="1:14">
      <c r="A138" s="992">
        <v>67</v>
      </c>
      <c r="B138" s="955"/>
      <c r="C138" s="904" t="s">
        <v>158</v>
      </c>
      <c r="D138" s="658" t="s">
        <v>1960</v>
      </c>
      <c r="E138" s="865" t="s">
        <v>1932</v>
      </c>
      <c r="F138" s="653"/>
      <c r="G138" s="654"/>
      <c r="H138" s="905">
        <v>2200000</v>
      </c>
      <c r="I138" s="905">
        <f>H138</f>
        <v>2200000</v>
      </c>
      <c r="J138" s="909"/>
      <c r="K138" s="911">
        <v>2200000</v>
      </c>
      <c r="L138" s="946">
        <f>K138-I138</f>
        <v>0</v>
      </c>
    </row>
    <row r="139" spans="1:14" ht="13.5" thickBot="1">
      <c r="A139" s="992"/>
      <c r="B139" s="955"/>
      <c r="C139" s="904"/>
      <c r="D139" s="658"/>
      <c r="E139" s="865"/>
      <c r="F139" s="655"/>
      <c r="G139" s="656"/>
      <c r="H139" s="905"/>
      <c r="I139" s="906"/>
      <c r="J139" s="910"/>
      <c r="K139" s="911"/>
      <c r="L139" s="946"/>
    </row>
    <row r="140" spans="1:14">
      <c r="A140" s="991">
        <v>68</v>
      </c>
      <c r="B140" s="955"/>
      <c r="C140" s="904" t="s">
        <v>159</v>
      </c>
      <c r="D140" s="658" t="s">
        <v>1960</v>
      </c>
      <c r="E140" s="865" t="s">
        <v>1961</v>
      </c>
      <c r="F140" s="653"/>
      <c r="G140" s="654"/>
      <c r="H140" s="905">
        <v>3300000</v>
      </c>
      <c r="I140" s="905">
        <f>H140</f>
        <v>3300000</v>
      </c>
      <c r="J140" s="909"/>
      <c r="K140" s="911">
        <v>3300000</v>
      </c>
      <c r="L140" s="946">
        <f>K140-I140</f>
        <v>0</v>
      </c>
    </row>
    <row r="141" spans="1:14" ht="13.5" thickBot="1">
      <c r="A141" s="994"/>
      <c r="B141" s="962"/>
      <c r="C141" s="938"/>
      <c r="D141" s="939"/>
      <c r="E141" s="937"/>
      <c r="F141" s="964"/>
      <c r="G141" s="965"/>
      <c r="H141" s="942"/>
      <c r="I141" s="943"/>
      <c r="J141" s="944"/>
      <c r="K141" s="945"/>
      <c r="L141" s="947"/>
    </row>
    <row r="142" spans="1:14">
      <c r="A142" s="991">
        <v>69</v>
      </c>
      <c r="B142" s="968" t="s">
        <v>1943</v>
      </c>
      <c r="C142" s="969" t="s">
        <v>1965</v>
      </c>
      <c r="D142" s="970" t="s">
        <v>1945</v>
      </c>
      <c r="E142" s="968" t="s">
        <v>239</v>
      </c>
      <c r="F142" s="971"/>
      <c r="G142" s="972"/>
      <c r="H142" s="973">
        <v>10700000</v>
      </c>
      <c r="I142" s="973">
        <f>H142</f>
        <v>10700000</v>
      </c>
      <c r="J142" s="974"/>
      <c r="K142" s="966">
        <v>10700000</v>
      </c>
      <c r="L142" s="967">
        <f>K142-I142</f>
        <v>0</v>
      </c>
    </row>
    <row r="143" spans="1:14">
      <c r="A143" s="992"/>
      <c r="B143" s="865"/>
      <c r="C143" s="904"/>
      <c r="D143" s="658"/>
      <c r="E143" s="865"/>
      <c r="F143" s="655"/>
      <c r="G143" s="656"/>
      <c r="H143" s="905"/>
      <c r="I143" s="906"/>
      <c r="J143" s="910"/>
      <c r="K143" s="911"/>
      <c r="L143" s="946"/>
    </row>
    <row r="144" spans="1:14">
      <c r="A144" s="992">
        <v>70</v>
      </c>
      <c r="B144" s="955"/>
      <c r="C144" s="904" t="s">
        <v>163</v>
      </c>
      <c r="D144" s="658" t="s">
        <v>1958</v>
      </c>
      <c r="E144" s="865" t="s">
        <v>142</v>
      </c>
      <c r="F144" s="653"/>
      <c r="G144" s="654"/>
      <c r="H144" s="905">
        <v>900000</v>
      </c>
      <c r="I144" s="905">
        <f>H144</f>
        <v>900000</v>
      </c>
      <c r="J144" s="909"/>
      <c r="K144" s="911">
        <v>900000</v>
      </c>
      <c r="L144" s="946">
        <f>K144-I144</f>
        <v>0</v>
      </c>
    </row>
    <row r="145" spans="1:12" ht="13.5" thickBot="1">
      <c r="A145" s="992"/>
      <c r="B145" s="955"/>
      <c r="C145" s="904"/>
      <c r="D145" s="658"/>
      <c r="E145" s="865"/>
      <c r="F145" s="655"/>
      <c r="G145" s="656"/>
      <c r="H145" s="905"/>
      <c r="I145" s="906"/>
      <c r="J145" s="910"/>
      <c r="K145" s="911"/>
      <c r="L145" s="946"/>
    </row>
    <row r="146" spans="1:12">
      <c r="A146" s="991">
        <v>71</v>
      </c>
      <c r="B146" s="865"/>
      <c r="C146" s="904" t="s">
        <v>23</v>
      </c>
      <c r="D146" s="658" t="s">
        <v>1958</v>
      </c>
      <c r="E146" s="865" t="s">
        <v>1669</v>
      </c>
      <c r="F146" s="653"/>
      <c r="G146" s="654"/>
      <c r="H146" s="905">
        <f>300*17000</f>
        <v>5100000</v>
      </c>
      <c r="I146" s="905">
        <f>H146</f>
        <v>5100000</v>
      </c>
      <c r="J146" s="909"/>
      <c r="K146" s="911">
        <v>5100000</v>
      </c>
      <c r="L146" s="946">
        <f>K146-I146</f>
        <v>0</v>
      </c>
    </row>
    <row r="147" spans="1:12" ht="13.5" thickBot="1">
      <c r="A147" s="994"/>
      <c r="B147" s="937"/>
      <c r="C147" s="938"/>
      <c r="D147" s="939"/>
      <c r="E147" s="865"/>
      <c r="F147" s="964"/>
      <c r="G147" s="965"/>
      <c r="H147" s="942"/>
      <c r="I147" s="943"/>
      <c r="J147" s="944"/>
      <c r="K147" s="945"/>
      <c r="L147" s="947"/>
    </row>
    <row r="148" spans="1:12">
      <c r="A148" s="991">
        <v>72</v>
      </c>
      <c r="B148" s="968" t="s">
        <v>1950</v>
      </c>
      <c r="C148" s="969" t="s">
        <v>1970</v>
      </c>
      <c r="D148" s="970" t="s">
        <v>1969</v>
      </c>
      <c r="E148" s="968" t="s">
        <v>20</v>
      </c>
      <c r="F148" s="971"/>
      <c r="G148" s="972"/>
      <c r="H148" s="973">
        <v>11100000</v>
      </c>
      <c r="I148" s="973">
        <f>H148</f>
        <v>11100000</v>
      </c>
      <c r="J148" s="974"/>
      <c r="K148" s="966">
        <v>11100000</v>
      </c>
      <c r="L148" s="967">
        <f>K148-I148</f>
        <v>0</v>
      </c>
    </row>
    <row r="149" spans="1:12">
      <c r="A149" s="992"/>
      <c r="B149" s="865"/>
      <c r="C149" s="904"/>
      <c r="D149" s="658"/>
      <c r="E149" s="865"/>
      <c r="F149" s="655"/>
      <c r="G149" s="656"/>
      <c r="H149" s="905"/>
      <c r="I149" s="906"/>
      <c r="J149" s="910"/>
      <c r="K149" s="911"/>
      <c r="L149" s="946"/>
    </row>
    <row r="150" spans="1:12">
      <c r="A150" s="992">
        <v>73</v>
      </c>
      <c r="B150" s="955"/>
      <c r="C150" s="904" t="s">
        <v>162</v>
      </c>
      <c r="D150" s="658" t="s">
        <v>1966</v>
      </c>
      <c r="E150" s="865" t="s">
        <v>1971</v>
      </c>
      <c r="F150" s="653"/>
      <c r="G150" s="654"/>
      <c r="H150" s="905">
        <v>5500000</v>
      </c>
      <c r="I150" s="905">
        <f>H150</f>
        <v>5500000</v>
      </c>
      <c r="J150" s="909"/>
      <c r="K150" s="911">
        <v>5500000</v>
      </c>
      <c r="L150" s="946">
        <f>K150-I150</f>
        <v>0</v>
      </c>
    </row>
    <row r="151" spans="1:12" ht="13.5" thickBot="1">
      <c r="A151" s="992"/>
      <c r="B151" s="962"/>
      <c r="C151" s="938"/>
      <c r="D151" s="939"/>
      <c r="E151" s="937"/>
      <c r="F151" s="964"/>
      <c r="G151" s="965"/>
      <c r="H151" s="942"/>
      <c r="I151" s="943"/>
      <c r="J151" s="944"/>
      <c r="K151" s="945"/>
      <c r="L151" s="947"/>
    </row>
    <row r="152" spans="1:12">
      <c r="A152" s="991">
        <v>74</v>
      </c>
      <c r="B152" s="968" t="s">
        <v>1949</v>
      </c>
      <c r="C152" s="969" t="s">
        <v>1980</v>
      </c>
      <c r="D152" s="970" t="s">
        <v>1979</v>
      </c>
      <c r="E152" s="968" t="s">
        <v>239</v>
      </c>
      <c r="F152" s="971"/>
      <c r="G152" s="972"/>
      <c r="H152" s="973">
        <v>10700000</v>
      </c>
      <c r="I152" s="973">
        <f>H152</f>
        <v>10700000</v>
      </c>
      <c r="J152" s="974"/>
      <c r="K152" s="966">
        <v>10700000</v>
      </c>
      <c r="L152" s="967">
        <f>K152-I152</f>
        <v>0</v>
      </c>
    </row>
    <row r="153" spans="1:12" ht="13.5" thickBot="1">
      <c r="A153" s="994"/>
      <c r="B153" s="865"/>
      <c r="C153" s="904"/>
      <c r="D153" s="658"/>
      <c r="E153" s="865"/>
      <c r="F153" s="655"/>
      <c r="G153" s="656"/>
      <c r="H153" s="905"/>
      <c r="I153" s="906"/>
      <c r="J153" s="910"/>
      <c r="K153" s="911"/>
      <c r="L153" s="946"/>
    </row>
    <row r="154" spans="1:12">
      <c r="A154" s="991">
        <v>75</v>
      </c>
      <c r="B154" s="955"/>
      <c r="C154" s="904" t="s">
        <v>166</v>
      </c>
      <c r="D154" s="658" t="s">
        <v>1968</v>
      </c>
      <c r="E154" s="1003" t="s">
        <v>2070</v>
      </c>
      <c r="F154" s="653" t="s">
        <v>2139</v>
      </c>
      <c r="G154" s="654"/>
      <c r="H154" s="905">
        <f>600*15500</f>
        <v>9300000</v>
      </c>
      <c r="I154" s="905">
        <f>H154</f>
        <v>9300000</v>
      </c>
      <c r="J154" s="909"/>
      <c r="K154" s="911">
        <v>9300000</v>
      </c>
      <c r="L154" s="946">
        <f>K154-I154</f>
        <v>0</v>
      </c>
    </row>
    <row r="155" spans="1:12" ht="13.5" thickBot="1">
      <c r="A155" s="992"/>
      <c r="B155" s="962"/>
      <c r="C155" s="938"/>
      <c r="D155" s="939"/>
      <c r="E155" s="1004"/>
      <c r="F155" s="964"/>
      <c r="G155" s="965"/>
      <c r="H155" s="942"/>
      <c r="I155" s="943"/>
      <c r="J155" s="944"/>
      <c r="K155" s="945"/>
      <c r="L155" s="947"/>
    </row>
    <row r="156" spans="1:12">
      <c r="A156" s="992">
        <v>76</v>
      </c>
      <c r="B156" s="879" t="s">
        <v>1962</v>
      </c>
      <c r="C156" s="914" t="s">
        <v>1981</v>
      </c>
      <c r="D156" s="660" t="s">
        <v>1967</v>
      </c>
      <c r="E156" s="879" t="s">
        <v>1873</v>
      </c>
      <c r="F156" s="828"/>
      <c r="G156" s="829"/>
      <c r="H156" s="916">
        <v>10700000</v>
      </c>
      <c r="I156" s="916">
        <f>H156</f>
        <v>10700000</v>
      </c>
      <c r="J156" s="949"/>
      <c r="K156" s="920">
        <v>10700000</v>
      </c>
      <c r="L156" s="901">
        <f>K156-I156</f>
        <v>0</v>
      </c>
    </row>
    <row r="157" spans="1:12" ht="13.5" thickBot="1">
      <c r="A157" s="992"/>
      <c r="B157" s="865"/>
      <c r="C157" s="904"/>
      <c r="D157" s="658"/>
      <c r="E157" s="865"/>
      <c r="F157" s="655"/>
      <c r="G157" s="656"/>
      <c r="H157" s="905"/>
      <c r="I157" s="906"/>
      <c r="J157" s="910"/>
      <c r="K157" s="911"/>
      <c r="L157" s="903"/>
    </row>
    <row r="158" spans="1:12">
      <c r="A158" s="991">
        <v>77</v>
      </c>
      <c r="B158" s="955"/>
      <c r="C158" s="904" t="s">
        <v>183</v>
      </c>
      <c r="D158" s="658" t="s">
        <v>1972</v>
      </c>
      <c r="E158" s="865" t="s">
        <v>1986</v>
      </c>
      <c r="F158" s="653"/>
      <c r="G158" s="654"/>
      <c r="H158" s="905">
        <v>4500000</v>
      </c>
      <c r="I158" s="905">
        <f>H158</f>
        <v>4500000</v>
      </c>
      <c r="J158" s="909"/>
      <c r="K158" s="911">
        <v>4500000</v>
      </c>
      <c r="L158" s="903">
        <f>K158-I158</f>
        <v>0</v>
      </c>
    </row>
    <row r="159" spans="1:12" ht="13.5" thickBot="1">
      <c r="A159" s="994"/>
      <c r="B159" s="956"/>
      <c r="C159" s="913"/>
      <c r="D159" s="659"/>
      <c r="E159" s="878"/>
      <c r="F159" s="828"/>
      <c r="G159" s="829"/>
      <c r="H159" s="915"/>
      <c r="I159" s="982"/>
      <c r="J159" s="917"/>
      <c r="K159" s="919"/>
      <c r="L159" s="900"/>
    </row>
    <row r="160" spans="1:12">
      <c r="A160" s="991">
        <v>78</v>
      </c>
      <c r="B160" s="968" t="s">
        <v>1963</v>
      </c>
      <c r="C160" s="969" t="s">
        <v>164</v>
      </c>
      <c r="D160" s="970" t="s">
        <v>1967</v>
      </c>
      <c r="E160" s="968" t="s">
        <v>8</v>
      </c>
      <c r="F160" s="971"/>
      <c r="G160" s="972"/>
      <c r="H160" s="973">
        <v>1317000</v>
      </c>
      <c r="I160" s="973">
        <f>H160</f>
        <v>1317000</v>
      </c>
      <c r="J160" s="974"/>
      <c r="K160" s="966">
        <v>1317000</v>
      </c>
      <c r="L160" s="967">
        <f>K160-I160</f>
        <v>0</v>
      </c>
    </row>
    <row r="161" spans="1:12">
      <c r="A161" s="992"/>
      <c r="B161" s="865"/>
      <c r="C161" s="904"/>
      <c r="D161" s="658"/>
      <c r="E161" s="865"/>
      <c r="F161" s="655"/>
      <c r="G161" s="656"/>
      <c r="H161" s="905"/>
      <c r="I161" s="906"/>
      <c r="J161" s="910"/>
      <c r="K161" s="911"/>
      <c r="L161" s="946"/>
    </row>
    <row r="162" spans="1:12">
      <c r="A162" s="992">
        <v>79</v>
      </c>
      <c r="B162" s="955"/>
      <c r="C162" s="904"/>
      <c r="D162" s="658"/>
      <c r="E162" s="865"/>
      <c r="F162" s="653"/>
      <c r="G162" s="654"/>
      <c r="H162" s="905"/>
      <c r="I162" s="905"/>
      <c r="J162" s="909"/>
      <c r="K162" s="911"/>
      <c r="L162" s="946"/>
    </row>
    <row r="163" spans="1:12" ht="13.5" thickBot="1">
      <c r="A163" s="992"/>
      <c r="B163" s="962"/>
      <c r="C163" s="938"/>
      <c r="D163" s="939"/>
      <c r="E163" s="937"/>
      <c r="F163" s="964"/>
      <c r="G163" s="965"/>
      <c r="H163" s="942"/>
      <c r="I163" s="943"/>
      <c r="J163" s="944"/>
      <c r="K163" s="945"/>
      <c r="L163" s="947"/>
    </row>
    <row r="164" spans="1:12">
      <c r="A164" s="991">
        <v>80</v>
      </c>
      <c r="B164" s="975" t="s">
        <v>1964</v>
      </c>
      <c r="C164" s="969" t="s">
        <v>1982</v>
      </c>
      <c r="D164" s="970" t="s">
        <v>1967</v>
      </c>
      <c r="E164" s="968" t="s">
        <v>1873</v>
      </c>
      <c r="F164" s="971"/>
      <c r="G164" s="972"/>
      <c r="H164" s="973">
        <v>10700000</v>
      </c>
      <c r="I164" s="973">
        <f>H164</f>
        <v>10700000</v>
      </c>
      <c r="J164" s="974"/>
      <c r="K164" s="966">
        <v>10700000</v>
      </c>
      <c r="L164" s="967">
        <f>K164-I164</f>
        <v>0</v>
      </c>
    </row>
    <row r="165" spans="1:12" ht="13.5" thickBot="1">
      <c r="A165" s="994"/>
      <c r="B165" s="976"/>
      <c r="C165" s="904"/>
      <c r="D165" s="658"/>
      <c r="E165" s="865"/>
      <c r="F165" s="655"/>
      <c r="G165" s="656"/>
      <c r="H165" s="905"/>
      <c r="I165" s="906"/>
      <c r="J165" s="910"/>
      <c r="K165" s="911"/>
      <c r="L165" s="946"/>
    </row>
    <row r="166" spans="1:12">
      <c r="A166" s="991">
        <v>81</v>
      </c>
      <c r="B166" s="980"/>
      <c r="C166" s="904" t="s">
        <v>165</v>
      </c>
      <c r="D166" s="658" t="s">
        <v>1972</v>
      </c>
      <c r="E166" s="865" t="s">
        <v>1140</v>
      </c>
      <c r="F166" s="653"/>
      <c r="G166" s="654"/>
      <c r="H166" s="905">
        <v>5000000</v>
      </c>
      <c r="I166" s="905">
        <f>H166</f>
        <v>5000000</v>
      </c>
      <c r="J166" s="909"/>
      <c r="K166" s="911">
        <v>5000000</v>
      </c>
      <c r="L166" s="946">
        <f>K166-I166</f>
        <v>0</v>
      </c>
    </row>
    <row r="167" spans="1:12">
      <c r="A167" s="992"/>
      <c r="B167" s="980"/>
      <c r="C167" s="904"/>
      <c r="D167" s="658"/>
      <c r="E167" s="865"/>
      <c r="F167" s="655"/>
      <c r="G167" s="656"/>
      <c r="H167" s="905"/>
      <c r="I167" s="906"/>
      <c r="J167" s="910"/>
      <c r="K167" s="911"/>
      <c r="L167" s="946"/>
    </row>
    <row r="168" spans="1:12">
      <c r="A168" s="992">
        <v>82</v>
      </c>
      <c r="B168" s="980"/>
      <c r="C168" s="904" t="s">
        <v>166</v>
      </c>
      <c r="D168" s="658" t="s">
        <v>1972</v>
      </c>
      <c r="E168" s="865" t="s">
        <v>117</v>
      </c>
      <c r="F168" s="653"/>
      <c r="G168" s="654"/>
      <c r="H168" s="905">
        <v>900000</v>
      </c>
      <c r="I168" s="905">
        <f>H168</f>
        <v>900000</v>
      </c>
      <c r="J168" s="909"/>
      <c r="K168" s="911">
        <v>900000</v>
      </c>
      <c r="L168" s="946">
        <f>K168-I168</f>
        <v>0</v>
      </c>
    </row>
    <row r="169" spans="1:12" ht="13.5" thickBot="1">
      <c r="A169" s="992"/>
      <c r="B169" s="981"/>
      <c r="C169" s="913"/>
      <c r="D169" s="659"/>
      <c r="E169" s="878"/>
      <c r="F169" s="828"/>
      <c r="G169" s="829"/>
      <c r="H169" s="915"/>
      <c r="I169" s="982"/>
      <c r="J169" s="917"/>
      <c r="K169" s="919"/>
      <c r="L169" s="950"/>
    </row>
    <row r="170" spans="1:12">
      <c r="A170" s="991">
        <v>83</v>
      </c>
      <c r="B170" s="968" t="s">
        <v>1987</v>
      </c>
      <c r="C170" s="969" t="s">
        <v>1988</v>
      </c>
      <c r="D170" s="970" t="s">
        <v>1972</v>
      </c>
      <c r="E170" s="968" t="s">
        <v>20</v>
      </c>
      <c r="F170" s="971"/>
      <c r="G170" s="972"/>
      <c r="H170" s="973">
        <v>10700000</v>
      </c>
      <c r="I170" s="973">
        <f>H170</f>
        <v>10700000</v>
      </c>
      <c r="J170" s="974"/>
      <c r="K170" s="966">
        <v>10700000</v>
      </c>
      <c r="L170" s="967">
        <f>K170-I170</f>
        <v>0</v>
      </c>
    </row>
    <row r="171" spans="1:12" ht="13.5" thickBot="1">
      <c r="A171" s="994"/>
      <c r="B171" s="865"/>
      <c r="C171" s="904"/>
      <c r="D171" s="658"/>
      <c r="E171" s="865"/>
      <c r="F171" s="655"/>
      <c r="G171" s="656"/>
      <c r="H171" s="905"/>
      <c r="I171" s="906"/>
      <c r="J171" s="910"/>
      <c r="K171" s="911"/>
      <c r="L171" s="946"/>
    </row>
    <row r="172" spans="1:12">
      <c r="A172" s="991">
        <v>84</v>
      </c>
      <c r="B172" s="955"/>
      <c r="C172" s="904" t="s">
        <v>188</v>
      </c>
      <c r="D172" s="658" t="s">
        <v>1985</v>
      </c>
      <c r="E172" s="865" t="s">
        <v>138</v>
      </c>
      <c r="F172" s="653"/>
      <c r="G172" s="654"/>
      <c r="H172" s="905">
        <v>5500000</v>
      </c>
      <c r="I172" s="905">
        <f>H172</f>
        <v>5500000</v>
      </c>
      <c r="J172" s="909"/>
      <c r="K172" s="911">
        <v>5500000</v>
      </c>
      <c r="L172" s="946">
        <f>K172-I172</f>
        <v>0</v>
      </c>
    </row>
    <row r="173" spans="1:12" ht="13.5" thickBot="1">
      <c r="A173" s="992"/>
      <c r="B173" s="962"/>
      <c r="C173" s="938"/>
      <c r="D173" s="939"/>
      <c r="E173" s="937"/>
      <c r="F173" s="964"/>
      <c r="G173" s="965"/>
      <c r="H173" s="942"/>
      <c r="I173" s="943"/>
      <c r="J173" s="944"/>
      <c r="K173" s="945"/>
      <c r="L173" s="947"/>
    </row>
    <row r="174" spans="1:12">
      <c r="A174" s="992">
        <v>85</v>
      </c>
      <c r="B174" s="968" t="s">
        <v>1973</v>
      </c>
      <c r="C174" s="969" t="s">
        <v>1990</v>
      </c>
      <c r="D174" s="970" t="s">
        <v>1989</v>
      </c>
      <c r="E174" s="968" t="s">
        <v>20</v>
      </c>
      <c r="F174" s="971"/>
      <c r="G174" s="972"/>
      <c r="H174" s="973">
        <v>10700000</v>
      </c>
      <c r="I174" s="973">
        <f>H174</f>
        <v>10700000</v>
      </c>
      <c r="J174" s="974"/>
      <c r="K174" s="966">
        <v>10700000</v>
      </c>
      <c r="L174" s="967">
        <f>K174-I174</f>
        <v>0</v>
      </c>
    </row>
    <row r="175" spans="1:12" ht="13.5" thickBot="1">
      <c r="A175" s="992"/>
      <c r="B175" s="865"/>
      <c r="C175" s="904"/>
      <c r="D175" s="658"/>
      <c r="E175" s="865"/>
      <c r="F175" s="655"/>
      <c r="G175" s="656"/>
      <c r="H175" s="905"/>
      <c r="I175" s="906"/>
      <c r="J175" s="910"/>
      <c r="K175" s="911"/>
      <c r="L175" s="946"/>
    </row>
    <row r="176" spans="1:12">
      <c r="A176" s="991">
        <v>86</v>
      </c>
      <c r="B176" s="955"/>
      <c r="C176" s="904" t="s">
        <v>190</v>
      </c>
      <c r="D176" s="658" t="s">
        <v>1985</v>
      </c>
      <c r="E176" s="865" t="s">
        <v>1830</v>
      </c>
      <c r="F176" s="653"/>
      <c r="G176" s="654"/>
      <c r="H176" s="905">
        <v>750000</v>
      </c>
      <c r="I176" s="905">
        <f>H176</f>
        <v>750000</v>
      </c>
      <c r="J176" s="909"/>
      <c r="K176" s="911">
        <v>750000</v>
      </c>
      <c r="L176" s="946">
        <f>K176-I176</f>
        <v>0</v>
      </c>
    </row>
    <row r="177" spans="1:12" ht="13.5" thickBot="1">
      <c r="A177" s="994"/>
      <c r="B177" s="955"/>
      <c r="C177" s="904"/>
      <c r="D177" s="658"/>
      <c r="E177" s="865"/>
      <c r="F177" s="655"/>
      <c r="G177" s="656"/>
      <c r="H177" s="905"/>
      <c r="I177" s="906"/>
      <c r="J177" s="910"/>
      <c r="K177" s="911"/>
      <c r="L177" s="946"/>
    </row>
    <row r="178" spans="1:12">
      <c r="A178" s="991">
        <v>87</v>
      </c>
      <c r="B178" s="955"/>
      <c r="C178" s="904" t="s">
        <v>192</v>
      </c>
      <c r="D178" s="658" t="s">
        <v>1985</v>
      </c>
      <c r="E178" s="865" t="s">
        <v>1961</v>
      </c>
      <c r="F178" s="653"/>
      <c r="G178" s="654"/>
      <c r="H178" s="905">
        <v>3100000</v>
      </c>
      <c r="I178" s="905">
        <f>H178</f>
        <v>3100000</v>
      </c>
      <c r="J178" s="909"/>
      <c r="K178" s="911">
        <v>3100000</v>
      </c>
      <c r="L178" s="946">
        <f>K178-I178</f>
        <v>0</v>
      </c>
    </row>
    <row r="179" spans="1:12">
      <c r="A179" s="992"/>
      <c r="B179" s="955"/>
      <c r="C179" s="904"/>
      <c r="D179" s="658"/>
      <c r="E179" s="865"/>
      <c r="F179" s="655"/>
      <c r="G179" s="656"/>
      <c r="H179" s="905"/>
      <c r="I179" s="906"/>
      <c r="J179" s="910"/>
      <c r="K179" s="911"/>
      <c r="L179" s="946"/>
    </row>
    <row r="180" spans="1:12">
      <c r="A180" s="992">
        <v>88</v>
      </c>
      <c r="B180" s="955"/>
      <c r="C180" s="904" t="s">
        <v>194</v>
      </c>
      <c r="D180" s="658" t="s">
        <v>1985</v>
      </c>
      <c r="E180" s="865" t="s">
        <v>1436</v>
      </c>
      <c r="F180" s="653"/>
      <c r="G180" s="654"/>
      <c r="H180" s="905">
        <v>4000000</v>
      </c>
      <c r="I180" s="905">
        <f>H180</f>
        <v>4000000</v>
      </c>
      <c r="J180" s="909"/>
      <c r="K180" s="911">
        <v>4000000</v>
      </c>
      <c r="L180" s="946">
        <f>K180-I180</f>
        <v>0</v>
      </c>
    </row>
    <row r="181" spans="1:12" ht="13.5" thickBot="1">
      <c r="A181" s="992"/>
      <c r="B181" s="955"/>
      <c r="C181" s="904"/>
      <c r="D181" s="658"/>
      <c r="E181" s="865"/>
      <c r="F181" s="655"/>
      <c r="G181" s="656"/>
      <c r="H181" s="905"/>
      <c r="I181" s="906"/>
      <c r="J181" s="910"/>
      <c r="K181" s="911"/>
      <c r="L181" s="946"/>
    </row>
    <row r="182" spans="1:12">
      <c r="A182" s="991">
        <v>89</v>
      </c>
      <c r="B182" s="957"/>
      <c r="C182" s="914" t="s">
        <v>201</v>
      </c>
      <c r="D182" s="660" t="s">
        <v>1985</v>
      </c>
      <c r="E182" s="879" t="s">
        <v>630</v>
      </c>
      <c r="F182" s="828" t="s">
        <v>1438</v>
      </c>
      <c r="G182" s="829"/>
      <c r="H182" s="916">
        <f>130*17000</f>
        <v>2210000</v>
      </c>
      <c r="I182" s="916">
        <f>H182</f>
        <v>2210000</v>
      </c>
      <c r="J182" s="949"/>
      <c r="K182" s="920">
        <v>2210000</v>
      </c>
      <c r="L182" s="951">
        <f>K182-I182</f>
        <v>0</v>
      </c>
    </row>
    <row r="183" spans="1:12" ht="13.5" thickBot="1">
      <c r="A183" s="994"/>
      <c r="B183" s="962"/>
      <c r="C183" s="938"/>
      <c r="D183" s="939"/>
      <c r="E183" s="937"/>
      <c r="F183" s="964"/>
      <c r="G183" s="965"/>
      <c r="H183" s="942"/>
      <c r="I183" s="943"/>
      <c r="J183" s="944"/>
      <c r="K183" s="945"/>
      <c r="L183" s="947"/>
    </row>
    <row r="184" spans="1:12">
      <c r="A184" s="991">
        <v>90</v>
      </c>
      <c r="B184" s="968" t="s">
        <v>1983</v>
      </c>
      <c r="C184" s="969" t="s">
        <v>184</v>
      </c>
      <c r="D184" s="970" t="s">
        <v>1984</v>
      </c>
      <c r="E184" s="968" t="s">
        <v>1976</v>
      </c>
      <c r="F184" s="971" t="s">
        <v>1977</v>
      </c>
      <c r="G184" s="972"/>
      <c r="H184" s="973">
        <v>1108000</v>
      </c>
      <c r="I184" s="973">
        <f>H184</f>
        <v>1108000</v>
      </c>
      <c r="J184" s="974"/>
      <c r="K184" s="966">
        <v>1108000</v>
      </c>
      <c r="L184" s="967">
        <f>K184-I184</f>
        <v>0</v>
      </c>
    </row>
    <row r="185" spans="1:12">
      <c r="A185" s="992"/>
      <c r="B185" s="865"/>
      <c r="C185" s="904"/>
      <c r="D185" s="658"/>
      <c r="E185" s="865"/>
      <c r="F185" s="655"/>
      <c r="G185" s="656"/>
      <c r="H185" s="905"/>
      <c r="I185" s="906"/>
      <c r="J185" s="910"/>
      <c r="K185" s="911"/>
      <c r="L185" s="946"/>
    </row>
    <row r="186" spans="1:12">
      <c r="A186" s="992">
        <v>91</v>
      </c>
      <c r="B186" s="955"/>
      <c r="C186" s="904"/>
      <c r="D186" s="658"/>
      <c r="E186" s="865"/>
      <c r="F186" s="653"/>
      <c r="G186" s="654"/>
      <c r="H186" s="905"/>
      <c r="I186" s="905">
        <f>H186</f>
        <v>0</v>
      </c>
      <c r="J186" s="909"/>
      <c r="K186" s="911"/>
      <c r="L186" s="946">
        <f>K186-I186</f>
        <v>0</v>
      </c>
    </row>
    <row r="187" spans="1:12" ht="13.5" thickBot="1">
      <c r="A187" s="992"/>
      <c r="B187" s="962"/>
      <c r="C187" s="938"/>
      <c r="D187" s="939"/>
      <c r="E187" s="937"/>
      <c r="F187" s="964"/>
      <c r="G187" s="965"/>
      <c r="H187" s="942"/>
      <c r="I187" s="943"/>
      <c r="J187" s="944"/>
      <c r="K187" s="945"/>
      <c r="L187" s="947"/>
    </row>
    <row r="188" spans="1:12">
      <c r="A188" s="991">
        <v>92</v>
      </c>
      <c r="B188" s="968" t="s">
        <v>1974</v>
      </c>
      <c r="C188" s="969" t="s">
        <v>1996</v>
      </c>
      <c r="D188" s="970" t="s">
        <v>1985</v>
      </c>
      <c r="E188" s="968" t="s">
        <v>239</v>
      </c>
      <c r="F188" s="971"/>
      <c r="G188" s="972"/>
      <c r="H188" s="973">
        <f>10700000+400000+400000</f>
        <v>11500000</v>
      </c>
      <c r="I188" s="973">
        <f>H188</f>
        <v>11500000</v>
      </c>
      <c r="J188" s="974"/>
      <c r="K188" s="966">
        <v>11500000</v>
      </c>
      <c r="L188" s="967">
        <f>K188-I188</f>
        <v>0</v>
      </c>
    </row>
    <row r="189" spans="1:12" ht="13.5" thickBot="1">
      <c r="A189" s="994"/>
      <c r="B189" s="865"/>
      <c r="C189" s="904"/>
      <c r="D189" s="658"/>
      <c r="E189" s="865"/>
      <c r="F189" s="655"/>
      <c r="G189" s="656"/>
      <c r="H189" s="905"/>
      <c r="I189" s="906"/>
      <c r="J189" s="910"/>
      <c r="K189" s="911"/>
      <c r="L189" s="946"/>
    </row>
    <row r="190" spans="1:12">
      <c r="A190" s="991">
        <v>93</v>
      </c>
      <c r="B190" s="955"/>
      <c r="C190" s="904" t="s">
        <v>214</v>
      </c>
      <c r="D190" s="658" t="s">
        <v>1992</v>
      </c>
      <c r="E190" s="865" t="s">
        <v>874</v>
      </c>
      <c r="F190" s="653"/>
      <c r="G190" s="654"/>
      <c r="H190" s="905">
        <f>30*16000</f>
        <v>480000</v>
      </c>
      <c r="I190" s="905">
        <f>H190</f>
        <v>480000</v>
      </c>
      <c r="J190" s="909"/>
      <c r="K190" s="911">
        <v>480000</v>
      </c>
      <c r="L190" s="946">
        <f>K190-I190</f>
        <v>0</v>
      </c>
    </row>
    <row r="191" spans="1:12">
      <c r="A191" s="992"/>
      <c r="B191" s="955"/>
      <c r="C191" s="904"/>
      <c r="D191" s="658"/>
      <c r="E191" s="865"/>
      <c r="F191" s="655"/>
      <c r="G191" s="656"/>
      <c r="H191" s="905"/>
      <c r="I191" s="906"/>
      <c r="J191" s="910"/>
      <c r="K191" s="911"/>
      <c r="L191" s="946"/>
    </row>
    <row r="192" spans="1:12">
      <c r="A192" s="992">
        <v>94</v>
      </c>
      <c r="B192" s="955"/>
      <c r="C192" s="904" t="s">
        <v>215</v>
      </c>
      <c r="D192" s="658" t="s">
        <v>1992</v>
      </c>
      <c r="E192" s="865" t="s">
        <v>1978</v>
      </c>
      <c r="F192" s="653"/>
      <c r="G192" s="654"/>
      <c r="H192" s="905">
        <f>70*16000</f>
        <v>1120000</v>
      </c>
      <c r="I192" s="905">
        <f>H192</f>
        <v>1120000</v>
      </c>
      <c r="J192" s="909"/>
      <c r="K192" s="911">
        <v>1120000</v>
      </c>
      <c r="L192" s="946">
        <f>K192-I192</f>
        <v>0</v>
      </c>
    </row>
    <row r="193" spans="1:13" ht="13.5" thickBot="1">
      <c r="A193" s="992"/>
      <c r="B193" s="955"/>
      <c r="C193" s="904"/>
      <c r="D193" s="658"/>
      <c r="E193" s="865"/>
      <c r="F193" s="655"/>
      <c r="G193" s="656"/>
      <c r="H193" s="905"/>
      <c r="I193" s="906"/>
      <c r="J193" s="910"/>
      <c r="K193" s="911"/>
      <c r="L193" s="946"/>
    </row>
    <row r="194" spans="1:13">
      <c r="A194" s="991">
        <v>95</v>
      </c>
      <c r="B194" s="955"/>
      <c r="C194" s="904" t="s">
        <v>221</v>
      </c>
      <c r="D194" s="658" t="s">
        <v>1992</v>
      </c>
      <c r="E194" s="865" t="s">
        <v>1457</v>
      </c>
      <c r="F194" s="653"/>
      <c r="G194" s="654"/>
      <c r="H194" s="905">
        <v>2000000</v>
      </c>
      <c r="I194" s="905">
        <f>H194</f>
        <v>2000000</v>
      </c>
      <c r="J194" s="909"/>
      <c r="K194" s="911">
        <v>2000000</v>
      </c>
      <c r="L194" s="946">
        <f>K194-I194</f>
        <v>0</v>
      </c>
    </row>
    <row r="195" spans="1:13" ht="13.5" thickBot="1">
      <c r="A195" s="994"/>
      <c r="B195" s="962"/>
      <c r="C195" s="938"/>
      <c r="D195" s="939"/>
      <c r="E195" s="937"/>
      <c r="F195" s="964"/>
      <c r="G195" s="965"/>
      <c r="H195" s="942"/>
      <c r="I195" s="943"/>
      <c r="J195" s="944"/>
      <c r="K195" s="945"/>
      <c r="L195" s="947"/>
    </row>
    <row r="196" spans="1:13">
      <c r="A196" s="991">
        <v>96</v>
      </c>
      <c r="B196" s="968" t="s">
        <v>1975</v>
      </c>
      <c r="C196" s="969" t="s">
        <v>1997</v>
      </c>
      <c r="D196" s="970" t="s">
        <v>1984</v>
      </c>
      <c r="E196" s="968" t="s">
        <v>239</v>
      </c>
      <c r="F196" s="971"/>
      <c r="G196" s="972"/>
      <c r="H196" s="973">
        <v>10700000</v>
      </c>
      <c r="I196" s="973">
        <f>H196</f>
        <v>10700000</v>
      </c>
      <c r="J196" s="974"/>
      <c r="K196" s="966">
        <v>10700000</v>
      </c>
      <c r="L196" s="967">
        <f>K196-I196</f>
        <v>0</v>
      </c>
      <c r="M196">
        <v>10</v>
      </c>
    </row>
    <row r="197" spans="1:13">
      <c r="A197" s="992"/>
      <c r="B197" s="865"/>
      <c r="C197" s="904"/>
      <c r="D197" s="658"/>
      <c r="E197" s="865"/>
      <c r="F197" s="655"/>
      <c r="G197" s="656"/>
      <c r="H197" s="905"/>
      <c r="I197" s="906"/>
      <c r="J197" s="910"/>
      <c r="K197" s="911"/>
      <c r="L197" s="946"/>
    </row>
    <row r="198" spans="1:13">
      <c r="A198" s="992">
        <v>97</v>
      </c>
      <c r="B198" s="955"/>
      <c r="C198" s="904" t="s">
        <v>202</v>
      </c>
      <c r="D198" s="658" t="s">
        <v>1992</v>
      </c>
      <c r="E198" s="865" t="s">
        <v>1140</v>
      </c>
      <c r="F198" s="653"/>
      <c r="G198" s="654"/>
      <c r="H198" s="905">
        <v>2500000</v>
      </c>
      <c r="I198" s="905">
        <f>H198</f>
        <v>2500000</v>
      </c>
      <c r="J198" s="909"/>
      <c r="K198" s="911">
        <v>2500000</v>
      </c>
      <c r="L198" s="946">
        <f>K198-I198</f>
        <v>0</v>
      </c>
    </row>
    <row r="199" spans="1:13" ht="13.5" thickBot="1">
      <c r="A199" s="992"/>
      <c r="B199" s="955"/>
      <c r="C199" s="904"/>
      <c r="D199" s="658"/>
      <c r="E199" s="865"/>
      <c r="F199" s="655"/>
      <c r="G199" s="656"/>
      <c r="H199" s="905"/>
      <c r="I199" s="906"/>
      <c r="J199" s="910"/>
      <c r="K199" s="911"/>
      <c r="L199" s="946"/>
      <c r="M199">
        <f>6000000/15000</f>
        <v>400</v>
      </c>
    </row>
    <row r="200" spans="1:13">
      <c r="A200" s="991">
        <v>98</v>
      </c>
      <c r="B200" s="955"/>
      <c r="C200" s="904" t="s">
        <v>212</v>
      </c>
      <c r="D200" s="658" t="s">
        <v>1992</v>
      </c>
      <c r="E200" s="865" t="s">
        <v>142</v>
      </c>
      <c r="F200" s="653"/>
      <c r="G200" s="654"/>
      <c r="H200" s="905">
        <v>900000</v>
      </c>
      <c r="I200" s="905">
        <f>H200</f>
        <v>900000</v>
      </c>
      <c r="J200" s="909"/>
      <c r="K200" s="911">
        <v>900000</v>
      </c>
      <c r="L200" s="903">
        <f>K200-I200</f>
        <v>0</v>
      </c>
    </row>
    <row r="201" spans="1:13" ht="13.5" thickBot="1">
      <c r="A201" s="994"/>
      <c r="B201" s="955"/>
      <c r="C201" s="904"/>
      <c r="D201" s="658"/>
      <c r="E201" s="865"/>
      <c r="F201" s="655"/>
      <c r="G201" s="656"/>
      <c r="H201" s="905"/>
      <c r="I201" s="906"/>
      <c r="J201" s="910"/>
      <c r="K201" s="911"/>
      <c r="L201" s="903"/>
    </row>
    <row r="202" spans="1:13">
      <c r="A202" s="991">
        <v>99</v>
      </c>
      <c r="B202" s="865"/>
      <c r="C202" s="904" t="s">
        <v>222</v>
      </c>
      <c r="D202" s="658" t="s">
        <v>1992</v>
      </c>
      <c r="E202" s="865" t="s">
        <v>1999</v>
      </c>
      <c r="F202" s="653"/>
      <c r="G202" s="654"/>
      <c r="H202" s="905">
        <f>50*16000</f>
        <v>800000</v>
      </c>
      <c r="I202" s="905">
        <f>H202</f>
        <v>800000</v>
      </c>
      <c r="J202" s="909"/>
      <c r="K202" s="911">
        <v>800000</v>
      </c>
      <c r="L202" s="946">
        <f>K202-I202</f>
        <v>0</v>
      </c>
    </row>
    <row r="203" spans="1:13" ht="13.5" thickBot="1">
      <c r="A203" s="992"/>
      <c r="B203" s="937"/>
      <c r="C203" s="938"/>
      <c r="D203" s="939"/>
      <c r="E203" s="937"/>
      <c r="F203" s="964"/>
      <c r="G203" s="965"/>
      <c r="H203" s="942"/>
      <c r="I203" s="943"/>
      <c r="J203" s="944"/>
      <c r="K203" s="945"/>
      <c r="L203" s="947"/>
    </row>
    <row r="204" spans="1:13">
      <c r="A204" s="992">
        <v>100</v>
      </c>
      <c r="B204" s="968" t="s">
        <v>1993</v>
      </c>
      <c r="C204" s="969"/>
      <c r="D204" s="970" t="s">
        <v>1992</v>
      </c>
      <c r="E204" s="968" t="s">
        <v>239</v>
      </c>
      <c r="F204" s="971"/>
      <c r="G204" s="972"/>
      <c r="H204" s="973">
        <v>11100000</v>
      </c>
      <c r="I204" s="973">
        <f>H204</f>
        <v>11100000</v>
      </c>
      <c r="J204" s="974"/>
      <c r="K204" s="966">
        <v>11100000</v>
      </c>
      <c r="L204" s="967">
        <f>K204-I204</f>
        <v>0</v>
      </c>
    </row>
    <row r="205" spans="1:13" ht="13.5" thickBot="1">
      <c r="A205" s="992"/>
      <c r="B205" s="865"/>
      <c r="C205" s="904"/>
      <c r="D205" s="658"/>
      <c r="E205" s="865"/>
      <c r="F205" s="655"/>
      <c r="G205" s="656"/>
      <c r="H205" s="905"/>
      <c r="I205" s="906"/>
      <c r="J205" s="910"/>
      <c r="K205" s="911"/>
      <c r="L205" s="946"/>
    </row>
    <row r="206" spans="1:13">
      <c r="A206" s="991">
        <v>101</v>
      </c>
      <c r="B206" s="955"/>
      <c r="C206" s="904" t="s">
        <v>230</v>
      </c>
      <c r="D206" s="658" t="s">
        <v>1998</v>
      </c>
      <c r="E206" s="865" t="s">
        <v>283</v>
      </c>
      <c r="F206" s="653"/>
      <c r="G206" s="654"/>
      <c r="H206" s="905">
        <v>6000000</v>
      </c>
      <c r="I206" s="905">
        <f>H206</f>
        <v>6000000</v>
      </c>
      <c r="J206" s="909"/>
      <c r="K206" s="911">
        <v>6000000</v>
      </c>
      <c r="L206" s="946">
        <f>K206-I206</f>
        <v>0</v>
      </c>
    </row>
    <row r="207" spans="1:13" ht="13.5" thickBot="1">
      <c r="A207" s="994"/>
      <c r="B207" s="955"/>
      <c r="C207" s="904"/>
      <c r="D207" s="658"/>
      <c r="E207" s="865"/>
      <c r="F207" s="655"/>
      <c r="G207" s="656"/>
      <c r="H207" s="905"/>
      <c r="I207" s="906"/>
      <c r="J207" s="910"/>
      <c r="K207" s="911"/>
      <c r="L207" s="946"/>
    </row>
    <row r="208" spans="1:13">
      <c r="A208" s="991">
        <v>102</v>
      </c>
      <c r="B208" s="955"/>
      <c r="C208" s="904" t="s">
        <v>231</v>
      </c>
      <c r="D208" s="658" t="s">
        <v>1998</v>
      </c>
      <c r="E208" s="865" t="s">
        <v>2004</v>
      </c>
      <c r="F208" s="653"/>
      <c r="G208" s="654"/>
      <c r="H208" s="905">
        <v>4000000</v>
      </c>
      <c r="I208" s="905">
        <f>H208</f>
        <v>4000000</v>
      </c>
      <c r="J208" s="909"/>
      <c r="K208" s="911">
        <v>4000000</v>
      </c>
      <c r="L208" s="946">
        <f>K208-I208</f>
        <v>0</v>
      </c>
    </row>
    <row r="209" spans="1:14" ht="13.5" thickBot="1">
      <c r="A209" s="992"/>
      <c r="B209" s="962"/>
      <c r="C209" s="938"/>
      <c r="D209" s="939"/>
      <c r="E209" s="937"/>
      <c r="F209" s="964"/>
      <c r="G209" s="965"/>
      <c r="H209" s="942"/>
      <c r="I209" s="943"/>
      <c r="J209" s="944"/>
      <c r="K209" s="945"/>
      <c r="L209" s="947"/>
    </row>
    <row r="210" spans="1:14">
      <c r="A210" s="992">
        <v>103</v>
      </c>
      <c r="B210" s="968" t="s">
        <v>1991</v>
      </c>
      <c r="C210" s="969" t="s">
        <v>2015</v>
      </c>
      <c r="D210" s="970" t="s">
        <v>2001</v>
      </c>
      <c r="E210" s="968" t="s">
        <v>239</v>
      </c>
      <c r="F210" s="971"/>
      <c r="G210" s="972"/>
      <c r="H210" s="973">
        <v>11100000</v>
      </c>
      <c r="I210" s="973">
        <f>H210</f>
        <v>11100000</v>
      </c>
      <c r="J210" s="974"/>
      <c r="K210" s="966">
        <v>11100000</v>
      </c>
      <c r="L210" s="967">
        <f>K210-I210</f>
        <v>0</v>
      </c>
    </row>
    <row r="211" spans="1:14" ht="13.5" thickBot="1">
      <c r="A211" s="992"/>
      <c r="B211" s="865"/>
      <c r="C211" s="904"/>
      <c r="D211" s="658"/>
      <c r="E211" s="865"/>
      <c r="F211" s="655"/>
      <c r="G211" s="656"/>
      <c r="H211" s="905"/>
      <c r="I211" s="906"/>
      <c r="J211" s="910"/>
      <c r="K211" s="911"/>
      <c r="L211" s="946"/>
    </row>
    <row r="212" spans="1:14">
      <c r="A212" s="991">
        <v>104</v>
      </c>
      <c r="B212" s="955"/>
      <c r="C212" s="904" t="s">
        <v>232</v>
      </c>
      <c r="D212" s="658" t="s">
        <v>2002</v>
      </c>
      <c r="E212" s="865" t="s">
        <v>1994</v>
      </c>
      <c r="F212" s="653"/>
      <c r="G212" s="654"/>
      <c r="H212" s="905">
        <f>350*17000</f>
        <v>5950000</v>
      </c>
      <c r="I212" s="905">
        <f>H212</f>
        <v>5950000</v>
      </c>
      <c r="J212" s="909"/>
      <c r="K212" s="911">
        <v>5950000</v>
      </c>
      <c r="L212" s="946">
        <f>K212-I212</f>
        <v>0</v>
      </c>
    </row>
    <row r="213" spans="1:14" ht="13.5" thickBot="1">
      <c r="A213" s="994"/>
      <c r="B213" s="962"/>
      <c r="C213" s="938"/>
      <c r="D213" s="939"/>
      <c r="E213" s="937"/>
      <c r="F213" s="964"/>
      <c r="G213" s="965"/>
      <c r="H213" s="942"/>
      <c r="I213" s="943"/>
      <c r="J213" s="944"/>
      <c r="K213" s="945"/>
      <c r="L213" s="947"/>
    </row>
    <row r="214" spans="1:14">
      <c r="A214" s="991">
        <v>105</v>
      </c>
      <c r="B214" s="968" t="s">
        <v>2009</v>
      </c>
      <c r="C214" s="969" t="s">
        <v>2014</v>
      </c>
      <c r="D214" s="970" t="s">
        <v>2008</v>
      </c>
      <c r="E214" s="968" t="s">
        <v>239</v>
      </c>
      <c r="F214" s="971"/>
      <c r="G214" s="972"/>
      <c r="H214" s="973">
        <f>I214/J214</f>
        <v>45030.425963488844</v>
      </c>
      <c r="I214" s="973">
        <v>11100000</v>
      </c>
      <c r="J214" s="974">
        <v>246.5</v>
      </c>
      <c r="K214" s="966">
        <v>11100000</v>
      </c>
      <c r="L214" s="967">
        <f>K214-I214</f>
        <v>0</v>
      </c>
    </row>
    <row r="215" spans="1:14">
      <c r="A215" s="992"/>
      <c r="B215" s="865"/>
      <c r="C215" s="904"/>
      <c r="D215" s="658"/>
      <c r="E215" s="865"/>
      <c r="F215" s="655"/>
      <c r="G215" s="656"/>
      <c r="H215" s="905"/>
      <c r="I215" s="906"/>
      <c r="J215" s="910"/>
      <c r="K215" s="911"/>
      <c r="L215" s="946"/>
    </row>
    <row r="216" spans="1:14" ht="12.75" customHeight="1">
      <c r="A216" s="992">
        <v>106</v>
      </c>
      <c r="B216" s="955"/>
      <c r="C216" s="904" t="s">
        <v>233</v>
      </c>
      <c r="D216" s="658" t="s">
        <v>2003</v>
      </c>
      <c r="E216" s="865" t="s">
        <v>142</v>
      </c>
      <c r="F216" s="653"/>
      <c r="G216" s="654"/>
      <c r="H216" s="905">
        <v>900000</v>
      </c>
      <c r="I216" s="905">
        <f>H216</f>
        <v>900000</v>
      </c>
      <c r="J216" s="909"/>
      <c r="K216" s="911">
        <v>900000</v>
      </c>
      <c r="L216" s="946">
        <f>K216-I216</f>
        <v>0</v>
      </c>
    </row>
    <row r="217" spans="1:14" ht="12.75" customHeight="1" thickBot="1">
      <c r="A217" s="992"/>
      <c r="B217" s="962"/>
      <c r="C217" s="938"/>
      <c r="D217" s="939"/>
      <c r="E217" s="937"/>
      <c r="F217" s="964"/>
      <c r="G217" s="965"/>
      <c r="H217" s="942"/>
      <c r="I217" s="943"/>
      <c r="J217" s="944"/>
      <c r="K217" s="945"/>
      <c r="L217" s="947"/>
    </row>
    <row r="218" spans="1:14">
      <c r="A218" s="991">
        <v>107</v>
      </c>
      <c r="B218" s="968" t="s">
        <v>2012</v>
      </c>
      <c r="C218" s="969" t="s">
        <v>2011</v>
      </c>
      <c r="D218" s="970" t="s">
        <v>2010</v>
      </c>
      <c r="E218" s="968" t="s">
        <v>239</v>
      </c>
      <c r="F218" s="971"/>
      <c r="G218" s="972"/>
      <c r="H218" s="973">
        <f>I218/J218</f>
        <v>43232.32323232323</v>
      </c>
      <c r="I218" s="973">
        <v>10700000</v>
      </c>
      <c r="J218" s="974">
        <v>247.5</v>
      </c>
      <c r="K218" s="966">
        <v>10700000</v>
      </c>
      <c r="L218" s="967">
        <f>K218-I218</f>
        <v>0</v>
      </c>
      <c r="M218">
        <v>14</v>
      </c>
    </row>
    <row r="219" spans="1:14" ht="13.5" thickBot="1">
      <c r="A219" s="994"/>
      <c r="B219" s="865"/>
      <c r="C219" s="904"/>
      <c r="D219" s="658"/>
      <c r="E219" s="865"/>
      <c r="F219" s="655"/>
      <c r="G219" s="656"/>
      <c r="H219" s="905"/>
      <c r="I219" s="906"/>
      <c r="J219" s="910"/>
      <c r="K219" s="911"/>
      <c r="L219" s="946"/>
    </row>
    <row r="220" spans="1:14" ht="21.75" customHeight="1" thickBot="1">
      <c r="A220" s="952" t="s">
        <v>1995</v>
      </c>
      <c r="B220" s="953"/>
      <c r="C220" s="953"/>
      <c r="D220" s="953"/>
      <c r="E220" s="953"/>
      <c r="F220" s="953"/>
      <c r="G220" s="953"/>
      <c r="H220" s="953"/>
      <c r="I220" s="953"/>
      <c r="J220" s="953"/>
      <c r="K220" s="953"/>
      <c r="L220" s="954"/>
      <c r="M220" s="5">
        <f>SUM(I223,I227,I233:I294,I299,I303:I306,I307,I311)</f>
        <v>207371000</v>
      </c>
      <c r="N220" s="533">
        <f>SUM(L223,L227,L233:L367)</f>
        <v>0</v>
      </c>
    </row>
    <row r="221" spans="1:14">
      <c r="A221" s="991">
        <v>108</v>
      </c>
      <c r="B221" s="968" t="s">
        <v>2000</v>
      </c>
      <c r="C221" s="969" t="s">
        <v>2013</v>
      </c>
      <c r="D221" s="993" t="s">
        <v>2003</v>
      </c>
      <c r="E221" s="968" t="s">
        <v>239</v>
      </c>
      <c r="F221" s="971"/>
      <c r="G221" s="972"/>
      <c r="H221" s="973">
        <f>I221/J221</f>
        <v>41878.669275929547</v>
      </c>
      <c r="I221" s="973">
        <v>10700000</v>
      </c>
      <c r="J221" s="974">
        <v>255.5</v>
      </c>
      <c r="K221" s="966">
        <v>10700000</v>
      </c>
      <c r="L221" s="967">
        <f>K221-I221</f>
        <v>0</v>
      </c>
    </row>
    <row r="222" spans="1:14">
      <c r="A222" s="992"/>
      <c r="B222" s="865"/>
      <c r="C222" s="904"/>
      <c r="D222" s="674"/>
      <c r="E222" s="865"/>
      <c r="F222" s="655"/>
      <c r="G222" s="656"/>
      <c r="H222" s="905"/>
      <c r="I222" s="906"/>
      <c r="J222" s="910"/>
      <c r="K222" s="911"/>
      <c r="L222" s="946"/>
    </row>
    <row r="223" spans="1:14">
      <c r="A223" s="992">
        <v>109</v>
      </c>
      <c r="B223" s="955"/>
      <c r="C223" s="904" t="s">
        <v>254</v>
      </c>
      <c r="D223" s="658" t="s">
        <v>2007</v>
      </c>
      <c r="E223" s="865" t="s">
        <v>1919</v>
      </c>
      <c r="F223" s="653"/>
      <c r="G223" s="654"/>
      <c r="H223" s="905">
        <v>1600000</v>
      </c>
      <c r="I223" s="905">
        <f>H223</f>
        <v>1600000</v>
      </c>
      <c r="J223" s="909"/>
      <c r="K223" s="911">
        <v>1600000</v>
      </c>
      <c r="L223" s="946">
        <f>K223-I223</f>
        <v>0</v>
      </c>
    </row>
    <row r="224" spans="1:14" ht="13.5" thickBot="1">
      <c r="A224" s="992"/>
      <c r="B224" s="955"/>
      <c r="C224" s="904"/>
      <c r="D224" s="658"/>
      <c r="E224" s="865"/>
      <c r="F224" s="655"/>
      <c r="G224" s="656"/>
      <c r="H224" s="905"/>
      <c r="I224" s="906"/>
      <c r="J224" s="910"/>
      <c r="K224" s="911"/>
      <c r="L224" s="946"/>
    </row>
    <row r="225" spans="1:13">
      <c r="A225" s="991">
        <v>110</v>
      </c>
      <c r="B225" s="968" t="s">
        <v>2021</v>
      </c>
      <c r="C225" s="969" t="s">
        <v>2027</v>
      </c>
      <c r="D225" s="993" t="s">
        <v>2006</v>
      </c>
      <c r="E225" s="968" t="str">
        <f>E221</f>
        <v>ООО "Громин"</v>
      </c>
      <c r="F225" s="971"/>
      <c r="G225" s="972"/>
      <c r="H225" s="973">
        <v>10700000</v>
      </c>
      <c r="I225" s="973">
        <f>H225</f>
        <v>10700000</v>
      </c>
      <c r="J225" s="974"/>
      <c r="K225" s="966">
        <v>10700000</v>
      </c>
      <c r="L225" s="967">
        <f>K225-I225</f>
        <v>0</v>
      </c>
      <c r="M225" s="6" t="s">
        <v>2036</v>
      </c>
    </row>
    <row r="226" spans="1:13">
      <c r="A226" s="992"/>
      <c r="B226" s="865"/>
      <c r="C226" s="904"/>
      <c r="D226" s="674"/>
      <c r="E226" s="865"/>
      <c r="F226" s="655"/>
      <c r="G226" s="656"/>
      <c r="H226" s="905"/>
      <c r="I226" s="906"/>
      <c r="J226" s="910"/>
      <c r="K226" s="911"/>
      <c r="L226" s="946"/>
    </row>
    <row r="227" spans="1:13">
      <c r="A227" s="992">
        <v>111</v>
      </c>
      <c r="B227" s="955"/>
      <c r="C227" s="904" t="s">
        <v>255</v>
      </c>
      <c r="D227" s="658" t="s">
        <v>2017</v>
      </c>
      <c r="E227" s="865" t="s">
        <v>2016</v>
      </c>
      <c r="F227" s="653"/>
      <c r="G227" s="654"/>
      <c r="H227" s="905">
        <v>4300000</v>
      </c>
      <c r="I227" s="905">
        <f>H227</f>
        <v>4300000</v>
      </c>
      <c r="J227" s="909"/>
      <c r="K227" s="911">
        <v>4300000</v>
      </c>
      <c r="L227" s="946">
        <f>K227-I227</f>
        <v>0</v>
      </c>
    </row>
    <row r="228" spans="1:13" ht="13.5" thickBot="1">
      <c r="A228" s="992"/>
      <c r="B228" s="955"/>
      <c r="C228" s="904"/>
      <c r="D228" s="658"/>
      <c r="E228" s="865"/>
      <c r="F228" s="655"/>
      <c r="G228" s="656"/>
      <c r="H228" s="905"/>
      <c r="I228" s="906"/>
      <c r="J228" s="910"/>
      <c r="K228" s="911"/>
      <c r="L228" s="946"/>
    </row>
    <row r="229" spans="1:13">
      <c r="A229" s="991">
        <v>112</v>
      </c>
      <c r="B229" s="968" t="s">
        <v>2005</v>
      </c>
      <c r="C229" s="969" t="s">
        <v>234</v>
      </c>
      <c r="D229" s="993" t="s">
        <v>2006</v>
      </c>
      <c r="E229" s="968" t="s">
        <v>1110</v>
      </c>
      <c r="F229" s="971"/>
      <c r="G229" s="972"/>
      <c r="H229" s="973">
        <v>1106000</v>
      </c>
      <c r="I229" s="973">
        <f>H229</f>
        <v>1106000</v>
      </c>
      <c r="J229" s="974"/>
      <c r="K229" s="966">
        <v>1106000</v>
      </c>
      <c r="L229" s="967">
        <f>K229-I229</f>
        <v>0</v>
      </c>
    </row>
    <row r="230" spans="1:13">
      <c r="A230" s="992"/>
      <c r="B230" s="865"/>
      <c r="C230" s="904"/>
      <c r="D230" s="674"/>
      <c r="E230" s="865"/>
      <c r="F230" s="655"/>
      <c r="G230" s="656"/>
      <c r="H230" s="905"/>
      <c r="I230" s="906"/>
      <c r="J230" s="910"/>
      <c r="K230" s="911"/>
      <c r="L230" s="946"/>
    </row>
    <row r="231" spans="1:13">
      <c r="A231" s="992">
        <v>113</v>
      </c>
      <c r="B231" s="955"/>
      <c r="C231" s="904"/>
      <c r="D231" s="658"/>
      <c r="E231" s="865"/>
      <c r="F231" s="653"/>
      <c r="G231" s="654"/>
      <c r="H231" s="905"/>
      <c r="I231" s="905"/>
      <c r="J231" s="909"/>
      <c r="K231" s="911"/>
      <c r="L231" s="946"/>
    </row>
    <row r="232" spans="1:13" ht="13.5" thickBot="1">
      <c r="A232" s="992"/>
      <c r="B232" s="962"/>
      <c r="C232" s="938"/>
      <c r="D232" s="939"/>
      <c r="E232" s="937"/>
      <c r="F232" s="964"/>
      <c r="G232" s="965"/>
      <c r="H232" s="942"/>
      <c r="I232" s="943"/>
      <c r="J232" s="944"/>
      <c r="K232" s="945"/>
      <c r="L232" s="947"/>
    </row>
    <row r="233" spans="1:13">
      <c r="A233" s="991">
        <v>114</v>
      </c>
      <c r="B233" s="968" t="s">
        <v>2024</v>
      </c>
      <c r="C233" s="969" t="s">
        <v>2026</v>
      </c>
      <c r="D233" s="970" t="s">
        <v>2025</v>
      </c>
      <c r="E233" s="968" t="s">
        <v>239</v>
      </c>
      <c r="F233" s="971"/>
      <c r="G233" s="972"/>
      <c r="H233" s="973">
        <f>I233/J233</f>
        <v>42544.731610337971</v>
      </c>
      <c r="I233" s="973">
        <v>10700000</v>
      </c>
      <c r="J233" s="974">
        <v>251.5</v>
      </c>
      <c r="K233" s="966">
        <v>10700000</v>
      </c>
      <c r="L233" s="967">
        <f>K233-I233</f>
        <v>0</v>
      </c>
    </row>
    <row r="234" spans="1:13">
      <c r="A234" s="992"/>
      <c r="B234" s="865"/>
      <c r="C234" s="904"/>
      <c r="D234" s="658"/>
      <c r="E234" s="865"/>
      <c r="F234" s="655"/>
      <c r="G234" s="656"/>
      <c r="H234" s="905"/>
      <c r="I234" s="906"/>
      <c r="J234" s="910"/>
      <c r="K234" s="911"/>
      <c r="L234" s="946"/>
    </row>
    <row r="235" spans="1:13" ht="12.75" customHeight="1">
      <c r="A235" s="992">
        <v>115</v>
      </c>
      <c r="B235" s="955"/>
      <c r="C235" s="904" t="s">
        <v>273</v>
      </c>
      <c r="D235" s="658" t="s">
        <v>2019</v>
      </c>
      <c r="E235" s="865" t="s">
        <v>2018</v>
      </c>
      <c r="F235" s="653"/>
      <c r="G235" s="654"/>
      <c r="H235" s="905">
        <v>5000000</v>
      </c>
      <c r="I235" s="905">
        <f>H235</f>
        <v>5000000</v>
      </c>
      <c r="J235" s="909"/>
      <c r="K235" s="911">
        <v>5000000</v>
      </c>
      <c r="L235" s="946">
        <f>K235-I235</f>
        <v>0</v>
      </c>
    </row>
    <row r="236" spans="1:13" ht="12.75" customHeight="1" thickBot="1">
      <c r="A236" s="992"/>
      <c r="B236" s="955"/>
      <c r="C236" s="904"/>
      <c r="D236" s="658"/>
      <c r="E236" s="865"/>
      <c r="F236" s="655"/>
      <c r="G236" s="656"/>
      <c r="H236" s="905"/>
      <c r="I236" s="906"/>
      <c r="J236" s="910"/>
      <c r="K236" s="911"/>
      <c r="L236" s="946"/>
    </row>
    <row r="237" spans="1:13">
      <c r="A237" s="991">
        <v>116</v>
      </c>
      <c r="B237" s="865"/>
      <c r="C237" s="904" t="s">
        <v>274</v>
      </c>
      <c r="D237" s="658" t="s">
        <v>2019</v>
      </c>
      <c r="E237" s="865" t="s">
        <v>117</v>
      </c>
      <c r="F237" s="940"/>
      <c r="G237" s="940"/>
      <c r="H237" s="905">
        <v>900000</v>
      </c>
      <c r="I237" s="905">
        <f>H237</f>
        <v>900000</v>
      </c>
      <c r="J237" s="909"/>
      <c r="K237" s="911">
        <v>900000</v>
      </c>
      <c r="L237" s="946">
        <f>K237-I237</f>
        <v>0</v>
      </c>
    </row>
    <row r="238" spans="1:13" ht="13.5" thickBot="1">
      <c r="A238" s="992"/>
      <c r="B238" s="937"/>
      <c r="C238" s="938"/>
      <c r="D238" s="939"/>
      <c r="E238" s="937"/>
      <c r="F238" s="941"/>
      <c r="G238" s="941"/>
      <c r="H238" s="942"/>
      <c r="I238" s="943"/>
      <c r="J238" s="944"/>
      <c r="K238" s="945"/>
      <c r="L238" s="947"/>
    </row>
    <row r="239" spans="1:13">
      <c r="A239" s="992">
        <v>117</v>
      </c>
      <c r="B239" s="968" t="s">
        <v>2039</v>
      </c>
      <c r="C239" s="969" t="s">
        <v>2038</v>
      </c>
      <c r="D239" s="970" t="s">
        <v>2037</v>
      </c>
      <c r="E239" s="968" t="str">
        <f>E233</f>
        <v>ООО "Громин"</v>
      </c>
      <c r="F239" s="971"/>
      <c r="G239" s="972"/>
      <c r="H239" s="973">
        <f>I239/J239</f>
        <v>41553.398058252424</v>
      </c>
      <c r="I239" s="973">
        <v>10700000</v>
      </c>
      <c r="J239" s="974">
        <v>257.5</v>
      </c>
      <c r="K239" s="966">
        <v>10700000</v>
      </c>
      <c r="L239" s="967">
        <f>K239-I239</f>
        <v>0</v>
      </c>
    </row>
    <row r="240" spans="1:13" ht="13.5" thickBot="1">
      <c r="A240" s="992"/>
      <c r="B240" s="865"/>
      <c r="C240" s="904"/>
      <c r="D240" s="658"/>
      <c r="E240" s="865"/>
      <c r="F240" s="655"/>
      <c r="G240" s="656"/>
      <c r="H240" s="905"/>
      <c r="I240" s="906"/>
      <c r="J240" s="910"/>
      <c r="K240" s="911"/>
      <c r="L240" s="946"/>
    </row>
    <row r="241" spans="1:12" ht="12.75" customHeight="1">
      <c r="A241" s="991">
        <v>118</v>
      </c>
      <c r="B241" s="955"/>
      <c r="C241" s="904" t="s">
        <v>276</v>
      </c>
      <c r="D241" s="658" t="s">
        <v>2028</v>
      </c>
      <c r="E241" s="865" t="s">
        <v>1656</v>
      </c>
      <c r="F241" s="653"/>
      <c r="G241" s="654"/>
      <c r="H241" s="905">
        <v>2000000</v>
      </c>
      <c r="I241" s="905">
        <f>H241</f>
        <v>2000000</v>
      </c>
      <c r="J241" s="909"/>
      <c r="K241" s="911">
        <v>2000000</v>
      </c>
      <c r="L241" s="946">
        <f>K241-I241</f>
        <v>0</v>
      </c>
    </row>
    <row r="242" spans="1:12" ht="12.75" customHeight="1">
      <c r="A242" s="992"/>
      <c r="B242" s="955"/>
      <c r="C242" s="904"/>
      <c r="D242" s="658"/>
      <c r="E242" s="865"/>
      <c r="F242" s="655"/>
      <c r="G242" s="656"/>
      <c r="H242" s="905"/>
      <c r="I242" s="906"/>
      <c r="J242" s="910"/>
      <c r="K242" s="911"/>
      <c r="L242" s="946"/>
    </row>
    <row r="243" spans="1:12">
      <c r="A243" s="992">
        <v>119</v>
      </c>
      <c r="B243" s="955"/>
      <c r="C243" s="904" t="s">
        <v>277</v>
      </c>
      <c r="D243" s="658" t="s">
        <v>2028</v>
      </c>
      <c r="E243" s="865" t="s">
        <v>240</v>
      </c>
      <c r="F243" s="653"/>
      <c r="G243" s="654"/>
      <c r="H243" s="905">
        <f>350*16000</f>
        <v>5600000</v>
      </c>
      <c r="I243" s="905">
        <f>H243</f>
        <v>5600000</v>
      </c>
      <c r="J243" s="909"/>
      <c r="K243" s="911">
        <v>5600000</v>
      </c>
      <c r="L243" s="946">
        <f>K243-I243</f>
        <v>0</v>
      </c>
    </row>
    <row r="244" spans="1:12" ht="13.5" thickBot="1">
      <c r="A244" s="992"/>
      <c r="B244" s="962"/>
      <c r="C244" s="938"/>
      <c r="D244" s="939"/>
      <c r="E244" s="937"/>
      <c r="F244" s="964"/>
      <c r="G244" s="965"/>
      <c r="H244" s="942"/>
      <c r="I244" s="943"/>
      <c r="J244" s="944"/>
      <c r="K244" s="945"/>
      <c r="L244" s="947"/>
    </row>
    <row r="245" spans="1:12">
      <c r="A245" s="991">
        <v>120</v>
      </c>
      <c r="B245" s="968" t="s">
        <v>2020</v>
      </c>
      <c r="C245" s="969" t="s">
        <v>2044</v>
      </c>
      <c r="D245" s="970" t="s">
        <v>2043</v>
      </c>
      <c r="E245" s="968" t="s">
        <v>239</v>
      </c>
      <c r="F245" s="971"/>
      <c r="G245" s="972"/>
      <c r="H245" s="973">
        <f>I245/J245</f>
        <v>41472.868217054267</v>
      </c>
      <c r="I245" s="973">
        <v>10700000</v>
      </c>
      <c r="J245" s="974">
        <v>258</v>
      </c>
      <c r="K245" s="966">
        <v>10700000</v>
      </c>
      <c r="L245" s="967">
        <f>K245-I245</f>
        <v>0</v>
      </c>
    </row>
    <row r="246" spans="1:12">
      <c r="A246" s="992"/>
      <c r="B246" s="865"/>
      <c r="C246" s="904"/>
      <c r="D246" s="658"/>
      <c r="E246" s="865"/>
      <c r="F246" s="655"/>
      <c r="G246" s="656"/>
      <c r="H246" s="905"/>
      <c r="I246" s="906"/>
      <c r="J246" s="910"/>
      <c r="K246" s="911"/>
      <c r="L246" s="946"/>
    </row>
    <row r="247" spans="1:12" ht="12.75" customHeight="1">
      <c r="A247" s="992">
        <v>121</v>
      </c>
      <c r="B247" s="955"/>
      <c r="C247" s="904" t="s">
        <v>279</v>
      </c>
      <c r="D247" s="658" t="s">
        <v>2031</v>
      </c>
      <c r="E247" s="865" t="s">
        <v>2032</v>
      </c>
      <c r="F247" s="653"/>
      <c r="G247" s="654"/>
      <c r="H247" s="905">
        <v>4305000</v>
      </c>
      <c r="I247" s="905">
        <f>H247</f>
        <v>4305000</v>
      </c>
      <c r="J247" s="909"/>
      <c r="K247" s="911">
        <v>4305000</v>
      </c>
      <c r="L247" s="946">
        <f>K247-I247</f>
        <v>0</v>
      </c>
    </row>
    <row r="248" spans="1:12" ht="12.75" customHeight="1" thickBot="1">
      <c r="A248" s="992"/>
      <c r="B248" s="962"/>
      <c r="C248" s="938"/>
      <c r="D248" s="939"/>
      <c r="E248" s="937"/>
      <c r="F248" s="964"/>
      <c r="G248" s="965"/>
      <c r="H248" s="942"/>
      <c r="I248" s="943"/>
      <c r="J248" s="944"/>
      <c r="K248" s="945"/>
      <c r="L248" s="947"/>
    </row>
    <row r="249" spans="1:12">
      <c r="A249" s="991">
        <v>122</v>
      </c>
      <c r="B249" s="968" t="s">
        <v>2022</v>
      </c>
      <c r="C249" s="969" t="s">
        <v>2045</v>
      </c>
      <c r="D249" s="970" t="s">
        <v>2028</v>
      </c>
      <c r="E249" s="968" t="str">
        <f>E245</f>
        <v>ООО "Громин"</v>
      </c>
      <c r="F249" s="971"/>
      <c r="G249" s="972"/>
      <c r="H249" s="973">
        <f>I249/J249</f>
        <v>46511.627906976741</v>
      </c>
      <c r="I249" s="973">
        <v>12000000</v>
      </c>
      <c r="J249" s="974">
        <v>258</v>
      </c>
      <c r="K249" s="966">
        <v>12000000</v>
      </c>
      <c r="L249" s="967">
        <f>K249-I249</f>
        <v>0</v>
      </c>
    </row>
    <row r="250" spans="1:12">
      <c r="A250" s="992"/>
      <c r="B250" s="865"/>
      <c r="C250" s="904"/>
      <c r="D250" s="658"/>
      <c r="E250" s="865"/>
      <c r="F250" s="655"/>
      <c r="G250" s="656"/>
      <c r="H250" s="905"/>
      <c r="I250" s="906"/>
      <c r="J250" s="910"/>
      <c r="K250" s="911"/>
      <c r="L250" s="946"/>
    </row>
    <row r="251" spans="1:12" ht="12.75" customHeight="1">
      <c r="A251" s="992">
        <v>123</v>
      </c>
      <c r="B251" s="955"/>
      <c r="C251" s="904"/>
      <c r="D251" s="658"/>
      <c r="E251" s="865"/>
      <c r="F251" s="653"/>
      <c r="G251" s="654"/>
      <c r="H251" s="905"/>
      <c r="I251" s="905"/>
      <c r="J251" s="909"/>
      <c r="K251" s="911"/>
      <c r="L251" s="946"/>
    </row>
    <row r="252" spans="1:12" ht="12.75" customHeight="1" thickBot="1">
      <c r="A252" s="992"/>
      <c r="B252" s="962"/>
      <c r="C252" s="938"/>
      <c r="D252" s="939"/>
      <c r="E252" s="937"/>
      <c r="F252" s="964"/>
      <c r="G252" s="965"/>
      <c r="H252" s="942"/>
      <c r="I252" s="943"/>
      <c r="J252" s="944"/>
      <c r="K252" s="945"/>
      <c r="L252" s="947"/>
    </row>
    <row r="253" spans="1:12">
      <c r="A253" s="991">
        <v>124</v>
      </c>
      <c r="B253" s="968" t="s">
        <v>2023</v>
      </c>
      <c r="C253" s="969" t="s">
        <v>2046</v>
      </c>
      <c r="D253" s="970" t="s">
        <v>2028</v>
      </c>
      <c r="E253" s="968" t="str">
        <f>E249</f>
        <v>ООО "Громин"</v>
      </c>
      <c r="F253" s="971"/>
      <c r="G253" s="972"/>
      <c r="H253" s="973">
        <f>I253/J253</f>
        <v>41472.868217054267</v>
      </c>
      <c r="I253" s="973">
        <v>10700000</v>
      </c>
      <c r="J253" s="974">
        <v>258</v>
      </c>
      <c r="K253" s="966">
        <v>10700000</v>
      </c>
      <c r="L253" s="967">
        <f>K253-I253</f>
        <v>0</v>
      </c>
    </row>
    <row r="254" spans="1:12">
      <c r="A254" s="992"/>
      <c r="B254" s="865"/>
      <c r="C254" s="904"/>
      <c r="D254" s="658"/>
      <c r="E254" s="865"/>
      <c r="F254" s="655"/>
      <c r="G254" s="656"/>
      <c r="H254" s="905"/>
      <c r="I254" s="906"/>
      <c r="J254" s="910"/>
      <c r="K254" s="911"/>
      <c r="L254" s="946"/>
    </row>
    <row r="255" spans="1:12" ht="12.75" customHeight="1">
      <c r="A255" s="992">
        <v>125</v>
      </c>
      <c r="B255" s="955"/>
      <c r="C255" s="904" t="s">
        <v>286</v>
      </c>
      <c r="D255" s="658" t="s">
        <v>2047</v>
      </c>
      <c r="E255" s="865" t="s">
        <v>2040</v>
      </c>
      <c r="F255" s="653"/>
      <c r="G255" s="654"/>
      <c r="H255" s="905">
        <f>20*16000</f>
        <v>320000</v>
      </c>
      <c r="I255" s="905">
        <f>H255</f>
        <v>320000</v>
      </c>
      <c r="J255" s="909"/>
      <c r="K255" s="911">
        <v>320000</v>
      </c>
      <c r="L255" s="946">
        <f>K255-I255</f>
        <v>0</v>
      </c>
    </row>
    <row r="256" spans="1:12" ht="12.75" customHeight="1" thickBot="1">
      <c r="A256" s="992"/>
      <c r="B256" s="955"/>
      <c r="C256" s="904"/>
      <c r="D256" s="658"/>
      <c r="E256" s="865"/>
      <c r="F256" s="655"/>
      <c r="G256" s="656"/>
      <c r="H256" s="905"/>
      <c r="I256" s="906"/>
      <c r="J256" s="910"/>
      <c r="K256" s="911"/>
      <c r="L256" s="946"/>
    </row>
    <row r="257" spans="1:12">
      <c r="A257" s="991">
        <v>126</v>
      </c>
      <c r="B257" s="865"/>
      <c r="C257" s="904" t="s">
        <v>287</v>
      </c>
      <c r="D257" s="658" t="s">
        <v>2047</v>
      </c>
      <c r="E257" s="865" t="s">
        <v>1745</v>
      </c>
      <c r="F257" s="653"/>
      <c r="G257" s="654"/>
      <c r="H257" s="905">
        <v>900000</v>
      </c>
      <c r="I257" s="905">
        <f>H257</f>
        <v>900000</v>
      </c>
      <c r="J257" s="909"/>
      <c r="K257" s="911">
        <v>900000</v>
      </c>
      <c r="L257" s="946">
        <f>K257-I257</f>
        <v>0</v>
      </c>
    </row>
    <row r="258" spans="1:12">
      <c r="A258" s="992"/>
      <c r="B258" s="865"/>
      <c r="C258" s="904"/>
      <c r="D258" s="658"/>
      <c r="E258" s="865"/>
      <c r="F258" s="655"/>
      <c r="G258" s="656"/>
      <c r="H258" s="905"/>
      <c r="I258" s="906"/>
      <c r="J258" s="910"/>
      <c r="K258" s="911"/>
      <c r="L258" s="946"/>
    </row>
    <row r="259" spans="1:12">
      <c r="A259" s="992">
        <v>127</v>
      </c>
      <c r="B259" s="955"/>
      <c r="C259" s="904" t="s">
        <v>290</v>
      </c>
      <c r="D259" s="658" t="s">
        <v>2047</v>
      </c>
      <c r="E259" s="865" t="s">
        <v>2041</v>
      </c>
      <c r="F259" s="653"/>
      <c r="G259" s="654"/>
      <c r="H259" s="905">
        <f>50*16000</f>
        <v>800000</v>
      </c>
      <c r="I259" s="905">
        <f>H259</f>
        <v>800000</v>
      </c>
      <c r="J259" s="909"/>
      <c r="K259" s="911">
        <v>800000</v>
      </c>
      <c r="L259" s="946">
        <f>K259-I259</f>
        <v>0</v>
      </c>
    </row>
    <row r="260" spans="1:12" ht="13.5" thickBot="1">
      <c r="A260" s="992"/>
      <c r="B260" s="962"/>
      <c r="C260" s="938"/>
      <c r="D260" s="939"/>
      <c r="E260" s="937"/>
      <c r="F260" s="964"/>
      <c r="G260" s="965"/>
      <c r="H260" s="942"/>
      <c r="I260" s="943"/>
      <c r="J260" s="944"/>
      <c r="K260" s="945"/>
      <c r="L260" s="947"/>
    </row>
    <row r="261" spans="1:12">
      <c r="A261" s="991">
        <v>128</v>
      </c>
      <c r="B261" s="968" t="s">
        <v>2029</v>
      </c>
      <c r="C261" s="969" t="s">
        <v>278</v>
      </c>
      <c r="D261" s="970" t="s">
        <v>2028</v>
      </c>
      <c r="E261" s="968" t="s">
        <v>1931</v>
      </c>
      <c r="F261" s="971"/>
      <c r="G261" s="972"/>
      <c r="H261" s="973">
        <v>853000</v>
      </c>
      <c r="I261" s="973">
        <f>H261</f>
        <v>853000</v>
      </c>
      <c r="J261" s="974"/>
      <c r="K261" s="973">
        <v>853000</v>
      </c>
      <c r="L261" s="967">
        <f>K261-I261</f>
        <v>0</v>
      </c>
    </row>
    <row r="262" spans="1:12">
      <c r="A262" s="992"/>
      <c r="B262" s="865"/>
      <c r="C262" s="904"/>
      <c r="D262" s="658"/>
      <c r="E262" s="865"/>
      <c r="F262" s="655"/>
      <c r="G262" s="656"/>
      <c r="H262" s="905"/>
      <c r="I262" s="906"/>
      <c r="J262" s="910"/>
      <c r="K262" s="911"/>
      <c r="L262" s="946"/>
    </row>
    <row r="263" spans="1:12">
      <c r="A263" s="992">
        <v>129</v>
      </c>
      <c r="B263" s="955"/>
      <c r="C263" s="904"/>
      <c r="D263" s="658"/>
      <c r="E263" s="865"/>
      <c r="F263" s="653"/>
      <c r="G263" s="654"/>
      <c r="H263" s="905"/>
      <c r="I263" s="905">
        <f>H263</f>
        <v>0</v>
      </c>
      <c r="J263" s="909"/>
      <c r="K263" s="911"/>
      <c r="L263" s="946">
        <f>K263-I263</f>
        <v>0</v>
      </c>
    </row>
    <row r="264" spans="1:12" ht="13.5" thickBot="1">
      <c r="A264" s="992"/>
      <c r="B264" s="962"/>
      <c r="C264" s="938"/>
      <c r="D264" s="939"/>
      <c r="E264" s="937"/>
      <c r="F264" s="964"/>
      <c r="G264" s="965"/>
      <c r="H264" s="942"/>
      <c r="I264" s="943"/>
      <c r="J264" s="944"/>
      <c r="K264" s="945"/>
      <c r="L264" s="947"/>
    </row>
    <row r="265" spans="1:12">
      <c r="A265" s="991">
        <v>130</v>
      </c>
      <c r="B265" s="879" t="s">
        <v>2030</v>
      </c>
      <c r="C265" s="914" t="s">
        <v>2051</v>
      </c>
      <c r="D265" s="660" t="s">
        <v>2035</v>
      </c>
      <c r="E265" s="879" t="str">
        <f>E253</f>
        <v>ООО "Громин"</v>
      </c>
      <c r="F265" s="828"/>
      <c r="G265" s="829"/>
      <c r="H265" s="916">
        <f>I265/J265</f>
        <v>41573.033707865172</v>
      </c>
      <c r="I265" s="916">
        <v>11100000</v>
      </c>
      <c r="J265" s="949">
        <v>267</v>
      </c>
      <c r="K265" s="920">
        <v>11100000</v>
      </c>
      <c r="L265" s="901">
        <f>K265-I265</f>
        <v>0</v>
      </c>
    </row>
    <row r="266" spans="1:12">
      <c r="A266" s="992"/>
      <c r="B266" s="865"/>
      <c r="C266" s="904"/>
      <c r="D266" s="658"/>
      <c r="E266" s="865"/>
      <c r="F266" s="655"/>
      <c r="G266" s="656"/>
      <c r="H266" s="905"/>
      <c r="I266" s="906"/>
      <c r="J266" s="910"/>
      <c r="K266" s="911"/>
      <c r="L266" s="903"/>
    </row>
    <row r="267" spans="1:12">
      <c r="A267" s="992">
        <v>131</v>
      </c>
      <c r="B267" s="955"/>
      <c r="C267" s="904" t="s">
        <v>292</v>
      </c>
      <c r="D267" s="658" t="s">
        <v>2049</v>
      </c>
      <c r="E267" s="865" t="s">
        <v>2050</v>
      </c>
      <c r="F267" s="653"/>
      <c r="G267" s="654"/>
      <c r="H267" s="905">
        <v>8700000</v>
      </c>
      <c r="I267" s="905">
        <f>H267</f>
        <v>8700000</v>
      </c>
      <c r="J267" s="909"/>
      <c r="K267" s="911">
        <v>8700000</v>
      </c>
      <c r="L267" s="903">
        <f>K267-I267</f>
        <v>0</v>
      </c>
    </row>
    <row r="268" spans="1:12" ht="13.5" thickBot="1">
      <c r="A268" s="992"/>
      <c r="B268" s="956"/>
      <c r="C268" s="913"/>
      <c r="D268" s="659"/>
      <c r="E268" s="878"/>
      <c r="F268" s="828"/>
      <c r="G268" s="829"/>
      <c r="H268" s="915"/>
      <c r="I268" s="982"/>
      <c r="J268" s="917"/>
      <c r="K268" s="919"/>
      <c r="L268" s="900"/>
    </row>
    <row r="269" spans="1:12">
      <c r="A269" s="991">
        <v>132</v>
      </c>
      <c r="B269" s="968" t="s">
        <v>2033</v>
      </c>
      <c r="C269" s="969" t="s">
        <v>2054</v>
      </c>
      <c r="D269" s="970" t="s">
        <v>2034</v>
      </c>
      <c r="E269" s="968" t="str">
        <f>E265</f>
        <v>ООО "Громин"</v>
      </c>
      <c r="F269" s="971"/>
      <c r="G269" s="972"/>
      <c r="H269" s="973">
        <f>I269/J269</f>
        <v>39051.094890510947</v>
      </c>
      <c r="I269" s="973">
        <v>10700000</v>
      </c>
      <c r="J269" s="974">
        <v>274</v>
      </c>
      <c r="K269" s="966">
        <v>10700000</v>
      </c>
      <c r="L269" s="967">
        <f>K269-I269</f>
        <v>0</v>
      </c>
    </row>
    <row r="270" spans="1:12">
      <c r="A270" s="992"/>
      <c r="B270" s="865"/>
      <c r="C270" s="904"/>
      <c r="D270" s="658"/>
      <c r="E270" s="865"/>
      <c r="F270" s="655"/>
      <c r="G270" s="656"/>
      <c r="H270" s="905"/>
      <c r="I270" s="906"/>
      <c r="J270" s="910"/>
      <c r="K270" s="911"/>
      <c r="L270" s="946"/>
    </row>
    <row r="271" spans="1:12" ht="12.75" customHeight="1">
      <c r="A271" s="992">
        <v>133</v>
      </c>
      <c r="B271" s="955"/>
      <c r="C271" s="904" t="s">
        <v>293</v>
      </c>
      <c r="D271" s="658" t="s">
        <v>2048</v>
      </c>
      <c r="E271" s="865" t="s">
        <v>1864</v>
      </c>
      <c r="F271" s="653"/>
      <c r="G271" s="654"/>
      <c r="H271" s="905">
        <v>2000000</v>
      </c>
      <c r="I271" s="905">
        <f>H271</f>
        <v>2000000</v>
      </c>
      <c r="J271" s="909"/>
      <c r="K271" s="911">
        <v>2000000</v>
      </c>
      <c r="L271" s="946">
        <f>K271-I271</f>
        <v>0</v>
      </c>
    </row>
    <row r="272" spans="1:12" ht="12.75" customHeight="1" thickBot="1">
      <c r="A272" s="992"/>
      <c r="B272" s="955"/>
      <c r="C272" s="904"/>
      <c r="D272" s="658"/>
      <c r="E272" s="865"/>
      <c r="F272" s="655"/>
      <c r="G272" s="656"/>
      <c r="H272" s="905"/>
      <c r="I272" s="906"/>
      <c r="J272" s="910"/>
      <c r="K272" s="911"/>
      <c r="L272" s="946"/>
    </row>
    <row r="273" spans="1:12">
      <c r="A273" s="991">
        <v>134</v>
      </c>
      <c r="B273" s="865"/>
      <c r="C273" s="904" t="s">
        <v>295</v>
      </c>
      <c r="D273" s="658" t="s">
        <v>2048</v>
      </c>
      <c r="E273" s="865" t="s">
        <v>2063</v>
      </c>
      <c r="F273" s="653"/>
      <c r="G273" s="654"/>
      <c r="H273" s="905">
        <v>18000</v>
      </c>
      <c r="I273" s="905">
        <f>H273*J273</f>
        <v>5175000</v>
      </c>
      <c r="J273" s="909">
        <v>287.5</v>
      </c>
      <c r="K273" s="911">
        <v>5175000</v>
      </c>
      <c r="L273" s="946">
        <f>K273-I273</f>
        <v>0</v>
      </c>
    </row>
    <row r="274" spans="1:12" ht="13.5" thickBot="1">
      <c r="A274" s="992"/>
      <c r="B274" s="937"/>
      <c r="C274" s="938"/>
      <c r="D274" s="939"/>
      <c r="E274" s="937"/>
      <c r="F274" s="964"/>
      <c r="G274" s="965"/>
      <c r="H274" s="942"/>
      <c r="I274" s="943"/>
      <c r="J274" s="944"/>
      <c r="K274" s="945"/>
      <c r="L274" s="947"/>
    </row>
    <row r="275" spans="1:12">
      <c r="A275" s="992">
        <v>135</v>
      </c>
      <c r="B275" s="968" t="s">
        <v>2042</v>
      </c>
      <c r="C275" s="969" t="s">
        <v>2062</v>
      </c>
      <c r="D275" s="970" t="s">
        <v>2061</v>
      </c>
      <c r="E275" s="968" t="str">
        <f>E269</f>
        <v>ООО "Громин"</v>
      </c>
      <c r="F275" s="971"/>
      <c r="G275" s="972"/>
      <c r="H275" s="973">
        <v>11100000</v>
      </c>
      <c r="I275" s="973">
        <f>H275</f>
        <v>11100000</v>
      </c>
      <c r="J275" s="974"/>
      <c r="K275" s="966">
        <v>11100000</v>
      </c>
      <c r="L275" s="967">
        <f>K275-I275</f>
        <v>0</v>
      </c>
    </row>
    <row r="276" spans="1:12" ht="13.5" thickBot="1">
      <c r="A276" s="992"/>
      <c r="B276" s="865"/>
      <c r="C276" s="904"/>
      <c r="D276" s="658"/>
      <c r="E276" s="865"/>
      <c r="F276" s="655"/>
      <c r="G276" s="656"/>
      <c r="H276" s="905"/>
      <c r="I276" s="906"/>
      <c r="J276" s="910"/>
      <c r="K276" s="911"/>
      <c r="L276" s="946"/>
    </row>
    <row r="277" spans="1:12">
      <c r="A277" s="991">
        <v>136</v>
      </c>
      <c r="B277" s="955"/>
      <c r="C277" s="904" t="s">
        <v>296</v>
      </c>
      <c r="D277" s="658" t="s">
        <v>2059</v>
      </c>
      <c r="E277" s="865" t="s">
        <v>1706</v>
      </c>
      <c r="F277" s="653"/>
      <c r="G277" s="654"/>
      <c r="H277" s="905">
        <v>2700000</v>
      </c>
      <c r="I277" s="905">
        <f>H277</f>
        <v>2700000</v>
      </c>
      <c r="J277" s="909"/>
      <c r="K277" s="911">
        <v>2700000</v>
      </c>
      <c r="L277" s="946">
        <f>K277-I277</f>
        <v>0</v>
      </c>
    </row>
    <row r="278" spans="1:12">
      <c r="A278" s="992"/>
      <c r="B278" s="955"/>
      <c r="C278" s="904"/>
      <c r="D278" s="658"/>
      <c r="E278" s="865"/>
      <c r="F278" s="655"/>
      <c r="G278" s="656"/>
      <c r="H278" s="905"/>
      <c r="I278" s="906"/>
      <c r="J278" s="910"/>
      <c r="K278" s="911"/>
      <c r="L278" s="946"/>
    </row>
    <row r="279" spans="1:12">
      <c r="A279" s="992">
        <v>137</v>
      </c>
      <c r="B279" s="865"/>
      <c r="C279" s="904" t="s">
        <v>311</v>
      </c>
      <c r="D279" s="658" t="s">
        <v>2059</v>
      </c>
      <c r="E279" s="865" t="s">
        <v>2060</v>
      </c>
      <c r="F279" s="653"/>
      <c r="G279" s="654"/>
      <c r="H279" s="905">
        <v>7000000</v>
      </c>
      <c r="I279" s="905">
        <f>H279</f>
        <v>7000000</v>
      </c>
      <c r="J279" s="909"/>
      <c r="K279" s="911">
        <v>7000000</v>
      </c>
      <c r="L279" s="946">
        <f>K279-I279</f>
        <v>0</v>
      </c>
    </row>
    <row r="280" spans="1:12" ht="13.5" thickBot="1">
      <c r="A280" s="992"/>
      <c r="B280" s="865"/>
      <c r="C280" s="904"/>
      <c r="D280" s="658"/>
      <c r="E280" s="865"/>
      <c r="F280" s="655"/>
      <c r="G280" s="656"/>
      <c r="H280" s="905"/>
      <c r="I280" s="906"/>
      <c r="J280" s="910"/>
      <c r="K280" s="911"/>
      <c r="L280" s="946"/>
    </row>
    <row r="281" spans="1:12">
      <c r="A281" s="991">
        <v>138</v>
      </c>
      <c r="B281" s="968" t="s">
        <v>2052</v>
      </c>
      <c r="C281" s="969" t="s">
        <v>294</v>
      </c>
      <c r="D281" s="970" t="s">
        <v>2048</v>
      </c>
      <c r="E281" s="968" t="s">
        <v>252</v>
      </c>
      <c r="F281" s="971"/>
      <c r="G281" s="972"/>
      <c r="H281" s="973">
        <v>1007000</v>
      </c>
      <c r="I281" s="973">
        <f>H281</f>
        <v>1007000</v>
      </c>
      <c r="J281" s="974"/>
      <c r="K281" s="966">
        <v>1007000</v>
      </c>
      <c r="L281" s="967">
        <f>K281-I281</f>
        <v>0</v>
      </c>
    </row>
    <row r="282" spans="1:12">
      <c r="A282" s="992"/>
      <c r="B282" s="865"/>
      <c r="C282" s="904"/>
      <c r="D282" s="658"/>
      <c r="E282" s="865"/>
      <c r="F282" s="655"/>
      <c r="G282" s="656"/>
      <c r="H282" s="905"/>
      <c r="I282" s="906"/>
      <c r="J282" s="910"/>
      <c r="K282" s="911"/>
      <c r="L282" s="946"/>
    </row>
    <row r="283" spans="1:12">
      <c r="A283" s="992">
        <v>139</v>
      </c>
      <c r="B283" s="955"/>
      <c r="C283" s="904"/>
      <c r="D283" s="658"/>
      <c r="E283" s="865"/>
      <c r="F283" s="653"/>
      <c r="G283" s="654"/>
      <c r="H283" s="905"/>
      <c r="I283" s="905"/>
      <c r="J283" s="909"/>
      <c r="K283" s="911"/>
      <c r="L283" s="946"/>
    </row>
    <row r="284" spans="1:12" ht="13.5" thickBot="1">
      <c r="A284" s="992"/>
      <c r="B284" s="962"/>
      <c r="C284" s="938"/>
      <c r="D284" s="939"/>
      <c r="E284" s="937"/>
      <c r="F284" s="964"/>
      <c r="G284" s="965"/>
      <c r="H284" s="942"/>
      <c r="I284" s="943"/>
      <c r="J284" s="944"/>
      <c r="K284" s="945"/>
      <c r="L284" s="947"/>
    </row>
    <row r="285" spans="1:12">
      <c r="A285" s="991">
        <v>140</v>
      </c>
      <c r="B285" s="968" t="s">
        <v>2053</v>
      </c>
      <c r="C285" s="969" t="s">
        <v>2066</v>
      </c>
      <c r="D285" s="970" t="s">
        <v>2064</v>
      </c>
      <c r="E285" s="968" t="s">
        <v>20</v>
      </c>
      <c r="F285" s="971"/>
      <c r="G285" s="972"/>
      <c r="H285" s="973">
        <v>10700000</v>
      </c>
      <c r="I285" s="973">
        <f>H285</f>
        <v>10700000</v>
      </c>
      <c r="J285" s="974"/>
      <c r="K285" s="966">
        <v>10700000</v>
      </c>
      <c r="L285" s="967">
        <f>K285-I285</f>
        <v>0</v>
      </c>
    </row>
    <row r="286" spans="1:12">
      <c r="A286" s="992"/>
      <c r="B286" s="865"/>
      <c r="C286" s="904"/>
      <c r="D286" s="658"/>
      <c r="E286" s="865"/>
      <c r="F286" s="655"/>
      <c r="G286" s="656"/>
      <c r="H286" s="905"/>
      <c r="I286" s="906"/>
      <c r="J286" s="910"/>
      <c r="K286" s="911"/>
      <c r="L286" s="946"/>
    </row>
    <row r="287" spans="1:12">
      <c r="A287" s="992">
        <v>141</v>
      </c>
      <c r="B287" s="955"/>
      <c r="C287" s="904" t="s">
        <v>312</v>
      </c>
      <c r="D287" s="658" t="s">
        <v>2065</v>
      </c>
      <c r="E287" s="865" t="s">
        <v>1706</v>
      </c>
      <c r="F287" s="653"/>
      <c r="G287" s="654"/>
      <c r="H287" s="905">
        <v>3000000</v>
      </c>
      <c r="I287" s="905">
        <f>H287</f>
        <v>3000000</v>
      </c>
      <c r="J287" s="909"/>
      <c r="K287" s="911">
        <v>3000000</v>
      </c>
      <c r="L287" s="946">
        <f>K287-I287</f>
        <v>0</v>
      </c>
    </row>
    <row r="288" spans="1:12" ht="13.5" thickBot="1">
      <c r="A288" s="992"/>
      <c r="B288" s="955"/>
      <c r="C288" s="904"/>
      <c r="D288" s="658"/>
      <c r="E288" s="865"/>
      <c r="F288" s="655"/>
      <c r="G288" s="656"/>
      <c r="H288" s="905"/>
      <c r="I288" s="906"/>
      <c r="J288" s="910"/>
      <c r="K288" s="911"/>
      <c r="L288" s="946"/>
    </row>
    <row r="289" spans="1:12">
      <c r="A289" s="991">
        <v>142</v>
      </c>
      <c r="B289" s="865"/>
      <c r="C289" s="904" t="s">
        <v>315</v>
      </c>
      <c r="D289" s="658" t="s">
        <v>2065</v>
      </c>
      <c r="E289" s="865" t="s">
        <v>2067</v>
      </c>
      <c r="F289" s="653"/>
      <c r="G289" s="654"/>
      <c r="H289" s="905">
        <v>4500000</v>
      </c>
      <c r="I289" s="905">
        <f>H289</f>
        <v>4500000</v>
      </c>
      <c r="J289" s="909"/>
      <c r="K289" s="911">
        <v>4500000</v>
      </c>
      <c r="L289" s="946">
        <f>K289-I289</f>
        <v>0</v>
      </c>
    </row>
    <row r="290" spans="1:12">
      <c r="A290" s="992"/>
      <c r="B290" s="865"/>
      <c r="C290" s="904"/>
      <c r="D290" s="658"/>
      <c r="E290" s="865"/>
      <c r="F290" s="655"/>
      <c r="G290" s="656"/>
      <c r="H290" s="905"/>
      <c r="I290" s="906"/>
      <c r="J290" s="910"/>
      <c r="K290" s="911"/>
      <c r="L290" s="946"/>
    </row>
    <row r="291" spans="1:12">
      <c r="A291" s="992">
        <v>143</v>
      </c>
      <c r="B291" s="955"/>
      <c r="C291" s="904" t="s">
        <v>316</v>
      </c>
      <c r="D291" s="658" t="s">
        <v>2065</v>
      </c>
      <c r="E291" s="865" t="s">
        <v>1830</v>
      </c>
      <c r="F291" s="653"/>
      <c r="G291" s="654"/>
      <c r="H291" s="905">
        <f>30*14500</f>
        <v>435000</v>
      </c>
      <c r="I291" s="905">
        <f>H291</f>
        <v>435000</v>
      </c>
      <c r="J291" s="909"/>
      <c r="K291" s="911">
        <v>435000</v>
      </c>
      <c r="L291" s="946">
        <f>K291-I291</f>
        <v>0</v>
      </c>
    </row>
    <row r="292" spans="1:12" ht="13.5" thickBot="1">
      <c r="A292" s="992"/>
      <c r="B292" s="962"/>
      <c r="C292" s="938"/>
      <c r="D292" s="939"/>
      <c r="E292" s="937"/>
      <c r="F292" s="964"/>
      <c r="G292" s="965"/>
      <c r="H292" s="942"/>
      <c r="I292" s="943"/>
      <c r="J292" s="944"/>
      <c r="K292" s="945"/>
      <c r="L292" s="947"/>
    </row>
    <row r="293" spans="1:12">
      <c r="A293" s="991">
        <v>144</v>
      </c>
      <c r="B293" s="879" t="s">
        <v>2055</v>
      </c>
      <c r="C293" s="914" t="s">
        <v>2074</v>
      </c>
      <c r="D293" s="660" t="s">
        <v>2058</v>
      </c>
      <c r="E293" s="879" t="s">
        <v>20</v>
      </c>
      <c r="F293" s="828"/>
      <c r="G293" s="829"/>
      <c r="H293" s="916">
        <f>I293/J293</f>
        <v>40808.823529411762</v>
      </c>
      <c r="I293" s="916">
        <v>11100000</v>
      </c>
      <c r="J293" s="949">
        <v>272</v>
      </c>
      <c r="K293" s="920">
        <v>11100000</v>
      </c>
      <c r="L293" s="901">
        <f>K293-I293</f>
        <v>0</v>
      </c>
    </row>
    <row r="294" spans="1:12">
      <c r="A294" s="992"/>
      <c r="B294" s="865"/>
      <c r="C294" s="904"/>
      <c r="D294" s="658"/>
      <c r="E294" s="865"/>
      <c r="F294" s="655"/>
      <c r="G294" s="656"/>
      <c r="H294" s="905"/>
      <c r="I294" s="906"/>
      <c r="J294" s="910"/>
      <c r="K294" s="911"/>
      <c r="L294" s="903"/>
    </row>
    <row r="295" spans="1:12">
      <c r="A295" s="992">
        <v>145</v>
      </c>
      <c r="B295" s="955"/>
      <c r="C295" s="904" t="s">
        <v>332</v>
      </c>
      <c r="D295" s="674" t="s">
        <v>2072</v>
      </c>
      <c r="E295" s="865" t="s">
        <v>283</v>
      </c>
      <c r="F295" s="653"/>
      <c r="G295" s="654"/>
      <c r="H295" s="905">
        <v>5000000</v>
      </c>
      <c r="I295" s="905">
        <f>H295</f>
        <v>5000000</v>
      </c>
      <c r="J295" s="909"/>
      <c r="K295" s="911">
        <v>5000000</v>
      </c>
      <c r="L295" s="903">
        <f>K295-I295</f>
        <v>0</v>
      </c>
    </row>
    <row r="296" spans="1:12" ht="13.5" thickBot="1">
      <c r="A296" s="992"/>
      <c r="B296" s="955"/>
      <c r="C296" s="904"/>
      <c r="D296" s="674"/>
      <c r="E296" s="865"/>
      <c r="F296" s="655"/>
      <c r="G296" s="656"/>
      <c r="H296" s="905"/>
      <c r="I296" s="906"/>
      <c r="J296" s="910"/>
      <c r="K296" s="911"/>
      <c r="L296" s="903"/>
    </row>
    <row r="297" spans="1:12">
      <c r="A297" s="991">
        <v>146</v>
      </c>
      <c r="B297" s="955"/>
      <c r="C297" s="904" t="s">
        <v>333</v>
      </c>
      <c r="D297" s="674" t="s">
        <v>2072</v>
      </c>
      <c r="E297" s="865" t="s">
        <v>1847</v>
      </c>
      <c r="F297" s="653"/>
      <c r="G297" s="654"/>
      <c r="H297" s="905">
        <v>4300000</v>
      </c>
      <c r="I297" s="905">
        <f>H297</f>
        <v>4300000</v>
      </c>
      <c r="J297" s="909"/>
      <c r="K297" s="911">
        <v>4300000</v>
      </c>
      <c r="L297" s="903">
        <f>K297-I297</f>
        <v>0</v>
      </c>
    </row>
    <row r="298" spans="1:12" ht="13.5" thickBot="1">
      <c r="A298" s="992"/>
      <c r="B298" s="956"/>
      <c r="C298" s="913"/>
      <c r="D298" s="731"/>
      <c r="E298" s="878"/>
      <c r="F298" s="828"/>
      <c r="G298" s="829"/>
      <c r="H298" s="915"/>
      <c r="I298" s="982"/>
      <c r="J298" s="917"/>
      <c r="K298" s="919"/>
      <c r="L298" s="900"/>
    </row>
    <row r="299" spans="1:12">
      <c r="A299" s="992">
        <v>147</v>
      </c>
      <c r="B299" s="975" t="s">
        <v>2056</v>
      </c>
      <c r="C299" s="969" t="s">
        <v>317</v>
      </c>
      <c r="D299" s="970" t="s">
        <v>2058</v>
      </c>
      <c r="E299" s="968" t="s">
        <v>2057</v>
      </c>
      <c r="F299" s="971"/>
      <c r="G299" s="972"/>
      <c r="H299" s="973">
        <v>876000</v>
      </c>
      <c r="I299" s="973">
        <f>H299</f>
        <v>876000</v>
      </c>
      <c r="J299" s="974"/>
      <c r="K299" s="966">
        <v>876000</v>
      </c>
      <c r="L299" s="967">
        <f>K299-I299</f>
        <v>0</v>
      </c>
    </row>
    <row r="300" spans="1:12" ht="13.5" thickBot="1">
      <c r="A300" s="992"/>
      <c r="B300" s="976"/>
      <c r="C300" s="904"/>
      <c r="D300" s="658"/>
      <c r="E300" s="865"/>
      <c r="F300" s="655"/>
      <c r="G300" s="656"/>
      <c r="H300" s="905"/>
      <c r="I300" s="906"/>
      <c r="J300" s="910"/>
      <c r="K300" s="911"/>
      <c r="L300" s="946"/>
    </row>
    <row r="301" spans="1:12">
      <c r="A301" s="991">
        <v>148</v>
      </c>
      <c r="B301" s="980"/>
      <c r="C301" s="904"/>
      <c r="D301" s="658"/>
      <c r="E301" s="865"/>
      <c r="F301" s="653"/>
      <c r="G301" s="654"/>
      <c r="H301" s="905"/>
      <c r="I301" s="905"/>
      <c r="J301" s="909"/>
      <c r="K301" s="911"/>
      <c r="L301" s="946"/>
    </row>
    <row r="302" spans="1:12" ht="13.5" thickBot="1">
      <c r="A302" s="992"/>
      <c r="B302" s="981"/>
      <c r="C302" s="913"/>
      <c r="D302" s="659"/>
      <c r="E302" s="878"/>
      <c r="F302" s="828"/>
      <c r="G302" s="829"/>
      <c r="H302" s="915"/>
      <c r="I302" s="982"/>
      <c r="J302" s="917"/>
      <c r="K302" s="919"/>
      <c r="L302" s="950"/>
    </row>
    <row r="303" spans="1:12">
      <c r="A303" s="992">
        <v>149</v>
      </c>
      <c r="B303" s="968" t="s">
        <v>2076</v>
      </c>
      <c r="C303" s="969" t="s">
        <v>2073</v>
      </c>
      <c r="D303" s="970" t="s">
        <v>2058</v>
      </c>
      <c r="E303" s="968" t="s">
        <v>239</v>
      </c>
      <c r="F303" s="971"/>
      <c r="G303" s="972"/>
      <c r="H303" s="973">
        <f>I303/J303</f>
        <v>37676.056338028167</v>
      </c>
      <c r="I303" s="973">
        <v>10700000</v>
      </c>
      <c r="J303" s="974">
        <v>284</v>
      </c>
      <c r="K303" s="966">
        <v>10700000</v>
      </c>
      <c r="L303" s="967">
        <f>K303-I303</f>
        <v>0</v>
      </c>
    </row>
    <row r="304" spans="1:12" ht="13.5" thickBot="1">
      <c r="A304" s="992"/>
      <c r="B304" s="865"/>
      <c r="C304" s="904"/>
      <c r="D304" s="658"/>
      <c r="E304" s="865"/>
      <c r="F304" s="655"/>
      <c r="G304" s="656"/>
      <c r="H304" s="905"/>
      <c r="I304" s="906"/>
      <c r="J304" s="910"/>
      <c r="K304" s="911"/>
      <c r="L304" s="946"/>
    </row>
    <row r="305" spans="1:14">
      <c r="A305" s="991">
        <v>150</v>
      </c>
      <c r="B305" s="955"/>
      <c r="C305" s="904" t="s">
        <v>318</v>
      </c>
      <c r="D305" s="658" t="s">
        <v>2075</v>
      </c>
      <c r="E305" s="865" t="s">
        <v>2077</v>
      </c>
      <c r="F305" s="653"/>
      <c r="G305" s="654"/>
      <c r="H305" s="905">
        <v>3000000</v>
      </c>
      <c r="I305" s="905">
        <f>H305</f>
        <v>3000000</v>
      </c>
      <c r="J305" s="909"/>
      <c r="K305" s="911">
        <v>3000000</v>
      </c>
      <c r="L305" s="946">
        <f>K305-I305</f>
        <v>0</v>
      </c>
    </row>
    <row r="306" spans="1:14" ht="13.5" thickBot="1">
      <c r="A306" s="992"/>
      <c r="B306" s="956"/>
      <c r="C306" s="913"/>
      <c r="D306" s="659"/>
      <c r="E306" s="878"/>
      <c r="F306" s="828"/>
      <c r="G306" s="829"/>
      <c r="H306" s="915"/>
      <c r="I306" s="982"/>
      <c r="J306" s="917"/>
      <c r="K306" s="919"/>
      <c r="L306" s="950"/>
    </row>
    <row r="307" spans="1:14">
      <c r="A307" s="992">
        <v>151</v>
      </c>
      <c r="B307" s="968" t="s">
        <v>2068</v>
      </c>
      <c r="C307" s="969" t="s">
        <v>2080</v>
      </c>
      <c r="D307" s="970" t="s">
        <v>2079</v>
      </c>
      <c r="E307" s="968" t="s">
        <v>20</v>
      </c>
      <c r="F307" s="971"/>
      <c r="G307" s="972"/>
      <c r="H307" s="973">
        <f>I307/J307</f>
        <v>39084.507042253521</v>
      </c>
      <c r="I307" s="973">
        <v>11100000</v>
      </c>
      <c r="J307" s="974">
        <v>284</v>
      </c>
      <c r="K307" s="966">
        <v>11100000</v>
      </c>
      <c r="L307" s="967">
        <f>K307-I307</f>
        <v>0</v>
      </c>
    </row>
    <row r="308" spans="1:14" ht="13.5" thickBot="1">
      <c r="A308" s="992"/>
      <c r="B308" s="865"/>
      <c r="C308" s="904"/>
      <c r="D308" s="658"/>
      <c r="E308" s="865"/>
      <c r="F308" s="655"/>
      <c r="G308" s="656"/>
      <c r="H308" s="905"/>
      <c r="I308" s="906"/>
      <c r="J308" s="910"/>
      <c r="K308" s="911"/>
      <c r="L308" s="946"/>
    </row>
    <row r="309" spans="1:14">
      <c r="A309" s="991">
        <v>152</v>
      </c>
      <c r="B309" s="955"/>
      <c r="C309" s="904" t="s">
        <v>334</v>
      </c>
      <c r="D309" s="674" t="s">
        <v>2072</v>
      </c>
      <c r="E309" s="865" t="s">
        <v>1961</v>
      </c>
      <c r="F309" s="653"/>
      <c r="G309" s="654"/>
      <c r="H309" s="905">
        <v>2000000</v>
      </c>
      <c r="I309" s="905">
        <f>H309</f>
        <v>2000000</v>
      </c>
      <c r="J309" s="909"/>
      <c r="K309" s="911">
        <v>2000000</v>
      </c>
      <c r="L309" s="946">
        <f>K309-I309</f>
        <v>0</v>
      </c>
    </row>
    <row r="310" spans="1:14" ht="13.5" thickBot="1">
      <c r="A310" s="992"/>
      <c r="B310" s="962"/>
      <c r="C310" s="938"/>
      <c r="D310" s="963"/>
      <c r="E310" s="937"/>
      <c r="F310" s="964"/>
      <c r="G310" s="965"/>
      <c r="H310" s="942"/>
      <c r="I310" s="943"/>
      <c r="J310" s="944"/>
      <c r="K310" s="945"/>
      <c r="L310" s="947"/>
    </row>
    <row r="311" spans="1:14">
      <c r="A311" s="992">
        <v>153</v>
      </c>
      <c r="B311" s="879" t="s">
        <v>2069</v>
      </c>
      <c r="C311" s="914" t="s">
        <v>2081</v>
      </c>
      <c r="D311" s="660" t="s">
        <v>2079</v>
      </c>
      <c r="E311" s="879" t="s">
        <v>20</v>
      </c>
      <c r="F311" s="828"/>
      <c r="G311" s="829"/>
      <c r="H311" s="916">
        <f>I311/J311</f>
        <v>39084.507042253521</v>
      </c>
      <c r="I311" s="916">
        <v>11100000</v>
      </c>
      <c r="J311" s="949">
        <v>284</v>
      </c>
      <c r="K311" s="920">
        <v>11100000</v>
      </c>
      <c r="L311" s="901">
        <f>K311-I311</f>
        <v>0</v>
      </c>
      <c r="M311" t="s">
        <v>2071</v>
      </c>
    </row>
    <row r="312" spans="1:14" ht="13.5" thickBot="1">
      <c r="A312" s="992"/>
      <c r="B312" s="865"/>
      <c r="C312" s="904"/>
      <c r="D312" s="658"/>
      <c r="E312" s="865"/>
      <c r="F312" s="655"/>
      <c r="G312" s="656"/>
      <c r="H312" s="905"/>
      <c r="I312" s="906"/>
      <c r="J312" s="910"/>
      <c r="K312" s="911"/>
      <c r="L312" s="903"/>
    </row>
    <row r="313" spans="1:14" ht="12.75" customHeight="1">
      <c r="A313" s="991">
        <v>154</v>
      </c>
      <c r="B313" s="955"/>
      <c r="C313" s="904" t="s">
        <v>335</v>
      </c>
      <c r="D313" s="674" t="s">
        <v>2072</v>
      </c>
      <c r="E313" s="865" t="s">
        <v>1745</v>
      </c>
      <c r="F313" s="653"/>
      <c r="G313" s="654"/>
      <c r="H313" s="905">
        <v>900000</v>
      </c>
      <c r="I313" s="905">
        <f>H313</f>
        <v>900000</v>
      </c>
      <c r="J313" s="909"/>
      <c r="K313" s="911">
        <v>900000</v>
      </c>
      <c r="L313" s="903">
        <f>K313-I313</f>
        <v>0</v>
      </c>
    </row>
    <row r="314" spans="1:14" ht="12.75" customHeight="1">
      <c r="A314" s="992"/>
      <c r="B314" s="955"/>
      <c r="C314" s="904"/>
      <c r="D314" s="674"/>
      <c r="E314" s="865"/>
      <c r="F314" s="655"/>
      <c r="G314" s="656"/>
      <c r="H314" s="905"/>
      <c r="I314" s="906"/>
      <c r="J314" s="910"/>
      <c r="K314" s="911"/>
      <c r="L314" s="903"/>
    </row>
    <row r="315" spans="1:14" ht="12.75" customHeight="1">
      <c r="A315" s="992">
        <v>155</v>
      </c>
      <c r="B315" s="865"/>
      <c r="C315" s="904" t="s">
        <v>336</v>
      </c>
      <c r="D315" s="674" t="s">
        <v>2072</v>
      </c>
      <c r="E315" s="865" t="s">
        <v>2040</v>
      </c>
      <c r="F315" s="653"/>
      <c r="G315" s="654"/>
      <c r="H315" s="905">
        <v>750000</v>
      </c>
      <c r="I315" s="905">
        <v>750000</v>
      </c>
      <c r="J315" s="909"/>
      <c r="K315" s="911">
        <v>750000</v>
      </c>
      <c r="L315" s="903">
        <f>K315-I315</f>
        <v>0</v>
      </c>
    </row>
    <row r="316" spans="1:14" ht="13.5" customHeight="1" thickBot="1">
      <c r="A316" s="992"/>
      <c r="B316" s="865"/>
      <c r="C316" s="904"/>
      <c r="D316" s="674"/>
      <c r="E316" s="865"/>
      <c r="F316" s="655"/>
      <c r="G316" s="656"/>
      <c r="H316" s="905"/>
      <c r="I316" s="906"/>
      <c r="J316" s="910"/>
      <c r="K316" s="911"/>
      <c r="L316" s="903"/>
    </row>
    <row r="317" spans="1:14" ht="21.75" customHeight="1" thickBot="1">
      <c r="A317" s="952" t="s">
        <v>329</v>
      </c>
      <c r="B317" s="953"/>
      <c r="C317" s="953"/>
      <c r="D317" s="953"/>
      <c r="E317" s="953"/>
      <c r="F317" s="953"/>
      <c r="G317" s="953"/>
      <c r="H317" s="953"/>
      <c r="I317" s="953"/>
      <c r="J317" s="953"/>
      <c r="K317" s="953"/>
      <c r="L317" s="954"/>
      <c r="M317" s="5">
        <f>SUM(I295,I297,I309,I313:I316,I318:I387,I394,I390)</f>
        <v>202916100</v>
      </c>
      <c r="N317" s="533">
        <f>SUM(L320,L322,L328:L459)</f>
        <v>0</v>
      </c>
    </row>
    <row r="318" spans="1:14">
      <c r="A318" s="924">
        <v>156</v>
      </c>
      <c r="B318" s="1026" t="s">
        <v>2084</v>
      </c>
      <c r="C318" s="904" t="s">
        <v>2086</v>
      </c>
      <c r="D318" s="658" t="s">
        <v>2085</v>
      </c>
      <c r="E318" s="865" t="s">
        <v>239</v>
      </c>
      <c r="F318" s="653"/>
      <c r="G318" s="654"/>
      <c r="H318" s="905">
        <f>I318/J318</f>
        <v>39856.373429084379</v>
      </c>
      <c r="I318" s="905">
        <v>11100000</v>
      </c>
      <c r="J318" s="909">
        <v>278.5</v>
      </c>
      <c r="K318" s="911">
        <v>11100000</v>
      </c>
      <c r="L318" s="903">
        <f>K318-I318</f>
        <v>0</v>
      </c>
      <c r="M318" s="5">
        <f>SUM(H309,H313,H315,H297,H295,H318:H391,H394)</f>
        <v>70812430.37342909</v>
      </c>
    </row>
    <row r="319" spans="1:14">
      <c r="A319" s="924"/>
      <c r="B319" s="1026"/>
      <c r="C319" s="904"/>
      <c r="D319" s="658"/>
      <c r="E319" s="865"/>
      <c r="F319" s="655"/>
      <c r="G319" s="656"/>
      <c r="H319" s="905"/>
      <c r="I319" s="906"/>
      <c r="J319" s="910"/>
      <c r="K319" s="911"/>
      <c r="L319" s="903"/>
    </row>
    <row r="320" spans="1:14">
      <c r="A320" s="924">
        <v>157</v>
      </c>
      <c r="B320" s="955"/>
      <c r="C320" s="904" t="s">
        <v>337</v>
      </c>
      <c r="D320" s="658" t="s">
        <v>2088</v>
      </c>
      <c r="E320" s="865" t="s">
        <v>2087</v>
      </c>
      <c r="F320" s="653"/>
      <c r="G320" s="654"/>
      <c r="H320" s="905">
        <v>7500000</v>
      </c>
      <c r="I320" s="905">
        <f>H320</f>
        <v>7500000</v>
      </c>
      <c r="J320" s="909"/>
      <c r="K320" s="911">
        <v>7500000</v>
      </c>
      <c r="L320" s="903">
        <f>K320-I320</f>
        <v>0</v>
      </c>
    </row>
    <row r="321" spans="1:14" ht="13.5" thickBot="1">
      <c r="A321" s="924"/>
      <c r="B321" s="955"/>
      <c r="C321" s="904"/>
      <c r="D321" s="658"/>
      <c r="E321" s="878"/>
      <c r="F321" s="655"/>
      <c r="G321" s="656"/>
      <c r="H321" s="905"/>
      <c r="I321" s="906"/>
      <c r="J321" s="910"/>
      <c r="K321" s="911"/>
      <c r="L321" s="903"/>
    </row>
    <row r="322" spans="1:14">
      <c r="A322" s="924">
        <v>158</v>
      </c>
      <c r="B322" s="968" t="s">
        <v>2078</v>
      </c>
      <c r="C322" s="969" t="s">
        <v>2090</v>
      </c>
      <c r="D322" s="970" t="s">
        <v>2091</v>
      </c>
      <c r="E322" s="968" t="s">
        <v>239</v>
      </c>
      <c r="F322" s="971"/>
      <c r="G322" s="972"/>
      <c r="H322" s="973">
        <v>38420</v>
      </c>
      <c r="I322" s="973">
        <v>10700000</v>
      </c>
      <c r="J322" s="974">
        <v>278.5</v>
      </c>
      <c r="K322" s="966">
        <v>10700000</v>
      </c>
      <c r="L322" s="967">
        <f>K322-I322</f>
        <v>0</v>
      </c>
    </row>
    <row r="323" spans="1:14">
      <c r="A323" s="924"/>
      <c r="B323" s="865"/>
      <c r="C323" s="904"/>
      <c r="D323" s="658"/>
      <c r="E323" s="865"/>
      <c r="F323" s="655"/>
      <c r="G323" s="656"/>
      <c r="H323" s="905"/>
      <c r="I323" s="906"/>
      <c r="J323" s="910"/>
      <c r="K323" s="911"/>
      <c r="L323" s="946"/>
      <c r="N323" s="936"/>
    </row>
    <row r="324" spans="1:14">
      <c r="A324" s="924">
        <v>159</v>
      </c>
      <c r="B324" s="955"/>
      <c r="C324" s="904" t="s">
        <v>338</v>
      </c>
      <c r="D324" s="658" t="s">
        <v>2092</v>
      </c>
      <c r="E324" s="865" t="s">
        <v>1140</v>
      </c>
      <c r="F324" s="653"/>
      <c r="G324" s="654"/>
      <c r="H324" s="905">
        <v>5000000</v>
      </c>
      <c r="I324" s="905">
        <v>5000000</v>
      </c>
      <c r="J324" s="909"/>
      <c r="K324" s="911">
        <v>5000000</v>
      </c>
      <c r="L324" s="946">
        <f>K324-I324</f>
        <v>0</v>
      </c>
      <c r="N324" s="936"/>
    </row>
    <row r="325" spans="1:14">
      <c r="A325" s="924"/>
      <c r="B325" s="955"/>
      <c r="C325" s="904"/>
      <c r="D325" s="658"/>
      <c r="E325" s="865"/>
      <c r="F325" s="655"/>
      <c r="G325" s="656"/>
      <c r="H325" s="905"/>
      <c r="I325" s="906"/>
      <c r="J325" s="910"/>
      <c r="K325" s="911"/>
      <c r="L325" s="946"/>
    </row>
    <row r="326" spans="1:14">
      <c r="A326" s="924">
        <v>160</v>
      </c>
      <c r="B326" s="865"/>
      <c r="C326" s="904" t="s">
        <v>348</v>
      </c>
      <c r="D326" s="658" t="s">
        <v>2092</v>
      </c>
      <c r="E326" s="865" t="s">
        <v>2089</v>
      </c>
      <c r="F326" s="653"/>
      <c r="G326" s="654"/>
      <c r="H326" s="905">
        <v>4800000</v>
      </c>
      <c r="I326" s="905">
        <f>H326</f>
        <v>4800000</v>
      </c>
      <c r="J326" s="909"/>
      <c r="K326" s="911">
        <v>4800000</v>
      </c>
      <c r="L326" s="946">
        <f>K326-I326</f>
        <v>0</v>
      </c>
      <c r="M326" t="s">
        <v>2124</v>
      </c>
    </row>
    <row r="327" spans="1:14" ht="13.5" thickBot="1">
      <c r="A327" s="924"/>
      <c r="B327" s="937"/>
      <c r="C327" s="938"/>
      <c r="D327" s="939"/>
      <c r="E327" s="937"/>
      <c r="F327" s="964"/>
      <c r="G327" s="965"/>
      <c r="H327" s="942"/>
      <c r="I327" s="943"/>
      <c r="J327" s="944"/>
      <c r="K327" s="945"/>
      <c r="L327" s="947"/>
    </row>
    <row r="328" spans="1:14">
      <c r="A328" s="924">
        <v>161</v>
      </c>
      <c r="B328" s="968" t="s">
        <v>2082</v>
      </c>
      <c r="C328" s="969" t="s">
        <v>2105</v>
      </c>
      <c r="D328" s="970" t="s">
        <v>2100</v>
      </c>
      <c r="E328" s="968" t="s">
        <v>20</v>
      </c>
      <c r="F328" s="971"/>
      <c r="G328" s="972"/>
      <c r="H328" s="973">
        <v>39572</v>
      </c>
      <c r="I328" s="973">
        <v>11100000</v>
      </c>
      <c r="J328" s="974">
        <v>280.5</v>
      </c>
      <c r="K328" s="966">
        <v>11100000</v>
      </c>
      <c r="L328" s="967">
        <f>K328-I328</f>
        <v>0</v>
      </c>
    </row>
    <row r="329" spans="1:14">
      <c r="A329" s="924"/>
      <c r="B329" s="865"/>
      <c r="C329" s="904"/>
      <c r="D329" s="658"/>
      <c r="E329" s="865"/>
      <c r="F329" s="655"/>
      <c r="G329" s="656"/>
      <c r="H329" s="905"/>
      <c r="I329" s="906"/>
      <c r="J329" s="910"/>
      <c r="K329" s="911"/>
      <c r="L329" s="946"/>
    </row>
    <row r="330" spans="1:14">
      <c r="A330" s="924">
        <v>162</v>
      </c>
      <c r="B330" s="955"/>
      <c r="C330" s="904" t="s">
        <v>360</v>
      </c>
      <c r="D330" s="658" t="s">
        <v>2158</v>
      </c>
      <c r="E330" s="990" t="s">
        <v>2094</v>
      </c>
      <c r="F330" s="940"/>
      <c r="G330" s="940"/>
      <c r="H330" s="905">
        <v>2000000</v>
      </c>
      <c r="I330" s="905">
        <f>H330</f>
        <v>2000000</v>
      </c>
      <c r="J330" s="909"/>
      <c r="K330" s="911">
        <v>2000000</v>
      </c>
      <c r="L330" s="946">
        <f>K330-I330</f>
        <v>0</v>
      </c>
    </row>
    <row r="331" spans="1:14">
      <c r="A331" s="924"/>
      <c r="B331" s="955"/>
      <c r="C331" s="904"/>
      <c r="D331" s="658"/>
      <c r="E331" s="990"/>
      <c r="F331" s="940"/>
      <c r="G331" s="940"/>
      <c r="H331" s="905"/>
      <c r="I331" s="906"/>
      <c r="J331" s="910"/>
      <c r="K331" s="911"/>
      <c r="L331" s="946"/>
    </row>
    <row r="332" spans="1:14">
      <c r="A332" s="924">
        <v>163</v>
      </c>
      <c r="B332" s="865"/>
      <c r="C332" s="904" t="s">
        <v>361</v>
      </c>
      <c r="D332" s="658" t="s">
        <v>2158</v>
      </c>
      <c r="E332" s="865" t="s">
        <v>2106</v>
      </c>
      <c r="F332" s="940"/>
      <c r="G332" s="940"/>
      <c r="H332" s="905">
        <v>3000000</v>
      </c>
      <c r="I332" s="905">
        <f>H332</f>
        <v>3000000</v>
      </c>
      <c r="J332" s="909"/>
      <c r="K332" s="911">
        <v>3000000</v>
      </c>
      <c r="L332" s="946">
        <f>K332-I332</f>
        <v>0</v>
      </c>
      <c r="M332" t="s">
        <v>2125</v>
      </c>
    </row>
    <row r="333" spans="1:14" ht="13.5" thickBot="1">
      <c r="A333" s="924"/>
      <c r="B333" s="937"/>
      <c r="C333" s="938"/>
      <c r="D333" s="939"/>
      <c r="E333" s="937"/>
      <c r="F333" s="941"/>
      <c r="G333" s="941"/>
      <c r="H333" s="942"/>
      <c r="I333" s="943"/>
      <c r="J333" s="944"/>
      <c r="K333" s="945"/>
      <c r="L333" s="947"/>
    </row>
    <row r="334" spans="1:14" ht="12.75" customHeight="1">
      <c r="A334" s="924">
        <v>164</v>
      </c>
      <c r="B334" s="983" t="s">
        <v>2167</v>
      </c>
      <c r="C334" s="986" t="s">
        <v>2101</v>
      </c>
      <c r="D334" s="987" t="s">
        <v>2100</v>
      </c>
      <c r="E334" s="983" t="s">
        <v>239</v>
      </c>
      <c r="F334" s="828"/>
      <c r="G334" s="829"/>
      <c r="H334" s="988">
        <v>37676</v>
      </c>
      <c r="I334" s="988">
        <v>10700000</v>
      </c>
      <c r="J334" s="989">
        <v>284</v>
      </c>
      <c r="K334" s="984">
        <v>10700000</v>
      </c>
      <c r="L334" s="985">
        <f>K334-I334</f>
        <v>0</v>
      </c>
    </row>
    <row r="335" spans="1:14" ht="12.75" customHeight="1">
      <c r="A335" s="924"/>
      <c r="B335" s="879"/>
      <c r="C335" s="914"/>
      <c r="D335" s="660"/>
      <c r="E335" s="879"/>
      <c r="F335" s="655"/>
      <c r="G335" s="656"/>
      <c r="H335" s="916"/>
      <c r="I335" s="916"/>
      <c r="J335" s="949"/>
      <c r="K335" s="920"/>
      <c r="L335" s="951"/>
    </row>
    <row r="336" spans="1:14">
      <c r="A336" s="924">
        <v>165</v>
      </c>
      <c r="B336" s="955"/>
      <c r="C336" s="904" t="s">
        <v>350</v>
      </c>
      <c r="D336" s="658" t="s">
        <v>2095</v>
      </c>
      <c r="E336" s="865" t="s">
        <v>1919</v>
      </c>
      <c r="F336" s="653"/>
      <c r="G336" s="654"/>
      <c r="H336" s="905">
        <f>100*15000</f>
        <v>1500000</v>
      </c>
      <c r="I336" s="905">
        <f>H336</f>
        <v>1500000</v>
      </c>
      <c r="J336" s="909"/>
      <c r="K336" s="911">
        <v>1500000</v>
      </c>
      <c r="L336" s="946">
        <f>K336-I336</f>
        <v>0</v>
      </c>
    </row>
    <row r="337" spans="1:13" ht="13.5" thickBot="1">
      <c r="A337" s="924"/>
      <c r="B337" s="962"/>
      <c r="C337" s="938"/>
      <c r="D337" s="939"/>
      <c r="E337" s="937"/>
      <c r="F337" s="964"/>
      <c r="G337" s="965"/>
      <c r="H337" s="942"/>
      <c r="I337" s="943"/>
      <c r="J337" s="944"/>
      <c r="K337" s="945"/>
      <c r="L337" s="947"/>
    </row>
    <row r="338" spans="1:13">
      <c r="A338" s="924">
        <v>166</v>
      </c>
      <c r="B338" s="968" t="s">
        <v>2166</v>
      </c>
      <c r="C338" s="969" t="s">
        <v>2103</v>
      </c>
      <c r="D338" s="970" t="s">
        <v>2100</v>
      </c>
      <c r="E338" s="983" t="s">
        <v>239</v>
      </c>
      <c r="F338" s="971"/>
      <c r="G338" s="972"/>
      <c r="H338" s="973">
        <v>39085</v>
      </c>
      <c r="I338" s="973">
        <v>11100000</v>
      </c>
      <c r="J338" s="974">
        <v>284</v>
      </c>
      <c r="K338" s="966">
        <v>11100000</v>
      </c>
      <c r="L338" s="967">
        <f>K338-I338</f>
        <v>0</v>
      </c>
    </row>
    <row r="339" spans="1:13">
      <c r="A339" s="924"/>
      <c r="B339" s="865"/>
      <c r="C339" s="904"/>
      <c r="D339" s="658"/>
      <c r="E339" s="879"/>
      <c r="F339" s="655"/>
      <c r="G339" s="656"/>
      <c r="H339" s="905"/>
      <c r="I339" s="906"/>
      <c r="J339" s="910"/>
      <c r="K339" s="911"/>
      <c r="L339" s="946"/>
    </row>
    <row r="340" spans="1:13">
      <c r="A340" s="924">
        <v>167</v>
      </c>
      <c r="B340" s="955"/>
      <c r="C340" s="904" t="s">
        <v>358</v>
      </c>
      <c r="D340" s="658" t="s">
        <v>2095</v>
      </c>
      <c r="E340" s="865" t="s">
        <v>2104</v>
      </c>
      <c r="F340" s="653"/>
      <c r="G340" s="654"/>
      <c r="H340" s="905">
        <v>5000000</v>
      </c>
      <c r="I340" s="905">
        <v>5000000</v>
      </c>
      <c r="J340" s="909"/>
      <c r="K340" s="911">
        <v>5000000</v>
      </c>
      <c r="L340" s="946">
        <f>K340-I340</f>
        <v>0</v>
      </c>
      <c r="M340" s="558">
        <v>42164</v>
      </c>
    </row>
    <row r="341" spans="1:13" ht="13.5" thickBot="1">
      <c r="A341" s="924"/>
      <c r="B341" s="962"/>
      <c r="C341" s="938"/>
      <c r="D341" s="939"/>
      <c r="E341" s="937"/>
      <c r="F341" s="964"/>
      <c r="G341" s="965"/>
      <c r="H341" s="942"/>
      <c r="I341" s="943"/>
      <c r="J341" s="944"/>
      <c r="K341" s="945"/>
      <c r="L341" s="947"/>
    </row>
    <row r="342" spans="1:13">
      <c r="A342" s="924">
        <v>168</v>
      </c>
      <c r="B342" s="865" t="s">
        <v>2093</v>
      </c>
      <c r="C342" s="904" t="s">
        <v>2109</v>
      </c>
      <c r="D342" s="658" t="s">
        <v>2110</v>
      </c>
      <c r="E342" s="983" t="s">
        <v>239</v>
      </c>
      <c r="F342" s="653"/>
      <c r="G342" s="654"/>
      <c r="H342" s="905">
        <v>38011</v>
      </c>
      <c r="I342" s="905">
        <v>10700000</v>
      </c>
      <c r="J342" s="909">
        <v>281.5</v>
      </c>
      <c r="K342" s="911">
        <v>10700000</v>
      </c>
      <c r="L342" s="903">
        <f>K342-I342</f>
        <v>0</v>
      </c>
    </row>
    <row r="343" spans="1:13">
      <c r="A343" s="924"/>
      <c r="B343" s="865"/>
      <c r="C343" s="904"/>
      <c r="D343" s="658"/>
      <c r="E343" s="879"/>
      <c r="F343" s="655"/>
      <c r="G343" s="656"/>
      <c r="H343" s="905"/>
      <c r="I343" s="906"/>
      <c r="J343" s="910"/>
      <c r="K343" s="911"/>
      <c r="L343" s="903"/>
    </row>
    <row r="344" spans="1:13">
      <c r="A344" s="924">
        <v>169</v>
      </c>
      <c r="B344" s="955"/>
      <c r="C344" s="904" t="s">
        <v>363</v>
      </c>
      <c r="D344" s="658" t="s">
        <v>2108</v>
      </c>
      <c r="E344" s="865" t="s">
        <v>1457</v>
      </c>
      <c r="F344" s="653"/>
      <c r="G344" s="654"/>
      <c r="H344" s="905">
        <v>2000000</v>
      </c>
      <c r="I344" s="905">
        <f>H344</f>
        <v>2000000</v>
      </c>
      <c r="J344" s="909"/>
      <c r="K344" s="911">
        <v>2000000</v>
      </c>
      <c r="L344" s="903">
        <f>K344-I344</f>
        <v>0</v>
      </c>
    </row>
    <row r="345" spans="1:13">
      <c r="A345" s="924"/>
      <c r="B345" s="955"/>
      <c r="C345" s="904"/>
      <c r="D345" s="658"/>
      <c r="E345" s="865"/>
      <c r="F345" s="655"/>
      <c r="G345" s="656"/>
      <c r="H345" s="905"/>
      <c r="I345" s="906"/>
      <c r="J345" s="910"/>
      <c r="K345" s="911"/>
      <c r="L345" s="903"/>
    </row>
    <row r="346" spans="1:13">
      <c r="A346" s="924">
        <v>170</v>
      </c>
      <c r="B346" s="865"/>
      <c r="C346" s="904" t="s">
        <v>382</v>
      </c>
      <c r="D346" s="658" t="s">
        <v>2108</v>
      </c>
      <c r="E346" s="865" t="s">
        <v>2107</v>
      </c>
      <c r="F346" s="653"/>
      <c r="G346" s="654"/>
      <c r="H346" s="905">
        <v>450000</v>
      </c>
      <c r="I346" s="905">
        <f>H346</f>
        <v>450000</v>
      </c>
      <c r="J346" s="909"/>
      <c r="K346" s="911">
        <v>450000</v>
      </c>
      <c r="L346" s="903">
        <f>K346-I346</f>
        <v>0</v>
      </c>
    </row>
    <row r="347" spans="1:13">
      <c r="A347" s="924"/>
      <c r="B347" s="865"/>
      <c r="C347" s="904"/>
      <c r="D347" s="658"/>
      <c r="E347" s="865"/>
      <c r="F347" s="655"/>
      <c r="G347" s="656"/>
      <c r="H347" s="905"/>
      <c r="I347" s="906"/>
      <c r="J347" s="910"/>
      <c r="K347" s="911"/>
      <c r="L347" s="903"/>
    </row>
    <row r="348" spans="1:13">
      <c r="A348" s="924">
        <v>171</v>
      </c>
      <c r="B348" s="955"/>
      <c r="C348" s="904" t="s">
        <v>366</v>
      </c>
      <c r="D348" s="658" t="s">
        <v>2108</v>
      </c>
      <c r="E348" s="865" t="s">
        <v>697</v>
      </c>
      <c r="F348" s="653"/>
      <c r="G348" s="654"/>
      <c r="H348" s="905">
        <v>900000</v>
      </c>
      <c r="I348" s="905">
        <f>H348</f>
        <v>900000</v>
      </c>
      <c r="J348" s="909"/>
      <c r="K348" s="911">
        <v>900000</v>
      </c>
      <c r="L348" s="903">
        <f>K348-I348</f>
        <v>0</v>
      </c>
    </row>
    <row r="349" spans="1:13" ht="13.5" thickBot="1">
      <c r="A349" s="924"/>
      <c r="B349" s="956"/>
      <c r="C349" s="913"/>
      <c r="D349" s="659"/>
      <c r="E349" s="878"/>
      <c r="F349" s="828"/>
      <c r="G349" s="829"/>
      <c r="H349" s="915"/>
      <c r="I349" s="982"/>
      <c r="J349" s="917"/>
      <c r="K349" s="919"/>
      <c r="L349" s="900"/>
    </row>
    <row r="350" spans="1:13">
      <c r="A350" s="924">
        <v>172</v>
      </c>
      <c r="B350" s="968" t="s">
        <v>2096</v>
      </c>
      <c r="C350" s="969" t="s">
        <v>1310</v>
      </c>
      <c r="D350" s="970" t="s">
        <v>2095</v>
      </c>
      <c r="E350" s="968" t="s">
        <v>8</v>
      </c>
      <c r="F350" s="971"/>
      <c r="G350" s="972"/>
      <c r="H350" s="973">
        <v>849600</v>
      </c>
      <c r="I350" s="973">
        <f>H350</f>
        <v>849600</v>
      </c>
      <c r="J350" s="974"/>
      <c r="K350" s="966">
        <v>849600</v>
      </c>
      <c r="L350" s="967">
        <f>K350-I350</f>
        <v>0</v>
      </c>
    </row>
    <row r="351" spans="1:13">
      <c r="A351" s="924"/>
      <c r="B351" s="865"/>
      <c r="C351" s="904"/>
      <c r="D351" s="658"/>
      <c r="E351" s="865"/>
      <c r="F351" s="655"/>
      <c r="G351" s="656"/>
      <c r="H351" s="905"/>
      <c r="I351" s="906"/>
      <c r="J351" s="910"/>
      <c r="K351" s="911"/>
      <c r="L351" s="946"/>
    </row>
    <row r="352" spans="1:13">
      <c r="A352" s="924">
        <v>173</v>
      </c>
      <c r="B352" s="955"/>
      <c r="C352" s="904"/>
      <c r="D352" s="658"/>
      <c r="E352" s="865"/>
      <c r="F352" s="653"/>
      <c r="G352" s="654"/>
      <c r="H352" s="905"/>
      <c r="I352" s="905"/>
      <c r="J352" s="909"/>
      <c r="K352" s="911"/>
      <c r="L352" s="946"/>
    </row>
    <row r="353" spans="1:12" ht="13.5" thickBot="1">
      <c r="A353" s="924"/>
      <c r="B353" s="962"/>
      <c r="C353" s="938"/>
      <c r="D353" s="939"/>
      <c r="E353" s="937"/>
      <c r="F353" s="964"/>
      <c r="G353" s="965"/>
      <c r="H353" s="942"/>
      <c r="I353" s="943"/>
      <c r="J353" s="944"/>
      <c r="K353" s="945"/>
      <c r="L353" s="947"/>
    </row>
    <row r="354" spans="1:12">
      <c r="A354" s="924">
        <v>174</v>
      </c>
      <c r="B354" s="968" t="s">
        <v>2097</v>
      </c>
      <c r="C354" s="969" t="s">
        <v>359</v>
      </c>
      <c r="D354" s="970" t="s">
        <v>2095</v>
      </c>
      <c r="E354" s="968" t="s">
        <v>1095</v>
      </c>
      <c r="F354" s="971"/>
      <c r="G354" s="972"/>
      <c r="H354" s="973">
        <v>845300</v>
      </c>
      <c r="I354" s="973">
        <f>H354</f>
        <v>845300</v>
      </c>
      <c r="J354" s="974"/>
      <c r="K354" s="966">
        <v>845300</v>
      </c>
      <c r="L354" s="967">
        <f>K354-I354</f>
        <v>0</v>
      </c>
    </row>
    <row r="355" spans="1:12">
      <c r="A355" s="924"/>
      <c r="B355" s="865"/>
      <c r="C355" s="904"/>
      <c r="D355" s="658"/>
      <c r="E355" s="865"/>
      <c r="F355" s="655"/>
      <c r="G355" s="656"/>
      <c r="H355" s="905"/>
      <c r="I355" s="906"/>
      <c r="J355" s="910"/>
      <c r="K355" s="911"/>
      <c r="L355" s="946"/>
    </row>
    <row r="356" spans="1:12">
      <c r="A356" s="924">
        <v>175</v>
      </c>
      <c r="B356" s="955"/>
      <c r="C356" s="904"/>
      <c r="D356" s="658"/>
      <c r="E356" s="865"/>
      <c r="F356" s="653"/>
      <c r="G356" s="654"/>
      <c r="H356" s="905"/>
      <c r="I356" s="905"/>
      <c r="J356" s="909"/>
      <c r="K356" s="911"/>
      <c r="L356" s="946"/>
    </row>
    <row r="357" spans="1:12" ht="13.5" thickBot="1">
      <c r="A357" s="924"/>
      <c r="B357" s="962"/>
      <c r="C357" s="938"/>
      <c r="D357" s="939"/>
      <c r="E357" s="937"/>
      <c r="F357" s="964"/>
      <c r="G357" s="965"/>
      <c r="H357" s="942"/>
      <c r="I357" s="943"/>
      <c r="J357" s="944"/>
      <c r="K357" s="945"/>
      <c r="L357" s="947"/>
    </row>
    <row r="358" spans="1:12">
      <c r="A358" s="924">
        <v>176</v>
      </c>
      <c r="B358" s="968" t="s">
        <v>2098</v>
      </c>
      <c r="C358" s="969" t="s">
        <v>2115</v>
      </c>
      <c r="D358" s="970" t="s">
        <v>2108</v>
      </c>
      <c r="E358" s="968" t="s">
        <v>20</v>
      </c>
      <c r="F358" s="971"/>
      <c r="G358" s="972"/>
      <c r="H358" s="973">
        <v>37347</v>
      </c>
      <c r="I358" s="973">
        <v>10700000</v>
      </c>
      <c r="J358" s="974"/>
      <c r="K358" s="966">
        <v>10700000</v>
      </c>
      <c r="L358" s="967">
        <f>K358-I358</f>
        <v>0</v>
      </c>
    </row>
    <row r="359" spans="1:12">
      <c r="A359" s="924"/>
      <c r="B359" s="865"/>
      <c r="C359" s="904"/>
      <c r="D359" s="658"/>
      <c r="E359" s="865"/>
      <c r="F359" s="655"/>
      <c r="G359" s="656"/>
      <c r="H359" s="905"/>
      <c r="I359" s="906"/>
      <c r="J359" s="910"/>
      <c r="K359" s="911"/>
      <c r="L359" s="946"/>
    </row>
    <row r="360" spans="1:12">
      <c r="A360" s="924">
        <v>177</v>
      </c>
      <c r="B360" s="955"/>
      <c r="C360" s="904" t="s">
        <v>367</v>
      </c>
      <c r="D360" s="658" t="s">
        <v>2116</v>
      </c>
      <c r="E360" s="865" t="s">
        <v>2117</v>
      </c>
      <c r="F360" s="653"/>
      <c r="G360" s="654"/>
      <c r="H360" s="905">
        <v>4400000</v>
      </c>
      <c r="I360" s="905">
        <f>H360</f>
        <v>4400000</v>
      </c>
      <c r="J360" s="909"/>
      <c r="K360" s="911">
        <v>4400000</v>
      </c>
      <c r="L360" s="946">
        <f>K360-I360</f>
        <v>0</v>
      </c>
    </row>
    <row r="361" spans="1:12" ht="13.5" thickBot="1">
      <c r="A361" s="924"/>
      <c r="B361" s="955"/>
      <c r="C361" s="904"/>
      <c r="D361" s="658"/>
      <c r="E361" s="865"/>
      <c r="F361" s="655"/>
      <c r="G361" s="656"/>
      <c r="H361" s="905"/>
      <c r="I361" s="906"/>
      <c r="J361" s="910"/>
      <c r="K361" s="911"/>
      <c r="L361" s="946"/>
    </row>
    <row r="362" spans="1:12">
      <c r="A362" s="924">
        <v>178</v>
      </c>
      <c r="B362" s="968" t="s">
        <v>2099</v>
      </c>
      <c r="C362" s="969" t="s">
        <v>2128</v>
      </c>
      <c r="D362" s="970" t="s">
        <v>2113</v>
      </c>
      <c r="E362" s="968" t="s">
        <v>20</v>
      </c>
      <c r="F362" s="971"/>
      <c r="G362" s="972"/>
      <c r="H362" s="973">
        <v>37809</v>
      </c>
      <c r="I362" s="973">
        <v>10700000</v>
      </c>
      <c r="J362" s="974">
        <v>283</v>
      </c>
      <c r="K362" s="966">
        <v>10700000</v>
      </c>
      <c r="L362" s="967">
        <f>K362-I362</f>
        <v>0</v>
      </c>
    </row>
    <row r="363" spans="1:12">
      <c r="A363" s="924"/>
      <c r="B363" s="865"/>
      <c r="C363" s="904"/>
      <c r="D363" s="658"/>
      <c r="E363" s="865"/>
      <c r="F363" s="655"/>
      <c r="G363" s="656"/>
      <c r="H363" s="905"/>
      <c r="I363" s="906"/>
      <c r="J363" s="910"/>
      <c r="K363" s="911"/>
      <c r="L363" s="946"/>
    </row>
    <row r="364" spans="1:12">
      <c r="A364" s="924">
        <v>179</v>
      </c>
      <c r="B364" s="955"/>
      <c r="C364" s="904" t="s">
        <v>403</v>
      </c>
      <c r="D364" s="658" t="s">
        <v>2119</v>
      </c>
      <c r="E364" s="865" t="s">
        <v>1436</v>
      </c>
      <c r="F364" s="653"/>
      <c r="G364" s="654"/>
      <c r="H364" s="905">
        <v>1400000</v>
      </c>
      <c r="I364" s="905">
        <f>H364</f>
        <v>1400000</v>
      </c>
      <c r="J364" s="909"/>
      <c r="K364" s="911">
        <v>1400000</v>
      </c>
      <c r="L364" s="946">
        <f>K364-I364</f>
        <v>0</v>
      </c>
    </row>
    <row r="365" spans="1:12">
      <c r="A365" s="924"/>
      <c r="B365" s="955"/>
      <c r="C365" s="904"/>
      <c r="D365" s="658"/>
      <c r="E365" s="865"/>
      <c r="F365" s="655"/>
      <c r="G365" s="656"/>
      <c r="H365" s="905"/>
      <c r="I365" s="906"/>
      <c r="J365" s="910"/>
      <c r="K365" s="911"/>
      <c r="L365" s="946"/>
    </row>
    <row r="366" spans="1:12">
      <c r="A366" s="924">
        <v>180</v>
      </c>
      <c r="B366" s="955"/>
      <c r="C366" s="904" t="s">
        <v>405</v>
      </c>
      <c r="D366" s="658" t="s">
        <v>2119</v>
      </c>
      <c r="E366" s="865" t="s">
        <v>142</v>
      </c>
      <c r="F366" s="653"/>
      <c r="G366" s="654"/>
      <c r="H366" s="905">
        <v>900000</v>
      </c>
      <c r="I366" s="905">
        <f>H366</f>
        <v>900000</v>
      </c>
      <c r="J366" s="909"/>
      <c r="K366" s="911">
        <v>900000</v>
      </c>
      <c r="L366" s="946">
        <f>K366-I366</f>
        <v>0</v>
      </c>
    </row>
    <row r="367" spans="1:12" ht="13.5" thickBot="1">
      <c r="A367" s="924"/>
      <c r="B367" s="962"/>
      <c r="C367" s="938"/>
      <c r="D367" s="939"/>
      <c r="E367" s="937"/>
      <c r="F367" s="964"/>
      <c r="G367" s="965"/>
      <c r="H367" s="942"/>
      <c r="I367" s="943"/>
      <c r="J367" s="944"/>
      <c r="K367" s="945"/>
      <c r="L367" s="947"/>
    </row>
    <row r="368" spans="1:12">
      <c r="A368" s="924">
        <v>181</v>
      </c>
      <c r="B368" s="975" t="s">
        <v>2102</v>
      </c>
      <c r="C368" s="969" t="s">
        <v>2114</v>
      </c>
      <c r="D368" s="970" t="s">
        <v>2113</v>
      </c>
      <c r="E368" s="968" t="s">
        <v>20</v>
      </c>
      <c r="F368" s="971"/>
      <c r="G368" s="972"/>
      <c r="H368" s="973">
        <v>37809</v>
      </c>
      <c r="I368" s="973">
        <v>10700000</v>
      </c>
      <c r="J368" s="974">
        <v>286.5</v>
      </c>
      <c r="K368" s="966">
        <v>10700000</v>
      </c>
      <c r="L368" s="967">
        <f>K368-I368</f>
        <v>0</v>
      </c>
    </row>
    <row r="369" spans="1:13">
      <c r="A369" s="924"/>
      <c r="B369" s="976"/>
      <c r="C369" s="904"/>
      <c r="D369" s="658"/>
      <c r="E369" s="865"/>
      <c r="F369" s="655"/>
      <c r="G369" s="656"/>
      <c r="H369" s="905"/>
      <c r="I369" s="906"/>
      <c r="J369" s="910"/>
      <c r="K369" s="911"/>
      <c r="L369" s="946"/>
    </row>
    <row r="370" spans="1:13">
      <c r="A370" s="924">
        <v>182</v>
      </c>
      <c r="B370" s="980"/>
      <c r="C370" s="904" t="s">
        <v>368</v>
      </c>
      <c r="D370" s="658" t="s">
        <v>2116</v>
      </c>
      <c r="E370" s="865" t="s">
        <v>1919</v>
      </c>
      <c r="F370" s="653"/>
      <c r="G370" s="654"/>
      <c r="H370" s="905">
        <v>1500000</v>
      </c>
      <c r="I370" s="905">
        <f>H370</f>
        <v>1500000</v>
      </c>
      <c r="J370" s="909"/>
      <c r="K370" s="911">
        <v>1500000</v>
      </c>
      <c r="L370" s="946">
        <f>K370-I370</f>
        <v>0</v>
      </c>
    </row>
    <row r="371" spans="1:13" ht="13.5" thickBot="1">
      <c r="A371" s="924"/>
      <c r="B371" s="981"/>
      <c r="C371" s="913"/>
      <c r="D371" s="659"/>
      <c r="E371" s="878"/>
      <c r="F371" s="828"/>
      <c r="G371" s="829"/>
      <c r="H371" s="915"/>
      <c r="I371" s="982"/>
      <c r="J371" s="917"/>
      <c r="K371" s="919"/>
      <c r="L371" s="950"/>
    </row>
    <row r="372" spans="1:13">
      <c r="A372" s="924">
        <v>183</v>
      </c>
      <c r="B372" s="968" t="s">
        <v>2127</v>
      </c>
      <c r="C372" s="969" t="s">
        <v>2126</v>
      </c>
      <c r="D372" s="970" t="s">
        <v>2113</v>
      </c>
      <c r="E372" s="968" t="s">
        <v>20</v>
      </c>
      <c r="F372" s="971"/>
      <c r="G372" s="972"/>
      <c r="H372" s="973">
        <v>39223</v>
      </c>
      <c r="I372" s="973">
        <v>11100000</v>
      </c>
      <c r="J372" s="974">
        <v>283</v>
      </c>
      <c r="K372" s="966">
        <v>11100000</v>
      </c>
      <c r="L372" s="967">
        <f>K372-I372</f>
        <v>0</v>
      </c>
    </row>
    <row r="373" spans="1:13">
      <c r="A373" s="924"/>
      <c r="B373" s="865"/>
      <c r="C373" s="904"/>
      <c r="D373" s="658"/>
      <c r="E373" s="865"/>
      <c r="F373" s="655"/>
      <c r="G373" s="656"/>
      <c r="H373" s="905"/>
      <c r="I373" s="906"/>
      <c r="J373" s="910"/>
      <c r="K373" s="911"/>
      <c r="L373" s="946"/>
    </row>
    <row r="374" spans="1:13" ht="12.75" customHeight="1">
      <c r="A374" s="924">
        <v>184</v>
      </c>
      <c r="B374" s="956"/>
      <c r="C374" s="913" t="s">
        <v>369</v>
      </c>
      <c r="D374" s="659" t="s">
        <v>2132</v>
      </c>
      <c r="E374" s="878" t="s">
        <v>2136</v>
      </c>
      <c r="F374" s="653" t="s">
        <v>2137</v>
      </c>
      <c r="G374" s="654"/>
      <c r="H374" s="915">
        <v>2500000</v>
      </c>
      <c r="I374" s="915">
        <f>H374</f>
        <v>2500000</v>
      </c>
      <c r="J374" s="948"/>
      <c r="K374" s="919">
        <v>2500000</v>
      </c>
      <c r="L374" s="950">
        <f>K374-I374</f>
        <v>0</v>
      </c>
    </row>
    <row r="375" spans="1:13" ht="12.75" customHeight="1">
      <c r="A375" s="924"/>
      <c r="B375" s="957"/>
      <c r="C375" s="914"/>
      <c r="D375" s="660"/>
      <c r="E375" s="879"/>
      <c r="F375" s="655"/>
      <c r="G375" s="656"/>
      <c r="H375" s="916"/>
      <c r="I375" s="916"/>
      <c r="J375" s="949"/>
      <c r="K375" s="920"/>
      <c r="L375" s="951"/>
    </row>
    <row r="376" spans="1:13" ht="12.75" customHeight="1">
      <c r="A376" s="924">
        <v>185</v>
      </c>
      <c r="B376" s="77"/>
      <c r="C376" s="913" t="s">
        <v>399</v>
      </c>
      <c r="D376" s="659" t="s">
        <v>2119</v>
      </c>
      <c r="E376" s="878" t="s">
        <v>2133</v>
      </c>
      <c r="F376" s="653"/>
      <c r="G376" s="654"/>
      <c r="H376" s="915">
        <v>2000000</v>
      </c>
      <c r="I376" s="915">
        <f>H376</f>
        <v>2000000</v>
      </c>
      <c r="J376" s="948"/>
      <c r="K376" s="919">
        <v>2000000</v>
      </c>
      <c r="L376" s="950">
        <f>K376-I376</f>
        <v>0</v>
      </c>
    </row>
    <row r="377" spans="1:13" ht="12.75" customHeight="1">
      <c r="A377" s="924"/>
      <c r="B377" s="77"/>
      <c r="C377" s="914"/>
      <c r="D377" s="660"/>
      <c r="E377" s="879"/>
      <c r="F377" s="655"/>
      <c r="G377" s="656"/>
      <c r="H377" s="916"/>
      <c r="I377" s="916"/>
      <c r="J377" s="949"/>
      <c r="K377" s="920"/>
      <c r="L377" s="951"/>
    </row>
    <row r="378" spans="1:13">
      <c r="A378" s="924">
        <v>186</v>
      </c>
      <c r="B378" s="955"/>
      <c r="C378" s="904" t="s">
        <v>371</v>
      </c>
      <c r="D378" s="658" t="s">
        <v>2119</v>
      </c>
      <c r="E378" s="865" t="s">
        <v>874</v>
      </c>
      <c r="F378" s="653"/>
      <c r="G378" s="654"/>
      <c r="H378" s="905">
        <v>675000</v>
      </c>
      <c r="I378" s="905">
        <f>H378</f>
        <v>675000</v>
      </c>
      <c r="J378" s="909"/>
      <c r="K378" s="911">
        <v>675000</v>
      </c>
      <c r="L378" s="946">
        <f>K378-I378</f>
        <v>0</v>
      </c>
    </row>
    <row r="379" spans="1:13">
      <c r="A379" s="924"/>
      <c r="B379" s="955"/>
      <c r="C379" s="904"/>
      <c r="D379" s="658"/>
      <c r="E379" s="865"/>
      <c r="F379" s="655"/>
      <c r="G379" s="656"/>
      <c r="H379" s="905"/>
      <c r="I379" s="906"/>
      <c r="J379" s="910"/>
      <c r="K379" s="911"/>
      <c r="L379" s="946"/>
    </row>
    <row r="380" spans="1:13">
      <c r="A380" s="924">
        <v>187</v>
      </c>
      <c r="B380" s="957"/>
      <c r="C380" s="914" t="s">
        <v>375</v>
      </c>
      <c r="D380" s="660" t="s">
        <v>2119</v>
      </c>
      <c r="E380" s="879" t="s">
        <v>2118</v>
      </c>
      <c r="F380" s="828"/>
      <c r="G380" s="829"/>
      <c r="H380" s="916">
        <v>900000</v>
      </c>
      <c r="I380" s="916">
        <f>H380</f>
        <v>900000</v>
      </c>
      <c r="J380" s="949"/>
      <c r="K380" s="920">
        <v>900000</v>
      </c>
      <c r="L380" s="951">
        <f>K380-I380</f>
        <v>0</v>
      </c>
    </row>
    <row r="381" spans="1:13" ht="13.5" thickBot="1">
      <c r="A381" s="924"/>
      <c r="B381" s="962"/>
      <c r="C381" s="938"/>
      <c r="D381" s="939"/>
      <c r="E381" s="937"/>
      <c r="F381" s="964"/>
      <c r="G381" s="965"/>
      <c r="H381" s="942"/>
      <c r="I381" s="943"/>
      <c r="J381" s="944"/>
      <c r="K381" s="945"/>
      <c r="L381" s="947"/>
    </row>
    <row r="382" spans="1:13">
      <c r="A382" s="924">
        <v>188</v>
      </c>
      <c r="B382" s="976" t="s">
        <v>2120</v>
      </c>
      <c r="C382" s="904" t="s">
        <v>6</v>
      </c>
      <c r="D382" s="658" t="s">
        <v>2108</v>
      </c>
      <c r="E382" s="865" t="s">
        <v>2138</v>
      </c>
      <c r="F382" s="777" t="s">
        <v>198</v>
      </c>
      <c r="G382" s="778"/>
      <c r="H382" s="905">
        <v>286400</v>
      </c>
      <c r="I382" s="905">
        <v>286400</v>
      </c>
      <c r="J382" s="909"/>
      <c r="K382" s="911">
        <v>286400</v>
      </c>
      <c r="L382" s="946">
        <f>K382-I382</f>
        <v>0</v>
      </c>
      <c r="M382" t="s">
        <v>2212</v>
      </c>
    </row>
    <row r="383" spans="1:13" ht="13.5" thickBot="1">
      <c r="A383" s="924"/>
      <c r="B383" s="977"/>
      <c r="C383" s="938"/>
      <c r="D383" s="939"/>
      <c r="E383" s="937"/>
      <c r="F383" s="978"/>
      <c r="G383" s="979"/>
      <c r="H383" s="942"/>
      <c r="I383" s="943"/>
      <c r="J383" s="944"/>
      <c r="K383" s="945"/>
      <c r="L383" s="947"/>
    </row>
    <row r="384" spans="1:13">
      <c r="A384" s="924">
        <v>189</v>
      </c>
      <c r="B384" s="975" t="s">
        <v>2111</v>
      </c>
      <c r="C384" s="969" t="s">
        <v>1321</v>
      </c>
      <c r="D384" s="970" t="s">
        <v>2116</v>
      </c>
      <c r="E384" s="968" t="s">
        <v>1110</v>
      </c>
      <c r="F384" s="971"/>
      <c r="G384" s="972"/>
      <c r="H384" s="973">
        <v>859800</v>
      </c>
      <c r="I384" s="973">
        <f>H384</f>
        <v>859800</v>
      </c>
      <c r="J384" s="974"/>
      <c r="K384" s="966">
        <v>859800</v>
      </c>
      <c r="L384" s="967">
        <f>K384-I384</f>
        <v>0</v>
      </c>
    </row>
    <row r="385" spans="1:13" ht="13.5" thickBot="1">
      <c r="A385" s="924"/>
      <c r="B385" s="976"/>
      <c r="C385" s="904"/>
      <c r="D385" s="658"/>
      <c r="E385" s="865"/>
      <c r="F385" s="655"/>
      <c r="G385" s="656"/>
      <c r="H385" s="905"/>
      <c r="I385" s="906"/>
      <c r="J385" s="910"/>
      <c r="K385" s="911"/>
      <c r="L385" s="946"/>
    </row>
    <row r="386" spans="1:13">
      <c r="A386" s="924">
        <v>191</v>
      </c>
      <c r="B386" s="968" t="s">
        <v>2112</v>
      </c>
      <c r="C386" s="969" t="s">
        <v>2144</v>
      </c>
      <c r="D386" s="970" t="s">
        <v>2145</v>
      </c>
      <c r="E386" s="968" t="s">
        <v>20</v>
      </c>
      <c r="F386" s="971"/>
      <c r="G386" s="972"/>
      <c r="H386" s="973">
        <v>37218</v>
      </c>
      <c r="I386" s="973">
        <v>10700000</v>
      </c>
      <c r="J386" s="974">
        <v>287.5</v>
      </c>
      <c r="K386" s="966">
        <v>10700000</v>
      </c>
      <c r="L386" s="967">
        <f>K386-I386</f>
        <v>0</v>
      </c>
    </row>
    <row r="387" spans="1:13">
      <c r="A387" s="924"/>
      <c r="B387" s="865"/>
      <c r="C387" s="904"/>
      <c r="D387" s="658"/>
      <c r="E387" s="865"/>
      <c r="F387" s="655"/>
      <c r="G387" s="656"/>
      <c r="H387" s="905"/>
      <c r="I387" s="906"/>
      <c r="J387" s="910"/>
      <c r="K387" s="911"/>
      <c r="L387" s="946"/>
    </row>
    <row r="388" spans="1:13">
      <c r="A388" s="924">
        <v>192</v>
      </c>
      <c r="B388" s="955"/>
      <c r="C388" s="904" t="s">
        <v>406</v>
      </c>
      <c r="D388" s="658" t="s">
        <v>2135</v>
      </c>
      <c r="E388" s="865" t="s">
        <v>2123</v>
      </c>
      <c r="F388" s="653"/>
      <c r="G388" s="654"/>
      <c r="H388" s="905">
        <v>8100000</v>
      </c>
      <c r="I388" s="905">
        <f>H388</f>
        <v>8100000</v>
      </c>
      <c r="J388" s="909"/>
      <c r="K388" s="911">
        <v>8100000</v>
      </c>
      <c r="L388" s="946">
        <f>K388-I388</f>
        <v>0</v>
      </c>
    </row>
    <row r="389" spans="1:13" ht="13.5" thickBot="1">
      <c r="A389" s="924"/>
      <c r="B389" s="962"/>
      <c r="C389" s="938"/>
      <c r="D389" s="939"/>
      <c r="E389" s="937"/>
      <c r="F389" s="964"/>
      <c r="G389" s="965"/>
      <c r="H389" s="942"/>
      <c r="I389" s="943"/>
      <c r="J389" s="944"/>
      <c r="K389" s="945"/>
      <c r="L389" s="947"/>
    </row>
    <row r="390" spans="1:13">
      <c r="A390" s="924">
        <v>193</v>
      </c>
      <c r="B390" s="865" t="s">
        <v>2121</v>
      </c>
      <c r="C390" s="904" t="s">
        <v>2143</v>
      </c>
      <c r="D390" s="658" t="s">
        <v>2145</v>
      </c>
      <c r="E390" s="865" t="s">
        <v>20</v>
      </c>
      <c r="F390" s="653"/>
      <c r="G390" s="654"/>
      <c r="H390" s="905">
        <v>37152</v>
      </c>
      <c r="I390" s="905">
        <v>10700000</v>
      </c>
      <c r="J390" s="909">
        <v>288</v>
      </c>
      <c r="K390" s="911">
        <v>10700000</v>
      </c>
      <c r="L390" s="903">
        <f>K390-I390</f>
        <v>0</v>
      </c>
    </row>
    <row r="391" spans="1:13">
      <c r="A391" s="924"/>
      <c r="B391" s="865"/>
      <c r="C391" s="904"/>
      <c r="D391" s="658"/>
      <c r="E391" s="865"/>
      <c r="F391" s="655"/>
      <c r="G391" s="656"/>
      <c r="H391" s="905"/>
      <c r="I391" s="906"/>
      <c r="J391" s="910"/>
      <c r="K391" s="911"/>
      <c r="L391" s="903"/>
    </row>
    <row r="392" spans="1:13" ht="12.75" customHeight="1">
      <c r="A392" s="924">
        <v>194</v>
      </c>
      <c r="B392" s="955"/>
      <c r="C392" s="904" t="s">
        <v>416</v>
      </c>
      <c r="D392" s="674" t="s">
        <v>2131</v>
      </c>
      <c r="E392" s="865" t="s">
        <v>2083</v>
      </c>
      <c r="F392" s="653"/>
      <c r="G392" s="654"/>
      <c r="H392" s="905">
        <v>9000000</v>
      </c>
      <c r="I392" s="905">
        <f>H392</f>
        <v>9000000</v>
      </c>
      <c r="J392" s="909"/>
      <c r="K392" s="911">
        <v>9000000</v>
      </c>
      <c r="L392" s="903">
        <f>K392-I392</f>
        <v>0</v>
      </c>
    </row>
    <row r="393" spans="1:13" ht="12.75" customHeight="1" thickBot="1">
      <c r="A393" s="924"/>
      <c r="B393" s="955"/>
      <c r="C393" s="904"/>
      <c r="D393" s="674"/>
      <c r="E393" s="865"/>
      <c r="F393" s="655"/>
      <c r="G393" s="656"/>
      <c r="H393" s="905"/>
      <c r="I393" s="906"/>
      <c r="J393" s="910"/>
      <c r="K393" s="911"/>
      <c r="L393" s="903"/>
    </row>
    <row r="394" spans="1:13">
      <c r="A394" s="924">
        <v>195</v>
      </c>
      <c r="B394" s="968" t="s">
        <v>2122</v>
      </c>
      <c r="C394" s="969" t="s">
        <v>2156</v>
      </c>
      <c r="D394" s="970" t="s">
        <v>2155</v>
      </c>
      <c r="E394" s="968" t="s">
        <v>20</v>
      </c>
      <c r="F394" s="971"/>
      <c r="G394" s="972"/>
      <c r="H394" s="973">
        <v>37152</v>
      </c>
      <c r="I394" s="973">
        <v>10700000</v>
      </c>
      <c r="J394" s="974">
        <v>288</v>
      </c>
      <c r="K394" s="966">
        <v>10700000</v>
      </c>
      <c r="L394" s="967">
        <f>K394-I394</f>
        <v>0</v>
      </c>
    </row>
    <row r="395" spans="1:13">
      <c r="A395" s="924"/>
      <c r="B395" s="865"/>
      <c r="C395" s="904"/>
      <c r="D395" s="658"/>
      <c r="E395" s="865"/>
      <c r="F395" s="655"/>
      <c r="G395" s="656"/>
      <c r="H395" s="905"/>
      <c r="I395" s="906"/>
      <c r="J395" s="910"/>
      <c r="K395" s="911"/>
      <c r="L395" s="946"/>
      <c r="M395" t="s">
        <v>2129</v>
      </c>
    </row>
    <row r="396" spans="1:13">
      <c r="A396" s="924">
        <v>196</v>
      </c>
      <c r="B396" s="955"/>
      <c r="C396" s="904" t="s">
        <v>418</v>
      </c>
      <c r="D396" s="674" t="s">
        <v>2131</v>
      </c>
      <c r="E396" s="865" t="s">
        <v>804</v>
      </c>
      <c r="F396" s="653"/>
      <c r="G396" s="654"/>
      <c r="H396" s="905">
        <v>2000000</v>
      </c>
      <c r="I396" s="905">
        <f>H396</f>
        <v>2000000</v>
      </c>
      <c r="J396" s="909"/>
      <c r="K396" s="911">
        <v>2000000</v>
      </c>
      <c r="L396" s="946">
        <f>K396-I396</f>
        <v>0</v>
      </c>
    </row>
    <row r="397" spans="1:13">
      <c r="A397" s="924"/>
      <c r="B397" s="955"/>
      <c r="C397" s="904"/>
      <c r="D397" s="674"/>
      <c r="E397" s="865"/>
      <c r="F397" s="655"/>
      <c r="G397" s="656"/>
      <c r="H397" s="905"/>
      <c r="I397" s="906"/>
      <c r="J397" s="910"/>
      <c r="K397" s="911"/>
      <c r="L397" s="946"/>
    </row>
    <row r="398" spans="1:13">
      <c r="A398" s="924">
        <v>197</v>
      </c>
      <c r="B398" s="955"/>
      <c r="C398" s="904" t="s">
        <v>420</v>
      </c>
      <c r="D398" s="674" t="s">
        <v>2157</v>
      </c>
      <c r="E398" s="865" t="s">
        <v>2148</v>
      </c>
      <c r="F398" s="653"/>
      <c r="G398" s="654"/>
      <c r="H398" s="905">
        <v>1400000</v>
      </c>
      <c r="I398" s="905">
        <f>H398</f>
        <v>1400000</v>
      </c>
      <c r="J398" s="909"/>
      <c r="K398" s="911">
        <v>1400000</v>
      </c>
      <c r="L398" s="946">
        <f>K398-I398</f>
        <v>0</v>
      </c>
    </row>
    <row r="399" spans="1:13">
      <c r="A399" s="924"/>
      <c r="B399" s="955"/>
      <c r="C399" s="904"/>
      <c r="D399" s="674"/>
      <c r="E399" s="865"/>
      <c r="F399" s="655"/>
      <c r="G399" s="656"/>
      <c r="H399" s="905"/>
      <c r="I399" s="906"/>
      <c r="J399" s="910"/>
      <c r="K399" s="911"/>
      <c r="L399" s="946"/>
    </row>
    <row r="400" spans="1:13" ht="12.75" customHeight="1">
      <c r="A400" s="924">
        <v>198</v>
      </c>
      <c r="B400" s="865"/>
      <c r="C400" s="904" t="s">
        <v>432</v>
      </c>
      <c r="D400" s="674" t="s">
        <v>2157</v>
      </c>
      <c r="E400" s="865" t="s">
        <v>142</v>
      </c>
      <c r="F400" s="653"/>
      <c r="G400" s="654"/>
      <c r="H400" s="915">
        <v>900000</v>
      </c>
      <c r="I400" s="915">
        <f>H400</f>
        <v>900000</v>
      </c>
      <c r="J400" s="948"/>
      <c r="K400" s="911">
        <v>900000</v>
      </c>
      <c r="L400" s="946">
        <f>K400-I400</f>
        <v>0</v>
      </c>
    </row>
    <row r="401" spans="1:14" ht="12.75" customHeight="1">
      <c r="A401" s="924"/>
      <c r="B401" s="865"/>
      <c r="C401" s="904"/>
      <c r="D401" s="674"/>
      <c r="E401" s="865"/>
      <c r="F401" s="655"/>
      <c r="G401" s="656"/>
      <c r="H401" s="916"/>
      <c r="I401" s="916"/>
      <c r="J401" s="949"/>
      <c r="K401" s="911"/>
      <c r="L401" s="946"/>
    </row>
    <row r="402" spans="1:14">
      <c r="A402" s="924">
        <v>199</v>
      </c>
      <c r="B402" s="955"/>
      <c r="C402" s="904" t="s">
        <v>433</v>
      </c>
      <c r="D402" s="674" t="s">
        <v>2146</v>
      </c>
      <c r="E402" s="865" t="s">
        <v>1051</v>
      </c>
      <c r="F402" s="653"/>
      <c r="G402" s="654"/>
      <c r="H402" s="905">
        <v>4000000</v>
      </c>
      <c r="I402" s="905">
        <f>H402</f>
        <v>4000000</v>
      </c>
      <c r="J402" s="909"/>
      <c r="K402" s="911">
        <v>4000000</v>
      </c>
      <c r="L402" s="946">
        <f>K402-I402</f>
        <v>0</v>
      </c>
    </row>
    <row r="403" spans="1:14" ht="13.5" thickBot="1">
      <c r="A403" s="924"/>
      <c r="B403" s="962"/>
      <c r="C403" s="938"/>
      <c r="D403" s="963"/>
      <c r="E403" s="937"/>
      <c r="F403" s="964"/>
      <c r="G403" s="965"/>
      <c r="H403" s="942"/>
      <c r="I403" s="943"/>
      <c r="J403" s="944"/>
      <c r="K403" s="945"/>
      <c r="L403" s="947"/>
      <c r="M403" s="5">
        <f>I413+SUM(I394,I390,I388,I386,I384,I380,I378,I376,I374,I372,I370,I368,I366,I364,I362,I360,I358,I354,I350,I348,I346,I344,I342,I340,I338,I336,I334,I332,I330,I328,I326,I324,I322,I320,I318,I315,I313,I309,I297,I295)</f>
        <v>211552700</v>
      </c>
      <c r="N403" s="5"/>
    </row>
    <row r="404" spans="1:14" ht="21.75" customHeight="1" thickBot="1">
      <c r="A404" s="952" t="s">
        <v>387</v>
      </c>
      <c r="B404" s="953"/>
      <c r="C404" s="953"/>
      <c r="D404" s="953"/>
      <c r="E404" s="953"/>
      <c r="F404" s="953"/>
      <c r="G404" s="953"/>
      <c r="H404" s="953"/>
      <c r="I404" s="953"/>
      <c r="J404" s="953"/>
      <c r="K404" s="953"/>
      <c r="L404" s="954"/>
      <c r="M404" s="5">
        <f>SUM(I413,I394,I384:I391,I358:I383,I354,I318:I351,I315,I313,I309,I297,I295)</f>
        <v>211839100</v>
      </c>
      <c r="N404" s="533"/>
    </row>
    <row r="405" spans="1:14">
      <c r="A405" s="867">
        <v>200</v>
      </c>
      <c r="B405" s="879" t="s">
        <v>2130</v>
      </c>
      <c r="C405" s="914" t="s">
        <v>2165</v>
      </c>
      <c r="D405" s="660" t="s">
        <v>2131</v>
      </c>
      <c r="E405" s="879" t="s">
        <v>20</v>
      </c>
      <c r="F405" s="828"/>
      <c r="G405" s="829"/>
      <c r="H405" s="916">
        <v>37024</v>
      </c>
      <c r="I405" s="916">
        <v>10700000</v>
      </c>
      <c r="J405" s="949">
        <v>289</v>
      </c>
      <c r="K405" s="920">
        <v>10700000</v>
      </c>
      <c r="L405" s="901">
        <f>K405-I405</f>
        <v>0</v>
      </c>
    </row>
    <row r="406" spans="1:14">
      <c r="A406" s="924"/>
      <c r="B406" s="865"/>
      <c r="C406" s="904"/>
      <c r="D406" s="658"/>
      <c r="E406" s="865"/>
      <c r="F406" s="655"/>
      <c r="G406" s="656"/>
      <c r="H406" s="905"/>
      <c r="I406" s="906"/>
      <c r="J406" s="910"/>
      <c r="K406" s="911"/>
      <c r="L406" s="903"/>
    </row>
    <row r="407" spans="1:14">
      <c r="A407" s="924">
        <v>201</v>
      </c>
      <c r="B407" s="955"/>
      <c r="C407" s="904" t="s">
        <v>434</v>
      </c>
      <c r="D407" s="658" t="s">
        <v>2161</v>
      </c>
      <c r="E407" s="865" t="s">
        <v>2149</v>
      </c>
      <c r="F407" s="653"/>
      <c r="G407" s="654"/>
      <c r="H407" s="905">
        <v>4700000</v>
      </c>
      <c r="I407" s="905">
        <f>H407</f>
        <v>4700000</v>
      </c>
      <c r="J407" s="909"/>
      <c r="K407" s="911">
        <v>4700000</v>
      </c>
      <c r="L407" s="903">
        <f>K407-I407</f>
        <v>0</v>
      </c>
    </row>
    <row r="408" spans="1:14">
      <c r="A408" s="924"/>
      <c r="B408" s="955"/>
      <c r="C408" s="904"/>
      <c r="D408" s="658"/>
      <c r="E408" s="865"/>
      <c r="F408" s="655"/>
      <c r="G408" s="656"/>
      <c r="H408" s="905"/>
      <c r="I408" s="906"/>
      <c r="J408" s="910"/>
      <c r="K408" s="911"/>
      <c r="L408" s="903"/>
    </row>
    <row r="409" spans="1:14">
      <c r="A409" s="867">
        <v>202</v>
      </c>
      <c r="B409" s="955"/>
      <c r="C409" s="904" t="s">
        <v>435</v>
      </c>
      <c r="D409" s="658" t="s">
        <v>2161</v>
      </c>
      <c r="E409" s="865" t="s">
        <v>1830</v>
      </c>
      <c r="F409" s="653"/>
      <c r="G409" s="654"/>
      <c r="H409" s="905">
        <v>3800000</v>
      </c>
      <c r="I409" s="905">
        <f>H409</f>
        <v>3800000</v>
      </c>
      <c r="J409" s="909"/>
      <c r="K409" s="911">
        <v>3800000</v>
      </c>
      <c r="L409" s="903">
        <f>K409-I409</f>
        <v>0</v>
      </c>
    </row>
    <row r="410" spans="1:14">
      <c r="A410" s="924"/>
      <c r="B410" s="955"/>
      <c r="C410" s="904"/>
      <c r="D410" s="658"/>
      <c r="E410" s="865"/>
      <c r="F410" s="655"/>
      <c r="G410" s="656"/>
      <c r="H410" s="905"/>
      <c r="I410" s="906"/>
      <c r="J410" s="910"/>
      <c r="K410" s="911"/>
      <c r="L410" s="903"/>
    </row>
    <row r="411" spans="1:14" ht="12.75" customHeight="1">
      <c r="A411" s="924">
        <v>203</v>
      </c>
      <c r="B411" s="818"/>
      <c r="C411" s="904">
        <v>122</v>
      </c>
      <c r="D411" s="658" t="s">
        <v>2161</v>
      </c>
      <c r="E411" s="1027" t="s">
        <v>1372</v>
      </c>
      <c r="F411" s="1029" t="s">
        <v>2152</v>
      </c>
      <c r="G411" s="1030"/>
      <c r="H411" s="915">
        <v>3000000</v>
      </c>
      <c r="I411" s="915">
        <f>H411</f>
        <v>3000000</v>
      </c>
      <c r="J411" s="818"/>
      <c r="K411" s="818">
        <v>3000000</v>
      </c>
      <c r="L411" s="903">
        <f>K411-H411</f>
        <v>0</v>
      </c>
    </row>
    <row r="412" spans="1:14" ht="12.75" customHeight="1">
      <c r="A412" s="924"/>
      <c r="B412" s="819"/>
      <c r="C412" s="904"/>
      <c r="D412" s="658"/>
      <c r="E412" s="1028"/>
      <c r="F412" s="1031"/>
      <c r="G412" s="1032"/>
      <c r="H412" s="916"/>
      <c r="I412" s="916"/>
      <c r="J412" s="819"/>
      <c r="K412" s="819"/>
      <c r="L412" s="903"/>
    </row>
    <row r="413" spans="1:14" ht="12.75" customHeight="1">
      <c r="A413" s="867">
        <v>204</v>
      </c>
      <c r="B413" s="878" t="s">
        <v>2147</v>
      </c>
      <c r="C413" s="913" t="s">
        <v>413</v>
      </c>
      <c r="D413" s="960" t="s">
        <v>2135</v>
      </c>
      <c r="E413" s="878" t="s">
        <v>1110</v>
      </c>
      <c r="F413" s="653" t="s">
        <v>2134</v>
      </c>
      <c r="G413" s="654"/>
      <c r="H413" s="915">
        <v>823000</v>
      </c>
      <c r="I413" s="915">
        <f>H413</f>
        <v>823000</v>
      </c>
      <c r="J413" s="948"/>
      <c r="K413" s="919">
        <v>823000</v>
      </c>
      <c r="L413" s="900">
        <f>K413-I413</f>
        <v>0</v>
      </c>
    </row>
    <row r="414" spans="1:14" ht="12.75" customHeight="1">
      <c r="A414" s="924"/>
      <c r="B414" s="879"/>
      <c r="C414" s="914"/>
      <c r="D414" s="961"/>
      <c r="E414" s="879"/>
      <c r="F414" s="655"/>
      <c r="G414" s="656"/>
      <c r="H414" s="916"/>
      <c r="I414" s="916"/>
      <c r="J414" s="949"/>
      <c r="K414" s="920"/>
      <c r="L414" s="901"/>
    </row>
    <row r="415" spans="1:14" ht="12.75" customHeight="1">
      <c r="A415" s="924">
        <v>205</v>
      </c>
      <c r="B415" s="878" t="s">
        <v>2140</v>
      </c>
      <c r="C415" s="913" t="s">
        <v>2163</v>
      </c>
      <c r="D415" s="659" t="s">
        <v>2161</v>
      </c>
      <c r="E415" s="878" t="s">
        <v>20</v>
      </c>
      <c r="F415" s="653"/>
      <c r="G415" s="654"/>
      <c r="H415" s="915">
        <v>38146</v>
      </c>
      <c r="I415" s="915">
        <v>10700000</v>
      </c>
      <c r="J415" s="948">
        <v>280.5</v>
      </c>
      <c r="K415" s="919">
        <v>10700000</v>
      </c>
      <c r="L415" s="900">
        <f>K415-I415</f>
        <v>0</v>
      </c>
      <c r="M415" t="s">
        <v>2179</v>
      </c>
    </row>
    <row r="416" spans="1:14" ht="12.75" customHeight="1">
      <c r="A416" s="924"/>
      <c r="B416" s="879"/>
      <c r="C416" s="914"/>
      <c r="D416" s="660"/>
      <c r="E416" s="879"/>
      <c r="F416" s="655"/>
      <c r="G416" s="656"/>
      <c r="H416" s="916"/>
      <c r="I416" s="916"/>
      <c r="J416" s="949"/>
      <c r="K416" s="920"/>
      <c r="L416" s="901"/>
    </row>
    <row r="417" spans="1:13" ht="12.75" customHeight="1">
      <c r="A417" s="867">
        <v>206</v>
      </c>
      <c r="B417" s="956"/>
      <c r="C417" s="913" t="s">
        <v>460</v>
      </c>
      <c r="D417" s="659" t="s">
        <v>2160</v>
      </c>
      <c r="E417" s="878" t="s">
        <v>2153</v>
      </c>
      <c r="F417" s="653" t="s">
        <v>2154</v>
      </c>
      <c r="G417" s="654"/>
      <c r="H417" s="915">
        <v>3700000</v>
      </c>
      <c r="I417" s="915">
        <f>H417</f>
        <v>3700000</v>
      </c>
      <c r="J417" s="948"/>
      <c r="K417" s="919">
        <v>3700000</v>
      </c>
      <c r="L417" s="900">
        <f>K417-I417</f>
        <v>0</v>
      </c>
    </row>
    <row r="418" spans="1:13" ht="12.75" customHeight="1">
      <c r="A418" s="924"/>
      <c r="B418" s="957"/>
      <c r="C418" s="914"/>
      <c r="D418" s="660"/>
      <c r="E418" s="879"/>
      <c r="F418" s="655"/>
      <c r="G418" s="656"/>
      <c r="H418" s="916"/>
      <c r="I418" s="916"/>
      <c r="J418" s="949"/>
      <c r="K418" s="920"/>
      <c r="L418" s="901"/>
      <c r="M418" t="s">
        <v>2170</v>
      </c>
    </row>
    <row r="419" spans="1:13" ht="12.75" customHeight="1">
      <c r="A419" s="924">
        <v>207</v>
      </c>
      <c r="B419" s="878"/>
      <c r="C419" s="958"/>
      <c r="D419" s="659" t="s">
        <v>2160</v>
      </c>
      <c r="E419" s="878" t="s">
        <v>514</v>
      </c>
      <c r="F419" s="653" t="s">
        <v>2168</v>
      </c>
      <c r="G419" s="654"/>
      <c r="H419" s="915">
        <v>15000</v>
      </c>
      <c r="I419" s="898">
        <v>4103400</v>
      </c>
      <c r="J419" s="948"/>
      <c r="K419" s="919">
        <v>4103400</v>
      </c>
      <c r="L419" s="900">
        <f>K419-I419</f>
        <v>0</v>
      </c>
    </row>
    <row r="420" spans="1:13" ht="12.75" customHeight="1">
      <c r="A420" s="924"/>
      <c r="B420" s="879"/>
      <c r="C420" s="914"/>
      <c r="D420" s="660"/>
      <c r="E420" s="879"/>
      <c r="F420" s="655"/>
      <c r="G420" s="656"/>
      <c r="H420" s="916"/>
      <c r="I420" s="959"/>
      <c r="J420" s="949"/>
      <c r="K420" s="920"/>
      <c r="L420" s="901"/>
      <c r="M420" t="s">
        <v>2180</v>
      </c>
    </row>
    <row r="421" spans="1:13" ht="12.75" customHeight="1">
      <c r="A421" s="867">
        <v>208</v>
      </c>
      <c r="B421" s="878" t="s">
        <v>2141</v>
      </c>
      <c r="C421" s="913" t="s">
        <v>2162</v>
      </c>
      <c r="D421" s="659" t="s">
        <v>2161</v>
      </c>
      <c r="E421" s="878" t="s">
        <v>20</v>
      </c>
      <c r="F421" s="653"/>
      <c r="G421" s="654"/>
      <c r="H421" s="915">
        <v>41355</v>
      </c>
      <c r="I421" s="915">
        <v>11600000</v>
      </c>
      <c r="J421" s="948">
        <v>280.5</v>
      </c>
      <c r="K421" s="919">
        <v>11600000</v>
      </c>
      <c r="L421" s="900">
        <f>K421-I421</f>
        <v>0</v>
      </c>
    </row>
    <row r="422" spans="1:13" ht="12.75" customHeight="1">
      <c r="A422" s="924"/>
      <c r="B422" s="879"/>
      <c r="C422" s="914"/>
      <c r="D422" s="660"/>
      <c r="E422" s="879"/>
      <c r="F422" s="655"/>
      <c r="G422" s="656"/>
      <c r="H422" s="916"/>
      <c r="I422" s="916"/>
      <c r="J422" s="949"/>
      <c r="K422" s="920"/>
      <c r="L422" s="901"/>
    </row>
    <row r="423" spans="1:13" ht="12.75" customHeight="1">
      <c r="A423" s="924">
        <v>209</v>
      </c>
      <c r="B423" s="956"/>
      <c r="C423" s="913" t="s">
        <v>457</v>
      </c>
      <c r="D423" s="659" t="s">
        <v>2172</v>
      </c>
      <c r="E423" s="878" t="s">
        <v>2173</v>
      </c>
      <c r="F423" s="653"/>
      <c r="G423" s="654"/>
      <c r="H423" s="915">
        <v>400000</v>
      </c>
      <c r="I423" s="915">
        <f>H423</f>
        <v>400000</v>
      </c>
      <c r="J423" s="948"/>
      <c r="K423" s="919">
        <v>400000</v>
      </c>
      <c r="L423" s="900">
        <f>K423-I423</f>
        <v>0</v>
      </c>
    </row>
    <row r="424" spans="1:13" ht="12.75" customHeight="1">
      <c r="A424" s="924"/>
      <c r="B424" s="957"/>
      <c r="C424" s="914"/>
      <c r="D424" s="660"/>
      <c r="E424" s="879"/>
      <c r="F424" s="655"/>
      <c r="G424" s="656"/>
      <c r="H424" s="916"/>
      <c r="I424" s="916"/>
      <c r="J424" s="949"/>
      <c r="K424" s="920"/>
      <c r="L424" s="901"/>
    </row>
    <row r="425" spans="1:13">
      <c r="A425" s="867">
        <v>210</v>
      </c>
      <c r="B425" s="955"/>
      <c r="C425" s="904" t="s">
        <v>458</v>
      </c>
      <c r="D425" s="658" t="s">
        <v>2172</v>
      </c>
      <c r="E425" s="865" t="s">
        <v>2182</v>
      </c>
      <c r="F425" s="653" t="s">
        <v>1438</v>
      </c>
      <c r="G425" s="654"/>
      <c r="H425" s="905">
        <v>7500000</v>
      </c>
      <c r="I425" s="905">
        <f>H425</f>
        <v>7500000</v>
      </c>
      <c r="J425" s="909"/>
      <c r="K425" s="911">
        <v>7500000</v>
      </c>
      <c r="L425" s="903">
        <f>K425-I425</f>
        <v>0</v>
      </c>
    </row>
    <row r="426" spans="1:13">
      <c r="A426" s="924"/>
      <c r="B426" s="955"/>
      <c r="C426" s="904"/>
      <c r="D426" s="658"/>
      <c r="E426" s="865"/>
      <c r="F426" s="655"/>
      <c r="G426" s="656"/>
      <c r="H426" s="905"/>
      <c r="I426" s="906"/>
      <c r="J426" s="910"/>
      <c r="K426" s="911"/>
      <c r="L426" s="903"/>
    </row>
    <row r="427" spans="1:13">
      <c r="A427" s="924">
        <v>211</v>
      </c>
      <c r="B427" s="865" t="s">
        <v>2142</v>
      </c>
      <c r="C427" s="904" t="s">
        <v>2164</v>
      </c>
      <c r="D427" s="658" t="s">
        <v>2161</v>
      </c>
      <c r="E427" s="865" t="s">
        <v>20</v>
      </c>
      <c r="F427" s="653"/>
      <c r="G427" s="654"/>
      <c r="H427" s="905">
        <v>38146</v>
      </c>
      <c r="I427" s="905">
        <v>10700000</v>
      </c>
      <c r="J427" s="909">
        <v>280.5</v>
      </c>
      <c r="K427" s="911">
        <v>10700000</v>
      </c>
      <c r="L427" s="903">
        <f>K427-I427</f>
        <v>0</v>
      </c>
    </row>
    <row r="428" spans="1:13">
      <c r="A428" s="924"/>
      <c r="B428" s="865"/>
      <c r="C428" s="904"/>
      <c r="D428" s="658"/>
      <c r="E428" s="865"/>
      <c r="F428" s="655"/>
      <c r="G428" s="656"/>
      <c r="H428" s="905"/>
      <c r="I428" s="906"/>
      <c r="J428" s="910"/>
      <c r="K428" s="911"/>
      <c r="L428" s="903"/>
    </row>
    <row r="429" spans="1:13">
      <c r="A429" s="867">
        <v>212</v>
      </c>
      <c r="B429" s="955"/>
      <c r="C429" s="904" t="s">
        <v>465</v>
      </c>
      <c r="D429" s="658" t="s">
        <v>2160</v>
      </c>
      <c r="E429" s="865" t="s">
        <v>142</v>
      </c>
      <c r="F429" s="653"/>
      <c r="G429" s="654"/>
      <c r="H429" s="905">
        <v>900000</v>
      </c>
      <c r="I429" s="905">
        <f>H429</f>
        <v>900000</v>
      </c>
      <c r="J429" s="909"/>
      <c r="K429" s="911">
        <v>900000</v>
      </c>
      <c r="L429" s="903">
        <f>K429-I429</f>
        <v>0</v>
      </c>
      <c r="M429" t="s">
        <v>2209</v>
      </c>
    </row>
    <row r="430" spans="1:13">
      <c r="A430" s="924"/>
      <c r="B430" s="955"/>
      <c r="C430" s="904"/>
      <c r="D430" s="658"/>
      <c r="E430" s="865"/>
      <c r="F430" s="655"/>
      <c r="G430" s="656"/>
      <c r="H430" s="905"/>
      <c r="I430" s="906"/>
      <c r="J430" s="910"/>
      <c r="K430" s="911"/>
      <c r="L430" s="903"/>
    </row>
    <row r="431" spans="1:13">
      <c r="A431" s="924">
        <v>213</v>
      </c>
      <c r="B431" s="865"/>
      <c r="C431" s="904" t="s">
        <v>466</v>
      </c>
      <c r="D431" s="658" t="s">
        <v>2160</v>
      </c>
      <c r="E431" s="865" t="s">
        <v>2169</v>
      </c>
      <c r="F431" s="653"/>
      <c r="G431" s="654"/>
      <c r="H431" s="905">
        <v>3000000</v>
      </c>
      <c r="I431" s="905">
        <v>3000000</v>
      </c>
      <c r="J431" s="909"/>
      <c r="K431" s="911">
        <v>3000000</v>
      </c>
      <c r="L431" s="903">
        <f>K431-I431</f>
        <v>0</v>
      </c>
    </row>
    <row r="432" spans="1:13">
      <c r="A432" s="924"/>
      <c r="B432" s="865"/>
      <c r="C432" s="904"/>
      <c r="D432" s="658"/>
      <c r="E432" s="865"/>
      <c r="F432" s="655"/>
      <c r="G432" s="656"/>
      <c r="H432" s="905"/>
      <c r="I432" s="906"/>
      <c r="J432" s="910"/>
      <c r="K432" s="911"/>
      <c r="L432" s="903"/>
    </row>
    <row r="433" spans="1:13" ht="12.75" customHeight="1">
      <c r="A433" s="924">
        <v>215</v>
      </c>
      <c r="B433" s="865" t="s">
        <v>2150</v>
      </c>
      <c r="C433" s="904" t="s">
        <v>438</v>
      </c>
      <c r="D433" s="658" t="s">
        <v>2161</v>
      </c>
      <c r="E433" s="865" t="s">
        <v>2186</v>
      </c>
      <c r="F433" s="653" t="s">
        <v>2151</v>
      </c>
      <c r="G433" s="654"/>
      <c r="H433" s="905">
        <v>750000</v>
      </c>
      <c r="I433" s="905">
        <f>H433</f>
        <v>750000</v>
      </c>
      <c r="J433" s="909"/>
      <c r="K433" s="911">
        <v>750000</v>
      </c>
      <c r="L433" s="903">
        <f>K433-I433</f>
        <v>0</v>
      </c>
    </row>
    <row r="434" spans="1:13" ht="12.75" customHeight="1">
      <c r="A434" s="924"/>
      <c r="B434" s="865"/>
      <c r="C434" s="904"/>
      <c r="D434" s="658"/>
      <c r="E434" s="865"/>
      <c r="F434" s="655"/>
      <c r="G434" s="656"/>
      <c r="H434" s="905"/>
      <c r="I434" s="906"/>
      <c r="J434" s="910"/>
      <c r="K434" s="911"/>
      <c r="L434" s="903"/>
      <c r="M434" s="6"/>
    </row>
    <row r="435" spans="1:13" ht="12.75" customHeight="1">
      <c r="A435" s="924">
        <v>217</v>
      </c>
      <c r="B435" s="865" t="s">
        <v>2159</v>
      </c>
      <c r="C435" s="904" t="s">
        <v>2194</v>
      </c>
      <c r="D435" s="658" t="s">
        <v>2160</v>
      </c>
      <c r="E435" s="865" t="s">
        <v>20</v>
      </c>
      <c r="F435" s="653"/>
      <c r="G435" s="654"/>
      <c r="H435" s="905">
        <v>38335</v>
      </c>
      <c r="I435" s="905">
        <v>10700000</v>
      </c>
      <c r="J435" s="948" t="s">
        <v>2250</v>
      </c>
      <c r="K435" s="911">
        <v>10700000</v>
      </c>
      <c r="L435" s="903">
        <f>K435-I435</f>
        <v>0</v>
      </c>
    </row>
    <row r="436" spans="1:13" ht="12.75" customHeight="1">
      <c r="A436" s="924"/>
      <c r="B436" s="865"/>
      <c r="C436" s="904"/>
      <c r="D436" s="658"/>
      <c r="E436" s="865"/>
      <c r="F436" s="655"/>
      <c r="G436" s="656"/>
      <c r="H436" s="905"/>
      <c r="I436" s="906"/>
      <c r="J436" s="918"/>
      <c r="K436" s="911"/>
      <c r="L436" s="903"/>
    </row>
    <row r="437" spans="1:13">
      <c r="A437" s="867">
        <v>218</v>
      </c>
      <c r="B437" s="955"/>
      <c r="C437" s="904" t="s">
        <v>467</v>
      </c>
      <c r="D437" s="658" t="s">
        <v>2191</v>
      </c>
      <c r="E437" s="865" t="s">
        <v>2171</v>
      </c>
      <c r="F437" s="653"/>
      <c r="G437" s="654"/>
      <c r="H437" s="905">
        <v>5100000</v>
      </c>
      <c r="I437" s="905">
        <f>H437</f>
        <v>5100000</v>
      </c>
      <c r="J437" s="909"/>
      <c r="K437" s="911">
        <v>5100000</v>
      </c>
      <c r="L437" s="903">
        <f>K437-I437</f>
        <v>0</v>
      </c>
      <c r="M437" s="11"/>
    </row>
    <row r="438" spans="1:13">
      <c r="A438" s="924"/>
      <c r="B438" s="955"/>
      <c r="C438" s="904"/>
      <c r="D438" s="658"/>
      <c r="E438" s="865"/>
      <c r="F438" s="655"/>
      <c r="G438" s="656"/>
      <c r="H438" s="905"/>
      <c r="I438" s="906"/>
      <c r="J438" s="910"/>
      <c r="K438" s="911"/>
      <c r="L438" s="903"/>
    </row>
    <row r="439" spans="1:13">
      <c r="A439" s="924">
        <v>219</v>
      </c>
      <c r="B439" s="865"/>
      <c r="C439" s="904" t="s">
        <v>468</v>
      </c>
      <c r="D439" s="658" t="s">
        <v>2191</v>
      </c>
      <c r="E439" s="865" t="s">
        <v>2178</v>
      </c>
      <c r="F439" s="653"/>
      <c r="G439" s="654"/>
      <c r="H439" s="905">
        <v>4800000</v>
      </c>
      <c r="I439" s="905">
        <f>H439</f>
        <v>4800000</v>
      </c>
      <c r="J439" s="909"/>
      <c r="K439" s="911">
        <v>4800000</v>
      </c>
      <c r="L439" s="903">
        <f>K439-I439</f>
        <v>0</v>
      </c>
    </row>
    <row r="440" spans="1:13">
      <c r="A440" s="924"/>
      <c r="B440" s="865"/>
      <c r="C440" s="904"/>
      <c r="D440" s="658"/>
      <c r="E440" s="865"/>
      <c r="F440" s="655"/>
      <c r="G440" s="656"/>
      <c r="H440" s="905"/>
      <c r="I440" s="906"/>
      <c r="J440" s="910"/>
      <c r="K440" s="911"/>
      <c r="L440" s="903"/>
    </row>
    <row r="441" spans="1:13">
      <c r="A441" s="924">
        <v>221</v>
      </c>
      <c r="B441" s="865" t="s">
        <v>2213</v>
      </c>
      <c r="C441" s="904" t="s">
        <v>2195</v>
      </c>
      <c r="D441" s="658" t="s">
        <v>2193</v>
      </c>
      <c r="E441" s="865" t="s">
        <v>20</v>
      </c>
      <c r="F441" s="653" t="s">
        <v>2175</v>
      </c>
      <c r="G441" s="654"/>
      <c r="H441" s="905">
        <v>39000</v>
      </c>
      <c r="I441" s="905">
        <v>10700000</v>
      </c>
      <c r="J441" s="909" t="s">
        <v>2214</v>
      </c>
      <c r="K441" s="911">
        <v>10700000</v>
      </c>
      <c r="L441" s="903">
        <f>K441-I441</f>
        <v>0</v>
      </c>
    </row>
    <row r="442" spans="1:13">
      <c r="A442" s="924"/>
      <c r="B442" s="865"/>
      <c r="C442" s="904"/>
      <c r="D442" s="658"/>
      <c r="E442" s="865"/>
      <c r="F442" s="655"/>
      <c r="G442" s="656"/>
      <c r="H442" s="905"/>
      <c r="I442" s="906"/>
      <c r="J442" s="910"/>
      <c r="K442" s="911"/>
      <c r="L442" s="903"/>
    </row>
    <row r="443" spans="1:13">
      <c r="A443" s="867">
        <v>222</v>
      </c>
      <c r="B443" s="955"/>
      <c r="C443" s="904" t="s">
        <v>472</v>
      </c>
      <c r="D443" s="658" t="s">
        <v>2191</v>
      </c>
      <c r="E443" s="865" t="s">
        <v>1926</v>
      </c>
      <c r="F443" s="653" t="s">
        <v>2188</v>
      </c>
      <c r="G443" s="654"/>
      <c r="H443" s="905">
        <v>4000000</v>
      </c>
      <c r="I443" s="905">
        <f>H443</f>
        <v>4000000</v>
      </c>
      <c r="J443" s="909"/>
      <c r="K443" s="911">
        <v>4000000</v>
      </c>
      <c r="L443" s="903">
        <f>K443-I443</f>
        <v>0</v>
      </c>
    </row>
    <row r="444" spans="1:13">
      <c r="A444" s="924"/>
      <c r="B444" s="955"/>
      <c r="C444" s="904"/>
      <c r="D444" s="658"/>
      <c r="E444" s="865"/>
      <c r="F444" s="655"/>
      <c r="G444" s="656"/>
      <c r="H444" s="905"/>
      <c r="I444" s="906"/>
      <c r="J444" s="910"/>
      <c r="K444" s="911"/>
      <c r="L444" s="903"/>
    </row>
    <row r="445" spans="1:13">
      <c r="A445" s="924">
        <v>223</v>
      </c>
      <c r="B445" s="865"/>
      <c r="C445" s="904" t="s">
        <v>485</v>
      </c>
      <c r="D445" s="658" t="s">
        <v>2192</v>
      </c>
      <c r="E445" s="865" t="s">
        <v>2189</v>
      </c>
      <c r="F445" s="653"/>
      <c r="G445" s="654"/>
      <c r="H445" s="905">
        <v>3500000</v>
      </c>
      <c r="I445" s="905">
        <f>H445</f>
        <v>3500000</v>
      </c>
      <c r="J445" s="909"/>
      <c r="K445" s="911">
        <v>3500000</v>
      </c>
      <c r="L445" s="903">
        <f>K445-I445</f>
        <v>0</v>
      </c>
    </row>
    <row r="446" spans="1:13">
      <c r="A446" s="924"/>
      <c r="B446" s="865"/>
      <c r="C446" s="904"/>
      <c r="D446" s="658"/>
      <c r="E446" s="865"/>
      <c r="F446" s="655"/>
      <c r="G446" s="656"/>
      <c r="H446" s="905"/>
      <c r="I446" s="906"/>
      <c r="J446" s="910"/>
      <c r="K446" s="911"/>
      <c r="L446" s="903"/>
    </row>
    <row r="447" spans="1:13">
      <c r="A447" s="924">
        <v>225</v>
      </c>
      <c r="B447" s="865" t="s">
        <v>2174</v>
      </c>
      <c r="C447" s="904" t="s">
        <v>2196</v>
      </c>
      <c r="D447" s="658" t="s">
        <v>2191</v>
      </c>
      <c r="E447" s="865" t="s">
        <v>20</v>
      </c>
      <c r="F447" s="653" t="s">
        <v>2176</v>
      </c>
      <c r="G447" s="654"/>
      <c r="H447" s="905">
        <v>40576</v>
      </c>
      <c r="I447" s="905">
        <v>11100000</v>
      </c>
      <c r="J447" s="909" t="s">
        <v>2199</v>
      </c>
      <c r="K447" s="911">
        <v>11100000</v>
      </c>
      <c r="L447" s="903">
        <f>K447-I447</f>
        <v>0</v>
      </c>
    </row>
    <row r="448" spans="1:13">
      <c r="A448" s="924"/>
      <c r="B448" s="865"/>
      <c r="C448" s="904"/>
      <c r="D448" s="658"/>
      <c r="E448" s="865"/>
      <c r="F448" s="655"/>
      <c r="G448" s="656"/>
      <c r="H448" s="905"/>
      <c r="I448" s="906"/>
      <c r="J448" s="910"/>
      <c r="K448" s="911"/>
      <c r="L448" s="903"/>
    </row>
    <row r="449" spans="1:13">
      <c r="A449" s="867">
        <v>226</v>
      </c>
      <c r="B449" s="955"/>
      <c r="C449" s="904" t="s">
        <v>489</v>
      </c>
      <c r="D449" s="658" t="s">
        <v>2216</v>
      </c>
      <c r="E449" s="865" t="s">
        <v>117</v>
      </c>
      <c r="F449" s="653"/>
      <c r="G449" s="654"/>
      <c r="H449" s="905">
        <v>900000</v>
      </c>
      <c r="I449" s="905">
        <f>H449</f>
        <v>900000</v>
      </c>
      <c r="J449" s="909"/>
      <c r="K449" s="911">
        <v>900000</v>
      </c>
      <c r="L449" s="903">
        <f>K449-I449</f>
        <v>0</v>
      </c>
      <c r="M449" t="s">
        <v>2211</v>
      </c>
    </row>
    <row r="450" spans="1:13">
      <c r="A450" s="924"/>
      <c r="B450" s="955"/>
      <c r="C450" s="904"/>
      <c r="D450" s="658"/>
      <c r="E450" s="865"/>
      <c r="F450" s="655"/>
      <c r="G450" s="656"/>
      <c r="H450" s="905"/>
      <c r="I450" s="906"/>
      <c r="J450" s="910"/>
      <c r="K450" s="911"/>
      <c r="L450" s="903"/>
    </row>
    <row r="451" spans="1:13">
      <c r="A451" s="924">
        <v>227</v>
      </c>
      <c r="B451" s="865"/>
      <c r="C451" s="904" t="s">
        <v>490</v>
      </c>
      <c r="D451" s="658" t="s">
        <v>2210</v>
      </c>
      <c r="E451" s="865" t="s">
        <v>1864</v>
      </c>
      <c r="F451" s="653"/>
      <c r="G451" s="654"/>
      <c r="H451" s="905">
        <v>2000000</v>
      </c>
      <c r="I451" s="905">
        <f>H451</f>
        <v>2000000</v>
      </c>
      <c r="J451" s="909"/>
      <c r="K451" s="911">
        <v>2000000</v>
      </c>
      <c r="L451" s="903">
        <f>K451-I451</f>
        <v>0</v>
      </c>
      <c r="M451" t="s">
        <v>2208</v>
      </c>
    </row>
    <row r="452" spans="1:13">
      <c r="A452" s="924"/>
      <c r="B452" s="865"/>
      <c r="C452" s="904"/>
      <c r="D452" s="658"/>
      <c r="E452" s="865"/>
      <c r="F452" s="655"/>
      <c r="G452" s="656"/>
      <c r="H452" s="905"/>
      <c r="I452" s="906"/>
      <c r="J452" s="910"/>
      <c r="K452" s="911"/>
      <c r="L452" s="903"/>
    </row>
    <row r="453" spans="1:13">
      <c r="A453" s="867">
        <v>228</v>
      </c>
      <c r="B453" s="955"/>
      <c r="C453" s="904" t="s">
        <v>486</v>
      </c>
      <c r="D453" s="658" t="s">
        <v>2210</v>
      </c>
      <c r="E453" s="865" t="s">
        <v>1140</v>
      </c>
      <c r="F453" s="653"/>
      <c r="G453" s="654"/>
      <c r="H453" s="905">
        <v>4500000</v>
      </c>
      <c r="I453" s="905">
        <f>H453</f>
        <v>4500000</v>
      </c>
      <c r="J453" s="909"/>
      <c r="K453" s="911">
        <v>4500000</v>
      </c>
      <c r="L453" s="903">
        <f>K453-I453</f>
        <v>0</v>
      </c>
    </row>
    <row r="454" spans="1:13">
      <c r="A454" s="924"/>
      <c r="B454" s="955"/>
      <c r="C454" s="904"/>
      <c r="D454" s="658"/>
      <c r="E454" s="865"/>
      <c r="F454" s="655"/>
      <c r="G454" s="656"/>
      <c r="H454" s="905"/>
      <c r="I454" s="906"/>
      <c r="J454" s="910"/>
      <c r="K454" s="911"/>
      <c r="L454" s="903"/>
    </row>
    <row r="455" spans="1:13">
      <c r="A455" s="924">
        <v>229</v>
      </c>
      <c r="B455" s="865" t="s">
        <v>2181</v>
      </c>
      <c r="C455" s="904" t="s">
        <v>2197</v>
      </c>
      <c r="D455" s="658" t="s">
        <v>2192</v>
      </c>
      <c r="E455" s="865" t="s">
        <v>20</v>
      </c>
      <c r="F455" s="653" t="s">
        <v>2177</v>
      </c>
      <c r="G455" s="654"/>
      <c r="H455" s="905">
        <v>40187</v>
      </c>
      <c r="I455" s="905">
        <v>11100000</v>
      </c>
      <c r="J455" s="909" t="s">
        <v>2200</v>
      </c>
      <c r="K455" s="911">
        <v>11100000</v>
      </c>
      <c r="L455" s="903">
        <f>K455-I455</f>
        <v>0</v>
      </c>
    </row>
    <row r="456" spans="1:13">
      <c r="A456" s="924"/>
      <c r="B456" s="865"/>
      <c r="C456" s="904"/>
      <c r="D456" s="658"/>
      <c r="E456" s="865"/>
      <c r="F456" s="655"/>
      <c r="G456" s="656"/>
      <c r="H456" s="905"/>
      <c r="I456" s="906"/>
      <c r="J456" s="910"/>
      <c r="K456" s="911"/>
      <c r="L456" s="903"/>
    </row>
    <row r="457" spans="1:13">
      <c r="A457" s="867">
        <v>230</v>
      </c>
      <c r="B457" s="955"/>
      <c r="C457" s="904" t="s">
        <v>491</v>
      </c>
      <c r="D457" s="658" t="s">
        <v>2210</v>
      </c>
      <c r="E457" s="865" t="s">
        <v>2050</v>
      </c>
      <c r="F457" s="653" t="s">
        <v>1602</v>
      </c>
      <c r="G457" s="654"/>
      <c r="H457" s="905">
        <v>3700000</v>
      </c>
      <c r="I457" s="905">
        <f>H457</f>
        <v>3700000</v>
      </c>
      <c r="J457" s="909"/>
      <c r="K457" s="911">
        <v>3700000</v>
      </c>
      <c r="L457" s="903">
        <f>K457-I457</f>
        <v>0</v>
      </c>
    </row>
    <row r="458" spans="1:13">
      <c r="A458" s="924"/>
      <c r="B458" s="955"/>
      <c r="C458" s="904"/>
      <c r="D458" s="658"/>
      <c r="E458" s="865"/>
      <c r="F458" s="655"/>
      <c r="G458" s="656"/>
      <c r="H458" s="905"/>
      <c r="I458" s="906"/>
      <c r="J458" s="910"/>
      <c r="K458" s="911"/>
      <c r="L458" s="903"/>
    </row>
    <row r="459" spans="1:13">
      <c r="A459" s="924">
        <v>231</v>
      </c>
      <c r="B459" s="865"/>
      <c r="C459" s="904" t="s">
        <v>494</v>
      </c>
      <c r="D459" s="658" t="s">
        <v>2210</v>
      </c>
      <c r="E459" s="865" t="s">
        <v>2190</v>
      </c>
      <c r="F459" s="653"/>
      <c r="G459" s="654"/>
      <c r="H459" s="905">
        <v>4500000</v>
      </c>
      <c r="I459" s="905">
        <f>H459</f>
        <v>4500000</v>
      </c>
      <c r="J459" s="909"/>
      <c r="K459" s="911">
        <v>4500000</v>
      </c>
      <c r="L459" s="903">
        <f>K459-I459</f>
        <v>0</v>
      </c>
    </row>
    <row r="460" spans="1:13">
      <c r="A460" s="924"/>
      <c r="B460" s="865"/>
      <c r="C460" s="904"/>
      <c r="D460" s="658"/>
      <c r="E460" s="865"/>
      <c r="F460" s="655"/>
      <c r="G460" s="656"/>
      <c r="H460" s="905"/>
      <c r="I460" s="906"/>
      <c r="J460" s="910"/>
      <c r="K460" s="911"/>
      <c r="L460" s="903"/>
    </row>
    <row r="461" spans="1:13">
      <c r="A461" s="924">
        <v>233</v>
      </c>
      <c r="B461" s="865" t="s">
        <v>2183</v>
      </c>
      <c r="C461" s="904" t="s">
        <v>2234</v>
      </c>
      <c r="D461" s="658" t="s">
        <v>2226</v>
      </c>
      <c r="E461" s="865" t="s">
        <v>20</v>
      </c>
      <c r="F461" s="653" t="s">
        <v>2184</v>
      </c>
      <c r="G461" s="654"/>
      <c r="H461" s="905">
        <v>40013</v>
      </c>
      <c r="I461" s="905">
        <v>11100000</v>
      </c>
      <c r="J461" s="909" t="s">
        <v>2202</v>
      </c>
      <c r="K461" s="911">
        <v>11100000</v>
      </c>
      <c r="L461" s="903">
        <f>K461-I461</f>
        <v>0</v>
      </c>
    </row>
    <row r="462" spans="1:13">
      <c r="A462" s="924"/>
      <c r="B462" s="865"/>
      <c r="C462" s="904"/>
      <c r="D462" s="658"/>
      <c r="E462" s="865"/>
      <c r="F462" s="655"/>
      <c r="G462" s="656"/>
      <c r="H462" s="905"/>
      <c r="I462" s="906"/>
      <c r="J462" s="910"/>
      <c r="K462" s="911"/>
      <c r="L462" s="903"/>
    </row>
    <row r="463" spans="1:13">
      <c r="A463" s="867">
        <v>234</v>
      </c>
      <c r="B463" s="955"/>
      <c r="C463" s="904" t="s">
        <v>503</v>
      </c>
      <c r="D463" s="658" t="s">
        <v>2227</v>
      </c>
      <c r="E463" s="865" t="s">
        <v>2171</v>
      </c>
      <c r="F463" s="653" t="s">
        <v>2207</v>
      </c>
      <c r="G463" s="654"/>
      <c r="H463" s="905">
        <v>7500000</v>
      </c>
      <c r="I463" s="905">
        <f>H463</f>
        <v>7500000</v>
      </c>
      <c r="J463" s="909"/>
      <c r="K463" s="911">
        <v>7500000</v>
      </c>
      <c r="L463" s="903">
        <f>K463-I463</f>
        <v>0</v>
      </c>
    </row>
    <row r="464" spans="1:13">
      <c r="A464" s="924"/>
      <c r="B464" s="955"/>
      <c r="C464" s="904"/>
      <c r="D464" s="658"/>
      <c r="E464" s="865"/>
      <c r="F464" s="655"/>
      <c r="G464" s="656"/>
      <c r="H464" s="905"/>
      <c r="I464" s="906"/>
      <c r="J464" s="910"/>
      <c r="K464" s="911"/>
      <c r="L464" s="903"/>
    </row>
    <row r="465" spans="1:13">
      <c r="A465" s="924">
        <v>235</v>
      </c>
      <c r="B465" s="865"/>
      <c r="C465" s="904" t="s">
        <v>504</v>
      </c>
      <c r="D465" s="658" t="s">
        <v>2227</v>
      </c>
      <c r="E465" s="865" t="s">
        <v>2231</v>
      </c>
      <c r="F465" s="653"/>
      <c r="G465" s="654"/>
      <c r="H465" s="905">
        <v>3350000</v>
      </c>
      <c r="I465" s="905">
        <f>H465</f>
        <v>3350000</v>
      </c>
      <c r="J465" s="909"/>
      <c r="K465" s="911">
        <v>3350000</v>
      </c>
      <c r="L465" s="903">
        <f>K465-I465</f>
        <v>0</v>
      </c>
    </row>
    <row r="466" spans="1:13">
      <c r="A466" s="924"/>
      <c r="B466" s="865"/>
      <c r="C466" s="904"/>
      <c r="D466" s="658"/>
      <c r="E466" s="865"/>
      <c r="F466" s="655"/>
      <c r="G466" s="656"/>
      <c r="H466" s="905"/>
      <c r="I466" s="906"/>
      <c r="J466" s="910"/>
      <c r="K466" s="911"/>
      <c r="L466" s="903"/>
    </row>
    <row r="467" spans="1:13">
      <c r="A467" s="924">
        <v>237</v>
      </c>
      <c r="B467" s="865" t="s">
        <v>2198</v>
      </c>
      <c r="C467" s="904" t="s">
        <v>495</v>
      </c>
      <c r="D467" s="658" t="s">
        <v>2185</v>
      </c>
      <c r="E467" s="865" t="s">
        <v>8</v>
      </c>
      <c r="F467" s="653"/>
      <c r="G467" s="654"/>
      <c r="H467" s="905">
        <v>908600</v>
      </c>
      <c r="I467" s="905">
        <f>H467</f>
        <v>908600</v>
      </c>
      <c r="J467" s="909"/>
      <c r="K467" s="911">
        <v>908600</v>
      </c>
      <c r="L467" s="903">
        <f>K467-I467</f>
        <v>0</v>
      </c>
      <c r="M467" s="13"/>
    </row>
    <row r="468" spans="1:13">
      <c r="A468" s="924"/>
      <c r="B468" s="865"/>
      <c r="C468" s="904"/>
      <c r="D468" s="658"/>
      <c r="E468" s="865"/>
      <c r="F468" s="655"/>
      <c r="G468" s="656"/>
      <c r="H468" s="905"/>
      <c r="I468" s="906"/>
      <c r="J468" s="910"/>
      <c r="K468" s="911"/>
      <c r="L468" s="903"/>
    </row>
    <row r="469" spans="1:13">
      <c r="A469" s="924">
        <v>239</v>
      </c>
      <c r="B469" s="865" t="s">
        <v>2187</v>
      </c>
      <c r="C469" s="904" t="s">
        <v>2245</v>
      </c>
      <c r="D469" s="658" t="s">
        <v>2205</v>
      </c>
      <c r="E469" s="865" t="s">
        <v>20</v>
      </c>
      <c r="F469" s="653" t="s">
        <v>1804</v>
      </c>
      <c r="G469" s="654"/>
      <c r="H469" s="905">
        <v>38082</v>
      </c>
      <c r="I469" s="905">
        <v>10700000</v>
      </c>
      <c r="J469" s="909" t="s">
        <v>2201</v>
      </c>
      <c r="K469" s="911">
        <v>10700000</v>
      </c>
      <c r="L469" s="903">
        <f>K469-I469</f>
        <v>0</v>
      </c>
    </row>
    <row r="470" spans="1:13">
      <c r="A470" s="924"/>
      <c r="B470" s="865"/>
      <c r="C470" s="904"/>
      <c r="D470" s="658"/>
      <c r="E470" s="865"/>
      <c r="F470" s="655"/>
      <c r="G470" s="656"/>
      <c r="H470" s="905"/>
      <c r="I470" s="906"/>
      <c r="J470" s="910"/>
      <c r="K470" s="911"/>
      <c r="L470" s="903"/>
    </row>
    <row r="471" spans="1:13">
      <c r="A471" s="867">
        <v>240</v>
      </c>
      <c r="B471" s="955"/>
      <c r="C471" s="904" t="s">
        <v>508</v>
      </c>
      <c r="D471" s="658" t="s">
        <v>2219</v>
      </c>
      <c r="E471" s="865" t="s">
        <v>2206</v>
      </c>
      <c r="F471" s="653"/>
      <c r="G471" s="654"/>
      <c r="H471" s="905">
        <v>4000000</v>
      </c>
      <c r="I471" s="905">
        <f>H471</f>
        <v>4000000</v>
      </c>
      <c r="J471" s="909"/>
      <c r="K471" s="911">
        <v>4000000</v>
      </c>
      <c r="L471" s="903">
        <f>K471-I471</f>
        <v>0</v>
      </c>
    </row>
    <row r="472" spans="1:13">
      <c r="A472" s="924"/>
      <c r="B472" s="955"/>
      <c r="C472" s="904"/>
      <c r="D472" s="658"/>
      <c r="E472" s="865"/>
      <c r="F472" s="655"/>
      <c r="G472" s="656"/>
      <c r="H472" s="905"/>
      <c r="I472" s="906"/>
      <c r="J472" s="910"/>
      <c r="K472" s="911"/>
      <c r="L472" s="903"/>
    </row>
    <row r="473" spans="1:13">
      <c r="A473" s="924">
        <v>241</v>
      </c>
      <c r="B473" s="865"/>
      <c r="C473" s="904" t="s">
        <v>505</v>
      </c>
      <c r="D473" s="658" t="s">
        <v>2227</v>
      </c>
      <c r="E473" s="865" t="s">
        <v>2153</v>
      </c>
      <c r="F473" s="653" t="s">
        <v>2215</v>
      </c>
      <c r="G473" s="654"/>
      <c r="H473" s="905">
        <v>3500000</v>
      </c>
      <c r="I473" s="905">
        <f>H473</f>
        <v>3500000</v>
      </c>
      <c r="J473" s="909"/>
      <c r="K473" s="911">
        <v>3500000</v>
      </c>
      <c r="L473" s="903">
        <f>K473-I473</f>
        <v>0</v>
      </c>
    </row>
    <row r="474" spans="1:13">
      <c r="A474" s="924"/>
      <c r="B474" s="865"/>
      <c r="C474" s="904"/>
      <c r="D474" s="658"/>
      <c r="E474" s="865"/>
      <c r="F474" s="655"/>
      <c r="G474" s="656"/>
      <c r="H474" s="905"/>
      <c r="I474" s="906"/>
      <c r="J474" s="910"/>
      <c r="K474" s="911"/>
      <c r="L474" s="903"/>
    </row>
    <row r="475" spans="1:13">
      <c r="A475" s="867">
        <v>242</v>
      </c>
      <c r="B475" s="955"/>
      <c r="C475" s="904" t="s">
        <v>507</v>
      </c>
      <c r="D475" s="658" t="s">
        <v>2227</v>
      </c>
      <c r="E475" s="865" t="s">
        <v>2228</v>
      </c>
      <c r="F475" s="653" t="s">
        <v>2229</v>
      </c>
      <c r="G475" s="654"/>
      <c r="H475" s="905">
        <v>2600000</v>
      </c>
      <c r="I475" s="905">
        <f>H475</f>
        <v>2600000</v>
      </c>
      <c r="J475" s="909"/>
      <c r="K475" s="911">
        <v>2600000</v>
      </c>
      <c r="L475" s="903">
        <f>K475-I475</f>
        <v>0</v>
      </c>
    </row>
    <row r="476" spans="1:13">
      <c r="A476" s="924"/>
      <c r="B476" s="955"/>
      <c r="C476" s="904"/>
      <c r="D476" s="658"/>
      <c r="E476" s="865"/>
      <c r="F476" s="655"/>
      <c r="G476" s="656"/>
      <c r="H476" s="905"/>
      <c r="I476" s="906"/>
      <c r="J476" s="910"/>
      <c r="K476" s="911"/>
      <c r="L476" s="903"/>
    </row>
    <row r="477" spans="1:13">
      <c r="A477" s="924">
        <v>243</v>
      </c>
      <c r="B477" s="865" t="s">
        <v>2203</v>
      </c>
      <c r="C477" s="904" t="s">
        <v>2235</v>
      </c>
      <c r="D477" s="658" t="s">
        <v>2204</v>
      </c>
      <c r="E477" s="865" t="s">
        <v>20</v>
      </c>
      <c r="F477" s="653" t="s">
        <v>1804</v>
      </c>
      <c r="G477" s="654"/>
      <c r="H477" s="905" t="s">
        <v>2578</v>
      </c>
      <c r="I477" s="905">
        <v>10700000</v>
      </c>
      <c r="J477" s="909" t="s">
        <v>2236</v>
      </c>
      <c r="K477" s="911">
        <v>10700000</v>
      </c>
      <c r="L477" s="903">
        <f>K477-I477</f>
        <v>0</v>
      </c>
    </row>
    <row r="478" spans="1:13">
      <c r="A478" s="924"/>
      <c r="B478" s="865"/>
      <c r="C478" s="904"/>
      <c r="D478" s="658"/>
      <c r="E478" s="865"/>
      <c r="F478" s="655"/>
      <c r="G478" s="656"/>
      <c r="H478" s="905"/>
      <c r="I478" s="906"/>
      <c r="J478" s="910"/>
      <c r="K478" s="911"/>
      <c r="L478" s="903"/>
    </row>
    <row r="479" spans="1:13">
      <c r="A479" s="867">
        <v>244</v>
      </c>
      <c r="B479" s="955"/>
      <c r="C479" s="904" t="s">
        <v>509</v>
      </c>
      <c r="D479" s="658" t="s">
        <v>2219</v>
      </c>
      <c r="E479" s="865" t="s">
        <v>2222</v>
      </c>
      <c r="F479" s="653"/>
      <c r="G479" s="654"/>
      <c r="H479" s="905">
        <v>3000000</v>
      </c>
      <c r="I479" s="905">
        <f>H479</f>
        <v>3000000</v>
      </c>
      <c r="J479" s="909"/>
      <c r="K479" s="911">
        <v>3000000</v>
      </c>
      <c r="L479" s="903">
        <f>K479-I479</f>
        <v>0</v>
      </c>
    </row>
    <row r="480" spans="1:13">
      <c r="A480" s="924"/>
      <c r="B480" s="955"/>
      <c r="C480" s="904"/>
      <c r="D480" s="658"/>
      <c r="E480" s="865"/>
      <c r="F480" s="655"/>
      <c r="G480" s="656"/>
      <c r="H480" s="905"/>
      <c r="I480" s="906"/>
      <c r="J480" s="910"/>
      <c r="K480" s="911"/>
      <c r="L480" s="903"/>
    </row>
    <row r="481" spans="1:12">
      <c r="A481" s="924">
        <v>245</v>
      </c>
      <c r="B481" s="865"/>
      <c r="C481" s="904" t="s">
        <v>510</v>
      </c>
      <c r="D481" s="658" t="s">
        <v>2219</v>
      </c>
      <c r="E481" s="865" t="s">
        <v>2223</v>
      </c>
      <c r="F481" s="653"/>
      <c r="G481" s="654"/>
      <c r="H481" s="905">
        <v>3800000</v>
      </c>
      <c r="I481" s="905">
        <f>H481</f>
        <v>3800000</v>
      </c>
      <c r="J481" s="909"/>
      <c r="K481" s="911">
        <v>3800000</v>
      </c>
      <c r="L481" s="903">
        <f>K481-I481</f>
        <v>0</v>
      </c>
    </row>
    <row r="482" spans="1:12">
      <c r="A482" s="924"/>
      <c r="B482" s="865"/>
      <c r="C482" s="904"/>
      <c r="D482" s="658"/>
      <c r="E482" s="865"/>
      <c r="F482" s="655"/>
      <c r="G482" s="656"/>
      <c r="H482" s="905"/>
      <c r="I482" s="906"/>
      <c r="J482" s="910"/>
      <c r="K482" s="911"/>
      <c r="L482" s="903"/>
    </row>
    <row r="483" spans="1:12">
      <c r="A483" s="924">
        <v>247</v>
      </c>
      <c r="B483" s="865" t="s">
        <v>2246</v>
      </c>
      <c r="C483" s="904" t="s">
        <v>2248</v>
      </c>
      <c r="D483" s="658" t="s">
        <v>2204</v>
      </c>
      <c r="E483" s="865" t="s">
        <v>20</v>
      </c>
      <c r="F483" s="653" t="s">
        <v>1804</v>
      </c>
      <c r="G483" s="654"/>
      <c r="H483" s="905">
        <v>38183</v>
      </c>
      <c r="I483" s="905">
        <v>10700000</v>
      </c>
      <c r="J483" s="909" t="s">
        <v>2247</v>
      </c>
      <c r="K483" s="911">
        <v>10700000</v>
      </c>
      <c r="L483" s="903">
        <f>K483-I483</f>
        <v>0</v>
      </c>
    </row>
    <row r="484" spans="1:12">
      <c r="A484" s="924"/>
      <c r="B484" s="865"/>
      <c r="C484" s="904"/>
      <c r="D484" s="658"/>
      <c r="E484" s="865"/>
      <c r="F484" s="655"/>
      <c r="G484" s="656"/>
      <c r="H484" s="905"/>
      <c r="I484" s="906"/>
      <c r="J484" s="910"/>
      <c r="K484" s="911"/>
      <c r="L484" s="903"/>
    </row>
    <row r="485" spans="1:12">
      <c r="A485" s="867">
        <v>248</v>
      </c>
      <c r="B485" s="955"/>
      <c r="C485" s="904" t="s">
        <v>529</v>
      </c>
      <c r="D485" s="658" t="s">
        <v>2230</v>
      </c>
      <c r="E485" s="865" t="s">
        <v>117</v>
      </c>
      <c r="F485" s="653"/>
      <c r="G485" s="654"/>
      <c r="H485" s="905">
        <v>900000</v>
      </c>
      <c r="I485" s="905">
        <f>H485</f>
        <v>900000</v>
      </c>
      <c r="J485" s="909"/>
      <c r="K485" s="911">
        <v>900000</v>
      </c>
      <c r="L485" s="903">
        <f>K485-I485</f>
        <v>0</v>
      </c>
    </row>
    <row r="486" spans="1:12">
      <c r="A486" s="924"/>
      <c r="B486" s="955"/>
      <c r="C486" s="904"/>
      <c r="D486" s="658"/>
      <c r="E486" s="865"/>
      <c r="F486" s="655"/>
      <c r="G486" s="656"/>
      <c r="H486" s="905"/>
      <c r="I486" s="906"/>
      <c r="J486" s="910"/>
      <c r="K486" s="911"/>
      <c r="L486" s="903"/>
    </row>
    <row r="487" spans="1:12" ht="12.75" customHeight="1">
      <c r="A487" s="867">
        <v>250</v>
      </c>
      <c r="B487" s="865" t="s">
        <v>2218</v>
      </c>
      <c r="C487" s="904" t="s">
        <v>526</v>
      </c>
      <c r="D487" s="658" t="s">
        <v>2219</v>
      </c>
      <c r="E487" s="865" t="s">
        <v>130</v>
      </c>
      <c r="F487" s="653"/>
      <c r="G487" s="654"/>
      <c r="H487" s="905">
        <v>836300</v>
      </c>
      <c r="I487" s="905">
        <f>H487</f>
        <v>836300</v>
      </c>
      <c r="J487" s="909"/>
      <c r="K487" s="911">
        <v>836300</v>
      </c>
      <c r="L487" s="903">
        <f>K487-I487</f>
        <v>0</v>
      </c>
    </row>
    <row r="488" spans="1:12" ht="12.75" customHeight="1">
      <c r="A488" s="924"/>
      <c r="B488" s="865"/>
      <c r="C488" s="904"/>
      <c r="D488" s="658"/>
      <c r="E488" s="865"/>
      <c r="F488" s="655"/>
      <c r="G488" s="656"/>
      <c r="H488" s="905"/>
      <c r="I488" s="906"/>
      <c r="J488" s="910"/>
      <c r="K488" s="911"/>
      <c r="L488" s="903"/>
    </row>
    <row r="489" spans="1:12">
      <c r="A489" s="924">
        <v>253</v>
      </c>
      <c r="B489" s="865" t="s">
        <v>2220</v>
      </c>
      <c r="C489" s="904" t="s">
        <v>2252</v>
      </c>
      <c r="D489" s="658" t="s">
        <v>2221</v>
      </c>
      <c r="E489" s="865" t="s">
        <v>20</v>
      </c>
      <c r="F489" s="653" t="s">
        <v>1804</v>
      </c>
      <c r="G489" s="654"/>
      <c r="H489" s="905">
        <v>37410</v>
      </c>
      <c r="I489" s="905">
        <v>10700000</v>
      </c>
      <c r="J489" s="909" t="s">
        <v>2251</v>
      </c>
      <c r="K489" s="911">
        <v>10700000</v>
      </c>
      <c r="L489" s="903">
        <f>K489-I489</f>
        <v>0</v>
      </c>
    </row>
    <row r="490" spans="1:12">
      <c r="A490" s="924"/>
      <c r="B490" s="865"/>
      <c r="C490" s="904"/>
      <c r="D490" s="658"/>
      <c r="E490" s="865"/>
      <c r="F490" s="655"/>
      <c r="G490" s="656"/>
      <c r="H490" s="905"/>
      <c r="I490" s="906"/>
      <c r="J490" s="910"/>
      <c r="K490" s="911"/>
      <c r="L490" s="903"/>
    </row>
    <row r="491" spans="1:12">
      <c r="A491" s="867">
        <v>254</v>
      </c>
      <c r="B491" s="955"/>
      <c r="C491" s="904" t="s">
        <v>531</v>
      </c>
      <c r="D491" s="658" t="s">
        <v>2241</v>
      </c>
      <c r="E491" s="865" t="s">
        <v>2239</v>
      </c>
      <c r="F491" s="653"/>
      <c r="G491" s="654"/>
      <c r="H491" s="905">
        <v>4200000</v>
      </c>
      <c r="I491" s="905">
        <f>H491</f>
        <v>4200000</v>
      </c>
      <c r="J491" s="909"/>
      <c r="K491" s="911">
        <v>4200000</v>
      </c>
      <c r="L491" s="903">
        <f>K491-I491</f>
        <v>0</v>
      </c>
    </row>
    <row r="492" spans="1:12">
      <c r="A492" s="924"/>
      <c r="B492" s="955"/>
      <c r="C492" s="904"/>
      <c r="D492" s="658"/>
      <c r="E492" s="865"/>
      <c r="F492" s="655"/>
      <c r="G492" s="656"/>
      <c r="H492" s="905"/>
      <c r="I492" s="906"/>
      <c r="J492" s="910"/>
      <c r="K492" s="911"/>
      <c r="L492" s="903"/>
    </row>
    <row r="493" spans="1:12">
      <c r="A493" s="924">
        <v>255</v>
      </c>
      <c r="B493" s="865"/>
      <c r="C493" s="904" t="s">
        <v>535</v>
      </c>
      <c r="D493" s="658" t="s">
        <v>2241</v>
      </c>
      <c r="E493" s="865" t="s">
        <v>2240</v>
      </c>
      <c r="F493" s="653"/>
      <c r="G493" s="654"/>
      <c r="H493" s="905">
        <v>3800000</v>
      </c>
      <c r="I493" s="905">
        <f>H493</f>
        <v>3800000</v>
      </c>
      <c r="J493" s="909"/>
      <c r="K493" s="911">
        <v>3800000</v>
      </c>
      <c r="L493" s="903">
        <f>K493-I493</f>
        <v>0</v>
      </c>
    </row>
    <row r="494" spans="1:12">
      <c r="A494" s="924"/>
      <c r="B494" s="865"/>
      <c r="C494" s="904"/>
      <c r="D494" s="658"/>
      <c r="E494" s="865"/>
      <c r="F494" s="655"/>
      <c r="G494" s="656"/>
      <c r="H494" s="905"/>
      <c r="I494" s="906"/>
      <c r="J494" s="910"/>
      <c r="K494" s="911"/>
      <c r="L494" s="903"/>
    </row>
    <row r="495" spans="1:12" ht="12.75" customHeight="1">
      <c r="A495" s="867">
        <v>258</v>
      </c>
      <c r="B495" s="865" t="s">
        <v>2224</v>
      </c>
      <c r="C495" s="904" t="s">
        <v>2254</v>
      </c>
      <c r="D495" s="658" t="s">
        <v>2225</v>
      </c>
      <c r="E495" s="865" t="s">
        <v>20</v>
      </c>
      <c r="F495" s="653" t="s">
        <v>1804</v>
      </c>
      <c r="G495" s="654"/>
      <c r="H495" s="905">
        <v>37240</v>
      </c>
      <c r="I495" s="905">
        <v>10700000</v>
      </c>
      <c r="J495" s="909" t="s">
        <v>2256</v>
      </c>
      <c r="K495" s="911">
        <v>10700000</v>
      </c>
      <c r="L495" s="903">
        <f>K495-I495</f>
        <v>0</v>
      </c>
    </row>
    <row r="496" spans="1:12" ht="12.75" customHeight="1">
      <c r="A496" s="924"/>
      <c r="B496" s="865"/>
      <c r="C496" s="904"/>
      <c r="D496" s="658"/>
      <c r="E496" s="865"/>
      <c r="F496" s="655"/>
      <c r="G496" s="656"/>
      <c r="H496" s="905"/>
      <c r="I496" s="906"/>
      <c r="J496" s="910"/>
      <c r="K496" s="911"/>
      <c r="L496" s="903"/>
    </row>
    <row r="497" spans="1:13">
      <c r="A497" s="924">
        <v>259</v>
      </c>
      <c r="B497" s="865"/>
      <c r="C497" s="904" t="s">
        <v>620</v>
      </c>
      <c r="D497" s="658" t="s">
        <v>2242</v>
      </c>
      <c r="E497" s="865" t="s">
        <v>2186</v>
      </c>
      <c r="F497" s="653"/>
      <c r="G497" s="654"/>
      <c r="H497" s="905">
        <v>770000</v>
      </c>
      <c r="I497" s="905">
        <f>H497</f>
        <v>770000</v>
      </c>
      <c r="J497" s="909"/>
      <c r="K497" s="911">
        <v>770000</v>
      </c>
      <c r="L497" s="903">
        <f>K497-I497</f>
        <v>0</v>
      </c>
    </row>
    <row r="498" spans="1:13">
      <c r="A498" s="924"/>
      <c r="B498" s="865"/>
      <c r="C498" s="904"/>
      <c r="D498" s="658"/>
      <c r="E498" s="865"/>
      <c r="F498" s="655"/>
      <c r="G498" s="656"/>
      <c r="H498" s="905"/>
      <c r="I498" s="906"/>
      <c r="J498" s="910"/>
      <c r="K498" s="911"/>
      <c r="L498" s="903"/>
    </row>
    <row r="499" spans="1:13">
      <c r="A499" s="867">
        <v>260</v>
      </c>
      <c r="B499" s="955"/>
      <c r="C499" s="904" t="s">
        <v>619</v>
      </c>
      <c r="D499" s="658" t="s">
        <v>2264</v>
      </c>
      <c r="E499" s="865" t="s">
        <v>2249</v>
      </c>
      <c r="F499" s="653"/>
      <c r="G499" s="654"/>
      <c r="H499" s="905">
        <v>2600000</v>
      </c>
      <c r="I499" s="905">
        <f>H499</f>
        <v>2600000</v>
      </c>
      <c r="J499" s="909"/>
      <c r="K499" s="911">
        <v>2600000</v>
      </c>
      <c r="L499" s="903">
        <f>K499-I499</f>
        <v>0</v>
      </c>
    </row>
    <row r="500" spans="1:13">
      <c r="A500" s="924"/>
      <c r="B500" s="955"/>
      <c r="C500" s="904"/>
      <c r="D500" s="658"/>
      <c r="E500" s="865"/>
      <c r="F500" s="655"/>
      <c r="G500" s="656"/>
      <c r="H500" s="905"/>
      <c r="I500" s="906"/>
      <c r="J500" s="910"/>
      <c r="K500" s="911"/>
      <c r="L500" s="903"/>
    </row>
    <row r="501" spans="1:13">
      <c r="A501" s="924">
        <v>263</v>
      </c>
      <c r="B501" s="865" t="s">
        <v>2276</v>
      </c>
      <c r="C501" s="904" t="s">
        <v>2253</v>
      </c>
      <c r="D501" s="658" t="s">
        <v>2230</v>
      </c>
      <c r="E501" s="865" t="s">
        <v>20</v>
      </c>
      <c r="F501" s="653" t="s">
        <v>1804</v>
      </c>
      <c r="G501" s="654"/>
      <c r="H501" s="905">
        <v>37240</v>
      </c>
      <c r="I501" s="905">
        <v>10700000</v>
      </c>
      <c r="J501" s="909" t="s">
        <v>2256</v>
      </c>
      <c r="K501" s="911">
        <v>10700000</v>
      </c>
      <c r="L501" s="903">
        <f>K501-I501</f>
        <v>0</v>
      </c>
    </row>
    <row r="502" spans="1:13">
      <c r="A502" s="924"/>
      <c r="B502" s="865"/>
      <c r="C502" s="904"/>
      <c r="D502" s="658"/>
      <c r="E502" s="865"/>
      <c r="F502" s="655"/>
      <c r="G502" s="656"/>
      <c r="H502" s="905"/>
      <c r="I502" s="906"/>
      <c r="J502" s="910"/>
      <c r="K502" s="911"/>
      <c r="L502" s="903"/>
    </row>
    <row r="503" spans="1:13">
      <c r="A503" s="867">
        <v>264</v>
      </c>
      <c r="B503" s="955"/>
      <c r="C503" s="904" t="s">
        <v>536</v>
      </c>
      <c r="D503" s="658" t="s">
        <v>2241</v>
      </c>
      <c r="E503" s="865" t="s">
        <v>2178</v>
      </c>
      <c r="F503" s="653"/>
      <c r="G503" s="654"/>
      <c r="H503" s="905">
        <v>4600000</v>
      </c>
      <c r="I503" s="905">
        <f>H503</f>
        <v>4600000</v>
      </c>
      <c r="J503" s="909"/>
      <c r="K503" s="911">
        <v>4600000</v>
      </c>
      <c r="L503" s="903">
        <f>K503-I503</f>
        <v>0</v>
      </c>
    </row>
    <row r="504" spans="1:13">
      <c r="A504" s="924"/>
      <c r="B504" s="955"/>
      <c r="C504" s="904"/>
      <c r="D504" s="658"/>
      <c r="E504" s="865"/>
      <c r="F504" s="655"/>
      <c r="G504" s="656"/>
      <c r="H504" s="905"/>
      <c r="I504" s="906"/>
      <c r="J504" s="910"/>
      <c r="K504" s="911"/>
      <c r="L504" s="903"/>
    </row>
    <row r="505" spans="1:13" ht="12.75" customHeight="1">
      <c r="A505" s="924">
        <v>265</v>
      </c>
      <c r="B505" s="865"/>
      <c r="C505" s="913" t="s">
        <v>607</v>
      </c>
      <c r="D505" s="659" t="s">
        <v>2241</v>
      </c>
      <c r="E505" s="865" t="s">
        <v>2243</v>
      </c>
      <c r="F505" s="653"/>
      <c r="G505" s="654"/>
      <c r="H505" s="905">
        <v>800000</v>
      </c>
      <c r="I505" s="905">
        <f t="shared" ref="I505:I515" si="0">H505</f>
        <v>800000</v>
      </c>
      <c r="J505" s="909"/>
      <c r="K505" s="911">
        <v>800000</v>
      </c>
      <c r="L505" s="903">
        <f t="shared" ref="L505:L517" si="1">K505-I505</f>
        <v>0</v>
      </c>
    </row>
    <row r="506" spans="1:13" ht="12.75" customHeight="1">
      <c r="A506" s="924"/>
      <c r="B506" s="865"/>
      <c r="C506" s="914"/>
      <c r="D506" s="660"/>
      <c r="E506" s="865"/>
      <c r="F506" s="655"/>
      <c r="G506" s="656"/>
      <c r="H506" s="905"/>
      <c r="I506" s="906"/>
      <c r="J506" s="910"/>
      <c r="K506" s="911"/>
      <c r="L506" s="903"/>
    </row>
    <row r="507" spans="1:13">
      <c r="A507" s="924">
        <v>266</v>
      </c>
      <c r="B507" s="865"/>
      <c r="C507" s="904" t="s">
        <v>613</v>
      </c>
      <c r="D507" s="658" t="s">
        <v>2241</v>
      </c>
      <c r="E507" s="865" t="s">
        <v>2244</v>
      </c>
      <c r="F507" s="653"/>
      <c r="G507" s="654"/>
      <c r="H507" s="905">
        <v>2800000</v>
      </c>
      <c r="I507" s="905">
        <f t="shared" si="0"/>
        <v>2800000</v>
      </c>
      <c r="J507" s="909"/>
      <c r="K507" s="911">
        <v>2800000</v>
      </c>
      <c r="L507" s="903">
        <f t="shared" si="1"/>
        <v>0</v>
      </c>
    </row>
    <row r="508" spans="1:13">
      <c r="A508" s="924"/>
      <c r="B508" s="865"/>
      <c r="C508" s="904"/>
      <c r="D508" s="658"/>
      <c r="E508" s="865"/>
      <c r="F508" s="655"/>
      <c r="G508" s="656"/>
      <c r="H508" s="905"/>
      <c r="I508" s="906"/>
      <c r="J508" s="910"/>
      <c r="K508" s="911"/>
      <c r="L508" s="903"/>
      <c r="M508" s="6" t="s">
        <v>2373</v>
      </c>
    </row>
    <row r="509" spans="1:13">
      <c r="A509" s="924">
        <v>267</v>
      </c>
      <c r="B509" s="865" t="s">
        <v>2232</v>
      </c>
      <c r="C509" s="904" t="s">
        <v>2255</v>
      </c>
      <c r="D509" s="658" t="s">
        <v>2225</v>
      </c>
      <c r="E509" s="865" t="s">
        <v>20</v>
      </c>
      <c r="F509" s="653" t="s">
        <v>2233</v>
      </c>
      <c r="G509" s="654"/>
      <c r="H509" s="905">
        <v>37853</v>
      </c>
      <c r="I509" s="905">
        <v>10700000</v>
      </c>
      <c r="J509" s="909"/>
      <c r="K509" s="911">
        <v>10700000</v>
      </c>
      <c r="L509" s="903">
        <f t="shared" si="1"/>
        <v>0</v>
      </c>
      <c r="M509" s="6" t="s">
        <v>2275</v>
      </c>
    </row>
    <row r="510" spans="1:13">
      <c r="A510" s="924"/>
      <c r="B510" s="865"/>
      <c r="C510" s="904"/>
      <c r="D510" s="658"/>
      <c r="E510" s="865"/>
      <c r="F510" s="655"/>
      <c r="G510" s="656"/>
      <c r="H510" s="905"/>
      <c r="I510" s="906"/>
      <c r="J510" s="910"/>
      <c r="K510" s="911"/>
      <c r="L510" s="903"/>
      <c r="M510" t="s">
        <v>2274</v>
      </c>
    </row>
    <row r="511" spans="1:13">
      <c r="A511" s="924">
        <v>268</v>
      </c>
      <c r="B511" s="865"/>
      <c r="C511" s="904" t="s">
        <v>621</v>
      </c>
      <c r="D511" s="658" t="s">
        <v>2242</v>
      </c>
      <c r="E511" s="865" t="s">
        <v>1745</v>
      </c>
      <c r="F511" s="653"/>
      <c r="G511" s="654"/>
      <c r="H511" s="905">
        <v>900000</v>
      </c>
      <c r="I511" s="905">
        <f t="shared" si="0"/>
        <v>900000</v>
      </c>
      <c r="J511" s="909"/>
      <c r="K511" s="911">
        <v>900000</v>
      </c>
      <c r="L511" s="903">
        <f t="shared" si="1"/>
        <v>0</v>
      </c>
    </row>
    <row r="512" spans="1:13">
      <c r="A512" s="924"/>
      <c r="B512" s="865"/>
      <c r="C512" s="904"/>
      <c r="D512" s="658"/>
      <c r="E512" s="865"/>
      <c r="F512" s="655"/>
      <c r="G512" s="656"/>
      <c r="H512" s="905"/>
      <c r="I512" s="906"/>
      <c r="J512" s="910"/>
      <c r="K512" s="911"/>
      <c r="L512" s="903"/>
    </row>
    <row r="513" spans="1:13">
      <c r="A513" s="924">
        <v>269</v>
      </c>
      <c r="B513" s="865"/>
      <c r="C513" s="904" t="s">
        <v>623</v>
      </c>
      <c r="D513" s="658" t="s">
        <v>2242</v>
      </c>
      <c r="E513" s="865" t="s">
        <v>2277</v>
      </c>
      <c r="F513" s="653" t="s">
        <v>1438</v>
      </c>
      <c r="G513" s="654"/>
      <c r="H513" s="905">
        <v>3000000</v>
      </c>
      <c r="I513" s="905">
        <f t="shared" si="0"/>
        <v>3000000</v>
      </c>
      <c r="J513" s="909"/>
      <c r="K513" s="911">
        <v>3000000</v>
      </c>
      <c r="L513" s="903">
        <f t="shared" si="1"/>
        <v>0</v>
      </c>
    </row>
    <row r="514" spans="1:13">
      <c r="A514" s="924"/>
      <c r="B514" s="865"/>
      <c r="C514" s="904"/>
      <c r="D514" s="658"/>
      <c r="E514" s="865"/>
      <c r="F514" s="655"/>
      <c r="G514" s="656"/>
      <c r="H514" s="905"/>
      <c r="I514" s="906"/>
      <c r="J514" s="910"/>
      <c r="K514" s="911"/>
      <c r="L514" s="903"/>
    </row>
    <row r="515" spans="1:13" ht="12.75" customHeight="1">
      <c r="A515" s="924">
        <v>271</v>
      </c>
      <c r="B515" s="865" t="s">
        <v>2237</v>
      </c>
      <c r="C515" s="904" t="s">
        <v>530</v>
      </c>
      <c r="D515" s="658" t="s">
        <v>2225</v>
      </c>
      <c r="E515" s="865" t="s">
        <v>8</v>
      </c>
      <c r="F515" s="653"/>
      <c r="G515" s="654"/>
      <c r="H515" s="915">
        <v>839800</v>
      </c>
      <c r="I515" s="915">
        <f t="shared" si="0"/>
        <v>839800</v>
      </c>
      <c r="J515" s="948"/>
      <c r="K515" s="911">
        <v>839800</v>
      </c>
      <c r="L515" s="903">
        <f t="shared" si="1"/>
        <v>0</v>
      </c>
    </row>
    <row r="516" spans="1:13" ht="12.75" customHeight="1">
      <c r="A516" s="924"/>
      <c r="B516" s="865"/>
      <c r="C516" s="904"/>
      <c r="D516" s="658"/>
      <c r="E516" s="865"/>
      <c r="F516" s="655"/>
      <c r="G516" s="656"/>
      <c r="H516" s="916"/>
      <c r="I516" s="916"/>
      <c r="J516" s="949"/>
      <c r="K516" s="911"/>
      <c r="L516" s="903"/>
      <c r="M516" s="5">
        <f>SUM(I519,I517,I515,I513,I511,I509,I507,I505,I503,I501,I499,I497,I495,I493,I491,I489,I487,I485,I483,I481,I479,I477,I475,I473,I471,I469,I467,I465,I463,I461,I459,I457,I455,I453,I451,I449,I447,I445,I443,I441,I439,I437,I435,I433,I431,I429,I427,I425,I423,I421,I419,I417,I415,I411,I409,I407,I405,I402,I400,I398,I396,I392)</f>
        <v>322821365</v>
      </c>
    </row>
    <row r="517" spans="1:13">
      <c r="A517" s="924">
        <v>273</v>
      </c>
      <c r="B517" s="865" t="s">
        <v>2238</v>
      </c>
      <c r="C517" s="904" t="s">
        <v>614</v>
      </c>
      <c r="D517" s="658" t="s">
        <v>2241</v>
      </c>
      <c r="E517" s="865" t="s">
        <v>2257</v>
      </c>
      <c r="F517" s="653"/>
      <c r="G517" s="654"/>
      <c r="H517" s="905">
        <v>5500</v>
      </c>
      <c r="I517" s="898">
        <v>1563265</v>
      </c>
      <c r="J517" s="909"/>
      <c r="K517" s="911">
        <v>1563265</v>
      </c>
      <c r="L517" s="903">
        <f t="shared" si="1"/>
        <v>0</v>
      </c>
    </row>
    <row r="518" spans="1:13">
      <c r="A518" s="924"/>
      <c r="B518" s="865"/>
      <c r="C518" s="904"/>
      <c r="D518" s="658"/>
      <c r="E518" s="865"/>
      <c r="F518" s="655"/>
      <c r="G518" s="656"/>
      <c r="H518" s="905"/>
      <c r="I518" s="959"/>
      <c r="J518" s="910"/>
      <c r="K518" s="911"/>
      <c r="L518" s="903"/>
      <c r="M518" t="s">
        <v>2258</v>
      </c>
    </row>
    <row r="519" spans="1:13">
      <c r="A519" s="924">
        <v>275</v>
      </c>
      <c r="B519" s="865" t="s">
        <v>2259</v>
      </c>
      <c r="C519" s="904" t="s">
        <v>2260</v>
      </c>
      <c r="D519" s="658" t="s">
        <v>2242</v>
      </c>
      <c r="E519" s="865" t="s">
        <v>20</v>
      </c>
      <c r="F519" s="653" t="s">
        <v>2261</v>
      </c>
      <c r="G519" s="654"/>
      <c r="H519" s="905">
        <v>39053</v>
      </c>
      <c r="I519" s="905">
        <v>11100000</v>
      </c>
      <c r="J519" s="909" t="s">
        <v>2278</v>
      </c>
      <c r="K519" s="911">
        <v>11100000</v>
      </c>
      <c r="L519" s="903">
        <f>K519-I519</f>
        <v>0</v>
      </c>
    </row>
    <row r="520" spans="1:13">
      <c r="A520" s="924"/>
      <c r="B520" s="865"/>
      <c r="C520" s="904"/>
      <c r="D520" s="658"/>
      <c r="E520" s="865"/>
      <c r="F520" s="655"/>
      <c r="G520" s="656"/>
      <c r="H520" s="905"/>
      <c r="I520" s="906"/>
      <c r="J520" s="910"/>
      <c r="K520" s="911"/>
      <c r="L520" s="903"/>
      <c r="M520" s="5"/>
    </row>
    <row r="521" spans="1:13">
      <c r="A521" s="924">
        <v>1</v>
      </c>
      <c r="B521" s="865"/>
      <c r="C521" s="904" t="s">
        <v>624</v>
      </c>
      <c r="D521" s="674" t="s">
        <v>2271</v>
      </c>
      <c r="E521" s="865" t="s">
        <v>2265</v>
      </c>
      <c r="F521" s="653"/>
      <c r="G521" s="654"/>
      <c r="H521" s="905">
        <v>3200000</v>
      </c>
      <c r="I521" s="905">
        <f>H521</f>
        <v>3200000</v>
      </c>
      <c r="J521" s="909"/>
      <c r="K521" s="911"/>
      <c r="L521" s="903">
        <f>K521-I521</f>
        <v>-3200000</v>
      </c>
    </row>
    <row r="522" spans="1:13">
      <c r="A522" s="924"/>
      <c r="B522" s="865"/>
      <c r="C522" s="904"/>
      <c r="D522" s="674"/>
      <c r="E522" s="865"/>
      <c r="F522" s="655"/>
      <c r="G522" s="656"/>
      <c r="H522" s="905"/>
      <c r="I522" s="906"/>
      <c r="J522" s="910"/>
      <c r="K522" s="911"/>
      <c r="L522" s="903"/>
    </row>
    <row r="523" spans="1:13" ht="12.75" customHeight="1">
      <c r="A523" s="924">
        <v>2</v>
      </c>
      <c r="B523" s="865"/>
      <c r="C523" s="904" t="s">
        <v>631</v>
      </c>
      <c r="D523" s="674" t="s">
        <v>2266</v>
      </c>
      <c r="E523" s="865" t="s">
        <v>2280</v>
      </c>
      <c r="F523" s="653"/>
      <c r="G523" s="654"/>
      <c r="H523" s="905">
        <v>3000000</v>
      </c>
      <c r="I523" s="905">
        <f>H523</f>
        <v>3000000</v>
      </c>
      <c r="J523" s="909"/>
      <c r="K523" s="911">
        <v>3000000</v>
      </c>
      <c r="L523" s="903">
        <f>K523-I523</f>
        <v>0</v>
      </c>
    </row>
    <row r="524" spans="1:13" ht="12.75" customHeight="1">
      <c r="A524" s="924"/>
      <c r="B524" s="865"/>
      <c r="C524" s="904"/>
      <c r="D524" s="674"/>
      <c r="E524" s="865"/>
      <c r="F524" s="655"/>
      <c r="G524" s="656"/>
      <c r="H524" s="905"/>
      <c r="I524" s="906"/>
      <c r="J524" s="910"/>
      <c r="K524" s="911"/>
      <c r="L524" s="903"/>
    </row>
    <row r="525" spans="1:13" ht="12.75" customHeight="1">
      <c r="A525" s="924">
        <v>3</v>
      </c>
      <c r="B525" s="865"/>
      <c r="C525" s="904" t="s">
        <v>632</v>
      </c>
      <c r="D525" s="674" t="s">
        <v>2271</v>
      </c>
      <c r="E525" s="865" t="s">
        <v>1010</v>
      </c>
      <c r="F525" s="653"/>
      <c r="G525" s="654"/>
      <c r="H525" s="905">
        <v>4000000</v>
      </c>
      <c r="I525" s="905">
        <f>H525</f>
        <v>4000000</v>
      </c>
      <c r="J525" s="909"/>
      <c r="K525" s="911">
        <v>4000000</v>
      </c>
      <c r="L525" s="903">
        <f>K525-I525</f>
        <v>0</v>
      </c>
    </row>
    <row r="526" spans="1:13" ht="12.75" customHeight="1">
      <c r="A526" s="924"/>
      <c r="B526" s="865"/>
      <c r="C526" s="904"/>
      <c r="D526" s="674"/>
      <c r="E526" s="865"/>
      <c r="F526" s="655"/>
      <c r="G526" s="656"/>
      <c r="H526" s="905"/>
      <c r="I526" s="906"/>
      <c r="J526" s="910"/>
      <c r="K526" s="911"/>
      <c r="L526" s="903"/>
    </row>
    <row r="527" spans="1:13">
      <c r="A527" s="924"/>
      <c r="B527" s="925"/>
      <c r="C527" s="926"/>
      <c r="D527" s="927"/>
      <c r="E527" s="925"/>
      <c r="F527" s="928" t="s">
        <v>502</v>
      </c>
      <c r="G527" s="929"/>
      <c r="H527" s="932"/>
      <c r="I527" s="932"/>
      <c r="J527" s="934"/>
      <c r="K527" s="921"/>
      <c r="L527" s="922"/>
    </row>
    <row r="528" spans="1:13">
      <c r="A528" s="924"/>
      <c r="B528" s="925"/>
      <c r="C528" s="926"/>
      <c r="D528" s="927"/>
      <c r="E528" s="925"/>
      <c r="F528" s="930"/>
      <c r="G528" s="931"/>
      <c r="H528" s="932"/>
      <c r="I528" s="933"/>
      <c r="J528" s="935"/>
      <c r="K528" s="921"/>
      <c r="L528" s="922"/>
    </row>
    <row r="529" spans="1:13">
      <c r="A529" s="924">
        <v>4</v>
      </c>
      <c r="B529" s="865" t="s">
        <v>2262</v>
      </c>
      <c r="C529" s="904" t="s">
        <v>2284</v>
      </c>
      <c r="D529" s="658" t="s">
        <v>2266</v>
      </c>
      <c r="E529" s="865" t="s">
        <v>1873</v>
      </c>
      <c r="F529" s="653" t="s">
        <v>2233</v>
      </c>
      <c r="G529" s="654"/>
      <c r="H529" s="905">
        <v>38408</v>
      </c>
      <c r="I529" s="923">
        <v>10700000</v>
      </c>
      <c r="J529" s="909" t="s">
        <v>2285</v>
      </c>
      <c r="K529" s="911">
        <v>10700000</v>
      </c>
      <c r="L529" s="903">
        <f>K529-I529</f>
        <v>0</v>
      </c>
      <c r="M529" s="5"/>
    </row>
    <row r="530" spans="1:13">
      <c r="A530" s="924"/>
      <c r="B530" s="865"/>
      <c r="C530" s="904"/>
      <c r="D530" s="658"/>
      <c r="E530" s="865"/>
      <c r="F530" s="655"/>
      <c r="G530" s="656"/>
      <c r="H530" s="905"/>
      <c r="I530" s="923"/>
      <c r="J530" s="910"/>
      <c r="K530" s="911"/>
      <c r="L530" s="903"/>
      <c r="M530" s="559">
        <f>I521+I523+I525+I529+I531+I533+I535+I537+I539+I541+I543+I545+I547+I549+I551+I553+I555+I557+I559+I561+I565+I563+I567+I569+I571+I573+I575+I577+I579+I581+I583+I585+I587+I589+I591+I593+I595+I597+I599+I601+I603+I605+I607+I609+I611+I613+I615+I627+I629+I631+I635</f>
        <v>278911180</v>
      </c>
    </row>
    <row r="531" spans="1:13" ht="12.75" customHeight="1">
      <c r="A531" s="924">
        <v>5</v>
      </c>
      <c r="B531" s="865" t="s">
        <v>2263</v>
      </c>
      <c r="C531" s="904" t="s">
        <v>2286</v>
      </c>
      <c r="D531" s="658" t="s">
        <v>2266</v>
      </c>
      <c r="E531" s="865" t="s">
        <v>1873</v>
      </c>
      <c r="F531" s="653"/>
      <c r="G531" s="654"/>
      <c r="H531" s="905">
        <v>38806</v>
      </c>
      <c r="I531" s="923">
        <v>10700000</v>
      </c>
      <c r="J531" s="909" t="s">
        <v>2287</v>
      </c>
      <c r="K531" s="911">
        <v>10700000</v>
      </c>
      <c r="L531" s="903">
        <f>K531-I531</f>
        <v>0</v>
      </c>
    </row>
    <row r="532" spans="1:13" ht="12.75" customHeight="1">
      <c r="A532" s="924"/>
      <c r="B532" s="865"/>
      <c r="C532" s="904"/>
      <c r="D532" s="658"/>
      <c r="E532" s="865"/>
      <c r="F532" s="655"/>
      <c r="G532" s="656"/>
      <c r="H532" s="905"/>
      <c r="I532" s="923"/>
      <c r="J532" s="910"/>
      <c r="K532" s="911"/>
      <c r="L532" s="903"/>
      <c r="M532" s="5"/>
    </row>
    <row r="533" spans="1:13" ht="12.75" customHeight="1">
      <c r="A533" s="924">
        <v>6</v>
      </c>
      <c r="B533" s="865"/>
      <c r="C533" s="904" t="s">
        <v>633</v>
      </c>
      <c r="D533" s="658" t="s">
        <v>2269</v>
      </c>
      <c r="E533" s="865" t="s">
        <v>2267</v>
      </c>
      <c r="F533" s="653"/>
      <c r="G533" s="654"/>
      <c r="H533" s="905">
        <v>2771280</v>
      </c>
      <c r="I533" s="888">
        <f>H533</f>
        <v>2771280</v>
      </c>
      <c r="J533" s="909"/>
      <c r="K533" s="911">
        <v>2771280</v>
      </c>
      <c r="L533" s="903">
        <f>K533-I533</f>
        <v>0</v>
      </c>
    </row>
    <row r="534" spans="1:13" ht="12.75" customHeight="1">
      <c r="A534" s="924"/>
      <c r="B534" s="865"/>
      <c r="C534" s="904"/>
      <c r="D534" s="658"/>
      <c r="E534" s="865"/>
      <c r="F534" s="655"/>
      <c r="G534" s="656"/>
      <c r="H534" s="905"/>
      <c r="I534" s="889"/>
      <c r="J534" s="910"/>
      <c r="K534" s="911"/>
      <c r="L534" s="903"/>
    </row>
    <row r="535" spans="1:13" ht="12.75" customHeight="1">
      <c r="A535" s="924">
        <v>7</v>
      </c>
      <c r="B535" s="865"/>
      <c r="C535" s="904" t="s">
        <v>634</v>
      </c>
      <c r="D535" s="658" t="s">
        <v>2269</v>
      </c>
      <c r="E535" s="865" t="s">
        <v>2288</v>
      </c>
      <c r="F535" s="653"/>
      <c r="G535" s="654"/>
      <c r="H535" s="905">
        <v>2500000</v>
      </c>
      <c r="I535" s="888">
        <f>H535</f>
        <v>2500000</v>
      </c>
      <c r="J535" s="909"/>
      <c r="K535" s="911">
        <v>2500000</v>
      </c>
      <c r="L535" s="903">
        <f>K535-I535</f>
        <v>0</v>
      </c>
    </row>
    <row r="536" spans="1:13" ht="12.75" customHeight="1">
      <c r="A536" s="924"/>
      <c r="B536" s="865"/>
      <c r="C536" s="904"/>
      <c r="D536" s="658"/>
      <c r="E536" s="865"/>
      <c r="F536" s="655"/>
      <c r="G536" s="656"/>
      <c r="H536" s="905"/>
      <c r="I536" s="889"/>
      <c r="J536" s="910"/>
      <c r="K536" s="911"/>
      <c r="L536" s="903"/>
    </row>
    <row r="537" spans="1:13" ht="12.75" customHeight="1">
      <c r="A537" s="924">
        <v>9</v>
      </c>
      <c r="B537" s="865" t="s">
        <v>2268</v>
      </c>
      <c r="C537" s="904" t="s">
        <v>2295</v>
      </c>
      <c r="D537" s="658" t="s">
        <v>2269</v>
      </c>
      <c r="E537" s="865" t="s">
        <v>1873</v>
      </c>
      <c r="F537" s="653"/>
      <c r="G537" s="654"/>
      <c r="H537" s="905">
        <v>38925</v>
      </c>
      <c r="I537" s="888">
        <v>10700000</v>
      </c>
      <c r="J537" s="909" t="s">
        <v>2310</v>
      </c>
      <c r="K537" s="911">
        <v>10700000</v>
      </c>
      <c r="L537" s="903">
        <f>K537-I537</f>
        <v>0</v>
      </c>
    </row>
    <row r="538" spans="1:13" ht="12.75" customHeight="1">
      <c r="A538" s="924"/>
      <c r="B538" s="865"/>
      <c r="C538" s="904"/>
      <c r="D538" s="658"/>
      <c r="E538" s="865"/>
      <c r="F538" s="655"/>
      <c r="G538" s="656"/>
      <c r="H538" s="905"/>
      <c r="I538" s="889"/>
      <c r="J538" s="910"/>
      <c r="K538" s="911"/>
      <c r="L538" s="903"/>
    </row>
    <row r="539" spans="1:13" ht="12.75" customHeight="1">
      <c r="A539" s="924">
        <v>15</v>
      </c>
      <c r="B539" s="865"/>
      <c r="C539" s="904" t="s">
        <v>655</v>
      </c>
      <c r="D539" s="658" t="s">
        <v>2291</v>
      </c>
      <c r="E539" s="865" t="s">
        <v>2171</v>
      </c>
      <c r="F539" s="653" t="s">
        <v>2294</v>
      </c>
      <c r="G539" s="654"/>
      <c r="H539" s="905">
        <v>8000000</v>
      </c>
      <c r="I539" s="888">
        <v>8000000</v>
      </c>
      <c r="J539" s="909"/>
      <c r="K539" s="911"/>
      <c r="L539" s="903">
        <f>K539-I539</f>
        <v>-8000000</v>
      </c>
    </row>
    <row r="540" spans="1:13" ht="12.75" customHeight="1">
      <c r="A540" s="924"/>
      <c r="B540" s="865"/>
      <c r="C540" s="904"/>
      <c r="D540" s="658"/>
      <c r="E540" s="865"/>
      <c r="F540" s="655"/>
      <c r="G540" s="656"/>
      <c r="H540" s="905"/>
      <c r="I540" s="889"/>
      <c r="J540" s="910"/>
      <c r="K540" s="911"/>
      <c r="L540" s="903"/>
    </row>
    <row r="541" spans="1:13" ht="12.75" customHeight="1">
      <c r="A541" s="866">
        <v>13</v>
      </c>
      <c r="B541" s="878"/>
      <c r="C541" s="913" t="s">
        <v>653</v>
      </c>
      <c r="D541" s="659" t="s">
        <v>2291</v>
      </c>
      <c r="E541" s="865" t="s">
        <v>2004</v>
      </c>
      <c r="F541" s="560"/>
      <c r="G541" s="561"/>
      <c r="H541" s="915">
        <v>600000</v>
      </c>
      <c r="I541" s="888">
        <v>600000</v>
      </c>
      <c r="J541" s="917"/>
      <c r="K541" s="919"/>
      <c r="L541" s="900">
        <f>-K541-I541</f>
        <v>-600000</v>
      </c>
    </row>
    <row r="542" spans="1:13" ht="12.75" customHeight="1">
      <c r="A542" s="867"/>
      <c r="B542" s="879"/>
      <c r="C542" s="914"/>
      <c r="D542" s="660"/>
      <c r="E542" s="865"/>
      <c r="F542" s="560"/>
      <c r="G542" s="561"/>
      <c r="H542" s="916"/>
      <c r="I542" s="889"/>
      <c r="J542" s="918"/>
      <c r="K542" s="920"/>
      <c r="L542" s="901"/>
    </row>
    <row r="543" spans="1:13" ht="12.75" customHeight="1">
      <c r="A543" s="924">
        <v>14</v>
      </c>
      <c r="B543" s="865"/>
      <c r="C543" s="904" t="s">
        <v>654</v>
      </c>
      <c r="D543" s="658" t="s">
        <v>2292</v>
      </c>
      <c r="E543" s="865" t="s">
        <v>2004</v>
      </c>
      <c r="F543" s="653"/>
      <c r="G543" s="654"/>
      <c r="H543" s="905">
        <v>3000000</v>
      </c>
      <c r="I543" s="888">
        <v>3000000</v>
      </c>
      <c r="J543" s="909"/>
      <c r="K543" s="911"/>
      <c r="L543" s="903">
        <f>K543-I543</f>
        <v>-3000000</v>
      </c>
    </row>
    <row r="544" spans="1:13" ht="12.75" customHeight="1">
      <c r="A544" s="924"/>
      <c r="B544" s="865"/>
      <c r="C544" s="904"/>
      <c r="D544" s="658"/>
      <c r="E544" s="865"/>
      <c r="F544" s="655"/>
      <c r="G544" s="656"/>
      <c r="H544" s="905"/>
      <c r="I544" s="889"/>
      <c r="J544" s="910"/>
      <c r="K544" s="911"/>
      <c r="L544" s="903"/>
    </row>
    <row r="545" spans="1:12" ht="12.75" customHeight="1">
      <c r="A545" s="924">
        <v>10</v>
      </c>
      <c r="B545" s="865" t="s">
        <v>2272</v>
      </c>
      <c r="C545" s="912" t="s">
        <v>642</v>
      </c>
      <c r="D545" s="658" t="s">
        <v>2271</v>
      </c>
      <c r="E545" s="865" t="s">
        <v>2270</v>
      </c>
      <c r="F545" s="653"/>
      <c r="G545" s="654"/>
      <c r="H545" s="905">
        <v>879800</v>
      </c>
      <c r="I545" s="888">
        <f>H545</f>
        <v>879800</v>
      </c>
      <c r="J545" s="909"/>
      <c r="K545" s="911">
        <v>879800</v>
      </c>
      <c r="L545" s="903">
        <f>K545-I545</f>
        <v>0</v>
      </c>
    </row>
    <row r="546" spans="1:12" ht="12.75" customHeight="1">
      <c r="A546" s="924"/>
      <c r="B546" s="865"/>
      <c r="C546" s="912"/>
      <c r="D546" s="658"/>
      <c r="E546" s="865"/>
      <c r="F546" s="655"/>
      <c r="G546" s="656"/>
      <c r="H546" s="905"/>
      <c r="I546" s="889"/>
      <c r="J546" s="910"/>
      <c r="K546" s="911"/>
      <c r="L546" s="903"/>
    </row>
    <row r="547" spans="1:12" ht="12.75" customHeight="1">
      <c r="A547" s="924">
        <v>16</v>
      </c>
      <c r="B547" s="865" t="s">
        <v>2279</v>
      </c>
      <c r="C547" s="904" t="s">
        <v>2296</v>
      </c>
      <c r="D547" s="658" t="s">
        <v>2269</v>
      </c>
      <c r="E547" s="865" t="s">
        <v>1873</v>
      </c>
      <c r="F547" s="653" t="s">
        <v>2273</v>
      </c>
      <c r="G547" s="654"/>
      <c r="H547" s="905">
        <v>40108</v>
      </c>
      <c r="I547" s="888">
        <v>11100000</v>
      </c>
      <c r="J547" s="909" t="s">
        <v>2301</v>
      </c>
      <c r="K547" s="911">
        <v>11100000</v>
      </c>
      <c r="L547" s="903">
        <f>K547-I547</f>
        <v>0</v>
      </c>
    </row>
    <row r="548" spans="1:12" ht="12.75" customHeight="1">
      <c r="A548" s="924"/>
      <c r="B548" s="865"/>
      <c r="C548" s="904"/>
      <c r="D548" s="658"/>
      <c r="E548" s="865"/>
      <c r="F548" s="655"/>
      <c r="G548" s="656"/>
      <c r="H548" s="905"/>
      <c r="I548" s="889"/>
      <c r="J548" s="910"/>
      <c r="K548" s="911"/>
      <c r="L548" s="903"/>
    </row>
    <row r="549" spans="1:12" ht="12.75" customHeight="1">
      <c r="A549" s="924">
        <v>11</v>
      </c>
      <c r="B549" s="865"/>
      <c r="C549" s="904" t="s">
        <v>646</v>
      </c>
      <c r="D549" s="658" t="s">
        <v>2289</v>
      </c>
      <c r="E549" s="865" t="s">
        <v>1601</v>
      </c>
      <c r="F549" s="653"/>
      <c r="G549" s="654"/>
      <c r="H549" s="905">
        <v>8700000</v>
      </c>
      <c r="I549" s="888">
        <v>8700000</v>
      </c>
      <c r="J549" s="909"/>
      <c r="K549" s="911">
        <v>8700000</v>
      </c>
      <c r="L549" s="903">
        <f>K549-I549</f>
        <v>0</v>
      </c>
    </row>
    <row r="550" spans="1:12" ht="12.75" customHeight="1">
      <c r="A550" s="924"/>
      <c r="B550" s="865"/>
      <c r="C550" s="904"/>
      <c r="D550" s="658"/>
      <c r="E550" s="865"/>
      <c r="F550" s="655"/>
      <c r="G550" s="656"/>
      <c r="H550" s="905"/>
      <c r="I550" s="889"/>
      <c r="J550" s="910"/>
      <c r="K550" s="911"/>
      <c r="L550" s="903"/>
    </row>
    <row r="551" spans="1:12" ht="12.75" customHeight="1">
      <c r="A551" s="924">
        <v>17</v>
      </c>
      <c r="B551" s="865" t="s">
        <v>2281</v>
      </c>
      <c r="C551" s="904" t="s">
        <v>2297</v>
      </c>
      <c r="D551" s="658" t="s">
        <v>2289</v>
      </c>
      <c r="E551" s="865" t="s">
        <v>1873</v>
      </c>
      <c r="F551" s="653"/>
      <c r="G551" s="654"/>
      <c r="H551" s="905">
        <v>38685</v>
      </c>
      <c r="I551" s="888">
        <v>10700000</v>
      </c>
      <c r="J551" s="909" t="s">
        <v>2312</v>
      </c>
      <c r="K551" s="911">
        <v>10700000</v>
      </c>
      <c r="L551" s="903">
        <f>K551-I551</f>
        <v>0</v>
      </c>
    </row>
    <row r="552" spans="1:12" ht="12.75" customHeight="1">
      <c r="A552" s="924"/>
      <c r="B552" s="865"/>
      <c r="C552" s="904"/>
      <c r="D552" s="658"/>
      <c r="E552" s="865"/>
      <c r="F552" s="655"/>
      <c r="G552" s="656"/>
      <c r="H552" s="905"/>
      <c r="I552" s="889"/>
      <c r="J552" s="910"/>
      <c r="K552" s="911"/>
      <c r="L552" s="903"/>
    </row>
    <row r="553" spans="1:12">
      <c r="A553" s="658" t="s">
        <v>70</v>
      </c>
      <c r="B553" s="658"/>
      <c r="C553" s="904" t="s">
        <v>650</v>
      </c>
      <c r="D553" s="658" t="s">
        <v>2315</v>
      </c>
      <c r="E553" s="658" t="s">
        <v>2186</v>
      </c>
      <c r="F553" s="653"/>
      <c r="G553" s="654"/>
      <c r="H553" s="905" t="s">
        <v>2307</v>
      </c>
      <c r="I553" s="888" t="str">
        <f>H553</f>
        <v>465000</v>
      </c>
      <c r="J553" s="905"/>
      <c r="K553" s="905">
        <v>465000</v>
      </c>
      <c r="L553" s="903">
        <f>K553-I553</f>
        <v>0</v>
      </c>
    </row>
    <row r="554" spans="1:12">
      <c r="A554" s="658"/>
      <c r="B554" s="658"/>
      <c r="C554" s="904"/>
      <c r="D554" s="658"/>
      <c r="E554" s="658"/>
      <c r="F554" s="655"/>
      <c r="G554" s="656"/>
      <c r="H554" s="905"/>
      <c r="I554" s="889"/>
      <c r="J554" s="905"/>
      <c r="K554" s="905"/>
      <c r="L554" s="903"/>
    </row>
    <row r="555" spans="1:12">
      <c r="A555" s="659" t="s">
        <v>71</v>
      </c>
      <c r="B555" s="659"/>
      <c r="C555" s="904" t="s">
        <v>652</v>
      </c>
      <c r="D555" s="659" t="s">
        <v>2315</v>
      </c>
      <c r="E555" s="659" t="s">
        <v>1153</v>
      </c>
      <c r="F555" s="562"/>
      <c r="G555" s="563"/>
      <c r="H555" s="905" t="s">
        <v>2309</v>
      </c>
      <c r="I555" s="888" t="str">
        <f>H555</f>
        <v>930000</v>
      </c>
      <c r="J555" s="905"/>
      <c r="K555" s="905">
        <v>930000</v>
      </c>
      <c r="L555" s="903">
        <f>K555-I555</f>
        <v>0</v>
      </c>
    </row>
    <row r="556" spans="1:12">
      <c r="A556" s="660"/>
      <c r="B556" s="660"/>
      <c r="C556" s="904"/>
      <c r="D556" s="660"/>
      <c r="E556" s="660"/>
      <c r="F556" s="562"/>
      <c r="G556" s="563"/>
      <c r="H556" s="905"/>
      <c r="I556" s="889"/>
      <c r="J556" s="905"/>
      <c r="K556" s="905"/>
      <c r="L556" s="903"/>
    </row>
    <row r="557" spans="1:12">
      <c r="A557" s="658" t="s">
        <v>78</v>
      </c>
      <c r="B557" s="658"/>
      <c r="C557" s="904" t="s">
        <v>659</v>
      </c>
      <c r="D557" s="658" t="s">
        <v>2315</v>
      </c>
      <c r="E557" s="658" t="s">
        <v>117</v>
      </c>
      <c r="F557" s="653"/>
      <c r="G557" s="654"/>
      <c r="H557" s="905">
        <v>900000</v>
      </c>
      <c r="I557" s="888">
        <f>H557</f>
        <v>900000</v>
      </c>
      <c r="J557" s="905"/>
      <c r="K557" s="905">
        <v>900000</v>
      </c>
      <c r="L557" s="903">
        <f>K557-I557</f>
        <v>0</v>
      </c>
    </row>
    <row r="558" spans="1:12">
      <c r="A558" s="658"/>
      <c r="B558" s="658"/>
      <c r="C558" s="904"/>
      <c r="D558" s="658"/>
      <c r="E558" s="658"/>
      <c r="F558" s="655"/>
      <c r="G558" s="656"/>
      <c r="H558" s="905"/>
      <c r="I558" s="889"/>
      <c r="J558" s="905"/>
      <c r="K558" s="905"/>
      <c r="L558" s="903"/>
    </row>
    <row r="559" spans="1:12">
      <c r="A559" s="658" t="s">
        <v>67</v>
      </c>
      <c r="B559" s="658" t="s">
        <v>2282</v>
      </c>
      <c r="C559" s="904" t="s">
        <v>648</v>
      </c>
      <c r="D559" s="658" t="s">
        <v>2291</v>
      </c>
      <c r="E559" s="865" t="s">
        <v>2270</v>
      </c>
      <c r="F559" s="653"/>
      <c r="G559" s="654"/>
      <c r="H559" s="905" t="s">
        <v>2290</v>
      </c>
      <c r="I559" s="888" t="str">
        <f>H559</f>
        <v>879600</v>
      </c>
      <c r="J559" s="905"/>
      <c r="K559" s="905">
        <v>879600</v>
      </c>
      <c r="L559" s="903">
        <f>K559-I559</f>
        <v>0</v>
      </c>
    </row>
    <row r="560" spans="1:12">
      <c r="A560" s="658"/>
      <c r="B560" s="658"/>
      <c r="C560" s="904"/>
      <c r="D560" s="658"/>
      <c r="E560" s="865"/>
      <c r="F560" s="655"/>
      <c r="G560" s="656"/>
      <c r="H560" s="905"/>
      <c r="I560" s="889"/>
      <c r="J560" s="905"/>
      <c r="K560" s="905"/>
      <c r="L560" s="903"/>
    </row>
    <row r="561" spans="1:12" ht="12.75" customHeight="1">
      <c r="A561" s="658" t="s">
        <v>79</v>
      </c>
      <c r="B561" s="898" t="s">
        <v>2283</v>
      </c>
      <c r="C561" s="904" t="s">
        <v>2303</v>
      </c>
      <c r="D561" s="658" t="s">
        <v>2302</v>
      </c>
      <c r="E561" s="865" t="s">
        <v>1873</v>
      </c>
      <c r="F561" s="874" t="s">
        <v>2314</v>
      </c>
      <c r="G561" s="875"/>
      <c r="H561" s="905">
        <v>39263</v>
      </c>
      <c r="I561" s="888">
        <v>10700000</v>
      </c>
      <c r="J561" s="905" t="s">
        <v>2313</v>
      </c>
      <c r="K561" s="905">
        <v>10700000</v>
      </c>
      <c r="L561" s="903">
        <f>K561-I561</f>
        <v>0</v>
      </c>
    </row>
    <row r="562" spans="1:12">
      <c r="A562" s="658"/>
      <c r="B562" s="899"/>
      <c r="C562" s="904"/>
      <c r="D562" s="658"/>
      <c r="E562" s="865"/>
      <c r="F562" s="876"/>
      <c r="G562" s="877"/>
      <c r="H562" s="905"/>
      <c r="I562" s="889"/>
      <c r="J562" s="905"/>
      <c r="K562" s="905"/>
      <c r="L562" s="903"/>
    </row>
    <row r="563" spans="1:12">
      <c r="A563" s="658" t="s">
        <v>80</v>
      </c>
      <c r="B563" s="898"/>
      <c r="C563" s="904">
        <v>173</v>
      </c>
      <c r="D563" s="898" t="s">
        <v>2316</v>
      </c>
      <c r="E563" s="865" t="s">
        <v>2317</v>
      </c>
      <c r="F563" s="874" t="s">
        <v>1438</v>
      </c>
      <c r="G563" s="875"/>
      <c r="H563" s="905">
        <v>6400000</v>
      </c>
      <c r="I563" s="888">
        <f>H563</f>
        <v>6400000</v>
      </c>
      <c r="J563" s="905"/>
      <c r="K563" s="905">
        <v>6400000</v>
      </c>
      <c r="L563" s="903">
        <f>K563-I563</f>
        <v>0</v>
      </c>
    </row>
    <row r="564" spans="1:12">
      <c r="A564" s="658"/>
      <c r="B564" s="899"/>
      <c r="C564" s="904"/>
      <c r="D564" s="899"/>
      <c r="E564" s="865"/>
      <c r="F564" s="876"/>
      <c r="G564" s="877"/>
      <c r="H564" s="905"/>
      <c r="I564" s="889"/>
      <c r="J564" s="905"/>
      <c r="K564" s="905"/>
      <c r="L564" s="903"/>
    </row>
    <row r="565" spans="1:12">
      <c r="A565" s="658" t="s">
        <v>81</v>
      </c>
      <c r="B565" s="898"/>
      <c r="C565" s="904">
        <v>174</v>
      </c>
      <c r="D565" s="898" t="s">
        <v>2316</v>
      </c>
      <c r="E565" s="865" t="s">
        <v>2308</v>
      </c>
      <c r="F565" s="874"/>
      <c r="G565" s="875"/>
      <c r="H565" s="905">
        <v>5300000</v>
      </c>
      <c r="I565" s="888">
        <f>H565</f>
        <v>5300000</v>
      </c>
      <c r="J565" s="898"/>
      <c r="K565" s="898">
        <v>5300000</v>
      </c>
      <c r="L565" s="903">
        <f>K565-I565</f>
        <v>0</v>
      </c>
    </row>
    <row r="566" spans="1:12">
      <c r="A566" s="658"/>
      <c r="B566" s="899"/>
      <c r="C566" s="904"/>
      <c r="D566" s="899"/>
      <c r="E566" s="865"/>
      <c r="F566" s="876"/>
      <c r="G566" s="877"/>
      <c r="H566" s="906"/>
      <c r="I566" s="889"/>
      <c r="J566" s="899"/>
      <c r="K566" s="899"/>
      <c r="L566" s="903"/>
    </row>
    <row r="567" spans="1:12" ht="12.75" customHeight="1">
      <c r="A567" s="658" t="s">
        <v>82</v>
      </c>
      <c r="B567" s="898" t="s">
        <v>2293</v>
      </c>
      <c r="C567" s="904" t="s">
        <v>2333</v>
      </c>
      <c r="D567" s="898" t="s">
        <v>2316</v>
      </c>
      <c r="E567" s="865" t="s">
        <v>1873</v>
      </c>
      <c r="F567" s="874" t="s">
        <v>2299</v>
      </c>
      <c r="G567" s="875"/>
      <c r="H567" s="907">
        <v>41292</v>
      </c>
      <c r="I567" s="888" t="s">
        <v>2300</v>
      </c>
      <c r="J567" s="905" t="s">
        <v>2334</v>
      </c>
      <c r="K567" s="905">
        <v>11100000</v>
      </c>
      <c r="L567" s="903">
        <f>K567-I567</f>
        <v>0</v>
      </c>
    </row>
    <row r="568" spans="1:12" ht="12.75" customHeight="1">
      <c r="A568" s="658"/>
      <c r="B568" s="899"/>
      <c r="C568" s="904"/>
      <c r="D568" s="899"/>
      <c r="E568" s="865"/>
      <c r="F568" s="876"/>
      <c r="G568" s="877"/>
      <c r="H568" s="908"/>
      <c r="I568" s="889"/>
      <c r="J568" s="906"/>
      <c r="K568" s="906"/>
      <c r="L568" s="903"/>
    </row>
    <row r="569" spans="1:12" ht="12.75" customHeight="1">
      <c r="A569" s="564"/>
      <c r="B569" s="896"/>
      <c r="C569" s="896">
        <v>177</v>
      </c>
      <c r="D569" s="658" t="s">
        <v>2320</v>
      </c>
      <c r="E569" s="878" t="s">
        <v>2319</v>
      </c>
      <c r="F569" s="880"/>
      <c r="G569" s="875"/>
      <c r="H569" s="898">
        <v>856300</v>
      </c>
      <c r="I569" s="888">
        <f>H569</f>
        <v>856300</v>
      </c>
      <c r="J569" s="898"/>
      <c r="K569" s="898">
        <v>856300</v>
      </c>
      <c r="L569" s="900">
        <f>K569-I569</f>
        <v>0</v>
      </c>
    </row>
    <row r="570" spans="1:12" ht="12.75" customHeight="1">
      <c r="A570" s="567" t="s">
        <v>86</v>
      </c>
      <c r="B570" s="897"/>
      <c r="C570" s="897"/>
      <c r="D570" s="658"/>
      <c r="E570" s="879"/>
      <c r="F570" s="881"/>
      <c r="G570" s="877"/>
      <c r="H570" s="899"/>
      <c r="I570" s="889"/>
      <c r="J570" s="899"/>
      <c r="K570" s="899"/>
      <c r="L570" s="901"/>
    </row>
    <row r="571" spans="1:12" ht="12.75" customHeight="1">
      <c r="A571" s="658" t="s">
        <v>85</v>
      </c>
      <c r="B571" s="658"/>
      <c r="C571" s="658" t="s">
        <v>675</v>
      </c>
      <c r="D571" s="658" t="s">
        <v>2320</v>
      </c>
      <c r="E571" s="658" t="s">
        <v>2171</v>
      </c>
      <c r="F571" s="653" t="s">
        <v>2294</v>
      </c>
      <c r="G571" s="654"/>
      <c r="H571" s="898" t="s">
        <v>2311</v>
      </c>
      <c r="I571" s="888" t="str">
        <f>H571</f>
        <v>8300000</v>
      </c>
      <c r="J571" s="898"/>
      <c r="K571" s="898">
        <v>8300000</v>
      </c>
      <c r="L571" s="903">
        <f>K571-I571</f>
        <v>0</v>
      </c>
    </row>
    <row r="572" spans="1:12" ht="12.75" customHeight="1">
      <c r="A572" s="658"/>
      <c r="B572" s="658"/>
      <c r="C572" s="658"/>
      <c r="D572" s="658"/>
      <c r="E572" s="658"/>
      <c r="F572" s="655"/>
      <c r="G572" s="656"/>
      <c r="H572" s="899"/>
      <c r="I572" s="889"/>
      <c r="J572" s="899"/>
      <c r="K572" s="899"/>
      <c r="L572" s="903"/>
    </row>
    <row r="573" spans="1:12">
      <c r="A573" s="658"/>
      <c r="B573" s="658" t="s">
        <v>2304</v>
      </c>
      <c r="C573" s="658" t="s">
        <v>2332</v>
      </c>
      <c r="D573" s="658" t="s">
        <v>2318</v>
      </c>
      <c r="E573" s="865" t="s">
        <v>1873</v>
      </c>
      <c r="F573" s="653"/>
      <c r="G573" s="654"/>
      <c r="H573" s="898" t="s">
        <v>2336</v>
      </c>
      <c r="I573" s="888" t="s">
        <v>2327</v>
      </c>
      <c r="J573" s="898" t="s">
        <v>2335</v>
      </c>
      <c r="K573" s="898">
        <v>10700000</v>
      </c>
      <c r="L573" s="682">
        <f>K573-I573</f>
        <v>0</v>
      </c>
    </row>
    <row r="574" spans="1:12">
      <c r="A574" s="658"/>
      <c r="B574" s="658"/>
      <c r="C574" s="658"/>
      <c r="D574" s="658"/>
      <c r="E574" s="865"/>
      <c r="F574" s="655"/>
      <c r="G574" s="656"/>
      <c r="H574" s="899"/>
      <c r="I574" s="889"/>
      <c r="J574" s="899"/>
      <c r="K574" s="899"/>
      <c r="L574" s="702"/>
    </row>
    <row r="575" spans="1:12">
      <c r="A575" s="658" t="s">
        <v>87</v>
      </c>
      <c r="B575" s="658"/>
      <c r="C575" s="658" t="s">
        <v>679</v>
      </c>
      <c r="D575" s="658" t="s">
        <v>2337</v>
      </c>
      <c r="E575" s="902" t="s">
        <v>2324</v>
      </c>
      <c r="F575" s="653"/>
      <c r="G575" s="654"/>
      <c r="H575" s="898" t="s">
        <v>2325</v>
      </c>
      <c r="I575" s="888" t="str">
        <f>H575</f>
        <v>2000000</v>
      </c>
      <c r="J575" s="898"/>
      <c r="K575" s="898"/>
      <c r="L575" s="702">
        <f>K575-I575</f>
        <v>-2000000</v>
      </c>
    </row>
    <row r="576" spans="1:12">
      <c r="A576" s="658"/>
      <c r="B576" s="658"/>
      <c r="C576" s="658"/>
      <c r="D576" s="658"/>
      <c r="E576" s="902"/>
      <c r="F576" s="655"/>
      <c r="G576" s="656"/>
      <c r="H576" s="899"/>
      <c r="I576" s="889"/>
      <c r="J576" s="899"/>
      <c r="K576" s="899"/>
      <c r="L576" s="702"/>
    </row>
    <row r="577" spans="1:12">
      <c r="A577" s="658" t="s">
        <v>95</v>
      </c>
      <c r="B577" s="658"/>
      <c r="C577" s="658" t="s">
        <v>681</v>
      </c>
      <c r="D577" s="658" t="s">
        <v>2337</v>
      </c>
      <c r="E577" s="658" t="s">
        <v>1144</v>
      </c>
      <c r="F577" s="653"/>
      <c r="G577" s="654"/>
      <c r="H577" s="894" t="s">
        <v>2326</v>
      </c>
      <c r="I577" s="888" t="str">
        <f>H577</f>
        <v>3300000</v>
      </c>
      <c r="J577" s="894"/>
      <c r="K577" s="894">
        <v>3300000</v>
      </c>
      <c r="L577" s="890">
        <f>K577-I577</f>
        <v>0</v>
      </c>
    </row>
    <row r="578" spans="1:12">
      <c r="A578" s="658"/>
      <c r="B578" s="658"/>
      <c r="C578" s="658"/>
      <c r="D578" s="658"/>
      <c r="E578" s="658"/>
      <c r="F578" s="655"/>
      <c r="G578" s="656"/>
      <c r="H578" s="895"/>
      <c r="I578" s="889"/>
      <c r="J578" s="895"/>
      <c r="K578" s="895"/>
      <c r="L578" s="891"/>
    </row>
    <row r="579" spans="1:12">
      <c r="A579" s="658"/>
      <c r="B579" s="658" t="s">
        <v>2306</v>
      </c>
      <c r="C579" s="658" t="s">
        <v>2364</v>
      </c>
      <c r="D579" s="658" t="s">
        <v>2318</v>
      </c>
      <c r="E579" s="865" t="s">
        <v>1873</v>
      </c>
      <c r="F579" s="653"/>
      <c r="G579" s="654"/>
      <c r="H579" s="894" t="s">
        <v>2336</v>
      </c>
      <c r="I579" s="888" t="s">
        <v>2327</v>
      </c>
      <c r="J579" s="894" t="s">
        <v>2335</v>
      </c>
      <c r="K579" s="894">
        <v>10700000</v>
      </c>
      <c r="L579" s="890">
        <f>K579-I579</f>
        <v>0</v>
      </c>
    </row>
    <row r="580" spans="1:12">
      <c r="A580" s="658"/>
      <c r="B580" s="658"/>
      <c r="C580" s="658"/>
      <c r="D580" s="658"/>
      <c r="E580" s="865"/>
      <c r="F580" s="655"/>
      <c r="G580" s="656"/>
      <c r="H580" s="895"/>
      <c r="I580" s="889"/>
      <c r="J580" s="895"/>
      <c r="K580" s="895"/>
      <c r="L580" s="891"/>
    </row>
    <row r="581" spans="1:12">
      <c r="A581" s="659"/>
      <c r="B581" s="659"/>
      <c r="C581" s="659" t="s">
        <v>702</v>
      </c>
      <c r="D581" s="658" t="s">
        <v>2412</v>
      </c>
      <c r="E581" s="878" t="s">
        <v>2345</v>
      </c>
      <c r="F581" s="570"/>
      <c r="G581" s="571"/>
      <c r="H581" s="896">
        <v>3500000</v>
      </c>
      <c r="I581" s="888">
        <f>H581</f>
        <v>3500000</v>
      </c>
      <c r="J581" s="896"/>
      <c r="K581" s="896">
        <v>3500000</v>
      </c>
      <c r="L581" s="890">
        <f>K581-I581</f>
        <v>0</v>
      </c>
    </row>
    <row r="582" spans="1:12">
      <c r="A582" s="660"/>
      <c r="B582" s="660"/>
      <c r="C582" s="660"/>
      <c r="D582" s="658"/>
      <c r="E582" s="879"/>
      <c r="F582" s="570"/>
      <c r="G582" s="571"/>
      <c r="H582" s="897"/>
      <c r="I582" s="889"/>
      <c r="J582" s="897"/>
      <c r="K582" s="897"/>
      <c r="L582" s="891"/>
    </row>
    <row r="583" spans="1:12">
      <c r="A583" s="658"/>
      <c r="B583" s="658"/>
      <c r="C583" s="658" t="s">
        <v>682</v>
      </c>
      <c r="D583" s="658" t="s">
        <v>2337</v>
      </c>
      <c r="E583" s="658" t="s">
        <v>1745</v>
      </c>
      <c r="F583" s="653"/>
      <c r="G583" s="654"/>
      <c r="H583" s="894" t="s">
        <v>2328</v>
      </c>
      <c r="I583" s="888" t="str">
        <f>H583</f>
        <v>900000</v>
      </c>
      <c r="J583" s="894"/>
      <c r="K583" s="894">
        <v>900000</v>
      </c>
      <c r="L583" s="890">
        <f>K583-I583</f>
        <v>0</v>
      </c>
    </row>
    <row r="584" spans="1:12">
      <c r="A584" s="658"/>
      <c r="B584" s="658"/>
      <c r="C584" s="658"/>
      <c r="D584" s="658"/>
      <c r="E584" s="658"/>
      <c r="F584" s="655"/>
      <c r="G584" s="656"/>
      <c r="H584" s="895"/>
      <c r="I584" s="889"/>
      <c r="J584" s="895"/>
      <c r="K584" s="895"/>
      <c r="L584" s="891"/>
    </row>
    <row r="585" spans="1:12">
      <c r="A585" s="659"/>
      <c r="B585" s="659"/>
      <c r="C585" s="659" t="s">
        <v>683</v>
      </c>
      <c r="D585" s="659" t="s">
        <v>2337</v>
      </c>
      <c r="E585" s="865" t="s">
        <v>1601</v>
      </c>
      <c r="F585" s="565"/>
      <c r="G585" s="566"/>
      <c r="H585" s="894" t="s">
        <v>2329</v>
      </c>
      <c r="I585" s="888" t="str">
        <f>H585</f>
        <v>5500000</v>
      </c>
      <c r="J585" s="894"/>
      <c r="K585" s="894">
        <v>5500000</v>
      </c>
      <c r="L585" s="890">
        <f>K585-I585</f>
        <v>0</v>
      </c>
    </row>
    <row r="586" spans="1:12">
      <c r="A586" s="660"/>
      <c r="B586" s="660"/>
      <c r="C586" s="660"/>
      <c r="D586" s="660"/>
      <c r="E586" s="865"/>
      <c r="F586" s="565"/>
      <c r="G586" s="566"/>
      <c r="H586" s="895"/>
      <c r="I586" s="889"/>
      <c r="J586" s="895"/>
      <c r="K586" s="895"/>
      <c r="L586" s="891"/>
    </row>
    <row r="587" spans="1:12">
      <c r="A587" s="658"/>
      <c r="B587" s="658"/>
      <c r="C587" s="658" t="s">
        <v>693</v>
      </c>
      <c r="D587" s="658" t="s">
        <v>2338</v>
      </c>
      <c r="E587" s="658" t="s">
        <v>2386</v>
      </c>
      <c r="F587" s="653"/>
      <c r="G587" s="654"/>
      <c r="H587" s="894">
        <v>3100000</v>
      </c>
      <c r="I587" s="888">
        <f>H587</f>
        <v>3100000</v>
      </c>
      <c r="J587" s="894"/>
      <c r="K587" s="894">
        <v>3100000</v>
      </c>
      <c r="L587" s="890">
        <f>K587-I587</f>
        <v>0</v>
      </c>
    </row>
    <row r="588" spans="1:12">
      <c r="A588" s="658"/>
      <c r="B588" s="658"/>
      <c r="C588" s="658"/>
      <c r="D588" s="658"/>
      <c r="E588" s="658"/>
      <c r="F588" s="655"/>
      <c r="G588" s="656"/>
      <c r="H588" s="895"/>
      <c r="I588" s="889"/>
      <c r="J588" s="895"/>
      <c r="K588" s="895"/>
      <c r="L588" s="891"/>
    </row>
    <row r="589" spans="1:12">
      <c r="A589" s="658" t="s">
        <v>84</v>
      </c>
      <c r="B589" s="658" t="s">
        <v>2305</v>
      </c>
      <c r="C589" s="658" t="s">
        <v>668</v>
      </c>
      <c r="D589" s="658" t="s">
        <v>2318</v>
      </c>
      <c r="E589" s="658" t="s">
        <v>2270</v>
      </c>
      <c r="F589" s="653"/>
      <c r="G589" s="654"/>
      <c r="H589" s="894">
        <v>899600</v>
      </c>
      <c r="I589" s="888">
        <f>H589</f>
        <v>899600</v>
      </c>
      <c r="J589" s="894"/>
      <c r="K589" s="894">
        <v>899600</v>
      </c>
      <c r="L589" s="890">
        <f>K589-I589</f>
        <v>0</v>
      </c>
    </row>
    <row r="590" spans="1:12">
      <c r="A590" s="658"/>
      <c r="B590" s="658"/>
      <c r="C590" s="658"/>
      <c r="D590" s="658"/>
      <c r="E590" s="658"/>
      <c r="F590" s="655"/>
      <c r="G590" s="656"/>
      <c r="H590" s="895"/>
      <c r="I590" s="889"/>
      <c r="J590" s="895"/>
      <c r="K590" s="895"/>
      <c r="L590" s="891"/>
    </row>
    <row r="591" spans="1:12">
      <c r="A591" s="658"/>
      <c r="B591" s="658" t="s">
        <v>2321</v>
      </c>
      <c r="C591" s="658" t="s">
        <v>2365</v>
      </c>
      <c r="D591" s="658" t="s">
        <v>2337</v>
      </c>
      <c r="E591" s="865" t="s">
        <v>1873</v>
      </c>
      <c r="F591" s="653" t="s">
        <v>2322</v>
      </c>
      <c r="G591" s="654"/>
      <c r="H591" s="659" t="s">
        <v>2359</v>
      </c>
      <c r="I591" s="892">
        <v>10700000</v>
      </c>
      <c r="J591" s="659" t="s">
        <v>2358</v>
      </c>
      <c r="K591" s="659" t="s">
        <v>2327</v>
      </c>
      <c r="L591" s="890">
        <f>K591-I591</f>
        <v>0</v>
      </c>
    </row>
    <row r="592" spans="1:12">
      <c r="A592" s="658"/>
      <c r="B592" s="658"/>
      <c r="C592" s="658"/>
      <c r="D592" s="658"/>
      <c r="E592" s="865"/>
      <c r="F592" s="655"/>
      <c r="G592" s="656"/>
      <c r="H592" s="660"/>
      <c r="I592" s="889"/>
      <c r="J592" s="660"/>
      <c r="K592" s="660"/>
      <c r="L592" s="891"/>
    </row>
    <row r="593" spans="1:12">
      <c r="A593" s="658"/>
      <c r="B593" s="658"/>
      <c r="C593" s="658" t="s">
        <v>700</v>
      </c>
      <c r="D593" s="658" t="s">
        <v>2341</v>
      </c>
      <c r="E593" s="658" t="s">
        <v>2339</v>
      </c>
      <c r="F593" s="653"/>
      <c r="G593" s="654"/>
      <c r="H593" s="659" t="s">
        <v>2340</v>
      </c>
      <c r="I593" s="888" t="str">
        <f>H593</f>
        <v>3040000</v>
      </c>
      <c r="J593" s="659"/>
      <c r="K593" s="659" t="s">
        <v>2340</v>
      </c>
      <c r="L593" s="890">
        <f>K593-I593</f>
        <v>0</v>
      </c>
    </row>
    <row r="594" spans="1:12">
      <c r="A594" s="658"/>
      <c r="B594" s="658"/>
      <c r="C594" s="658"/>
      <c r="D594" s="658"/>
      <c r="E594" s="658"/>
      <c r="F594" s="655"/>
      <c r="G594" s="656"/>
      <c r="H594" s="660"/>
      <c r="I594" s="889"/>
      <c r="J594" s="660"/>
      <c r="K594" s="660"/>
      <c r="L594" s="891"/>
    </row>
    <row r="595" spans="1:12">
      <c r="A595" s="659"/>
      <c r="B595" s="659"/>
      <c r="C595" s="659" t="s">
        <v>704</v>
      </c>
      <c r="D595" s="659" t="s">
        <v>2357</v>
      </c>
      <c r="E595" s="659" t="s">
        <v>2344</v>
      </c>
      <c r="F595" s="568"/>
      <c r="G595" s="569"/>
      <c r="H595" s="659" t="s">
        <v>2354</v>
      </c>
      <c r="I595" s="888" t="str">
        <f>H595</f>
        <v>2600000</v>
      </c>
      <c r="J595" s="659"/>
      <c r="K595" s="659" t="s">
        <v>2354</v>
      </c>
      <c r="L595" s="890">
        <f>K595-I595</f>
        <v>0</v>
      </c>
    </row>
    <row r="596" spans="1:12">
      <c r="A596" s="660"/>
      <c r="B596" s="660"/>
      <c r="C596" s="660"/>
      <c r="D596" s="660"/>
      <c r="E596" s="660"/>
      <c r="F596" s="568"/>
      <c r="G596" s="569"/>
      <c r="H596" s="660"/>
      <c r="I596" s="889"/>
      <c r="J596" s="660"/>
      <c r="K596" s="660"/>
      <c r="L596" s="891"/>
    </row>
    <row r="597" spans="1:12">
      <c r="A597" s="658"/>
      <c r="B597" s="658"/>
      <c r="C597" s="658" t="s">
        <v>708</v>
      </c>
      <c r="D597" s="658" t="s">
        <v>2357</v>
      </c>
      <c r="E597" s="659" t="s">
        <v>2344</v>
      </c>
      <c r="F597" s="653"/>
      <c r="G597" s="654"/>
      <c r="H597" s="659" t="s">
        <v>2355</v>
      </c>
      <c r="I597" s="888" t="str">
        <f>H597</f>
        <v>2800000</v>
      </c>
      <c r="J597" s="659"/>
      <c r="K597" s="659" t="s">
        <v>2355</v>
      </c>
      <c r="L597" s="890">
        <f>K597-I597</f>
        <v>0</v>
      </c>
    </row>
    <row r="598" spans="1:12">
      <c r="A598" s="658"/>
      <c r="B598" s="658"/>
      <c r="C598" s="658"/>
      <c r="D598" s="658"/>
      <c r="E598" s="660"/>
      <c r="F598" s="655"/>
      <c r="G598" s="656"/>
      <c r="H598" s="660"/>
      <c r="I598" s="889"/>
      <c r="J598" s="660"/>
      <c r="K598" s="660"/>
      <c r="L598" s="891"/>
    </row>
    <row r="599" spans="1:12">
      <c r="A599" s="658"/>
      <c r="B599" s="658" t="s">
        <v>2323</v>
      </c>
      <c r="C599" s="658" t="s">
        <v>2366</v>
      </c>
      <c r="D599" s="658" t="s">
        <v>2367</v>
      </c>
      <c r="E599" s="865" t="s">
        <v>1873</v>
      </c>
      <c r="F599" s="653" t="s">
        <v>2346</v>
      </c>
      <c r="G599" s="654"/>
      <c r="H599" s="659" t="s">
        <v>2361</v>
      </c>
      <c r="I599" s="888">
        <v>10700000</v>
      </c>
      <c r="J599" s="659" t="s">
        <v>2360</v>
      </c>
      <c r="K599" s="659" t="s">
        <v>2327</v>
      </c>
      <c r="L599" s="890">
        <f>K599-I599</f>
        <v>0</v>
      </c>
    </row>
    <row r="600" spans="1:12">
      <c r="A600" s="658"/>
      <c r="B600" s="658"/>
      <c r="C600" s="658"/>
      <c r="D600" s="658"/>
      <c r="E600" s="865"/>
      <c r="F600" s="655"/>
      <c r="G600" s="656"/>
      <c r="H600" s="660"/>
      <c r="I600" s="889"/>
      <c r="J600" s="660"/>
      <c r="K600" s="660"/>
      <c r="L600" s="891"/>
    </row>
    <row r="601" spans="1:12">
      <c r="A601" s="658"/>
      <c r="B601" s="658"/>
      <c r="C601" s="658" t="s">
        <v>694</v>
      </c>
      <c r="D601" s="658" t="s">
        <v>1472</v>
      </c>
      <c r="E601" s="658" t="s">
        <v>2330</v>
      </c>
      <c r="F601" s="653"/>
      <c r="G601" s="654"/>
      <c r="H601" s="659" t="s">
        <v>2331</v>
      </c>
      <c r="I601" s="888" t="str">
        <f>H601</f>
        <v>4200000</v>
      </c>
      <c r="J601" s="659"/>
      <c r="K601" s="659" t="s">
        <v>2331</v>
      </c>
      <c r="L601" s="890">
        <f>K601-I601</f>
        <v>0</v>
      </c>
    </row>
    <row r="602" spans="1:12">
      <c r="A602" s="658"/>
      <c r="B602" s="658"/>
      <c r="C602" s="658"/>
      <c r="D602" s="658"/>
      <c r="E602" s="658"/>
      <c r="F602" s="655"/>
      <c r="G602" s="656"/>
      <c r="H602" s="660"/>
      <c r="I602" s="889"/>
      <c r="J602" s="660"/>
      <c r="K602" s="660"/>
      <c r="L602" s="891"/>
    </row>
    <row r="603" spans="1:12">
      <c r="A603" s="658"/>
      <c r="B603" s="658"/>
      <c r="C603" s="658" t="s">
        <v>709</v>
      </c>
      <c r="D603" s="658" t="s">
        <v>2357</v>
      </c>
      <c r="E603" s="658" t="s">
        <v>2171</v>
      </c>
      <c r="F603" s="653"/>
      <c r="G603" s="654"/>
      <c r="H603" s="659" t="s">
        <v>2352</v>
      </c>
      <c r="I603" s="888" t="str">
        <f>H603</f>
        <v>7000000</v>
      </c>
      <c r="J603" s="659"/>
      <c r="K603" s="659" t="s">
        <v>2352</v>
      </c>
      <c r="L603" s="890">
        <f>K603-I603</f>
        <v>0</v>
      </c>
    </row>
    <row r="604" spans="1:12">
      <c r="A604" s="658"/>
      <c r="B604" s="658"/>
      <c r="C604" s="658"/>
      <c r="D604" s="658"/>
      <c r="E604" s="658"/>
      <c r="F604" s="655"/>
      <c r="G604" s="656"/>
      <c r="H604" s="660"/>
      <c r="I604" s="889"/>
      <c r="J604" s="660"/>
      <c r="K604" s="660"/>
      <c r="L604" s="891"/>
    </row>
    <row r="605" spans="1:12">
      <c r="A605" s="658"/>
      <c r="B605" s="658" t="s">
        <v>2347</v>
      </c>
      <c r="C605" s="658" t="s">
        <v>2368</v>
      </c>
      <c r="D605" s="658" t="s">
        <v>2369</v>
      </c>
      <c r="E605" s="865" t="s">
        <v>1873</v>
      </c>
      <c r="F605" s="653" t="s">
        <v>2356</v>
      </c>
      <c r="G605" s="654"/>
      <c r="H605" s="659" t="s">
        <v>2371</v>
      </c>
      <c r="I605" s="888">
        <v>11100000</v>
      </c>
      <c r="J605" s="659" t="s">
        <v>2370</v>
      </c>
      <c r="K605" s="659" t="s">
        <v>2300</v>
      </c>
      <c r="L605" s="890">
        <f>K605-I605</f>
        <v>0</v>
      </c>
    </row>
    <row r="606" spans="1:12">
      <c r="A606" s="658"/>
      <c r="B606" s="658"/>
      <c r="C606" s="658"/>
      <c r="D606" s="658"/>
      <c r="E606" s="865"/>
      <c r="F606" s="655"/>
      <c r="G606" s="656"/>
      <c r="H606" s="660"/>
      <c r="I606" s="889"/>
      <c r="J606" s="660"/>
      <c r="K606" s="660"/>
      <c r="L606" s="891"/>
    </row>
    <row r="607" spans="1:12">
      <c r="A607" s="658"/>
      <c r="B607" s="658"/>
      <c r="C607" s="658" t="s">
        <v>710</v>
      </c>
      <c r="D607" s="658" t="s">
        <v>2413</v>
      </c>
      <c r="E607" s="658" t="s">
        <v>1144</v>
      </c>
      <c r="F607" s="653"/>
      <c r="G607" s="654"/>
      <c r="H607" s="659" t="s">
        <v>2374</v>
      </c>
      <c r="I607" s="888" t="str">
        <f>H607</f>
        <v>1800000</v>
      </c>
      <c r="J607" s="659"/>
      <c r="K607" s="659" t="s">
        <v>2374</v>
      </c>
      <c r="L607" s="890">
        <f>K607-I607</f>
        <v>0</v>
      </c>
    </row>
    <row r="608" spans="1:12">
      <c r="A608" s="658"/>
      <c r="B608" s="658"/>
      <c r="C608" s="658"/>
      <c r="D608" s="658"/>
      <c r="E608" s="658"/>
      <c r="F608" s="655"/>
      <c r="G608" s="656"/>
      <c r="H608" s="660"/>
      <c r="I608" s="889"/>
      <c r="J608" s="660"/>
      <c r="K608" s="660"/>
      <c r="L608" s="891"/>
    </row>
    <row r="609" spans="1:14">
      <c r="A609" s="658"/>
      <c r="B609" s="658"/>
      <c r="C609" s="658" t="s">
        <v>711</v>
      </c>
      <c r="D609" s="658" t="s">
        <v>2414</v>
      </c>
      <c r="E609" s="658" t="s">
        <v>117</v>
      </c>
      <c r="F609" s="653"/>
      <c r="G609" s="654"/>
      <c r="H609" s="659" t="s">
        <v>2328</v>
      </c>
      <c r="I609" s="888" t="str">
        <f>H609</f>
        <v>900000</v>
      </c>
      <c r="J609" s="659"/>
      <c r="K609" s="659" t="s">
        <v>2328</v>
      </c>
      <c r="L609" s="890">
        <f>K609-I609</f>
        <v>0</v>
      </c>
    </row>
    <row r="610" spans="1:14">
      <c r="A610" s="658"/>
      <c r="B610" s="658"/>
      <c r="C610" s="658"/>
      <c r="D610" s="658"/>
      <c r="E610" s="658"/>
      <c r="F610" s="655"/>
      <c r="G610" s="656"/>
      <c r="H610" s="660"/>
      <c r="I610" s="889"/>
      <c r="J610" s="660"/>
      <c r="K610" s="660"/>
      <c r="L610" s="891"/>
    </row>
    <row r="611" spans="1:14">
      <c r="A611" s="658"/>
      <c r="B611" s="658"/>
      <c r="C611" s="658" t="s">
        <v>716</v>
      </c>
      <c r="D611" s="658" t="s">
        <v>2415</v>
      </c>
      <c r="E611" s="658" t="s">
        <v>2348</v>
      </c>
      <c r="F611" s="653"/>
      <c r="G611" s="654"/>
      <c r="H611" s="659" t="s">
        <v>2353</v>
      </c>
      <c r="I611" s="888" t="str">
        <f>H611</f>
        <v>2500000</v>
      </c>
      <c r="J611" s="659"/>
      <c r="K611" s="659" t="s">
        <v>2353</v>
      </c>
      <c r="L611" s="890">
        <f>K611-I611</f>
        <v>0</v>
      </c>
    </row>
    <row r="612" spans="1:14">
      <c r="A612" s="658"/>
      <c r="B612" s="658"/>
      <c r="C612" s="658"/>
      <c r="D612" s="658"/>
      <c r="E612" s="658"/>
      <c r="F612" s="655"/>
      <c r="G612" s="656"/>
      <c r="H612" s="660"/>
      <c r="I612" s="889"/>
      <c r="J612" s="660"/>
      <c r="K612" s="660"/>
      <c r="L612" s="891"/>
    </row>
    <row r="613" spans="1:14">
      <c r="A613" s="658"/>
      <c r="B613" s="658" t="s">
        <v>2343</v>
      </c>
      <c r="C613" s="658" t="s">
        <v>701</v>
      </c>
      <c r="D613" s="658" t="s">
        <v>2341</v>
      </c>
      <c r="E613" s="658" t="s">
        <v>2270</v>
      </c>
      <c r="F613" s="653"/>
      <c r="G613" s="654"/>
      <c r="H613" s="659" t="s">
        <v>2342</v>
      </c>
      <c r="I613" s="888" t="str">
        <f>H613</f>
        <v>889600</v>
      </c>
      <c r="J613" s="659"/>
      <c r="K613" s="659" t="s">
        <v>2342</v>
      </c>
      <c r="L613" s="890">
        <f>K613-I613</f>
        <v>0</v>
      </c>
    </row>
    <row r="614" spans="1:14">
      <c r="A614" s="658"/>
      <c r="B614" s="658"/>
      <c r="C614" s="658"/>
      <c r="D614" s="658"/>
      <c r="E614" s="658"/>
      <c r="F614" s="655"/>
      <c r="G614" s="656"/>
      <c r="H614" s="660"/>
      <c r="I614" s="889"/>
      <c r="J614" s="660"/>
      <c r="K614" s="660"/>
      <c r="L614" s="891"/>
    </row>
    <row r="615" spans="1:14">
      <c r="A615" s="658"/>
      <c r="B615" s="658" t="s">
        <v>2349</v>
      </c>
      <c r="C615" s="658" t="s">
        <v>2400</v>
      </c>
      <c r="D615" s="658" t="s">
        <v>2382</v>
      </c>
      <c r="E615" s="865" t="s">
        <v>1873</v>
      </c>
      <c r="F615" s="653" t="s">
        <v>2351</v>
      </c>
      <c r="G615" s="654"/>
      <c r="H615" s="659" t="s">
        <v>2399</v>
      </c>
      <c r="I615" s="888">
        <v>11100000</v>
      </c>
      <c r="J615" s="659" t="s">
        <v>2383</v>
      </c>
      <c r="K615" s="659" t="s">
        <v>2300</v>
      </c>
      <c r="L615" s="890">
        <f>K615-I615</f>
        <v>0</v>
      </c>
    </row>
    <row r="616" spans="1:14">
      <c r="A616" s="658"/>
      <c r="B616" s="658"/>
      <c r="C616" s="658"/>
      <c r="D616" s="658"/>
      <c r="E616" s="865"/>
      <c r="F616" s="655"/>
      <c r="G616" s="656"/>
      <c r="H616" s="660"/>
      <c r="I616" s="889"/>
      <c r="J616" s="660"/>
      <c r="K616" s="660"/>
      <c r="L616" s="891"/>
    </row>
    <row r="617" spans="1:14">
      <c r="A617" s="658"/>
      <c r="B617" s="658"/>
      <c r="C617" s="658" t="s">
        <v>717</v>
      </c>
      <c r="D617" s="674" t="s">
        <v>2378</v>
      </c>
      <c r="E617" s="658" t="s">
        <v>2375</v>
      </c>
      <c r="F617" s="653"/>
      <c r="G617" s="654"/>
      <c r="H617" s="890">
        <v>770000</v>
      </c>
      <c r="I617" s="892">
        <f>H617</f>
        <v>770000</v>
      </c>
      <c r="J617" s="659"/>
      <c r="K617" s="659" t="s">
        <v>2377</v>
      </c>
      <c r="L617" s="890">
        <f>K617-I617</f>
        <v>0</v>
      </c>
    </row>
    <row r="618" spans="1:14">
      <c r="A618" s="658"/>
      <c r="B618" s="658"/>
      <c r="C618" s="658"/>
      <c r="D618" s="674"/>
      <c r="E618" s="658"/>
      <c r="F618" s="655"/>
      <c r="G618" s="656"/>
      <c r="H618" s="891"/>
      <c r="I618" s="893"/>
      <c r="J618" s="660"/>
      <c r="K618" s="660"/>
      <c r="L618" s="891"/>
    </row>
    <row r="619" spans="1:14">
      <c r="A619" s="658"/>
      <c r="B619" s="658"/>
      <c r="C619" s="658" t="s">
        <v>720</v>
      </c>
      <c r="D619" s="674" t="s">
        <v>2378</v>
      </c>
      <c r="E619" s="658" t="s">
        <v>2376</v>
      </c>
      <c r="F619" s="653"/>
      <c r="G619" s="654"/>
      <c r="H619" s="890">
        <v>465000</v>
      </c>
      <c r="I619" s="892">
        <f>H619</f>
        <v>465000</v>
      </c>
      <c r="J619" s="659"/>
      <c r="K619" s="659" t="s">
        <v>2307</v>
      </c>
      <c r="L619" s="890">
        <f t="shared" ref="L619:L625" si="2">K619-I619</f>
        <v>0</v>
      </c>
    </row>
    <row r="620" spans="1:14">
      <c r="A620" s="658"/>
      <c r="B620" s="658"/>
      <c r="C620" s="658"/>
      <c r="D620" s="674"/>
      <c r="E620" s="658"/>
      <c r="F620" s="655"/>
      <c r="G620" s="656"/>
      <c r="H620" s="891"/>
      <c r="I620" s="893"/>
      <c r="J620" s="660"/>
      <c r="K620" s="660"/>
      <c r="L620" s="891"/>
    </row>
    <row r="621" spans="1:14">
      <c r="A621" s="658"/>
      <c r="B621" s="658"/>
      <c r="C621" s="658" t="s">
        <v>734</v>
      </c>
      <c r="D621" s="674" t="s">
        <v>2387</v>
      </c>
      <c r="E621" s="658" t="s">
        <v>2398</v>
      </c>
      <c r="F621" s="653"/>
      <c r="G621" s="654"/>
      <c r="H621" s="890">
        <v>1500000</v>
      </c>
      <c r="I621" s="892">
        <f>H621</f>
        <v>1500000</v>
      </c>
      <c r="J621" s="659"/>
      <c r="K621" s="659" t="s">
        <v>2538</v>
      </c>
      <c r="L621" s="890">
        <f t="shared" si="2"/>
        <v>0</v>
      </c>
      <c r="M621">
        <v>3558421</v>
      </c>
      <c r="N621" s="11" t="s">
        <v>2506</v>
      </c>
    </row>
    <row r="622" spans="1:14">
      <c r="A622" s="658"/>
      <c r="B622" s="658"/>
      <c r="C622" s="658"/>
      <c r="D622" s="674"/>
      <c r="E622" s="658"/>
      <c r="F622" s="655"/>
      <c r="G622" s="656"/>
      <c r="H622" s="891"/>
      <c r="I622" s="893"/>
      <c r="J622" s="660"/>
      <c r="K622" s="660"/>
      <c r="L622" s="891"/>
    </row>
    <row r="623" spans="1:14">
      <c r="A623" s="658"/>
      <c r="B623" s="658"/>
      <c r="C623" s="658" t="s">
        <v>732</v>
      </c>
      <c r="D623" s="674" t="s">
        <v>2378</v>
      </c>
      <c r="E623" s="658" t="s">
        <v>2397</v>
      </c>
      <c r="F623" s="653"/>
      <c r="G623" s="654"/>
      <c r="H623" s="890">
        <v>1500000</v>
      </c>
      <c r="I623" s="892">
        <f>H623</f>
        <v>1500000</v>
      </c>
      <c r="J623" s="659"/>
      <c r="K623" s="659" t="s">
        <v>2538</v>
      </c>
      <c r="L623" s="890">
        <f t="shared" si="2"/>
        <v>0</v>
      </c>
      <c r="M623">
        <v>6366077</v>
      </c>
      <c r="N623" s="11" t="s">
        <v>2505</v>
      </c>
    </row>
    <row r="624" spans="1:14">
      <c r="A624" s="658"/>
      <c r="B624" s="658"/>
      <c r="C624" s="658"/>
      <c r="D624" s="674"/>
      <c r="E624" s="658"/>
      <c r="F624" s="655"/>
      <c r="G624" s="656"/>
      <c r="H624" s="891"/>
      <c r="I624" s="893"/>
      <c r="J624" s="660"/>
      <c r="K624" s="660"/>
      <c r="L624" s="891"/>
    </row>
    <row r="625" spans="1:14">
      <c r="A625" s="658"/>
      <c r="B625" s="658"/>
      <c r="C625" s="658" t="s">
        <v>728</v>
      </c>
      <c r="D625" s="674" t="s">
        <v>2378</v>
      </c>
      <c r="E625" s="658" t="s">
        <v>2388</v>
      </c>
      <c r="F625" s="653"/>
      <c r="G625" s="654"/>
      <c r="H625" s="890">
        <v>3000000</v>
      </c>
      <c r="I625" s="892">
        <f>H625</f>
        <v>3000000</v>
      </c>
      <c r="J625" s="659"/>
      <c r="K625" s="659" t="s">
        <v>2389</v>
      </c>
      <c r="L625" s="890">
        <f t="shared" si="2"/>
        <v>0</v>
      </c>
      <c r="M625">
        <v>295876787</v>
      </c>
      <c r="N625" s="11" t="s">
        <v>2507</v>
      </c>
    </row>
    <row r="626" spans="1:14">
      <c r="A626" s="658"/>
      <c r="B626" s="658"/>
      <c r="C626" s="658"/>
      <c r="D626" s="674"/>
      <c r="E626" s="658"/>
      <c r="F626" s="655"/>
      <c r="G626" s="656"/>
      <c r="H626" s="891"/>
      <c r="I626" s="893"/>
      <c r="J626" s="660"/>
      <c r="K626" s="660"/>
      <c r="L626" s="891"/>
    </row>
    <row r="627" spans="1:14">
      <c r="A627" s="658"/>
      <c r="B627" s="658" t="s">
        <v>2350</v>
      </c>
      <c r="C627" s="658" t="s">
        <v>2381</v>
      </c>
      <c r="D627" s="658" t="s">
        <v>2382</v>
      </c>
      <c r="E627" s="865" t="s">
        <v>1873</v>
      </c>
      <c r="F627" s="653" t="s">
        <v>2233</v>
      </c>
      <c r="G627" s="654"/>
      <c r="H627" s="659" t="s">
        <v>2384</v>
      </c>
      <c r="I627" s="888">
        <v>10700000</v>
      </c>
      <c r="J627" s="659" t="s">
        <v>2383</v>
      </c>
      <c r="K627" s="659" t="s">
        <v>2327</v>
      </c>
      <c r="L627" s="890">
        <f>K627-I627</f>
        <v>0</v>
      </c>
      <c r="N627" s="6" t="s">
        <v>2422</v>
      </c>
    </row>
    <row r="628" spans="1:14">
      <c r="A628" s="658"/>
      <c r="B628" s="658"/>
      <c r="C628" s="658"/>
      <c r="D628" s="658"/>
      <c r="E628" s="865"/>
      <c r="F628" s="655"/>
      <c r="G628" s="656"/>
      <c r="H628" s="660"/>
      <c r="I628" s="889"/>
      <c r="J628" s="660"/>
      <c r="K628" s="660"/>
      <c r="L628" s="891"/>
      <c r="N628" s="6" t="s">
        <v>2423</v>
      </c>
    </row>
    <row r="629" spans="1:14">
      <c r="A629" s="658"/>
      <c r="B629" s="658"/>
      <c r="C629" s="658" t="s">
        <v>721</v>
      </c>
      <c r="D629" s="658" t="s">
        <v>2385</v>
      </c>
      <c r="E629" s="658" t="s">
        <v>1601</v>
      </c>
      <c r="F629" s="653"/>
      <c r="G629" s="654"/>
      <c r="H629" s="658" t="s">
        <v>2379</v>
      </c>
      <c r="I629" s="888" t="str">
        <f>H629</f>
        <v>8600000</v>
      </c>
      <c r="J629" s="658"/>
      <c r="K629" s="658" t="s">
        <v>2379</v>
      </c>
      <c r="L629" s="658">
        <f>K629-I629</f>
        <v>0</v>
      </c>
    </row>
    <row r="630" spans="1:14">
      <c r="A630" s="658"/>
      <c r="B630" s="658"/>
      <c r="C630" s="658"/>
      <c r="D630" s="658"/>
      <c r="E630" s="658"/>
      <c r="F630" s="655"/>
      <c r="G630" s="656"/>
      <c r="H630" s="658"/>
      <c r="I630" s="889"/>
      <c r="J630" s="658"/>
      <c r="K630" s="658"/>
      <c r="L630" s="702"/>
    </row>
    <row r="631" spans="1:14">
      <c r="A631" s="658"/>
      <c r="B631" s="658"/>
      <c r="C631" s="658" t="s">
        <v>722</v>
      </c>
      <c r="D631" s="658" t="s">
        <v>2385</v>
      </c>
      <c r="E631" s="658" t="s">
        <v>2386</v>
      </c>
      <c r="F631" s="653"/>
      <c r="G631" s="654"/>
      <c r="H631" s="658" t="s">
        <v>2380</v>
      </c>
      <c r="I631" s="888" t="str">
        <f>H631</f>
        <v>2200000</v>
      </c>
      <c r="J631" s="658"/>
      <c r="K631" s="658" t="s">
        <v>2380</v>
      </c>
      <c r="L631" s="658">
        <f>K631-I631</f>
        <v>0</v>
      </c>
      <c r="M631" s="6" t="s">
        <v>2421</v>
      </c>
    </row>
    <row r="632" spans="1:14">
      <c r="A632" s="658"/>
      <c r="B632" s="658"/>
      <c r="C632" s="658"/>
      <c r="D632" s="658"/>
      <c r="E632" s="658"/>
      <c r="F632" s="655"/>
      <c r="G632" s="656"/>
      <c r="H632" s="658"/>
      <c r="I632" s="889"/>
      <c r="J632" s="658"/>
      <c r="K632" s="658"/>
      <c r="L632" s="702"/>
      <c r="M632" t="s">
        <v>2475</v>
      </c>
    </row>
    <row r="633" spans="1:14">
      <c r="A633" s="868" t="s">
        <v>640</v>
      </c>
      <c r="B633" s="869"/>
      <c r="C633" s="869"/>
      <c r="D633" s="869"/>
      <c r="E633" s="869"/>
      <c r="F633" s="869"/>
      <c r="G633" s="869"/>
      <c r="H633" s="869"/>
      <c r="I633" s="869"/>
      <c r="J633" s="869"/>
      <c r="K633" s="869"/>
      <c r="L633" s="870"/>
    </row>
    <row r="634" spans="1:14" ht="22.5" customHeight="1">
      <c r="A634" s="871"/>
      <c r="B634" s="872"/>
      <c r="C634" s="872"/>
      <c r="D634" s="872"/>
      <c r="E634" s="872"/>
      <c r="F634" s="872"/>
      <c r="G634" s="872"/>
      <c r="H634" s="872"/>
      <c r="I634" s="872"/>
      <c r="J634" s="872"/>
      <c r="K634" s="872"/>
      <c r="L634" s="873"/>
    </row>
    <row r="635" spans="1:14">
      <c r="A635" s="658"/>
      <c r="B635" s="658" t="s">
        <v>2362</v>
      </c>
      <c r="C635" s="658" t="s">
        <v>2403</v>
      </c>
      <c r="D635" s="742" t="s">
        <v>2402</v>
      </c>
      <c r="E635" s="865" t="s">
        <v>1873</v>
      </c>
      <c r="F635" s="653" t="s">
        <v>2363</v>
      </c>
      <c r="G635" s="654"/>
      <c r="H635" s="657">
        <v>43278</v>
      </c>
      <c r="I635" s="657">
        <v>11100000</v>
      </c>
      <c r="J635" s="657" t="s">
        <v>2401</v>
      </c>
      <c r="K635" s="657">
        <v>11100000</v>
      </c>
      <c r="L635" s="657">
        <f>K635-I635</f>
        <v>0</v>
      </c>
    </row>
    <row r="636" spans="1:14">
      <c r="A636" s="658"/>
      <c r="B636" s="658"/>
      <c r="C636" s="658"/>
      <c r="D636" s="742"/>
      <c r="E636" s="865"/>
      <c r="F636" s="655"/>
      <c r="G636" s="656"/>
      <c r="H636" s="657"/>
      <c r="I636" s="657"/>
      <c r="J636" s="657"/>
      <c r="K636" s="657"/>
      <c r="L636" s="657"/>
      <c r="M636" s="111">
        <f>SUM(I617,I619,I621,I623,I625,I637,I639,I641,I643,I645,I647,I649,I651,I653,I655,I657,I659,I661,I665,I667,I669,I671,I673,I675,I677,I679,I681,I683,I685,I687,I689,I691,I693,I695,I697,I699,I701,I703,I705,I707,I709,I711,I713,I715,I717,I719,I721,I723,I725,I727,I729,I731,I733,I735,I737)</f>
        <v>251645000</v>
      </c>
    </row>
    <row r="637" spans="1:14">
      <c r="A637" s="658"/>
      <c r="B637" s="658"/>
      <c r="C637" s="658" t="s">
        <v>735</v>
      </c>
      <c r="D637" s="658" t="s">
        <v>2378</v>
      </c>
      <c r="E637" s="658" t="s">
        <v>117</v>
      </c>
      <c r="F637" s="653"/>
      <c r="G637" s="654"/>
      <c r="H637" s="657">
        <v>900000</v>
      </c>
      <c r="I637" s="657">
        <f>H637</f>
        <v>900000</v>
      </c>
      <c r="J637" s="657"/>
      <c r="K637" s="657">
        <v>900000</v>
      </c>
      <c r="L637" s="657">
        <f>K637-I637</f>
        <v>0</v>
      </c>
    </row>
    <row r="638" spans="1:14">
      <c r="A638" s="658"/>
      <c r="B638" s="658"/>
      <c r="C638" s="658"/>
      <c r="D638" s="658"/>
      <c r="E638" s="658"/>
      <c r="F638" s="655"/>
      <c r="G638" s="656"/>
      <c r="H638" s="657"/>
      <c r="I638" s="657"/>
      <c r="J638" s="657"/>
      <c r="K638" s="657"/>
      <c r="L638" s="657"/>
    </row>
    <row r="639" spans="1:14">
      <c r="A639" s="658"/>
      <c r="B639" s="658"/>
      <c r="C639" s="658" t="s">
        <v>736</v>
      </c>
      <c r="D639" s="658" t="s">
        <v>2378</v>
      </c>
      <c r="E639" s="658" t="s">
        <v>2390</v>
      </c>
      <c r="F639" s="653"/>
      <c r="G639" s="654"/>
      <c r="H639" s="657">
        <v>3500000</v>
      </c>
      <c r="I639" s="657">
        <f>H639</f>
        <v>3500000</v>
      </c>
      <c r="J639" s="657">
        <v>6717729</v>
      </c>
      <c r="K639" s="657">
        <v>3500000</v>
      </c>
      <c r="L639" s="657">
        <f>K639-I639</f>
        <v>0</v>
      </c>
      <c r="M639" s="6"/>
      <c r="N639" s="572"/>
    </row>
    <row r="640" spans="1:14">
      <c r="A640" s="658"/>
      <c r="B640" s="658"/>
      <c r="C640" s="658"/>
      <c r="D640" s="658"/>
      <c r="E640" s="658"/>
      <c r="F640" s="655"/>
      <c r="G640" s="656"/>
      <c r="H640" s="657"/>
      <c r="I640" s="657"/>
      <c r="J640" s="657"/>
      <c r="K640" s="657"/>
      <c r="L640" s="657"/>
    </row>
    <row r="641" spans="1:14">
      <c r="A641" s="658"/>
      <c r="B641" s="658" t="s">
        <v>2372</v>
      </c>
      <c r="C641" s="658" t="s">
        <v>2407</v>
      </c>
      <c r="D641" s="658" t="s">
        <v>2378</v>
      </c>
      <c r="E641" s="865" t="s">
        <v>1873</v>
      </c>
      <c r="F641" s="653" t="s">
        <v>2233</v>
      </c>
      <c r="G641" s="654"/>
      <c r="H641" s="657">
        <v>42516</v>
      </c>
      <c r="I641" s="657">
        <v>10700000</v>
      </c>
      <c r="J641" s="657" t="s">
        <v>2408</v>
      </c>
      <c r="K641" s="657">
        <v>10700000</v>
      </c>
      <c r="L641" s="657">
        <f>K641-I641</f>
        <v>0</v>
      </c>
      <c r="N641" s="111"/>
    </row>
    <row r="642" spans="1:14">
      <c r="A642" s="658"/>
      <c r="B642" s="658"/>
      <c r="C642" s="658"/>
      <c r="D642" s="658"/>
      <c r="E642" s="865"/>
      <c r="F642" s="655"/>
      <c r="G642" s="656"/>
      <c r="H642" s="657"/>
      <c r="I642" s="657"/>
      <c r="J642" s="657"/>
      <c r="K642" s="657"/>
      <c r="L642" s="657"/>
      <c r="M642" s="855">
        <v>6717729</v>
      </c>
    </row>
    <row r="643" spans="1:14">
      <c r="A643" s="658"/>
      <c r="B643" s="658"/>
      <c r="C643" s="658" t="s">
        <v>740</v>
      </c>
      <c r="D643" s="658" t="s">
        <v>2392</v>
      </c>
      <c r="E643" s="658" t="s">
        <v>2171</v>
      </c>
      <c r="F643" s="653"/>
      <c r="G643" s="654"/>
      <c r="H643" s="657">
        <v>4500000</v>
      </c>
      <c r="I643" s="657">
        <f>H643</f>
        <v>4500000</v>
      </c>
      <c r="J643" s="657"/>
      <c r="K643" s="657">
        <v>4500000</v>
      </c>
      <c r="L643" s="657">
        <f>K643-I643</f>
        <v>0</v>
      </c>
      <c r="M643" s="855"/>
    </row>
    <row r="644" spans="1:14">
      <c r="A644" s="658"/>
      <c r="B644" s="658"/>
      <c r="C644" s="658"/>
      <c r="D644" s="658"/>
      <c r="E644" s="658"/>
      <c r="F644" s="655"/>
      <c r="G644" s="656"/>
      <c r="H644" s="657"/>
      <c r="I644" s="657"/>
      <c r="J644" s="657"/>
      <c r="K644" s="657"/>
      <c r="L644" s="657"/>
    </row>
    <row r="645" spans="1:14">
      <c r="A645" s="658"/>
      <c r="B645" s="658"/>
      <c r="C645" s="658" t="s">
        <v>741</v>
      </c>
      <c r="D645" s="658" t="s">
        <v>2392</v>
      </c>
      <c r="E645" s="658" t="s">
        <v>2409</v>
      </c>
      <c r="F645" s="653"/>
      <c r="G645" s="654"/>
      <c r="H645" s="657">
        <v>2850000</v>
      </c>
      <c r="I645" s="657">
        <f>H645</f>
        <v>2850000</v>
      </c>
      <c r="J645" s="657"/>
      <c r="K645" s="657">
        <v>2850000</v>
      </c>
      <c r="L645" s="657">
        <f>K645-I645</f>
        <v>0</v>
      </c>
    </row>
    <row r="646" spans="1:14">
      <c r="A646" s="658"/>
      <c r="B646" s="658"/>
      <c r="C646" s="658"/>
      <c r="D646" s="658"/>
      <c r="E646" s="658"/>
      <c r="F646" s="655"/>
      <c r="G646" s="656"/>
      <c r="H646" s="657"/>
      <c r="I646" s="657"/>
      <c r="J646" s="657"/>
      <c r="K646" s="657"/>
      <c r="L646" s="657"/>
    </row>
    <row r="647" spans="1:14">
      <c r="A647" s="658"/>
      <c r="B647" s="658"/>
      <c r="C647" s="658" t="s">
        <v>742</v>
      </c>
      <c r="D647" s="658" t="s">
        <v>2392</v>
      </c>
      <c r="E647" s="658" t="s">
        <v>2391</v>
      </c>
      <c r="F647" s="653"/>
      <c r="G647" s="654"/>
      <c r="H647" s="657">
        <v>3565000</v>
      </c>
      <c r="I647" s="657">
        <f>H647</f>
        <v>3565000</v>
      </c>
      <c r="J647" s="657"/>
      <c r="K647" s="657">
        <v>3565000</v>
      </c>
      <c r="L647" s="657">
        <f>K647-I647</f>
        <v>0</v>
      </c>
    </row>
    <row r="648" spans="1:14">
      <c r="A648" s="658"/>
      <c r="B648" s="658"/>
      <c r="C648" s="658"/>
      <c r="D648" s="658"/>
      <c r="E648" s="658"/>
      <c r="F648" s="655"/>
      <c r="G648" s="656"/>
      <c r="H648" s="657"/>
      <c r="I648" s="657"/>
      <c r="J648" s="657"/>
      <c r="K648" s="657"/>
      <c r="L648" s="657"/>
    </row>
    <row r="649" spans="1:14">
      <c r="A649" s="658"/>
      <c r="B649" s="658" t="s">
        <v>2393</v>
      </c>
      <c r="C649" s="658" t="s">
        <v>2418</v>
      </c>
      <c r="D649" s="658" t="s">
        <v>2394</v>
      </c>
      <c r="E649" s="865" t="s">
        <v>1873</v>
      </c>
      <c r="F649" s="653" t="s">
        <v>2233</v>
      </c>
      <c r="G649" s="654"/>
      <c r="H649" s="657">
        <f>I649</f>
        <v>10700000</v>
      </c>
      <c r="I649" s="657">
        <v>10700000</v>
      </c>
      <c r="J649" s="657"/>
      <c r="K649" s="657">
        <v>10700000</v>
      </c>
      <c r="L649" s="657">
        <f>K649-I649</f>
        <v>0</v>
      </c>
    </row>
    <row r="650" spans="1:14">
      <c r="A650" s="658"/>
      <c r="B650" s="658"/>
      <c r="C650" s="658"/>
      <c r="D650" s="658"/>
      <c r="E650" s="865"/>
      <c r="F650" s="655"/>
      <c r="G650" s="656"/>
      <c r="H650" s="657"/>
      <c r="I650" s="657"/>
      <c r="J650" s="657"/>
      <c r="K650" s="657"/>
      <c r="L650" s="657"/>
    </row>
    <row r="651" spans="1:14">
      <c r="A651" s="658"/>
      <c r="B651" s="658"/>
      <c r="C651" s="658" t="s">
        <v>762</v>
      </c>
      <c r="D651" s="658" t="s">
        <v>2411</v>
      </c>
      <c r="E651" s="658" t="s">
        <v>2410</v>
      </c>
      <c r="F651" s="653"/>
      <c r="G651" s="654"/>
      <c r="H651" s="657">
        <v>3150000</v>
      </c>
      <c r="I651" s="657">
        <f>H651</f>
        <v>3150000</v>
      </c>
      <c r="J651" s="657"/>
      <c r="K651" s="657">
        <v>3150000</v>
      </c>
      <c r="L651" s="657">
        <f>K651-I651</f>
        <v>0</v>
      </c>
    </row>
    <row r="652" spans="1:14">
      <c r="A652" s="658"/>
      <c r="B652" s="658"/>
      <c r="C652" s="658"/>
      <c r="D652" s="658"/>
      <c r="E652" s="658"/>
      <c r="F652" s="655"/>
      <c r="G652" s="656"/>
      <c r="H652" s="657"/>
      <c r="I652" s="657"/>
      <c r="J652" s="657"/>
      <c r="K652" s="657"/>
      <c r="L652" s="657"/>
    </row>
    <row r="653" spans="1:14">
      <c r="A653" s="658"/>
      <c r="B653" s="658" t="s">
        <v>2395</v>
      </c>
      <c r="C653" s="658" t="s">
        <v>2417</v>
      </c>
      <c r="D653" s="658" t="s">
        <v>2416</v>
      </c>
      <c r="E653" s="865" t="s">
        <v>1873</v>
      </c>
      <c r="F653" s="653" t="s">
        <v>2396</v>
      </c>
      <c r="G653" s="654"/>
      <c r="H653" s="657">
        <f>I653</f>
        <v>11100000</v>
      </c>
      <c r="I653" s="657">
        <v>11100000</v>
      </c>
      <c r="J653" s="657"/>
      <c r="K653" s="657">
        <v>11100000</v>
      </c>
      <c r="L653" s="657">
        <f>K653-I653</f>
        <v>0</v>
      </c>
    </row>
    <row r="654" spans="1:14">
      <c r="A654" s="658"/>
      <c r="B654" s="658"/>
      <c r="C654" s="658"/>
      <c r="D654" s="658"/>
      <c r="E654" s="865"/>
      <c r="F654" s="655"/>
      <c r="G654" s="656"/>
      <c r="H654" s="657"/>
      <c r="I654" s="657"/>
      <c r="J654" s="657"/>
      <c r="K654" s="657"/>
      <c r="L654" s="657"/>
    </row>
    <row r="655" spans="1:14">
      <c r="A655" s="658"/>
      <c r="B655" s="658"/>
      <c r="C655" s="658" t="s">
        <v>763</v>
      </c>
      <c r="D655" s="658" t="s">
        <v>2406</v>
      </c>
      <c r="E655" s="658" t="s">
        <v>283</v>
      </c>
      <c r="F655" s="653"/>
      <c r="G655" s="654"/>
      <c r="H655" s="657">
        <v>4500000</v>
      </c>
      <c r="I655" s="657">
        <f>H655</f>
        <v>4500000</v>
      </c>
      <c r="J655" s="657"/>
      <c r="K655" s="657">
        <v>4500000</v>
      </c>
      <c r="L655" s="657">
        <f>K655-I655</f>
        <v>0</v>
      </c>
    </row>
    <row r="656" spans="1:14">
      <c r="A656" s="658"/>
      <c r="B656" s="658"/>
      <c r="C656" s="658"/>
      <c r="D656" s="658"/>
      <c r="E656" s="658"/>
      <c r="F656" s="655"/>
      <c r="G656" s="656"/>
      <c r="H656" s="657"/>
      <c r="I656" s="657"/>
      <c r="J656" s="657"/>
      <c r="K656" s="657"/>
      <c r="L656" s="657"/>
    </row>
    <row r="657" spans="1:12">
      <c r="A657" s="658"/>
      <c r="B657" s="658"/>
      <c r="C657" s="658" t="s">
        <v>772</v>
      </c>
      <c r="D657" s="658" t="s">
        <v>2406</v>
      </c>
      <c r="E657" s="658" t="s">
        <v>117</v>
      </c>
      <c r="F657" s="653"/>
      <c r="G657" s="654"/>
      <c r="H657" s="657">
        <v>900000</v>
      </c>
      <c r="I657" s="657">
        <f>H657</f>
        <v>900000</v>
      </c>
      <c r="J657" s="657"/>
      <c r="K657" s="657">
        <v>900000</v>
      </c>
      <c r="L657" s="657">
        <f>K657-I657</f>
        <v>0</v>
      </c>
    </row>
    <row r="658" spans="1:12">
      <c r="A658" s="658"/>
      <c r="B658" s="658"/>
      <c r="C658" s="658"/>
      <c r="D658" s="658"/>
      <c r="E658" s="658"/>
      <c r="F658" s="655"/>
      <c r="G658" s="656"/>
      <c r="H658" s="657"/>
      <c r="I658" s="657"/>
      <c r="J658" s="657"/>
      <c r="K658" s="657"/>
      <c r="L658" s="657"/>
    </row>
    <row r="659" spans="1:12">
      <c r="A659" s="658"/>
      <c r="B659" s="658"/>
      <c r="C659" s="658" t="s">
        <v>773</v>
      </c>
      <c r="D659" s="658" t="s">
        <v>2406</v>
      </c>
      <c r="E659" s="658" t="s">
        <v>2425</v>
      </c>
      <c r="F659" s="653"/>
      <c r="G659" s="654"/>
      <c r="H659" s="657">
        <v>640000</v>
      </c>
      <c r="I659" s="657">
        <f>H659</f>
        <v>640000</v>
      </c>
      <c r="J659" s="657"/>
      <c r="K659" s="657">
        <v>640000</v>
      </c>
      <c r="L659" s="657">
        <f>K659-I659</f>
        <v>0</v>
      </c>
    </row>
    <row r="660" spans="1:12">
      <c r="A660" s="658"/>
      <c r="B660" s="658"/>
      <c r="C660" s="658"/>
      <c r="D660" s="658"/>
      <c r="E660" s="658"/>
      <c r="F660" s="655"/>
      <c r="G660" s="656"/>
      <c r="H660" s="657"/>
      <c r="I660" s="657"/>
      <c r="J660" s="657"/>
      <c r="K660" s="657"/>
      <c r="L660" s="657"/>
    </row>
    <row r="661" spans="1:12">
      <c r="A661" s="658"/>
      <c r="B661" s="658"/>
      <c r="C661" s="658" t="s">
        <v>778</v>
      </c>
      <c r="D661" s="658" t="s">
        <v>2406</v>
      </c>
      <c r="E661" s="658" t="s">
        <v>2376</v>
      </c>
      <c r="F661" s="653"/>
      <c r="G661" s="654"/>
      <c r="H661" s="657">
        <v>480000</v>
      </c>
      <c r="I661" s="657">
        <f>H661</f>
        <v>480000</v>
      </c>
      <c r="J661" s="657"/>
      <c r="K661" s="657"/>
      <c r="L661" s="657">
        <f>K661-I661</f>
        <v>-480000</v>
      </c>
    </row>
    <row r="662" spans="1:12">
      <c r="A662" s="658"/>
      <c r="B662" s="658"/>
      <c r="C662" s="658"/>
      <c r="D662" s="658"/>
      <c r="E662" s="658"/>
      <c r="F662" s="655"/>
      <c r="G662" s="656"/>
      <c r="H662" s="657"/>
      <c r="I662" s="657"/>
      <c r="J662" s="657"/>
      <c r="K662" s="657"/>
      <c r="L662" s="657"/>
    </row>
    <row r="663" spans="1:12">
      <c r="A663" s="658"/>
      <c r="B663" s="658" t="s">
        <v>2404</v>
      </c>
      <c r="C663" s="658"/>
      <c r="D663" s="658"/>
      <c r="E663" s="667"/>
      <c r="F663" s="653"/>
      <c r="G663" s="654"/>
      <c r="H663" s="657"/>
      <c r="I663" s="657"/>
      <c r="J663" s="657"/>
      <c r="K663" s="657"/>
      <c r="L663" s="657">
        <f>K663-I663</f>
        <v>0</v>
      </c>
    </row>
    <row r="664" spans="1:12">
      <c r="A664" s="658"/>
      <c r="B664" s="658"/>
      <c r="C664" s="658"/>
      <c r="D664" s="658"/>
      <c r="E664" s="667"/>
      <c r="F664" s="655"/>
      <c r="G664" s="656"/>
      <c r="H664" s="657"/>
      <c r="I664" s="657"/>
      <c r="J664" s="657"/>
      <c r="K664" s="657"/>
      <c r="L664" s="657"/>
    </row>
    <row r="665" spans="1:12">
      <c r="A665" s="658"/>
      <c r="B665" s="658" t="s">
        <v>2405</v>
      </c>
      <c r="C665" s="658" t="s">
        <v>2504</v>
      </c>
      <c r="D665" s="658" t="s">
        <v>2430</v>
      </c>
      <c r="E665" s="865" t="s">
        <v>1873</v>
      </c>
      <c r="F665" s="653" t="s">
        <v>2233</v>
      </c>
      <c r="G665" s="654"/>
      <c r="H665" s="657">
        <f>I665</f>
        <v>10700000</v>
      </c>
      <c r="I665" s="657">
        <v>10700000</v>
      </c>
      <c r="J665" s="657"/>
      <c r="K665" s="657">
        <v>10700000</v>
      </c>
      <c r="L665" s="657">
        <f>K665-I665</f>
        <v>0</v>
      </c>
    </row>
    <row r="666" spans="1:12">
      <c r="A666" s="658"/>
      <c r="B666" s="658"/>
      <c r="C666" s="658"/>
      <c r="D666" s="658"/>
      <c r="E666" s="865"/>
      <c r="F666" s="655"/>
      <c r="G666" s="656"/>
      <c r="H666" s="657"/>
      <c r="I666" s="657"/>
      <c r="J666" s="657"/>
      <c r="K666" s="657"/>
      <c r="L666" s="657"/>
    </row>
    <row r="667" spans="1:12">
      <c r="A667" s="658"/>
      <c r="B667" s="658"/>
      <c r="C667" s="658" t="s">
        <v>782</v>
      </c>
      <c r="D667" s="658" t="s">
        <v>2428</v>
      </c>
      <c r="E667" s="878" t="s">
        <v>1051</v>
      </c>
      <c r="F667" s="653"/>
      <c r="G667" s="654"/>
      <c r="H667" s="657">
        <f>I667</f>
        <v>7000000</v>
      </c>
      <c r="I667" s="657">
        <v>7000000</v>
      </c>
      <c r="J667" s="657"/>
      <c r="K667" s="657">
        <v>7000000</v>
      </c>
      <c r="L667" s="657">
        <f>K667-I667</f>
        <v>0</v>
      </c>
    </row>
    <row r="668" spans="1:12">
      <c r="A668" s="658"/>
      <c r="B668" s="658"/>
      <c r="C668" s="658"/>
      <c r="D668" s="658"/>
      <c r="E668" s="879"/>
      <c r="F668" s="655"/>
      <c r="G668" s="656"/>
      <c r="H668" s="657"/>
      <c r="I668" s="657"/>
      <c r="J668" s="657"/>
      <c r="K668" s="657"/>
      <c r="L668" s="657"/>
    </row>
    <row r="669" spans="1:12">
      <c r="A669" s="658"/>
      <c r="B669" s="658"/>
      <c r="C669" s="658" t="s">
        <v>779</v>
      </c>
      <c r="D669" s="658" t="s">
        <v>2428</v>
      </c>
      <c r="E669" s="878" t="s">
        <v>1311</v>
      </c>
      <c r="F669" s="653"/>
      <c r="G669" s="654"/>
      <c r="H669" s="657">
        <v>3700000</v>
      </c>
      <c r="I669" s="657">
        <f>H669</f>
        <v>3700000</v>
      </c>
      <c r="J669" s="657"/>
      <c r="K669" s="657">
        <v>3700000</v>
      </c>
      <c r="L669" s="657">
        <f>K669-I669</f>
        <v>0</v>
      </c>
    </row>
    <row r="670" spans="1:12">
      <c r="A670" s="658"/>
      <c r="B670" s="658"/>
      <c r="C670" s="658"/>
      <c r="D670" s="658"/>
      <c r="E670" s="879"/>
      <c r="F670" s="655"/>
      <c r="G670" s="656"/>
      <c r="H670" s="657"/>
      <c r="I670" s="657"/>
      <c r="J670" s="657"/>
      <c r="K670" s="657"/>
      <c r="L670" s="657"/>
    </row>
    <row r="671" spans="1:12">
      <c r="A671" s="658"/>
      <c r="B671" s="658" t="s">
        <v>2419</v>
      </c>
      <c r="C671" s="658" t="s">
        <v>2431</v>
      </c>
      <c r="D671" s="658" t="s">
        <v>2430</v>
      </c>
      <c r="E671" s="865" t="s">
        <v>1873</v>
      </c>
      <c r="F671" s="653" t="s">
        <v>2420</v>
      </c>
      <c r="G671" s="654"/>
      <c r="H671" s="657">
        <f>I671</f>
        <v>10700000</v>
      </c>
      <c r="I671" s="657">
        <v>10700000</v>
      </c>
      <c r="J671" s="657"/>
      <c r="K671" s="657">
        <v>10700000</v>
      </c>
      <c r="L671" s="657">
        <f>K671-I671</f>
        <v>0</v>
      </c>
    </row>
    <row r="672" spans="1:12">
      <c r="A672" s="658"/>
      <c r="B672" s="658"/>
      <c r="C672" s="658"/>
      <c r="D672" s="658"/>
      <c r="E672" s="865"/>
      <c r="F672" s="655"/>
      <c r="G672" s="656"/>
      <c r="H672" s="657"/>
      <c r="I672" s="657"/>
      <c r="J672" s="657"/>
      <c r="K672" s="657"/>
      <c r="L672" s="657"/>
    </row>
    <row r="673" spans="1:12">
      <c r="A673" s="658"/>
      <c r="B673" s="658"/>
      <c r="C673" s="658" t="s">
        <v>799</v>
      </c>
      <c r="D673" s="658" t="s">
        <v>2428</v>
      </c>
      <c r="E673" s="658" t="s">
        <v>2243</v>
      </c>
      <c r="F673" s="653"/>
      <c r="G673" s="654"/>
      <c r="H673" s="657">
        <v>2000000</v>
      </c>
      <c r="I673" s="657">
        <f>H673</f>
        <v>2000000</v>
      </c>
      <c r="J673" s="657"/>
      <c r="K673" s="657">
        <v>10700000</v>
      </c>
      <c r="L673" s="657">
        <f>K673-I673</f>
        <v>8700000</v>
      </c>
    </row>
    <row r="674" spans="1:12">
      <c r="A674" s="658"/>
      <c r="B674" s="658"/>
      <c r="C674" s="658"/>
      <c r="D674" s="658"/>
      <c r="E674" s="658"/>
      <c r="F674" s="655"/>
      <c r="G674" s="656"/>
      <c r="H674" s="657"/>
      <c r="I674" s="657"/>
      <c r="J674" s="657"/>
      <c r="K674" s="657"/>
      <c r="L674" s="657"/>
    </row>
    <row r="675" spans="1:12">
      <c r="A675" s="658"/>
      <c r="B675" s="658" t="s">
        <v>2424</v>
      </c>
      <c r="C675" s="658" t="s">
        <v>2432</v>
      </c>
      <c r="D675" s="658" t="s">
        <v>2430</v>
      </c>
      <c r="E675" s="865" t="s">
        <v>1873</v>
      </c>
      <c r="F675" s="653" t="s">
        <v>2233</v>
      </c>
      <c r="G675" s="654"/>
      <c r="H675" s="657">
        <f>I675</f>
        <v>10700000</v>
      </c>
      <c r="I675" s="657">
        <v>10700000</v>
      </c>
      <c r="J675" s="657"/>
      <c r="K675" s="657">
        <v>10700000</v>
      </c>
      <c r="L675" s="657">
        <f>K675-I675</f>
        <v>0</v>
      </c>
    </row>
    <row r="676" spans="1:12">
      <c r="A676" s="658"/>
      <c r="B676" s="658"/>
      <c r="C676" s="658"/>
      <c r="D676" s="658"/>
      <c r="E676" s="865"/>
      <c r="F676" s="655"/>
      <c r="G676" s="656"/>
      <c r="H676" s="657"/>
      <c r="I676" s="657"/>
      <c r="J676" s="657"/>
      <c r="K676" s="657"/>
      <c r="L676" s="657"/>
    </row>
    <row r="677" spans="1:12">
      <c r="A677" s="658"/>
      <c r="B677" s="658"/>
      <c r="C677" s="658" t="s">
        <v>800</v>
      </c>
      <c r="D677" s="658" t="s">
        <v>2429</v>
      </c>
      <c r="E677" s="658" t="s">
        <v>117</v>
      </c>
      <c r="F677" s="653"/>
      <c r="G677" s="654"/>
      <c r="H677" s="657">
        <v>900000</v>
      </c>
      <c r="I677" s="657">
        <f>H677</f>
        <v>900000</v>
      </c>
      <c r="J677" s="657"/>
      <c r="K677" s="657">
        <v>900000</v>
      </c>
      <c r="L677" s="657">
        <f>K677-I677</f>
        <v>0</v>
      </c>
    </row>
    <row r="678" spans="1:12">
      <c r="A678" s="658"/>
      <c r="B678" s="658"/>
      <c r="C678" s="658"/>
      <c r="D678" s="658"/>
      <c r="E678" s="658"/>
      <c r="F678" s="655"/>
      <c r="G678" s="656"/>
      <c r="H678" s="657"/>
      <c r="I678" s="657"/>
      <c r="J678" s="657"/>
      <c r="K678" s="657"/>
      <c r="L678" s="657"/>
    </row>
    <row r="679" spans="1:12">
      <c r="A679" s="658"/>
      <c r="B679" s="658"/>
      <c r="C679" s="658" t="s">
        <v>801</v>
      </c>
      <c r="D679" s="658" t="s">
        <v>2433</v>
      </c>
      <c r="E679" s="658" t="s">
        <v>2426</v>
      </c>
      <c r="F679" s="653"/>
      <c r="G679" s="654"/>
      <c r="H679" s="657">
        <v>825000</v>
      </c>
      <c r="I679" s="657">
        <f>H679</f>
        <v>825000</v>
      </c>
      <c r="J679" s="657"/>
      <c r="K679" s="657">
        <v>825000</v>
      </c>
      <c r="L679" s="657">
        <f>K679-I679</f>
        <v>0</v>
      </c>
    </row>
    <row r="680" spans="1:12">
      <c r="A680" s="658"/>
      <c r="B680" s="658"/>
      <c r="C680" s="658"/>
      <c r="D680" s="658"/>
      <c r="E680" s="658"/>
      <c r="F680" s="655"/>
      <c r="G680" s="656"/>
      <c r="H680" s="657"/>
      <c r="I680" s="657"/>
      <c r="J680" s="657"/>
      <c r="K680" s="657"/>
      <c r="L680" s="657"/>
    </row>
    <row r="681" spans="1:12">
      <c r="A681" s="658"/>
      <c r="B681" s="658"/>
      <c r="C681" s="658" t="s">
        <v>807</v>
      </c>
      <c r="D681" s="658" t="s">
        <v>2433</v>
      </c>
      <c r="E681" s="658" t="s">
        <v>1919</v>
      </c>
      <c r="F681" s="653"/>
      <c r="G681" s="654"/>
      <c r="H681" s="657">
        <v>825000</v>
      </c>
      <c r="I681" s="657">
        <f>H681</f>
        <v>825000</v>
      </c>
      <c r="J681" s="657"/>
      <c r="K681" s="657">
        <v>825000</v>
      </c>
      <c r="L681" s="657">
        <f>K681-I681</f>
        <v>0</v>
      </c>
    </row>
    <row r="682" spans="1:12">
      <c r="A682" s="658"/>
      <c r="B682" s="658"/>
      <c r="C682" s="658"/>
      <c r="D682" s="658"/>
      <c r="E682" s="658"/>
      <c r="F682" s="655"/>
      <c r="G682" s="656"/>
      <c r="H682" s="657"/>
      <c r="I682" s="657"/>
      <c r="J682" s="657"/>
      <c r="K682" s="657"/>
      <c r="L682" s="657"/>
    </row>
    <row r="683" spans="1:12">
      <c r="A683" s="658"/>
      <c r="B683" s="658" t="s">
        <v>2427</v>
      </c>
      <c r="C683" s="658" t="s">
        <v>810</v>
      </c>
      <c r="D683" s="658" t="s">
        <v>2429</v>
      </c>
      <c r="E683" s="658" t="s">
        <v>1601</v>
      </c>
      <c r="F683" s="653"/>
      <c r="G683" s="654"/>
      <c r="H683" s="657">
        <v>1200000</v>
      </c>
      <c r="I683" s="657">
        <v>1200000</v>
      </c>
      <c r="J683" s="657"/>
      <c r="K683" s="657">
        <v>1200000</v>
      </c>
      <c r="L683" s="657">
        <f>K683-I683</f>
        <v>0</v>
      </c>
    </row>
    <row r="684" spans="1:12">
      <c r="A684" s="658"/>
      <c r="B684" s="658"/>
      <c r="C684" s="658"/>
      <c r="D684" s="658"/>
      <c r="E684" s="658"/>
      <c r="F684" s="655"/>
      <c r="G684" s="656"/>
      <c r="H684" s="657"/>
      <c r="I684" s="657"/>
      <c r="J684" s="657"/>
      <c r="K684" s="657"/>
      <c r="L684" s="657"/>
    </row>
    <row r="685" spans="1:12">
      <c r="A685" s="658"/>
      <c r="B685" s="658" t="s">
        <v>2434</v>
      </c>
      <c r="C685" s="658" t="s">
        <v>2444</v>
      </c>
      <c r="D685" s="658" t="s">
        <v>2441</v>
      </c>
      <c r="E685" s="865" t="s">
        <v>1873</v>
      </c>
      <c r="F685" s="653" t="s">
        <v>2233</v>
      </c>
      <c r="G685" s="654"/>
      <c r="H685" s="657">
        <v>10700000</v>
      </c>
      <c r="I685" s="657">
        <f>H685</f>
        <v>10700000</v>
      </c>
      <c r="J685" s="657"/>
      <c r="K685" s="657"/>
      <c r="L685" s="657">
        <f>K685-I685</f>
        <v>-10700000</v>
      </c>
    </row>
    <row r="686" spans="1:12">
      <c r="A686" s="658"/>
      <c r="B686" s="658"/>
      <c r="C686" s="658"/>
      <c r="D686" s="658"/>
      <c r="E686" s="865"/>
      <c r="F686" s="655"/>
      <c r="G686" s="656"/>
      <c r="H686" s="657"/>
      <c r="I686" s="657"/>
      <c r="J686" s="657"/>
      <c r="K686" s="657"/>
      <c r="L686" s="657"/>
    </row>
    <row r="687" spans="1:12">
      <c r="A687" s="658"/>
      <c r="B687" s="658"/>
      <c r="C687" s="658" t="s">
        <v>811</v>
      </c>
      <c r="D687" s="658" t="s">
        <v>2443</v>
      </c>
      <c r="E687" s="658" t="s">
        <v>2348</v>
      </c>
      <c r="F687" s="653"/>
      <c r="G687" s="654"/>
      <c r="H687" s="657">
        <v>2250000</v>
      </c>
      <c r="I687" s="657">
        <f>H687</f>
        <v>2250000</v>
      </c>
      <c r="J687" s="657"/>
      <c r="K687" s="657">
        <v>2250000</v>
      </c>
      <c r="L687" s="657">
        <f>K687-I687</f>
        <v>0</v>
      </c>
    </row>
    <row r="688" spans="1:12">
      <c r="A688" s="658"/>
      <c r="B688" s="658"/>
      <c r="C688" s="658"/>
      <c r="D688" s="658"/>
      <c r="E688" s="658"/>
      <c r="F688" s="655"/>
      <c r="G688" s="656"/>
      <c r="H688" s="657"/>
      <c r="I688" s="657"/>
      <c r="J688" s="657"/>
      <c r="K688" s="657"/>
      <c r="L688" s="657"/>
    </row>
    <row r="689" spans="1:13">
      <c r="A689" s="658"/>
      <c r="B689" s="658"/>
      <c r="C689" s="658" t="s">
        <v>812</v>
      </c>
      <c r="D689" s="658" t="s">
        <v>2443</v>
      </c>
      <c r="E689" s="658" t="s">
        <v>2451</v>
      </c>
      <c r="F689" s="653"/>
      <c r="G689" s="654"/>
      <c r="H689" s="657">
        <v>825000</v>
      </c>
      <c r="I689" s="657">
        <f>H689</f>
        <v>825000</v>
      </c>
      <c r="J689" s="657"/>
      <c r="K689" s="657">
        <v>825000</v>
      </c>
      <c r="L689" s="657">
        <f>K689-I689</f>
        <v>0</v>
      </c>
    </row>
    <row r="690" spans="1:13">
      <c r="A690" s="658"/>
      <c r="B690" s="658"/>
      <c r="C690" s="658"/>
      <c r="D690" s="658"/>
      <c r="E690" s="658"/>
      <c r="F690" s="655"/>
      <c r="G690" s="656"/>
      <c r="H690" s="657"/>
      <c r="I690" s="657"/>
      <c r="J690" s="657"/>
      <c r="K690" s="657"/>
      <c r="L690" s="657"/>
    </row>
    <row r="691" spans="1:13">
      <c r="A691" s="658"/>
      <c r="B691" s="658"/>
      <c r="C691" s="658" t="s">
        <v>813</v>
      </c>
      <c r="D691" s="658" t="s">
        <v>2443</v>
      </c>
      <c r="E691" s="658" t="s">
        <v>2386</v>
      </c>
      <c r="F691" s="653"/>
      <c r="G691" s="654"/>
      <c r="H691" s="657">
        <v>2400000</v>
      </c>
      <c r="I691" s="657">
        <f>H691</f>
        <v>2400000</v>
      </c>
      <c r="J691" s="657"/>
      <c r="K691" s="657">
        <v>2400000</v>
      </c>
      <c r="L691" s="657">
        <f>K691-I691</f>
        <v>0</v>
      </c>
    </row>
    <row r="692" spans="1:13">
      <c r="A692" s="658"/>
      <c r="B692" s="658"/>
      <c r="C692" s="658"/>
      <c r="D692" s="658"/>
      <c r="E692" s="658"/>
      <c r="F692" s="655"/>
      <c r="G692" s="656"/>
      <c r="H692" s="657"/>
      <c r="I692" s="657"/>
      <c r="J692" s="657"/>
      <c r="K692" s="657"/>
      <c r="L692" s="657"/>
    </row>
    <row r="693" spans="1:13">
      <c r="A693" s="658"/>
      <c r="B693" s="658" t="s">
        <v>2435</v>
      </c>
      <c r="C693" s="658" t="s">
        <v>2445</v>
      </c>
      <c r="D693" s="658" t="s">
        <v>2442</v>
      </c>
      <c r="E693" s="865" t="s">
        <v>1873</v>
      </c>
      <c r="F693" s="653" t="s">
        <v>2233</v>
      </c>
      <c r="G693" s="654"/>
      <c r="H693" s="657">
        <v>43475</v>
      </c>
      <c r="I693" s="657">
        <v>10700000</v>
      </c>
      <c r="J693" s="657"/>
      <c r="K693" s="657">
        <v>10700000</v>
      </c>
      <c r="L693" s="657">
        <f>K693-I693</f>
        <v>0</v>
      </c>
    </row>
    <row r="694" spans="1:13">
      <c r="A694" s="658"/>
      <c r="B694" s="658"/>
      <c r="C694" s="658"/>
      <c r="D694" s="658"/>
      <c r="E694" s="865"/>
      <c r="F694" s="655"/>
      <c r="G694" s="656"/>
      <c r="H694" s="657"/>
      <c r="I694" s="657"/>
      <c r="J694" s="657"/>
      <c r="K694" s="657"/>
      <c r="L694" s="657"/>
    </row>
    <row r="695" spans="1:13">
      <c r="A695" s="658"/>
      <c r="B695" s="658"/>
      <c r="C695" s="658" t="s">
        <v>820</v>
      </c>
      <c r="D695" s="658" t="s">
        <v>2452</v>
      </c>
      <c r="E695" s="658" t="s">
        <v>2438</v>
      </c>
      <c r="F695" s="653" t="s">
        <v>2448</v>
      </c>
      <c r="G695" s="654"/>
      <c r="H695" s="657">
        <v>500000</v>
      </c>
      <c r="I695" s="657">
        <f>H695</f>
        <v>500000</v>
      </c>
      <c r="J695" s="657"/>
      <c r="K695" s="657">
        <v>500000</v>
      </c>
      <c r="L695" s="657">
        <f>K695-I695</f>
        <v>0</v>
      </c>
    </row>
    <row r="696" spans="1:13">
      <c r="A696" s="658"/>
      <c r="B696" s="658"/>
      <c r="C696" s="658"/>
      <c r="D696" s="658"/>
      <c r="E696" s="658"/>
      <c r="F696" s="655"/>
      <c r="G696" s="656"/>
      <c r="H696" s="657"/>
      <c r="I696" s="657"/>
      <c r="J696" s="657"/>
      <c r="K696" s="657"/>
      <c r="L696" s="657"/>
    </row>
    <row r="697" spans="1:13">
      <c r="A697" s="658"/>
      <c r="B697" s="658" t="s">
        <v>2436</v>
      </c>
      <c r="C697" s="658" t="s">
        <v>2446</v>
      </c>
      <c r="D697" s="658" t="s">
        <v>2442</v>
      </c>
      <c r="E697" s="865" t="s">
        <v>1873</v>
      </c>
      <c r="F697" s="653" t="s">
        <v>2233</v>
      </c>
      <c r="G697" s="654"/>
      <c r="H697" s="657">
        <v>43475</v>
      </c>
      <c r="I697" s="657">
        <v>10700000</v>
      </c>
      <c r="J697" s="657"/>
      <c r="K697" s="657">
        <v>10700000</v>
      </c>
      <c r="L697" s="657">
        <f>K697-I697</f>
        <v>0</v>
      </c>
    </row>
    <row r="698" spans="1:13">
      <c r="A698" s="658"/>
      <c r="B698" s="658"/>
      <c r="C698" s="658"/>
      <c r="D698" s="658"/>
      <c r="E698" s="865"/>
      <c r="F698" s="655"/>
      <c r="G698" s="656"/>
      <c r="H698" s="657"/>
      <c r="I698" s="657"/>
      <c r="J698" s="657"/>
      <c r="K698" s="657"/>
      <c r="L698" s="657"/>
    </row>
    <row r="699" spans="1:13">
      <c r="A699" s="658"/>
      <c r="B699" s="658"/>
      <c r="C699" s="658" t="s">
        <v>821</v>
      </c>
      <c r="D699" s="658" t="s">
        <v>2453</v>
      </c>
      <c r="E699" s="658" t="s">
        <v>2511</v>
      </c>
      <c r="F699" s="653"/>
      <c r="G699" s="654"/>
      <c r="H699" s="657">
        <v>2700000</v>
      </c>
      <c r="I699" s="657">
        <f>H699</f>
        <v>2700000</v>
      </c>
      <c r="J699" s="657"/>
      <c r="K699" s="657">
        <v>2700000</v>
      </c>
      <c r="L699" s="657">
        <f>K699-I699</f>
        <v>0</v>
      </c>
    </row>
    <row r="700" spans="1:13">
      <c r="A700" s="658"/>
      <c r="B700" s="658"/>
      <c r="C700" s="658"/>
      <c r="D700" s="658"/>
      <c r="E700" s="658"/>
      <c r="F700" s="655"/>
      <c r="G700" s="656"/>
      <c r="H700" s="657"/>
      <c r="I700" s="657"/>
      <c r="J700" s="657"/>
      <c r="K700" s="657"/>
      <c r="L700" s="657"/>
    </row>
    <row r="701" spans="1:13">
      <c r="A701" s="658"/>
      <c r="B701" s="658"/>
      <c r="C701" s="658" t="s">
        <v>851</v>
      </c>
      <c r="D701" s="658" t="s">
        <v>2458</v>
      </c>
      <c r="E701" s="658" t="s">
        <v>2469</v>
      </c>
      <c r="F701" s="653" t="s">
        <v>2470</v>
      </c>
      <c r="G701" s="654"/>
      <c r="H701" s="657">
        <v>4000000</v>
      </c>
      <c r="I701" s="657">
        <f>H701</f>
        <v>4000000</v>
      </c>
      <c r="J701" s="657"/>
      <c r="K701" s="657">
        <v>4000000</v>
      </c>
      <c r="L701" s="657">
        <f>K701-I701</f>
        <v>0</v>
      </c>
      <c r="M701">
        <v>295108580</v>
      </c>
    </row>
    <row r="702" spans="1:13">
      <c r="A702" s="658"/>
      <c r="B702" s="658"/>
      <c r="C702" s="658"/>
      <c r="D702" s="658"/>
      <c r="E702" s="658"/>
      <c r="F702" s="655"/>
      <c r="G702" s="656"/>
      <c r="H702" s="657"/>
      <c r="I702" s="657"/>
      <c r="J702" s="657"/>
      <c r="K702" s="657"/>
      <c r="L702" s="657"/>
    </row>
    <row r="703" spans="1:13">
      <c r="A703" s="658"/>
      <c r="B703" s="658"/>
      <c r="C703" s="658" t="s">
        <v>824</v>
      </c>
      <c r="D703" s="658" t="s">
        <v>2454</v>
      </c>
      <c r="E703" s="658" t="s">
        <v>117</v>
      </c>
      <c r="F703" s="653"/>
      <c r="G703" s="654"/>
      <c r="H703" s="657">
        <v>900000</v>
      </c>
      <c r="I703" s="657">
        <f>H703</f>
        <v>900000</v>
      </c>
      <c r="J703" s="657"/>
      <c r="K703" s="657">
        <v>900000</v>
      </c>
      <c r="L703" s="657">
        <f>K703-I703</f>
        <v>0</v>
      </c>
    </row>
    <row r="704" spans="1:13">
      <c r="A704" s="658"/>
      <c r="B704" s="658"/>
      <c r="C704" s="658"/>
      <c r="D704" s="658"/>
      <c r="E704" s="658"/>
      <c r="F704" s="655"/>
      <c r="G704" s="656"/>
      <c r="H704" s="657"/>
      <c r="I704" s="657"/>
      <c r="J704" s="657"/>
      <c r="K704" s="657"/>
      <c r="L704" s="657"/>
    </row>
    <row r="705" spans="1:13">
      <c r="A705" s="658"/>
      <c r="B705" s="658" t="s">
        <v>2437</v>
      </c>
      <c r="C705" s="658" t="s">
        <v>2447</v>
      </c>
      <c r="D705" s="658" t="s">
        <v>2443</v>
      </c>
      <c r="E705" s="865" t="s">
        <v>1873</v>
      </c>
      <c r="F705" s="653" t="s">
        <v>2440</v>
      </c>
      <c r="G705" s="654"/>
      <c r="H705" s="657">
        <v>43727</v>
      </c>
      <c r="I705" s="657">
        <v>10700000</v>
      </c>
      <c r="J705" s="657"/>
      <c r="K705" s="657">
        <v>10700000</v>
      </c>
      <c r="L705" s="657">
        <f>K705-I705</f>
        <v>0</v>
      </c>
    </row>
    <row r="706" spans="1:13">
      <c r="A706" s="658"/>
      <c r="B706" s="658"/>
      <c r="C706" s="658"/>
      <c r="D706" s="658"/>
      <c r="E706" s="865"/>
      <c r="F706" s="655"/>
      <c r="G706" s="656"/>
      <c r="H706" s="657"/>
      <c r="I706" s="657"/>
      <c r="J706" s="657"/>
      <c r="K706" s="657"/>
      <c r="L706" s="657"/>
    </row>
    <row r="707" spans="1:13">
      <c r="A707" s="658"/>
      <c r="B707" s="658"/>
      <c r="C707" s="658" t="s">
        <v>826</v>
      </c>
      <c r="D707" s="658" t="s">
        <v>2453</v>
      </c>
      <c r="E707" s="658" t="s">
        <v>2439</v>
      </c>
      <c r="F707" s="653"/>
      <c r="G707" s="654"/>
      <c r="H707" s="657">
        <v>2500000</v>
      </c>
      <c r="I707" s="657">
        <f>H707</f>
        <v>2500000</v>
      </c>
      <c r="J707" s="657"/>
      <c r="K707" s="657">
        <v>2500000</v>
      </c>
      <c r="L707" s="657">
        <f>K707-I707</f>
        <v>0</v>
      </c>
    </row>
    <row r="708" spans="1:13">
      <c r="A708" s="658"/>
      <c r="B708" s="658"/>
      <c r="C708" s="658"/>
      <c r="D708" s="658"/>
      <c r="E708" s="658"/>
      <c r="F708" s="655"/>
      <c r="G708" s="656"/>
      <c r="H708" s="657"/>
      <c r="I708" s="657"/>
      <c r="J708" s="657"/>
      <c r="K708" s="657"/>
      <c r="L708" s="657"/>
    </row>
    <row r="709" spans="1:13">
      <c r="A709" s="658"/>
      <c r="B709" s="658"/>
      <c r="C709" s="658" t="s">
        <v>833</v>
      </c>
      <c r="D709" s="658" t="s">
        <v>2454</v>
      </c>
      <c r="E709" s="658" t="s">
        <v>2450</v>
      </c>
      <c r="F709" s="653"/>
      <c r="G709" s="654"/>
      <c r="H709" s="657">
        <v>3700000</v>
      </c>
      <c r="I709" s="657">
        <f>H709</f>
        <v>3700000</v>
      </c>
      <c r="J709" s="657"/>
      <c r="K709" s="657">
        <v>3700000</v>
      </c>
      <c r="L709" s="657">
        <f>K709-I709</f>
        <v>0</v>
      </c>
    </row>
    <row r="710" spans="1:13">
      <c r="A710" s="658"/>
      <c r="B710" s="658"/>
      <c r="C710" s="658"/>
      <c r="D710" s="658"/>
      <c r="E710" s="658"/>
      <c r="F710" s="655"/>
      <c r="G710" s="656"/>
      <c r="H710" s="657"/>
      <c r="I710" s="657"/>
      <c r="J710" s="657"/>
      <c r="K710" s="657"/>
      <c r="L710" s="657"/>
    </row>
    <row r="711" spans="1:13">
      <c r="A711" s="658"/>
      <c r="B711" s="658" t="s">
        <v>2455</v>
      </c>
      <c r="C711" s="658" t="s">
        <v>2473</v>
      </c>
      <c r="D711" s="658" t="s">
        <v>2458</v>
      </c>
      <c r="E711" s="865" t="s">
        <v>1873</v>
      </c>
      <c r="F711" s="653" t="s">
        <v>2233</v>
      </c>
      <c r="G711" s="654"/>
      <c r="H711" s="657">
        <v>43443</v>
      </c>
      <c r="I711" s="657">
        <v>10700000</v>
      </c>
      <c r="J711" s="657"/>
      <c r="K711" s="657">
        <v>10700000</v>
      </c>
      <c r="L711" s="657">
        <f>K711-I711</f>
        <v>0</v>
      </c>
    </row>
    <row r="712" spans="1:13">
      <c r="A712" s="658"/>
      <c r="B712" s="658"/>
      <c r="C712" s="658"/>
      <c r="D712" s="658"/>
      <c r="E712" s="865"/>
      <c r="F712" s="655"/>
      <c r="G712" s="656"/>
      <c r="H712" s="657"/>
      <c r="I712" s="657"/>
      <c r="J712" s="657"/>
      <c r="K712" s="657"/>
      <c r="L712" s="657"/>
    </row>
    <row r="713" spans="1:13">
      <c r="A713" s="658"/>
      <c r="B713" s="658"/>
      <c r="C713" s="658" t="s">
        <v>841</v>
      </c>
      <c r="D713" s="658" t="s">
        <v>2459</v>
      </c>
      <c r="E713" s="658" t="s">
        <v>1311</v>
      </c>
      <c r="F713" s="653"/>
      <c r="G713" s="654"/>
      <c r="H713" s="657">
        <v>4500000</v>
      </c>
      <c r="I713" s="657">
        <f>H713</f>
        <v>4500000</v>
      </c>
      <c r="J713" s="657"/>
      <c r="K713" s="657">
        <v>4500000</v>
      </c>
      <c r="L713" s="657">
        <f>K713-I713</f>
        <v>0</v>
      </c>
    </row>
    <row r="714" spans="1:13">
      <c r="A714" s="658"/>
      <c r="B714" s="658"/>
      <c r="C714" s="658"/>
      <c r="D714" s="658"/>
      <c r="E714" s="658"/>
      <c r="F714" s="655"/>
      <c r="G714" s="656"/>
      <c r="H714" s="657"/>
      <c r="I714" s="657"/>
      <c r="J714" s="657"/>
      <c r="K714" s="657"/>
      <c r="L714" s="657"/>
    </row>
    <row r="715" spans="1:13">
      <c r="A715" s="658"/>
      <c r="B715" s="658"/>
      <c r="C715" s="658" t="s">
        <v>842</v>
      </c>
      <c r="D715" s="658" t="s">
        <v>2459</v>
      </c>
      <c r="E715" s="658" t="s">
        <v>1312</v>
      </c>
      <c r="F715" s="653"/>
      <c r="G715" s="654"/>
      <c r="H715" s="657">
        <v>3500000</v>
      </c>
      <c r="I715" s="657">
        <f>H715</f>
        <v>3500000</v>
      </c>
      <c r="J715" s="657"/>
      <c r="K715" s="657">
        <v>3500000</v>
      </c>
      <c r="L715" s="657">
        <f>K715-I715</f>
        <v>0</v>
      </c>
    </row>
    <row r="716" spans="1:13">
      <c r="A716" s="658"/>
      <c r="B716" s="658"/>
      <c r="C716" s="658"/>
      <c r="D716" s="658"/>
      <c r="E716" s="658"/>
      <c r="F716" s="655"/>
      <c r="G716" s="656"/>
      <c r="H716" s="657"/>
      <c r="I716" s="657"/>
      <c r="J716" s="657"/>
      <c r="K716" s="657"/>
      <c r="L716" s="657"/>
    </row>
    <row r="717" spans="1:13">
      <c r="A717" s="658"/>
      <c r="B717" s="658" t="s">
        <v>2456</v>
      </c>
      <c r="C717" s="658" t="s">
        <v>2481</v>
      </c>
      <c r="D717" s="658" t="s">
        <v>2454</v>
      </c>
      <c r="E717" s="865" t="s">
        <v>1873</v>
      </c>
      <c r="F717" s="653" t="s">
        <v>2457</v>
      </c>
      <c r="G717" s="654"/>
      <c r="H717" s="657">
        <v>45067</v>
      </c>
      <c r="I717" s="657">
        <v>11100000</v>
      </c>
      <c r="J717" s="657"/>
      <c r="K717" s="657">
        <v>11100000</v>
      </c>
      <c r="L717" s="657">
        <f>K717-I717</f>
        <v>0</v>
      </c>
    </row>
    <row r="718" spans="1:13">
      <c r="A718" s="658"/>
      <c r="B718" s="658"/>
      <c r="C718" s="658"/>
      <c r="D718" s="658"/>
      <c r="E718" s="865"/>
      <c r="F718" s="655"/>
      <c r="G718" s="656"/>
      <c r="H718" s="657"/>
      <c r="I718" s="657"/>
      <c r="J718" s="657"/>
      <c r="K718" s="657"/>
      <c r="L718" s="657"/>
    </row>
    <row r="719" spans="1:13">
      <c r="A719" s="658"/>
      <c r="B719" s="658"/>
      <c r="C719" s="658" t="s">
        <v>1642</v>
      </c>
      <c r="D719" s="658" t="s">
        <v>2463</v>
      </c>
      <c r="E719" s="658" t="s">
        <v>2460</v>
      </c>
      <c r="F719" s="653"/>
      <c r="G719" s="654"/>
      <c r="H719" s="657">
        <v>4500000</v>
      </c>
      <c r="I719" s="657">
        <f>H719</f>
        <v>4500000</v>
      </c>
      <c r="J719" s="657"/>
      <c r="K719" s="657">
        <v>4500000</v>
      </c>
      <c r="L719" s="657">
        <f>K719-I719</f>
        <v>0</v>
      </c>
      <c r="M719">
        <v>3127250</v>
      </c>
    </row>
    <row r="720" spans="1:13">
      <c r="A720" s="658"/>
      <c r="B720" s="658"/>
      <c r="C720" s="658"/>
      <c r="D720" s="658"/>
      <c r="E720" s="658"/>
      <c r="F720" s="655"/>
      <c r="G720" s="656"/>
      <c r="H720" s="657"/>
      <c r="I720" s="657"/>
      <c r="J720" s="657"/>
      <c r="K720" s="657"/>
      <c r="L720" s="657"/>
      <c r="M720" t="s">
        <v>2585</v>
      </c>
    </row>
    <row r="721" spans="1:13">
      <c r="A721" s="658"/>
      <c r="B721" s="658"/>
      <c r="C721" s="658" t="s">
        <v>843</v>
      </c>
      <c r="D721" s="658" t="s">
        <v>2463</v>
      </c>
      <c r="E721" s="658" t="s">
        <v>2171</v>
      </c>
      <c r="F721" s="653"/>
      <c r="G721" s="654"/>
      <c r="H721" s="657">
        <v>3000000</v>
      </c>
      <c r="I721" s="657">
        <f>H721</f>
        <v>3000000</v>
      </c>
      <c r="J721" s="657"/>
      <c r="K721" s="657">
        <v>3000000</v>
      </c>
      <c r="L721" s="657">
        <f>K721-I721</f>
        <v>0</v>
      </c>
    </row>
    <row r="722" spans="1:13">
      <c r="A722" s="658"/>
      <c r="B722" s="658"/>
      <c r="C722" s="658"/>
      <c r="D722" s="658"/>
      <c r="E722" s="658"/>
      <c r="F722" s="655"/>
      <c r="G722" s="656"/>
      <c r="H722" s="657"/>
      <c r="I722" s="657"/>
      <c r="J722" s="657"/>
      <c r="K722" s="657"/>
      <c r="L722" s="657"/>
    </row>
    <row r="723" spans="1:13">
      <c r="A723" s="658"/>
      <c r="B723" s="658"/>
      <c r="C723" s="658" t="s">
        <v>844</v>
      </c>
      <c r="D723" s="658" t="s">
        <v>2463</v>
      </c>
      <c r="E723" s="658" t="s">
        <v>2461</v>
      </c>
      <c r="F723" s="653"/>
      <c r="G723" s="654"/>
      <c r="H723" s="657">
        <v>2700000</v>
      </c>
      <c r="I723" s="657">
        <f>H723</f>
        <v>2700000</v>
      </c>
      <c r="J723" s="657"/>
      <c r="K723" s="657">
        <v>2700000</v>
      </c>
      <c r="L723" s="657">
        <f>K723-I723</f>
        <v>0</v>
      </c>
    </row>
    <row r="724" spans="1:13">
      <c r="A724" s="658"/>
      <c r="B724" s="658"/>
      <c r="C724" s="658"/>
      <c r="D724" s="658"/>
      <c r="E724" s="658"/>
      <c r="F724" s="655"/>
      <c r="G724" s="656"/>
      <c r="H724" s="657"/>
      <c r="I724" s="657"/>
      <c r="J724" s="657"/>
      <c r="K724" s="657"/>
      <c r="L724" s="657"/>
    </row>
    <row r="725" spans="1:13">
      <c r="A725" s="658"/>
      <c r="B725" s="658"/>
      <c r="C725" s="658" t="s">
        <v>845</v>
      </c>
      <c r="D725" s="658" t="s">
        <v>2463</v>
      </c>
      <c r="E725" s="658" t="s">
        <v>2462</v>
      </c>
      <c r="F725" s="653"/>
      <c r="G725" s="654"/>
      <c r="H725" s="657">
        <v>2300000</v>
      </c>
      <c r="I725" s="657">
        <f>H725</f>
        <v>2300000</v>
      </c>
      <c r="J725" s="657"/>
      <c r="K725" s="657">
        <v>2300000</v>
      </c>
      <c r="L725" s="657">
        <f>K725-I725</f>
        <v>0</v>
      </c>
    </row>
    <row r="726" spans="1:13">
      <c r="A726" s="658"/>
      <c r="B726" s="658"/>
      <c r="C726" s="658"/>
      <c r="D726" s="658"/>
      <c r="E726" s="658"/>
      <c r="F726" s="655"/>
      <c r="G726" s="656"/>
      <c r="H726" s="657"/>
      <c r="I726" s="657"/>
      <c r="J726" s="657"/>
      <c r="K726" s="657"/>
      <c r="L726" s="657"/>
      <c r="M726" s="572">
        <f>I725+I723+I721+I719+I717+I715+I713+I711+I709+I707+I705+I703+I701+I699+I697+I695+I693+I691+I689+I687+I685+I683+I681+I679+I677+I675+I673+I671+I669+I667+I665+I661+I659+I657+I655+I653+I651+I649+I647+I645+I643+I641+I639+I637+I625+I623+I621</f>
        <v>216910000</v>
      </c>
    </row>
    <row r="727" spans="1:13">
      <c r="A727" s="658"/>
      <c r="B727" s="658" t="s">
        <v>2464</v>
      </c>
      <c r="C727" s="658" t="s">
        <v>2477</v>
      </c>
      <c r="D727" s="658" t="s">
        <v>2480</v>
      </c>
      <c r="E727" s="865" t="s">
        <v>1873</v>
      </c>
      <c r="F727" s="653" t="s">
        <v>2467</v>
      </c>
      <c r="G727" s="654"/>
      <c r="H727" s="657">
        <v>43546</v>
      </c>
      <c r="I727" s="657">
        <v>10700000</v>
      </c>
      <c r="J727" s="657"/>
      <c r="K727" s="657">
        <v>10700000</v>
      </c>
      <c r="L727" s="657">
        <f>K727-I727</f>
        <v>0</v>
      </c>
    </row>
    <row r="728" spans="1:13">
      <c r="A728" s="658"/>
      <c r="B728" s="658"/>
      <c r="C728" s="658"/>
      <c r="D728" s="658"/>
      <c r="E728" s="865"/>
      <c r="F728" s="655"/>
      <c r="G728" s="656"/>
      <c r="H728" s="657"/>
      <c r="I728" s="657"/>
      <c r="J728" s="657"/>
      <c r="K728" s="657"/>
      <c r="L728" s="657"/>
    </row>
    <row r="729" spans="1:13">
      <c r="A729" s="658"/>
      <c r="B729" s="658"/>
      <c r="C729" s="658" t="s">
        <v>855</v>
      </c>
      <c r="D729" s="658" t="s">
        <v>2476</v>
      </c>
      <c r="E729" s="658" t="s">
        <v>2465</v>
      </c>
      <c r="F729" s="653"/>
      <c r="G729" s="654"/>
      <c r="H729" s="657">
        <v>3300000</v>
      </c>
      <c r="I729" s="657">
        <f>H729</f>
        <v>3300000</v>
      </c>
      <c r="J729" s="657"/>
      <c r="K729" s="657">
        <v>3300000</v>
      </c>
      <c r="L729" s="657">
        <f>K729-I729</f>
        <v>0</v>
      </c>
    </row>
    <row r="730" spans="1:13">
      <c r="A730" s="658"/>
      <c r="B730" s="658"/>
      <c r="C730" s="658"/>
      <c r="D730" s="658"/>
      <c r="E730" s="658"/>
      <c r="F730" s="655"/>
      <c r="G730" s="656"/>
      <c r="H730" s="657"/>
      <c r="I730" s="657"/>
      <c r="J730" s="657"/>
      <c r="K730" s="657"/>
      <c r="L730" s="657"/>
    </row>
    <row r="731" spans="1:13">
      <c r="A731" s="658"/>
      <c r="B731" s="658"/>
      <c r="C731" s="658" t="s">
        <v>856</v>
      </c>
      <c r="D731" s="658" t="s">
        <v>2476</v>
      </c>
      <c r="E731" s="658" t="s">
        <v>1661</v>
      </c>
      <c r="F731" s="653"/>
      <c r="G731" s="654"/>
      <c r="H731" s="657">
        <v>4000000</v>
      </c>
      <c r="I731" s="657">
        <f>H731</f>
        <v>4000000</v>
      </c>
      <c r="J731" s="657"/>
      <c r="K731" s="657">
        <v>4000000</v>
      </c>
      <c r="L731" s="657">
        <f>K731-I731</f>
        <v>0</v>
      </c>
    </row>
    <row r="732" spans="1:13">
      <c r="A732" s="658"/>
      <c r="B732" s="658"/>
      <c r="C732" s="658"/>
      <c r="D732" s="658"/>
      <c r="E732" s="658"/>
      <c r="F732" s="655"/>
      <c r="G732" s="656"/>
      <c r="H732" s="657"/>
      <c r="I732" s="657"/>
      <c r="J732" s="657"/>
      <c r="K732" s="657"/>
      <c r="L732" s="657"/>
    </row>
    <row r="733" spans="1:13">
      <c r="A733" s="658"/>
      <c r="B733" s="658" t="s">
        <v>2466</v>
      </c>
      <c r="C733" s="658" t="s">
        <v>2478</v>
      </c>
      <c r="D733" s="658" t="s">
        <v>2459</v>
      </c>
      <c r="E733" s="865" t="s">
        <v>1873</v>
      </c>
      <c r="F733" s="653" t="s">
        <v>2468</v>
      </c>
      <c r="G733" s="654"/>
      <c r="H733" s="657">
        <v>44885</v>
      </c>
      <c r="I733" s="657">
        <v>11100000</v>
      </c>
      <c r="J733" s="657"/>
      <c r="K733" s="657">
        <v>11100000</v>
      </c>
      <c r="L733" s="657">
        <f>K733-I733</f>
        <v>0</v>
      </c>
    </row>
    <row r="734" spans="1:13">
      <c r="A734" s="658"/>
      <c r="B734" s="658"/>
      <c r="C734" s="658"/>
      <c r="D734" s="658"/>
      <c r="E734" s="865"/>
      <c r="F734" s="655"/>
      <c r="G734" s="656"/>
      <c r="H734" s="657"/>
      <c r="I734" s="657"/>
      <c r="J734" s="657"/>
      <c r="K734" s="657"/>
      <c r="L734" s="657"/>
    </row>
    <row r="735" spans="1:13">
      <c r="A735" s="658"/>
      <c r="B735" s="658"/>
      <c r="C735" s="658" t="s">
        <v>866</v>
      </c>
      <c r="D735" s="658" t="s">
        <v>2476</v>
      </c>
      <c r="E735" s="658" t="s">
        <v>117</v>
      </c>
      <c r="F735" s="653"/>
      <c r="G735" s="654"/>
      <c r="H735" s="657">
        <v>900000</v>
      </c>
      <c r="I735" s="657">
        <f>H735</f>
        <v>900000</v>
      </c>
      <c r="J735" s="657"/>
      <c r="K735" s="657">
        <v>900000</v>
      </c>
      <c r="L735" s="657">
        <f>K735-I735</f>
        <v>0</v>
      </c>
    </row>
    <row r="736" spans="1:13">
      <c r="A736" s="658"/>
      <c r="B736" s="658"/>
      <c r="C736" s="658"/>
      <c r="D736" s="658"/>
      <c r="E736" s="658"/>
      <c r="F736" s="655"/>
      <c r="G736" s="656"/>
      <c r="H736" s="657"/>
      <c r="I736" s="657"/>
      <c r="J736" s="657"/>
      <c r="K736" s="657"/>
      <c r="L736" s="657"/>
    </row>
    <row r="737" spans="1:13">
      <c r="A737" s="658"/>
      <c r="B737" s="658"/>
      <c r="C737" s="658" t="s">
        <v>867</v>
      </c>
      <c r="D737" s="658" t="s">
        <v>2496</v>
      </c>
      <c r="E737" s="658" t="s">
        <v>2497</v>
      </c>
      <c r="F737" s="653"/>
      <c r="G737" s="654"/>
      <c r="H737" s="657">
        <v>3500000</v>
      </c>
      <c r="I737" s="657">
        <f>H737</f>
        <v>3500000</v>
      </c>
      <c r="J737" s="657"/>
      <c r="K737" s="657">
        <v>3500000</v>
      </c>
      <c r="L737" s="657">
        <f>K737-I737</f>
        <v>0</v>
      </c>
    </row>
    <row r="738" spans="1:13">
      <c r="A738" s="658"/>
      <c r="B738" s="658"/>
      <c r="C738" s="658"/>
      <c r="D738" s="658"/>
      <c r="E738" s="658"/>
      <c r="F738" s="655"/>
      <c r="G738" s="656"/>
      <c r="H738" s="657"/>
      <c r="I738" s="657"/>
      <c r="J738" s="657"/>
      <c r="K738" s="657"/>
      <c r="L738" s="657"/>
    </row>
    <row r="739" spans="1:13">
      <c r="A739" s="882" t="s">
        <v>2501</v>
      </c>
      <c r="B739" s="883"/>
      <c r="C739" s="883"/>
      <c r="D739" s="883"/>
      <c r="E739" s="883"/>
      <c r="F739" s="883"/>
      <c r="G739" s="883"/>
      <c r="H739" s="883"/>
      <c r="I739" s="883"/>
      <c r="J739" s="883"/>
      <c r="K739" s="883"/>
      <c r="L739" s="884"/>
    </row>
    <row r="740" spans="1:13">
      <c r="A740" s="885"/>
      <c r="B740" s="886"/>
      <c r="C740" s="886"/>
      <c r="D740" s="886"/>
      <c r="E740" s="886"/>
      <c r="F740" s="886"/>
      <c r="G740" s="886"/>
      <c r="H740" s="886"/>
      <c r="I740" s="886"/>
      <c r="J740" s="886"/>
      <c r="K740" s="886"/>
      <c r="L740" s="887"/>
    </row>
    <row r="741" spans="1:13">
      <c r="A741" s="658"/>
      <c r="B741" s="658" t="s">
        <v>2471</v>
      </c>
      <c r="C741" s="658" t="s">
        <v>2484</v>
      </c>
      <c r="D741" s="658" t="s">
        <v>2483</v>
      </c>
      <c r="E741" s="865" t="s">
        <v>1873</v>
      </c>
      <c r="F741" s="653" t="s">
        <v>2233</v>
      </c>
      <c r="G741" s="654"/>
      <c r="H741" s="657">
        <v>40739</v>
      </c>
      <c r="I741" s="657">
        <v>10700000</v>
      </c>
      <c r="J741" s="657"/>
      <c r="K741" s="657">
        <v>10700000</v>
      </c>
      <c r="L741" s="657">
        <f>K741-I741</f>
        <v>0</v>
      </c>
      <c r="M741" s="572"/>
    </row>
    <row r="742" spans="1:13">
      <c r="A742" s="658"/>
      <c r="B742" s="658"/>
      <c r="C742" s="658"/>
      <c r="D742" s="658"/>
      <c r="E742" s="865"/>
      <c r="F742" s="655"/>
      <c r="G742" s="656"/>
      <c r="H742" s="657"/>
      <c r="I742" s="657"/>
      <c r="J742" s="657"/>
      <c r="K742" s="657"/>
      <c r="L742" s="657"/>
    </row>
    <row r="743" spans="1:13">
      <c r="A743" s="658"/>
      <c r="B743" s="658"/>
      <c r="C743" s="658" t="s">
        <v>944</v>
      </c>
      <c r="D743" s="658" t="s">
        <v>2479</v>
      </c>
      <c r="E743" s="658" t="s">
        <v>1931</v>
      </c>
      <c r="F743" s="653"/>
      <c r="G743" s="654"/>
      <c r="H743" s="657">
        <v>1220000</v>
      </c>
      <c r="I743" s="657">
        <f t="shared" ref="I743" si="3">H743</f>
        <v>1220000</v>
      </c>
      <c r="J743" s="657"/>
      <c r="K743" s="657">
        <v>1220000</v>
      </c>
      <c r="L743" s="657">
        <f t="shared" ref="L743" si="4">K743-I743</f>
        <v>0</v>
      </c>
    </row>
    <row r="744" spans="1:13">
      <c r="A744" s="658"/>
      <c r="B744" s="658"/>
      <c r="C744" s="658"/>
      <c r="D744" s="658"/>
      <c r="E744" s="658"/>
      <c r="F744" s="655"/>
      <c r="G744" s="656"/>
      <c r="H744" s="657"/>
      <c r="I744" s="657"/>
      <c r="J744" s="657"/>
      <c r="K744" s="657"/>
      <c r="L744" s="657"/>
    </row>
    <row r="745" spans="1:13">
      <c r="A745" s="658"/>
      <c r="B745" s="658"/>
      <c r="C745" s="658" t="s">
        <v>868</v>
      </c>
      <c r="D745" s="658" t="s">
        <v>2479</v>
      </c>
      <c r="E745" s="658" t="s">
        <v>2472</v>
      </c>
      <c r="F745" s="653"/>
      <c r="G745" s="654"/>
      <c r="H745" s="657">
        <v>4550000</v>
      </c>
      <c r="I745" s="657">
        <f>H745</f>
        <v>4550000</v>
      </c>
      <c r="J745" s="657"/>
      <c r="K745" s="657">
        <v>4550000</v>
      </c>
      <c r="L745" s="657">
        <f>K745-I745</f>
        <v>0</v>
      </c>
      <c r="M745" s="572"/>
    </row>
    <row r="746" spans="1:13">
      <c r="A746" s="658"/>
      <c r="B746" s="658"/>
      <c r="C746" s="658"/>
      <c r="D746" s="658"/>
      <c r="E746" s="658"/>
      <c r="F746" s="655"/>
      <c r="G746" s="656"/>
      <c r="H746" s="657"/>
      <c r="I746" s="657"/>
      <c r="J746" s="657"/>
      <c r="K746" s="657"/>
      <c r="L746" s="657"/>
    </row>
    <row r="747" spans="1:13">
      <c r="A747" s="658"/>
      <c r="B747" s="658" t="s">
        <v>2474</v>
      </c>
      <c r="C747" s="658" t="s">
        <v>2488</v>
      </c>
      <c r="D747" s="658" t="s">
        <v>2483</v>
      </c>
      <c r="E747" s="865" t="s">
        <v>1873</v>
      </c>
      <c r="F747" s="653" t="s">
        <v>2233</v>
      </c>
      <c r="G747" s="654"/>
      <c r="H747" s="657">
        <v>40738</v>
      </c>
      <c r="I747" s="657">
        <v>10700000</v>
      </c>
      <c r="J747" s="657"/>
      <c r="K747" s="657">
        <v>10700000</v>
      </c>
      <c r="L747" s="657">
        <f>K747-I747</f>
        <v>0</v>
      </c>
      <c r="M747" t="s">
        <v>2503</v>
      </c>
    </row>
    <row r="748" spans="1:13">
      <c r="A748" s="658"/>
      <c r="B748" s="658"/>
      <c r="C748" s="658"/>
      <c r="D748" s="658"/>
      <c r="E748" s="865"/>
      <c r="F748" s="655"/>
      <c r="G748" s="656"/>
      <c r="H748" s="657"/>
      <c r="I748" s="657"/>
      <c r="J748" s="657"/>
      <c r="K748" s="657"/>
      <c r="L748" s="657"/>
      <c r="M748" s="6" t="s">
        <v>2561</v>
      </c>
    </row>
    <row r="749" spans="1:13">
      <c r="A749" s="658"/>
      <c r="B749" s="658"/>
      <c r="C749" s="658" t="s">
        <v>877</v>
      </c>
      <c r="D749" s="658" t="s">
        <v>2482</v>
      </c>
      <c r="E749" s="658" t="s">
        <v>1601</v>
      </c>
      <c r="F749" s="653"/>
      <c r="G749" s="654"/>
      <c r="H749" s="657">
        <v>11500000</v>
      </c>
      <c r="I749" s="657">
        <f>H749</f>
        <v>11500000</v>
      </c>
      <c r="J749" s="657"/>
      <c r="K749" s="657">
        <v>11500000</v>
      </c>
      <c r="L749" s="657">
        <f>K749-I749</f>
        <v>0</v>
      </c>
    </row>
    <row r="750" spans="1:13">
      <c r="A750" s="658"/>
      <c r="B750" s="658"/>
      <c r="C750" s="658"/>
      <c r="D750" s="658"/>
      <c r="E750" s="658"/>
      <c r="F750" s="655"/>
      <c r="G750" s="656"/>
      <c r="H750" s="657"/>
      <c r="I750" s="657"/>
      <c r="J750" s="657"/>
      <c r="K750" s="657"/>
      <c r="L750" s="657"/>
    </row>
    <row r="751" spans="1:13">
      <c r="A751" s="658"/>
      <c r="B751" s="658" t="s">
        <v>2485</v>
      </c>
      <c r="C751" s="658" t="s">
        <v>2491</v>
      </c>
      <c r="D751" s="658" t="s">
        <v>2490</v>
      </c>
      <c r="E751" s="865" t="s">
        <v>1873</v>
      </c>
      <c r="F751" s="653" t="s">
        <v>2486</v>
      </c>
      <c r="G751" s="654"/>
      <c r="H751" s="657">
        <v>42262</v>
      </c>
      <c r="I751" s="657">
        <v>11100000</v>
      </c>
      <c r="J751" s="657"/>
      <c r="K751" s="657">
        <v>11100000</v>
      </c>
      <c r="L751" s="657">
        <f>K751-I751</f>
        <v>0</v>
      </c>
    </row>
    <row r="752" spans="1:13">
      <c r="A752" s="658"/>
      <c r="B752" s="658"/>
      <c r="C752" s="658"/>
      <c r="D752" s="658"/>
      <c r="E752" s="865"/>
      <c r="F752" s="655"/>
      <c r="G752" s="656"/>
      <c r="H752" s="657"/>
      <c r="I752" s="657"/>
      <c r="J752" s="657"/>
      <c r="K752" s="657"/>
      <c r="L752" s="657"/>
    </row>
    <row r="753" spans="1:12">
      <c r="A753" s="658"/>
      <c r="B753" s="658"/>
      <c r="C753" s="658" t="s">
        <v>878</v>
      </c>
      <c r="D753" s="658" t="s">
        <v>2492</v>
      </c>
      <c r="E753" s="658" t="s">
        <v>2376</v>
      </c>
      <c r="F753" s="653"/>
      <c r="G753" s="654"/>
      <c r="H753" s="657">
        <v>720000</v>
      </c>
      <c r="I753" s="657">
        <f>H753</f>
        <v>720000</v>
      </c>
      <c r="J753" s="657"/>
      <c r="K753" s="657">
        <v>720000</v>
      </c>
      <c r="L753" s="657">
        <f>K753-I753</f>
        <v>0</v>
      </c>
    </row>
    <row r="754" spans="1:12">
      <c r="A754" s="658"/>
      <c r="B754" s="658"/>
      <c r="C754" s="658"/>
      <c r="D754" s="658"/>
      <c r="E754" s="658"/>
      <c r="F754" s="655"/>
      <c r="G754" s="656"/>
      <c r="H754" s="657"/>
      <c r="I754" s="657"/>
      <c r="J754" s="657"/>
      <c r="K754" s="657"/>
      <c r="L754" s="657"/>
    </row>
    <row r="755" spans="1:12">
      <c r="A755" s="658"/>
      <c r="B755" s="658"/>
      <c r="C755" s="658" t="s">
        <v>879</v>
      </c>
      <c r="D755" s="658" t="s">
        <v>2493</v>
      </c>
      <c r="E755" s="658" t="s">
        <v>1745</v>
      </c>
      <c r="F755" s="653"/>
      <c r="G755" s="654"/>
      <c r="H755" s="657">
        <v>900000</v>
      </c>
      <c r="I755" s="657">
        <f>H755</f>
        <v>900000</v>
      </c>
      <c r="J755" s="657"/>
      <c r="K755" s="657">
        <v>900000</v>
      </c>
      <c r="L755" s="657">
        <f>K755-I755</f>
        <v>0</v>
      </c>
    </row>
    <row r="756" spans="1:12">
      <c r="A756" s="658"/>
      <c r="B756" s="658"/>
      <c r="C756" s="658"/>
      <c r="D756" s="658"/>
      <c r="E756" s="658"/>
      <c r="F756" s="655"/>
      <c r="G756" s="656"/>
      <c r="H756" s="657"/>
      <c r="I756" s="657"/>
      <c r="J756" s="657"/>
      <c r="K756" s="657"/>
      <c r="L756" s="657"/>
    </row>
    <row r="757" spans="1:12">
      <c r="A757" s="658"/>
      <c r="B757" s="658"/>
      <c r="C757" s="658" t="s">
        <v>884</v>
      </c>
      <c r="D757" s="658" t="s">
        <v>2494</v>
      </c>
      <c r="E757" s="658" t="s">
        <v>1144</v>
      </c>
      <c r="F757" s="653"/>
      <c r="G757" s="654"/>
      <c r="H757" s="657">
        <v>1800000</v>
      </c>
      <c r="I757" s="657">
        <f>H757</f>
        <v>1800000</v>
      </c>
      <c r="J757" s="657"/>
      <c r="K757" s="657">
        <v>1800000</v>
      </c>
      <c r="L757" s="657">
        <f>K757-I757</f>
        <v>0</v>
      </c>
    </row>
    <row r="758" spans="1:12">
      <c r="A758" s="658"/>
      <c r="B758" s="658"/>
      <c r="C758" s="658"/>
      <c r="D758" s="658"/>
      <c r="E758" s="658"/>
      <c r="F758" s="655"/>
      <c r="G758" s="656"/>
      <c r="H758" s="657"/>
      <c r="I758" s="657"/>
      <c r="J758" s="657"/>
      <c r="K758" s="657"/>
      <c r="L758" s="657"/>
    </row>
    <row r="759" spans="1:12">
      <c r="A759" s="658"/>
      <c r="B759" s="658" t="s">
        <v>2487</v>
      </c>
      <c r="C759" s="658" t="s">
        <v>2518</v>
      </c>
      <c r="D759" s="658" t="s">
        <v>2479</v>
      </c>
      <c r="E759" s="865" t="s">
        <v>1873</v>
      </c>
      <c r="F759" s="653" t="s">
        <v>2498</v>
      </c>
      <c r="G759" s="654"/>
      <c r="H759" s="657">
        <v>42262</v>
      </c>
      <c r="I759" s="657">
        <v>11100000</v>
      </c>
      <c r="J759" s="657"/>
      <c r="K759" s="657">
        <v>11100000</v>
      </c>
      <c r="L759" s="657">
        <f>K759-I759</f>
        <v>0</v>
      </c>
    </row>
    <row r="760" spans="1:12">
      <c r="A760" s="658"/>
      <c r="B760" s="658"/>
      <c r="C760" s="658"/>
      <c r="D760" s="658"/>
      <c r="E760" s="865"/>
      <c r="F760" s="655"/>
      <c r="G760" s="656"/>
      <c r="H760" s="657"/>
      <c r="I760" s="657"/>
      <c r="J760" s="657"/>
      <c r="K760" s="657"/>
      <c r="L760" s="657"/>
    </row>
    <row r="761" spans="1:12">
      <c r="A761" s="658"/>
      <c r="B761" s="658"/>
      <c r="C761" s="658" t="s">
        <v>885</v>
      </c>
      <c r="D761" s="658" t="s">
        <v>2492</v>
      </c>
      <c r="E761" s="658" t="s">
        <v>1140</v>
      </c>
      <c r="F761" s="653"/>
      <c r="G761" s="654"/>
      <c r="H761" s="657">
        <v>6000000</v>
      </c>
      <c r="I761" s="657">
        <f>H761</f>
        <v>6000000</v>
      </c>
      <c r="J761" s="657"/>
      <c r="K761" s="657">
        <v>6000000</v>
      </c>
      <c r="L761" s="657">
        <f>K761-I761</f>
        <v>0</v>
      </c>
    </row>
    <row r="762" spans="1:12">
      <c r="A762" s="658"/>
      <c r="B762" s="658"/>
      <c r="C762" s="658"/>
      <c r="D762" s="658"/>
      <c r="E762" s="658"/>
      <c r="F762" s="655"/>
      <c r="G762" s="656"/>
      <c r="H762" s="657"/>
      <c r="I762" s="657"/>
      <c r="J762" s="657"/>
      <c r="K762" s="657"/>
      <c r="L762" s="657"/>
    </row>
    <row r="763" spans="1:12">
      <c r="A763" s="658"/>
      <c r="B763" s="658" t="s">
        <v>2427</v>
      </c>
      <c r="C763" s="658" t="s">
        <v>886</v>
      </c>
      <c r="D763" s="658" t="s">
        <v>2495</v>
      </c>
      <c r="E763" s="658" t="s">
        <v>2489</v>
      </c>
      <c r="F763" s="653"/>
      <c r="G763" s="654"/>
      <c r="H763" s="657">
        <v>1500000</v>
      </c>
      <c r="I763" s="657">
        <f>H763</f>
        <v>1500000</v>
      </c>
      <c r="J763" s="657"/>
      <c r="K763" s="657">
        <v>1500000</v>
      </c>
      <c r="L763" s="657">
        <f>K763-I763</f>
        <v>0</v>
      </c>
    </row>
    <row r="764" spans="1:12">
      <c r="A764" s="658"/>
      <c r="B764" s="658"/>
      <c r="C764" s="658"/>
      <c r="D764" s="658"/>
      <c r="E764" s="658"/>
      <c r="F764" s="655"/>
      <c r="G764" s="656"/>
      <c r="H764" s="657"/>
      <c r="I764" s="657"/>
      <c r="J764" s="657"/>
      <c r="K764" s="657"/>
      <c r="L764" s="657"/>
    </row>
    <row r="765" spans="1:12">
      <c r="A765" s="658"/>
      <c r="B765" s="658" t="s">
        <v>2499</v>
      </c>
      <c r="C765" s="658" t="s">
        <v>2500</v>
      </c>
      <c r="D765" s="658" t="s">
        <v>2495</v>
      </c>
      <c r="E765" s="865" t="s">
        <v>1873</v>
      </c>
      <c r="F765" s="653" t="s">
        <v>2233</v>
      </c>
      <c r="G765" s="654"/>
      <c r="H765" s="657">
        <v>40963</v>
      </c>
      <c r="I765" s="657">
        <v>10700000</v>
      </c>
      <c r="J765" s="657"/>
      <c r="K765" s="657">
        <v>10700000</v>
      </c>
      <c r="L765" s="657">
        <f>K765-I765</f>
        <v>0</v>
      </c>
    </row>
    <row r="766" spans="1:12">
      <c r="A766" s="658"/>
      <c r="B766" s="658"/>
      <c r="C766" s="658"/>
      <c r="D766" s="658"/>
      <c r="E766" s="865"/>
      <c r="F766" s="655"/>
      <c r="G766" s="656"/>
      <c r="H766" s="657"/>
      <c r="I766" s="657"/>
      <c r="J766" s="657"/>
      <c r="K766" s="657"/>
      <c r="L766" s="657"/>
    </row>
    <row r="767" spans="1:12">
      <c r="A767" s="658"/>
      <c r="B767" s="658"/>
      <c r="C767" s="658" t="s">
        <v>914</v>
      </c>
      <c r="D767" s="658" t="s">
        <v>2513</v>
      </c>
      <c r="E767" s="658" t="s">
        <v>2502</v>
      </c>
      <c r="F767" s="653"/>
      <c r="G767" s="654"/>
      <c r="H767" s="657">
        <v>3800000</v>
      </c>
      <c r="I767" s="657">
        <f>H767</f>
        <v>3800000</v>
      </c>
      <c r="J767" s="657"/>
      <c r="K767" s="657">
        <v>3800000</v>
      </c>
      <c r="L767" s="657">
        <f>K767-I767</f>
        <v>0</v>
      </c>
    </row>
    <row r="768" spans="1:12">
      <c r="A768" s="658"/>
      <c r="B768" s="658"/>
      <c r="C768" s="658"/>
      <c r="D768" s="658"/>
      <c r="E768" s="658"/>
      <c r="F768" s="655"/>
      <c r="G768" s="656"/>
      <c r="H768" s="657"/>
      <c r="I768" s="657"/>
      <c r="J768" s="657"/>
      <c r="K768" s="657"/>
      <c r="L768" s="657"/>
    </row>
    <row r="769" spans="1:12">
      <c r="A769" s="658"/>
      <c r="B769" s="658"/>
      <c r="C769" s="658" t="s">
        <v>913</v>
      </c>
      <c r="D769" s="658" t="s">
        <v>2514</v>
      </c>
      <c r="E769" s="658" t="s">
        <v>1656</v>
      </c>
      <c r="F769" s="653"/>
      <c r="G769" s="654"/>
      <c r="H769" s="657">
        <v>3800000</v>
      </c>
      <c r="I769" s="657">
        <f>H769</f>
        <v>3800000</v>
      </c>
      <c r="J769" s="657"/>
      <c r="K769" s="657">
        <v>3800000</v>
      </c>
      <c r="L769" s="657">
        <f>K769-I769</f>
        <v>0</v>
      </c>
    </row>
    <row r="770" spans="1:12">
      <c r="A770" s="658"/>
      <c r="B770" s="658"/>
      <c r="C770" s="658"/>
      <c r="D770" s="658"/>
      <c r="E770" s="658"/>
      <c r="F770" s="655"/>
      <c r="G770" s="656"/>
      <c r="H770" s="657"/>
      <c r="I770" s="657"/>
      <c r="J770" s="657"/>
      <c r="K770" s="657"/>
      <c r="L770" s="657"/>
    </row>
    <row r="771" spans="1:12">
      <c r="A771" s="658"/>
      <c r="B771" s="658"/>
      <c r="C771" s="658" t="s">
        <v>910</v>
      </c>
      <c r="D771" s="658" t="s">
        <v>2515</v>
      </c>
      <c r="E771" s="658" t="s">
        <v>1372</v>
      </c>
      <c r="F771" s="653"/>
      <c r="G771" s="654"/>
      <c r="H771" s="657">
        <v>4000000</v>
      </c>
      <c r="I771" s="657">
        <f>H771</f>
        <v>4000000</v>
      </c>
      <c r="J771" s="657"/>
      <c r="K771" s="657">
        <v>4000000</v>
      </c>
      <c r="L771" s="657">
        <f>K771-I771</f>
        <v>0</v>
      </c>
    </row>
    <row r="772" spans="1:12">
      <c r="A772" s="658"/>
      <c r="B772" s="658"/>
      <c r="C772" s="658"/>
      <c r="D772" s="658"/>
      <c r="E772" s="658"/>
      <c r="F772" s="655"/>
      <c r="G772" s="656"/>
      <c r="H772" s="657"/>
      <c r="I772" s="657"/>
      <c r="J772" s="657"/>
      <c r="K772" s="657"/>
      <c r="L772" s="657"/>
    </row>
    <row r="773" spans="1:12">
      <c r="A773" s="658"/>
      <c r="B773" s="658" t="s">
        <v>2510</v>
      </c>
      <c r="C773" s="658" t="s">
        <v>2516</v>
      </c>
      <c r="D773" s="658" t="s">
        <v>2495</v>
      </c>
      <c r="E773" s="865" t="s">
        <v>1873</v>
      </c>
      <c r="F773" s="653" t="s">
        <v>2233</v>
      </c>
      <c r="G773" s="654"/>
      <c r="H773" s="657">
        <v>40963</v>
      </c>
      <c r="I773" s="657">
        <v>10700000</v>
      </c>
      <c r="J773" s="657"/>
      <c r="K773" s="657">
        <v>10700000</v>
      </c>
      <c r="L773" s="657">
        <f>K773-I773</f>
        <v>0</v>
      </c>
    </row>
    <row r="774" spans="1:12">
      <c r="A774" s="658"/>
      <c r="B774" s="658"/>
      <c r="C774" s="658"/>
      <c r="D774" s="658"/>
      <c r="E774" s="865"/>
      <c r="F774" s="655"/>
      <c r="G774" s="656"/>
      <c r="H774" s="657"/>
      <c r="I774" s="657"/>
      <c r="J774" s="657"/>
      <c r="K774" s="657"/>
      <c r="L774" s="657"/>
    </row>
    <row r="775" spans="1:12">
      <c r="A775" s="658"/>
      <c r="B775" s="658"/>
      <c r="C775" s="658" t="s">
        <v>893</v>
      </c>
      <c r="D775" s="658" t="s">
        <v>2520</v>
      </c>
      <c r="E775" s="690" t="s">
        <v>2517</v>
      </c>
      <c r="F775" s="653"/>
      <c r="G775" s="654"/>
      <c r="H775" s="657">
        <v>2000000</v>
      </c>
      <c r="I775" s="657">
        <f>H775</f>
        <v>2000000</v>
      </c>
      <c r="J775" s="657"/>
      <c r="K775" s="657"/>
      <c r="L775" s="657">
        <f>K775-I775</f>
        <v>-2000000</v>
      </c>
    </row>
    <row r="776" spans="1:12">
      <c r="A776" s="658"/>
      <c r="B776" s="658"/>
      <c r="C776" s="658"/>
      <c r="D776" s="658"/>
      <c r="E776" s="690"/>
      <c r="F776" s="655"/>
      <c r="G776" s="656"/>
      <c r="H776" s="657"/>
      <c r="I776" s="657"/>
      <c r="J776" s="657"/>
      <c r="K776" s="657"/>
      <c r="L776" s="657"/>
    </row>
    <row r="777" spans="1:12">
      <c r="A777" s="658"/>
      <c r="B777" s="658"/>
      <c r="C777" s="658" t="s">
        <v>918</v>
      </c>
      <c r="D777" s="658" t="s">
        <v>2520</v>
      </c>
      <c r="E777" s="658" t="s">
        <v>2519</v>
      </c>
      <c r="F777" s="653"/>
      <c r="G777" s="654"/>
      <c r="H777" s="657">
        <v>3500000</v>
      </c>
      <c r="I777" s="657">
        <f>H777</f>
        <v>3500000</v>
      </c>
      <c r="J777" s="657"/>
      <c r="K777" s="657">
        <v>3500000</v>
      </c>
      <c r="L777" s="657">
        <f>K777-I777</f>
        <v>0</v>
      </c>
    </row>
    <row r="778" spans="1:12">
      <c r="A778" s="658"/>
      <c r="B778" s="658"/>
      <c r="C778" s="658"/>
      <c r="D778" s="658"/>
      <c r="E778" s="658"/>
      <c r="F778" s="655"/>
      <c r="G778" s="656"/>
      <c r="H778" s="657"/>
      <c r="I778" s="657"/>
      <c r="J778" s="657"/>
      <c r="K778" s="657"/>
      <c r="L778" s="657"/>
    </row>
    <row r="779" spans="1:12">
      <c r="A779" s="658"/>
      <c r="B779" s="658" t="s">
        <v>2509</v>
      </c>
      <c r="C779" s="658" t="s">
        <v>2528</v>
      </c>
      <c r="D779" s="658" t="s">
        <v>2527</v>
      </c>
      <c r="E779" s="658" t="s">
        <v>239</v>
      </c>
      <c r="F779" s="653" t="s">
        <v>2526</v>
      </c>
      <c r="G779" s="654"/>
      <c r="H779" s="657">
        <v>42495</v>
      </c>
      <c r="I779" s="657">
        <v>11100000</v>
      </c>
      <c r="J779" s="657"/>
      <c r="K779" s="657">
        <v>11100000</v>
      </c>
      <c r="L779" s="657">
        <f t="shared" ref="L779" si="5">K779-I779</f>
        <v>0</v>
      </c>
    </row>
    <row r="780" spans="1:12">
      <c r="A780" s="658"/>
      <c r="B780" s="658"/>
      <c r="C780" s="658"/>
      <c r="D780" s="658"/>
      <c r="E780" s="658"/>
      <c r="F780" s="655"/>
      <c r="G780" s="656"/>
      <c r="H780" s="657"/>
      <c r="I780" s="657"/>
      <c r="J780" s="657"/>
      <c r="K780" s="657"/>
      <c r="L780" s="657"/>
    </row>
    <row r="781" spans="1:12">
      <c r="A781" s="658"/>
      <c r="B781" s="658"/>
      <c r="C781" s="658" t="s">
        <v>896</v>
      </c>
      <c r="D781" s="658" t="s">
        <v>2512</v>
      </c>
      <c r="E781" s="658" t="s">
        <v>2376</v>
      </c>
      <c r="F781" s="653"/>
      <c r="G781" s="654"/>
      <c r="H781" s="702">
        <v>540000</v>
      </c>
      <c r="I781" s="657">
        <f t="shared" ref="I781" si="6">H781</f>
        <v>540000</v>
      </c>
      <c r="J781" s="657"/>
      <c r="K781" s="657">
        <v>540000</v>
      </c>
      <c r="L781" s="657">
        <f t="shared" ref="L781" si="7">K781-I781</f>
        <v>0</v>
      </c>
    </row>
    <row r="782" spans="1:12">
      <c r="A782" s="658"/>
      <c r="B782" s="658"/>
      <c r="C782" s="658"/>
      <c r="D782" s="658"/>
      <c r="E782" s="658"/>
      <c r="F782" s="655"/>
      <c r="G782" s="656"/>
      <c r="H782" s="657"/>
      <c r="I782" s="657"/>
      <c r="J782" s="657"/>
      <c r="K782" s="657"/>
      <c r="L782" s="657"/>
    </row>
    <row r="783" spans="1:12">
      <c r="A783" s="658"/>
      <c r="B783" s="658"/>
      <c r="C783" s="658" t="s">
        <v>903</v>
      </c>
      <c r="D783" s="658" t="s">
        <v>2512</v>
      </c>
      <c r="E783" s="658" t="s">
        <v>2508</v>
      </c>
      <c r="F783" s="653"/>
      <c r="G783" s="654"/>
      <c r="H783" s="702">
        <v>720000</v>
      </c>
      <c r="I783" s="657">
        <f t="shared" ref="I783" si="8">H783</f>
        <v>720000</v>
      </c>
      <c r="J783" s="657"/>
      <c r="K783" s="657">
        <v>720000</v>
      </c>
      <c r="L783" s="657">
        <f t="shared" ref="L783" si="9">K783-I783</f>
        <v>0</v>
      </c>
    </row>
    <row r="784" spans="1:12">
      <c r="A784" s="658"/>
      <c r="B784" s="658"/>
      <c r="C784" s="658"/>
      <c r="D784" s="658"/>
      <c r="E784" s="658"/>
      <c r="F784" s="655"/>
      <c r="G784" s="656"/>
      <c r="H784" s="657"/>
      <c r="I784" s="657"/>
      <c r="J784" s="657"/>
      <c r="K784" s="657"/>
      <c r="L784" s="657"/>
    </row>
    <row r="785" spans="1:12">
      <c r="A785" s="658"/>
      <c r="B785" s="658"/>
      <c r="C785" s="658" t="s">
        <v>921</v>
      </c>
      <c r="D785" s="658" t="s">
        <v>2529</v>
      </c>
      <c r="E785" s="658" t="s">
        <v>2521</v>
      </c>
      <c r="F785" s="653"/>
      <c r="G785" s="654"/>
      <c r="H785" s="657">
        <v>5000000</v>
      </c>
      <c r="I785" s="657">
        <f t="shared" ref="I785" si="10">H785</f>
        <v>5000000</v>
      </c>
      <c r="J785" s="657"/>
      <c r="K785" s="657">
        <v>5000000</v>
      </c>
      <c r="L785" s="657">
        <f t="shared" ref="L785" si="11">K785-I785</f>
        <v>0</v>
      </c>
    </row>
    <row r="786" spans="1:12">
      <c r="A786" s="658"/>
      <c r="B786" s="658"/>
      <c r="C786" s="658"/>
      <c r="D786" s="658"/>
      <c r="E786" s="658"/>
      <c r="F786" s="655"/>
      <c r="G786" s="656"/>
      <c r="H786" s="657"/>
      <c r="I786" s="657"/>
      <c r="J786" s="657"/>
      <c r="K786" s="657"/>
      <c r="L786" s="657"/>
    </row>
    <row r="787" spans="1:12">
      <c r="A787" s="658"/>
      <c r="B787" s="658" t="s">
        <v>2530</v>
      </c>
      <c r="C787" s="658" t="s">
        <v>2525</v>
      </c>
      <c r="D787" s="658" t="s">
        <v>2524</v>
      </c>
      <c r="E787" s="658" t="s">
        <v>239</v>
      </c>
      <c r="F787" s="653" t="s">
        <v>2233</v>
      </c>
      <c r="G787" s="654"/>
      <c r="H787" s="657">
        <v>41200</v>
      </c>
      <c r="I787" s="657">
        <v>10700000</v>
      </c>
      <c r="J787" s="657"/>
      <c r="K787" s="657">
        <v>10700000</v>
      </c>
      <c r="L787" s="657">
        <f t="shared" ref="L787" si="12">K787-I787</f>
        <v>0</v>
      </c>
    </row>
    <row r="788" spans="1:12">
      <c r="A788" s="658"/>
      <c r="B788" s="658"/>
      <c r="C788" s="658"/>
      <c r="D788" s="658"/>
      <c r="E788" s="658"/>
      <c r="F788" s="655"/>
      <c r="G788" s="656"/>
      <c r="H788" s="657"/>
      <c r="I788" s="657"/>
      <c r="J788" s="657"/>
      <c r="K788" s="657"/>
      <c r="L788" s="657"/>
    </row>
    <row r="789" spans="1:12">
      <c r="A789" s="658"/>
      <c r="B789" s="658"/>
      <c r="C789" s="658" t="s">
        <v>922</v>
      </c>
      <c r="D789" s="658" t="s">
        <v>2512</v>
      </c>
      <c r="E789" s="658" t="s">
        <v>2522</v>
      </c>
      <c r="F789" s="653"/>
      <c r="G789" s="654"/>
      <c r="H789" s="657">
        <v>3000000</v>
      </c>
      <c r="I789" s="657">
        <f>H789</f>
        <v>3000000</v>
      </c>
      <c r="J789" s="657"/>
      <c r="K789" s="657">
        <v>3000000</v>
      </c>
      <c r="L789" s="657">
        <f t="shared" ref="L789:L809" si="13">K789-I789</f>
        <v>0</v>
      </c>
    </row>
    <row r="790" spans="1:12">
      <c r="A790" s="658"/>
      <c r="B790" s="658"/>
      <c r="C790" s="658"/>
      <c r="D790" s="658"/>
      <c r="E790" s="658"/>
      <c r="F790" s="655"/>
      <c r="G790" s="656"/>
      <c r="H790" s="657"/>
      <c r="I790" s="657"/>
      <c r="J790" s="657"/>
      <c r="K790" s="657"/>
      <c r="L790" s="657"/>
    </row>
    <row r="791" spans="1:12">
      <c r="A791" s="658"/>
      <c r="B791" s="658"/>
      <c r="C791" s="658" t="s">
        <v>927</v>
      </c>
      <c r="D791" s="658" t="s">
        <v>2512</v>
      </c>
      <c r="E791" s="658" t="s">
        <v>2523</v>
      </c>
      <c r="F791" s="653"/>
      <c r="G791" s="654"/>
      <c r="H791" s="657">
        <v>3200000</v>
      </c>
      <c r="I791" s="657">
        <f t="shared" ref="I791" si="14">H791</f>
        <v>3200000</v>
      </c>
      <c r="J791" s="657"/>
      <c r="K791" s="657">
        <v>3200000</v>
      </c>
      <c r="L791" s="657">
        <f t="shared" ref="L791:L811" si="15">K791-I791</f>
        <v>0</v>
      </c>
    </row>
    <row r="792" spans="1:12">
      <c r="A792" s="658"/>
      <c r="B792" s="658"/>
      <c r="C792" s="658"/>
      <c r="D792" s="658"/>
      <c r="E792" s="658"/>
      <c r="F792" s="655"/>
      <c r="G792" s="656"/>
      <c r="H792" s="657"/>
      <c r="I792" s="657"/>
      <c r="J792" s="657"/>
      <c r="K792" s="657"/>
      <c r="L792" s="657"/>
    </row>
    <row r="793" spans="1:12">
      <c r="A793" s="658"/>
      <c r="B793" s="658"/>
      <c r="C793" s="658" t="s">
        <v>928</v>
      </c>
      <c r="D793" s="658" t="s">
        <v>2512</v>
      </c>
      <c r="E793" s="690" t="s">
        <v>117</v>
      </c>
      <c r="F793" s="653"/>
      <c r="G793" s="654"/>
      <c r="H793" s="657">
        <v>900000</v>
      </c>
      <c r="I793" s="657">
        <f t="shared" ref="I793" si="16">H793</f>
        <v>900000</v>
      </c>
      <c r="J793" s="657"/>
      <c r="K793" s="657"/>
      <c r="L793" s="657">
        <f t="shared" ref="L793:L803" si="17">K793-I793</f>
        <v>-900000</v>
      </c>
    </row>
    <row r="794" spans="1:12">
      <c r="A794" s="658"/>
      <c r="B794" s="658"/>
      <c r="C794" s="658"/>
      <c r="D794" s="658"/>
      <c r="E794" s="690"/>
      <c r="F794" s="655"/>
      <c r="G794" s="656"/>
      <c r="H794" s="657"/>
      <c r="I794" s="657"/>
      <c r="J794" s="657"/>
      <c r="K794" s="657"/>
      <c r="L794" s="657"/>
    </row>
    <row r="795" spans="1:12">
      <c r="A795" s="658"/>
      <c r="B795" s="658" t="s">
        <v>2532</v>
      </c>
      <c r="C795" s="658" t="s">
        <v>2531</v>
      </c>
      <c r="D795" s="658" t="s">
        <v>2512</v>
      </c>
      <c r="E795" s="658" t="s">
        <v>239</v>
      </c>
      <c r="F795" s="653" t="s">
        <v>2233</v>
      </c>
      <c r="G795" s="654"/>
      <c r="H795" s="657">
        <v>41097</v>
      </c>
      <c r="I795" s="657">
        <v>10700000</v>
      </c>
      <c r="J795" s="657"/>
      <c r="K795" s="657">
        <v>10700000</v>
      </c>
      <c r="L795" s="657">
        <f t="shared" ref="L795:L805" si="18">K795-I795</f>
        <v>0</v>
      </c>
    </row>
    <row r="796" spans="1:12">
      <c r="A796" s="658"/>
      <c r="B796" s="658"/>
      <c r="C796" s="658"/>
      <c r="D796" s="658"/>
      <c r="E796" s="658"/>
      <c r="F796" s="655"/>
      <c r="G796" s="656"/>
      <c r="H796" s="657"/>
      <c r="I796" s="657"/>
      <c r="J796" s="657"/>
      <c r="K796" s="657"/>
      <c r="L796" s="657"/>
    </row>
    <row r="797" spans="1:12">
      <c r="A797" s="658"/>
      <c r="B797" s="658"/>
      <c r="C797" s="658" t="s">
        <v>941</v>
      </c>
      <c r="D797" s="658" t="s">
        <v>2540</v>
      </c>
      <c r="E797" s="658" t="s">
        <v>1601</v>
      </c>
      <c r="F797" s="653"/>
      <c r="G797" s="654"/>
      <c r="H797" s="657">
        <v>10000000</v>
      </c>
      <c r="I797" s="657">
        <f t="shared" ref="I797" si="19">H797</f>
        <v>10000000</v>
      </c>
      <c r="J797" s="657"/>
      <c r="K797" s="657">
        <v>10000000</v>
      </c>
      <c r="L797" s="657">
        <f t="shared" ref="L797" si="20">K797-I797</f>
        <v>0</v>
      </c>
    </row>
    <row r="798" spans="1:12">
      <c r="A798" s="658"/>
      <c r="B798" s="658"/>
      <c r="C798" s="658"/>
      <c r="D798" s="658"/>
      <c r="E798" s="658"/>
      <c r="F798" s="655"/>
      <c r="G798" s="656"/>
      <c r="H798" s="657"/>
      <c r="I798" s="657"/>
      <c r="J798" s="657"/>
      <c r="K798" s="657"/>
      <c r="L798" s="657"/>
    </row>
    <row r="799" spans="1:12">
      <c r="A799" s="658"/>
      <c r="B799" s="658" t="s">
        <v>2533</v>
      </c>
      <c r="C799" s="658" t="s">
        <v>2544</v>
      </c>
      <c r="D799" s="658" t="s">
        <v>2542</v>
      </c>
      <c r="E799" s="658" t="s">
        <v>239</v>
      </c>
      <c r="F799" s="653" t="s">
        <v>2233</v>
      </c>
      <c r="G799" s="654"/>
      <c r="H799" s="657">
        <v>40907</v>
      </c>
      <c r="I799" s="657">
        <v>10700000</v>
      </c>
      <c r="J799" s="657"/>
      <c r="K799" s="657">
        <v>10700000</v>
      </c>
      <c r="L799" s="657">
        <f t="shared" si="13"/>
        <v>0</v>
      </c>
    </row>
    <row r="800" spans="1:12">
      <c r="A800" s="658"/>
      <c r="B800" s="658"/>
      <c r="C800" s="658"/>
      <c r="D800" s="658"/>
      <c r="E800" s="658"/>
      <c r="F800" s="655"/>
      <c r="G800" s="656"/>
      <c r="H800" s="657"/>
      <c r="I800" s="657"/>
      <c r="J800" s="657"/>
      <c r="K800" s="657"/>
      <c r="L800" s="657"/>
    </row>
    <row r="801" spans="1:12">
      <c r="A801" s="658"/>
      <c r="B801" s="658"/>
      <c r="C801" s="658" t="s">
        <v>945</v>
      </c>
      <c r="D801" s="658" t="s">
        <v>2534</v>
      </c>
      <c r="E801" s="658" t="s">
        <v>2190</v>
      </c>
      <c r="F801" s="653"/>
      <c r="G801" s="654"/>
      <c r="H801" s="657">
        <v>3000000</v>
      </c>
      <c r="I801" s="657">
        <f t="shared" ref="I801" si="21">H801</f>
        <v>3000000</v>
      </c>
      <c r="J801" s="657"/>
      <c r="K801" s="657">
        <v>3000000</v>
      </c>
      <c r="L801" s="657">
        <f>I801-K801</f>
        <v>0</v>
      </c>
    </row>
    <row r="802" spans="1:12">
      <c r="A802" s="658"/>
      <c r="B802" s="658"/>
      <c r="C802" s="658"/>
      <c r="D802" s="658"/>
      <c r="E802" s="658"/>
      <c r="F802" s="655"/>
      <c r="G802" s="656"/>
      <c r="H802" s="657"/>
      <c r="I802" s="657"/>
      <c r="J802" s="657"/>
      <c r="K802" s="657"/>
      <c r="L802" s="657"/>
    </row>
    <row r="803" spans="1:12">
      <c r="A803" s="658"/>
      <c r="B803" s="658"/>
      <c r="C803" s="658" t="s">
        <v>946</v>
      </c>
      <c r="D803" s="658" t="s">
        <v>2534</v>
      </c>
      <c r="E803" s="658" t="s">
        <v>2521</v>
      </c>
      <c r="F803" s="653"/>
      <c r="G803" s="654"/>
      <c r="H803" s="657">
        <v>4200000</v>
      </c>
      <c r="I803" s="657">
        <f t="shared" ref="I803" si="22">H803</f>
        <v>4200000</v>
      </c>
      <c r="J803" s="657"/>
      <c r="K803" s="657">
        <v>4200000</v>
      </c>
      <c r="L803" s="657">
        <f t="shared" si="17"/>
        <v>0</v>
      </c>
    </row>
    <row r="804" spans="1:12">
      <c r="A804" s="658"/>
      <c r="B804" s="658"/>
      <c r="C804" s="658"/>
      <c r="D804" s="658"/>
      <c r="E804" s="658"/>
      <c r="F804" s="655"/>
      <c r="G804" s="656"/>
      <c r="H804" s="657"/>
      <c r="I804" s="657"/>
      <c r="J804" s="657"/>
      <c r="K804" s="657"/>
      <c r="L804" s="657"/>
    </row>
    <row r="805" spans="1:12">
      <c r="A805" s="658"/>
      <c r="B805" s="658"/>
      <c r="C805" s="658" t="s">
        <v>948</v>
      </c>
      <c r="D805" s="658" t="s">
        <v>2534</v>
      </c>
      <c r="E805" s="658" t="s">
        <v>2535</v>
      </c>
      <c r="F805" s="653"/>
      <c r="G805" s="654"/>
      <c r="H805" s="657">
        <v>4000000</v>
      </c>
      <c r="I805" s="657">
        <f t="shared" ref="I805" si="23">H805</f>
        <v>4000000</v>
      </c>
      <c r="J805" s="657"/>
      <c r="K805" s="657">
        <v>4000000</v>
      </c>
      <c r="L805" s="657">
        <f t="shared" si="18"/>
        <v>0</v>
      </c>
    </row>
    <row r="806" spans="1:12">
      <c r="A806" s="658"/>
      <c r="B806" s="658"/>
      <c r="C806" s="658"/>
      <c r="D806" s="658"/>
      <c r="E806" s="658"/>
      <c r="F806" s="655"/>
      <c r="G806" s="656"/>
      <c r="H806" s="657"/>
      <c r="I806" s="657"/>
      <c r="J806" s="657"/>
      <c r="K806" s="657"/>
      <c r="L806" s="657"/>
    </row>
    <row r="807" spans="1:12">
      <c r="A807" s="658"/>
      <c r="B807" s="658" t="s">
        <v>2536</v>
      </c>
      <c r="C807" s="658" t="s">
        <v>2543</v>
      </c>
      <c r="D807" s="658" t="s">
        <v>2542</v>
      </c>
      <c r="E807" s="658" t="s">
        <v>239</v>
      </c>
      <c r="F807" s="653" t="s">
        <v>2233</v>
      </c>
      <c r="G807" s="654"/>
      <c r="H807" s="657">
        <v>40907</v>
      </c>
      <c r="I807" s="657">
        <v>10700000</v>
      </c>
      <c r="J807" s="657"/>
      <c r="K807" s="657">
        <v>10700000</v>
      </c>
      <c r="L807" s="657">
        <f t="shared" ref="L807" si="24">K807-I807</f>
        <v>0</v>
      </c>
    </row>
    <row r="808" spans="1:12">
      <c r="A808" s="658"/>
      <c r="B808" s="658"/>
      <c r="C808" s="658"/>
      <c r="D808" s="658"/>
      <c r="E808" s="658"/>
      <c r="F808" s="655"/>
      <c r="G808" s="656"/>
      <c r="H808" s="657"/>
      <c r="I808" s="657"/>
      <c r="J808" s="657"/>
      <c r="K808" s="657"/>
      <c r="L808" s="657"/>
    </row>
    <row r="809" spans="1:12">
      <c r="A809" s="658"/>
      <c r="B809" s="658"/>
      <c r="C809" s="658" t="s">
        <v>958</v>
      </c>
      <c r="D809" s="658" t="s">
        <v>2534</v>
      </c>
      <c r="E809" s="690" t="s">
        <v>117</v>
      </c>
      <c r="F809" s="653"/>
      <c r="G809" s="654"/>
      <c r="H809" s="657">
        <v>900000</v>
      </c>
      <c r="I809" s="657">
        <f t="shared" ref="I809" si="25">H809</f>
        <v>900000</v>
      </c>
      <c r="J809" s="657"/>
      <c r="K809" s="657"/>
      <c r="L809" s="657">
        <f t="shared" si="13"/>
        <v>-900000</v>
      </c>
    </row>
    <row r="810" spans="1:12">
      <c r="A810" s="658"/>
      <c r="B810" s="658"/>
      <c r="C810" s="658"/>
      <c r="D810" s="658"/>
      <c r="E810" s="690"/>
      <c r="F810" s="655"/>
      <c r="G810" s="656"/>
      <c r="H810" s="657"/>
      <c r="I810" s="657"/>
      <c r="J810" s="657"/>
      <c r="K810" s="657"/>
      <c r="L810" s="657"/>
    </row>
    <row r="811" spans="1:12">
      <c r="A811" s="658"/>
      <c r="B811" s="658" t="s">
        <v>2537</v>
      </c>
      <c r="C811" s="658" t="s">
        <v>2541</v>
      </c>
      <c r="D811" s="658" t="s">
        <v>2540</v>
      </c>
      <c r="E811" s="658" t="s">
        <v>239</v>
      </c>
      <c r="F811" s="653" t="s">
        <v>2233</v>
      </c>
      <c r="G811" s="654"/>
      <c r="H811" s="657">
        <v>40907</v>
      </c>
      <c r="I811" s="657">
        <v>10700000</v>
      </c>
      <c r="J811" s="657"/>
      <c r="K811" s="657">
        <v>10700000</v>
      </c>
      <c r="L811" s="657">
        <f t="shared" si="15"/>
        <v>0</v>
      </c>
    </row>
    <row r="812" spans="1:12">
      <c r="A812" s="658"/>
      <c r="B812" s="658"/>
      <c r="C812" s="658"/>
      <c r="D812" s="658"/>
      <c r="E812" s="658"/>
      <c r="F812" s="655"/>
      <c r="G812" s="656"/>
      <c r="H812" s="657"/>
      <c r="I812" s="657"/>
      <c r="J812" s="657"/>
      <c r="K812" s="657"/>
      <c r="L812" s="657"/>
    </row>
    <row r="813" spans="1:12">
      <c r="A813" s="658"/>
      <c r="B813" s="658"/>
      <c r="C813" s="658" t="s">
        <v>959</v>
      </c>
      <c r="D813" s="658" t="s">
        <v>2534</v>
      </c>
      <c r="E813" s="658" t="s">
        <v>2539</v>
      </c>
      <c r="F813" s="653"/>
      <c r="G813" s="654"/>
      <c r="H813" s="657">
        <v>5000000</v>
      </c>
      <c r="I813" s="657">
        <f t="shared" ref="I813" si="26">H813</f>
        <v>5000000</v>
      </c>
      <c r="J813" s="657"/>
      <c r="K813" s="657">
        <v>5000000</v>
      </c>
      <c r="L813" s="657">
        <f t="shared" ref="L813" si="27">K813-I813</f>
        <v>0</v>
      </c>
    </row>
    <row r="814" spans="1:12">
      <c r="A814" s="658"/>
      <c r="B814" s="658"/>
      <c r="C814" s="658"/>
      <c r="D814" s="658"/>
      <c r="E814" s="658"/>
      <c r="F814" s="655"/>
      <c r="G814" s="656"/>
      <c r="H814" s="657"/>
      <c r="I814" s="657"/>
      <c r="J814" s="657"/>
      <c r="K814" s="657"/>
      <c r="L814" s="657"/>
    </row>
    <row r="815" spans="1:12">
      <c r="A815" s="658"/>
      <c r="B815" s="658"/>
      <c r="C815" s="658" t="s">
        <v>960</v>
      </c>
      <c r="D815" s="658" t="s">
        <v>2534</v>
      </c>
      <c r="E815" s="658" t="s">
        <v>2190</v>
      </c>
      <c r="F815" s="653"/>
      <c r="G815" s="654"/>
      <c r="H815" s="657">
        <v>3950000</v>
      </c>
      <c r="I815" s="657">
        <f t="shared" ref="I815" si="28">H815</f>
        <v>3950000</v>
      </c>
      <c r="J815" s="657"/>
      <c r="K815" s="657">
        <v>3950000</v>
      </c>
      <c r="L815" s="657">
        <f t="shared" ref="L815" si="29">K815-I815</f>
        <v>0</v>
      </c>
    </row>
    <row r="816" spans="1:12">
      <c r="A816" s="658"/>
      <c r="B816" s="658"/>
      <c r="C816" s="658"/>
      <c r="D816" s="658"/>
      <c r="E816" s="658"/>
      <c r="F816" s="655"/>
      <c r="G816" s="656"/>
      <c r="H816" s="657"/>
      <c r="I816" s="657"/>
      <c r="J816" s="657"/>
      <c r="K816" s="657"/>
      <c r="L816" s="657"/>
    </row>
    <row r="817" spans="1:12">
      <c r="A817" s="658"/>
      <c r="B817" s="658" t="s">
        <v>2545</v>
      </c>
      <c r="C817" s="658" t="s">
        <v>2546</v>
      </c>
      <c r="D817" s="658" t="s">
        <v>2534</v>
      </c>
      <c r="E817" s="658" t="s">
        <v>239</v>
      </c>
      <c r="F817" s="653" t="s">
        <v>2565</v>
      </c>
      <c r="G817" s="654"/>
      <c r="H817" s="657">
        <v>44588</v>
      </c>
      <c r="I817" s="657">
        <v>12000000</v>
      </c>
      <c r="J817" s="657"/>
      <c r="K817" s="657">
        <v>12000000</v>
      </c>
      <c r="L817" s="657">
        <f t="shared" ref="L817" si="30">K817-I817</f>
        <v>0</v>
      </c>
    </row>
    <row r="818" spans="1:12">
      <c r="A818" s="658"/>
      <c r="B818" s="658"/>
      <c r="C818" s="658"/>
      <c r="D818" s="658"/>
      <c r="E818" s="658"/>
      <c r="F818" s="655"/>
      <c r="G818" s="656"/>
      <c r="H818" s="657"/>
      <c r="I818" s="657"/>
      <c r="J818" s="657"/>
      <c r="K818" s="657"/>
      <c r="L818" s="657"/>
    </row>
    <row r="819" spans="1:12">
      <c r="A819" s="658"/>
      <c r="B819" s="658"/>
      <c r="C819" s="658" t="s">
        <v>962</v>
      </c>
      <c r="D819" s="658" t="s">
        <v>2548</v>
      </c>
      <c r="E819" s="658" t="s">
        <v>283</v>
      </c>
      <c r="F819" s="653"/>
      <c r="G819" s="654"/>
      <c r="H819" s="657">
        <v>9000000</v>
      </c>
      <c r="I819" s="657">
        <v>9000000</v>
      </c>
      <c r="J819" s="657"/>
      <c r="K819" s="657">
        <v>9000000</v>
      </c>
      <c r="L819" s="657">
        <f t="shared" ref="L819" si="31">K819-I819</f>
        <v>0</v>
      </c>
    </row>
    <row r="820" spans="1:12">
      <c r="A820" s="658"/>
      <c r="B820" s="658"/>
      <c r="C820" s="658"/>
      <c r="D820" s="658"/>
      <c r="E820" s="658"/>
      <c r="F820" s="655"/>
      <c r="G820" s="656"/>
      <c r="H820" s="657"/>
      <c r="I820" s="657"/>
      <c r="J820" s="657"/>
      <c r="K820" s="657"/>
      <c r="L820" s="657"/>
    </row>
    <row r="821" spans="1:12">
      <c r="A821" s="658"/>
      <c r="B821" s="658"/>
      <c r="C821" s="658" t="s">
        <v>968</v>
      </c>
      <c r="D821" s="658" t="s">
        <v>2548</v>
      </c>
      <c r="E821" s="658" t="s">
        <v>2547</v>
      </c>
      <c r="F821" s="653"/>
      <c r="G821" s="654"/>
      <c r="H821" s="657">
        <v>3000000</v>
      </c>
      <c r="I821" s="657">
        <f t="shared" ref="I821" si="32">H821</f>
        <v>3000000</v>
      </c>
      <c r="J821" s="657"/>
      <c r="K821" s="657">
        <v>3000000</v>
      </c>
      <c r="L821" s="657">
        <f t="shared" ref="L821" si="33">K821-I821</f>
        <v>0</v>
      </c>
    </row>
    <row r="822" spans="1:12">
      <c r="A822" s="658"/>
      <c r="B822" s="658"/>
      <c r="C822" s="658"/>
      <c r="D822" s="658"/>
      <c r="E822" s="658"/>
      <c r="F822" s="655"/>
      <c r="G822" s="656"/>
      <c r="H822" s="657"/>
      <c r="I822" s="657"/>
      <c r="J822" s="657"/>
      <c r="K822" s="657"/>
      <c r="L822" s="657"/>
    </row>
    <row r="823" spans="1:12">
      <c r="A823" s="658"/>
      <c r="B823" s="658" t="s">
        <v>2549</v>
      </c>
      <c r="C823" s="658" t="s">
        <v>2566</v>
      </c>
      <c r="D823" s="658" t="s">
        <v>2548</v>
      </c>
      <c r="E823" s="658" t="s">
        <v>239</v>
      </c>
      <c r="F823" s="653" t="s">
        <v>2233</v>
      </c>
      <c r="G823" s="654"/>
      <c r="H823" s="657">
        <v>44967</v>
      </c>
      <c r="I823" s="657">
        <v>12000000</v>
      </c>
      <c r="J823" s="657"/>
      <c r="K823" s="657">
        <v>12000000</v>
      </c>
      <c r="L823" s="657">
        <f t="shared" ref="L823" si="34">K823-I823</f>
        <v>0</v>
      </c>
    </row>
    <row r="824" spans="1:12">
      <c r="A824" s="658"/>
      <c r="B824" s="658"/>
      <c r="C824" s="658"/>
      <c r="D824" s="658"/>
      <c r="E824" s="658"/>
      <c r="F824" s="655"/>
      <c r="G824" s="656"/>
      <c r="H824" s="657"/>
      <c r="I824" s="657"/>
      <c r="J824" s="657"/>
      <c r="K824" s="657"/>
      <c r="L824" s="657"/>
    </row>
    <row r="825" spans="1:12">
      <c r="A825" s="658"/>
      <c r="B825" s="658"/>
      <c r="C825" s="658" t="s">
        <v>963</v>
      </c>
      <c r="D825" s="658" t="s">
        <v>2557</v>
      </c>
      <c r="E825" s="658" t="s">
        <v>2547</v>
      </c>
      <c r="F825" s="653"/>
      <c r="G825" s="654"/>
      <c r="H825" s="657">
        <v>3200000</v>
      </c>
      <c r="I825" s="657">
        <f t="shared" ref="I825" si="35">H825</f>
        <v>3200000</v>
      </c>
      <c r="J825" s="657"/>
      <c r="K825" s="657">
        <v>3200000</v>
      </c>
      <c r="L825" s="657">
        <f t="shared" ref="L825" si="36">K825-I825</f>
        <v>0</v>
      </c>
    </row>
    <row r="826" spans="1:12">
      <c r="A826" s="658"/>
      <c r="B826" s="658"/>
      <c r="C826" s="658"/>
      <c r="D826" s="658"/>
      <c r="E826" s="658"/>
      <c r="F826" s="655"/>
      <c r="G826" s="656"/>
      <c r="H826" s="657"/>
      <c r="I826" s="657"/>
      <c r="J826" s="657"/>
      <c r="K826" s="657"/>
      <c r="L826" s="657"/>
    </row>
    <row r="827" spans="1:12">
      <c r="A827" s="658"/>
      <c r="B827" s="658"/>
      <c r="C827" s="658" t="s">
        <v>969</v>
      </c>
      <c r="D827" s="658" t="s">
        <v>2557</v>
      </c>
      <c r="E827" s="658" t="s">
        <v>2556</v>
      </c>
      <c r="F827" s="653"/>
      <c r="G827" s="654"/>
      <c r="H827" s="657">
        <v>3700000</v>
      </c>
      <c r="I827" s="657">
        <f t="shared" ref="I827" si="37">H827</f>
        <v>3700000</v>
      </c>
      <c r="J827" s="657"/>
      <c r="K827" s="657">
        <v>3700000</v>
      </c>
      <c r="L827" s="657">
        <f t="shared" ref="L827" si="38">K827-I827</f>
        <v>0</v>
      </c>
    </row>
    <row r="828" spans="1:12">
      <c r="A828" s="658"/>
      <c r="B828" s="658"/>
      <c r="C828" s="658"/>
      <c r="D828" s="658"/>
      <c r="E828" s="658"/>
      <c r="F828" s="655"/>
      <c r="G828" s="656"/>
      <c r="H828" s="657"/>
      <c r="I828" s="657"/>
      <c r="J828" s="657"/>
      <c r="K828" s="657"/>
      <c r="L828" s="657"/>
    </row>
    <row r="829" spans="1:12">
      <c r="A829" s="658"/>
      <c r="B829" s="658"/>
      <c r="C829" s="658" t="s">
        <v>972</v>
      </c>
      <c r="D829" s="658" t="s">
        <v>2557</v>
      </c>
      <c r="E829" s="658" t="s">
        <v>1266</v>
      </c>
      <c r="F829" s="653"/>
      <c r="G829" s="654"/>
      <c r="H829" s="657">
        <v>2700000</v>
      </c>
      <c r="I829" s="657">
        <f t="shared" ref="I829" si="39">H829</f>
        <v>2700000</v>
      </c>
      <c r="J829" s="657"/>
      <c r="K829" s="657">
        <v>2700000</v>
      </c>
      <c r="L829" s="657">
        <f t="shared" ref="L829" si="40">K829-I829</f>
        <v>0</v>
      </c>
    </row>
    <row r="830" spans="1:12">
      <c r="A830" s="658"/>
      <c r="B830" s="658"/>
      <c r="C830" s="658"/>
      <c r="D830" s="658"/>
      <c r="E830" s="658"/>
      <c r="F830" s="655"/>
      <c r="G830" s="656"/>
      <c r="H830" s="657"/>
      <c r="I830" s="657"/>
      <c r="J830" s="657"/>
      <c r="K830" s="657"/>
      <c r="L830" s="657"/>
    </row>
    <row r="831" spans="1:12">
      <c r="A831" s="658"/>
      <c r="B831" s="658"/>
      <c r="C831" s="658" t="s">
        <v>977</v>
      </c>
      <c r="D831" s="658" t="s">
        <v>2557</v>
      </c>
      <c r="E831" s="690" t="s">
        <v>117</v>
      </c>
      <c r="F831" s="653"/>
      <c r="G831" s="654"/>
      <c r="H831" s="657">
        <v>900000</v>
      </c>
      <c r="I831" s="657">
        <f t="shared" ref="I831" si="41">H831</f>
        <v>900000</v>
      </c>
      <c r="J831" s="657"/>
      <c r="K831" s="657"/>
      <c r="L831" s="657">
        <f t="shared" ref="L831" si="42">K831-I831</f>
        <v>-900000</v>
      </c>
    </row>
    <row r="832" spans="1:12">
      <c r="A832" s="658"/>
      <c r="B832" s="658"/>
      <c r="C832" s="658"/>
      <c r="D832" s="658"/>
      <c r="E832" s="690"/>
      <c r="F832" s="655"/>
      <c r="G832" s="656"/>
      <c r="H832" s="657"/>
      <c r="I832" s="657"/>
      <c r="J832" s="657"/>
      <c r="K832" s="657"/>
      <c r="L832" s="657"/>
    </row>
    <row r="833" spans="1:12">
      <c r="A833" s="658"/>
      <c r="B833" s="658" t="s">
        <v>2550</v>
      </c>
      <c r="C833" s="658" t="s">
        <v>2571</v>
      </c>
      <c r="D833" s="658" t="s">
        <v>2557</v>
      </c>
      <c r="E833" s="658" t="s">
        <v>239</v>
      </c>
      <c r="F833" s="653" t="s">
        <v>2233</v>
      </c>
      <c r="G833" s="654"/>
      <c r="H833" s="657">
        <v>45091</v>
      </c>
      <c r="I833" s="657">
        <v>12000000</v>
      </c>
      <c r="J833" s="657"/>
      <c r="K833" s="657">
        <v>12000000</v>
      </c>
      <c r="L833" s="657">
        <f t="shared" ref="L833" si="43">K833-I833</f>
        <v>0</v>
      </c>
    </row>
    <row r="834" spans="1:12">
      <c r="A834" s="658"/>
      <c r="B834" s="658"/>
      <c r="C834" s="658"/>
      <c r="D834" s="658"/>
      <c r="E834" s="658"/>
      <c r="F834" s="655"/>
      <c r="G834" s="656"/>
      <c r="H834" s="657"/>
      <c r="I834" s="657"/>
      <c r="J834" s="657"/>
      <c r="K834" s="657"/>
      <c r="L834" s="657"/>
    </row>
    <row r="835" spans="1:12">
      <c r="A835" s="658"/>
      <c r="B835" s="658"/>
      <c r="C835" s="658" t="s">
        <v>994</v>
      </c>
      <c r="D835" s="674" t="s">
        <v>2564</v>
      </c>
      <c r="E835" s="658" t="s">
        <v>2562</v>
      </c>
      <c r="F835" s="653"/>
      <c r="G835" s="654"/>
      <c r="H835" s="657">
        <v>3700000</v>
      </c>
      <c r="I835" s="657">
        <f t="shared" ref="I835" si="44">H835</f>
        <v>3700000</v>
      </c>
      <c r="J835" s="657"/>
      <c r="K835" s="657">
        <v>3700000</v>
      </c>
      <c r="L835" s="657">
        <f t="shared" ref="L835" si="45">K835-I835</f>
        <v>0</v>
      </c>
    </row>
    <row r="836" spans="1:12">
      <c r="A836" s="658"/>
      <c r="B836" s="658"/>
      <c r="C836" s="658"/>
      <c r="D836" s="674"/>
      <c r="E836" s="658"/>
      <c r="F836" s="655"/>
      <c r="G836" s="656"/>
      <c r="H836" s="657"/>
      <c r="I836" s="657"/>
      <c r="J836" s="657"/>
      <c r="K836" s="657"/>
      <c r="L836" s="657"/>
    </row>
    <row r="837" spans="1:12">
      <c r="A837" s="658"/>
      <c r="B837" s="658"/>
      <c r="C837" s="658" t="s">
        <v>1001</v>
      </c>
      <c r="D837" s="674" t="s">
        <v>2564</v>
      </c>
      <c r="E837" s="658" t="s">
        <v>2569</v>
      </c>
      <c r="F837" s="653"/>
      <c r="G837" s="654"/>
      <c r="H837" s="657">
        <v>3500000</v>
      </c>
      <c r="I837" s="657">
        <f t="shared" ref="I837" si="46">H837</f>
        <v>3500000</v>
      </c>
      <c r="J837" s="657"/>
      <c r="K837" s="657">
        <v>3500000</v>
      </c>
      <c r="L837" s="657">
        <f t="shared" ref="L837" si="47">K837-I837</f>
        <v>0</v>
      </c>
    </row>
    <row r="838" spans="1:12">
      <c r="A838" s="658"/>
      <c r="B838" s="658"/>
      <c r="C838" s="658"/>
      <c r="D838" s="674"/>
      <c r="E838" s="658"/>
      <c r="F838" s="655"/>
      <c r="G838" s="656"/>
      <c r="H838" s="657"/>
      <c r="I838" s="657"/>
      <c r="J838" s="657"/>
      <c r="K838" s="657"/>
      <c r="L838" s="657"/>
    </row>
    <row r="839" spans="1:12">
      <c r="A839" s="658"/>
      <c r="B839" s="658"/>
      <c r="C839" s="658" t="s">
        <v>1000</v>
      </c>
      <c r="D839" s="674" t="s">
        <v>2564</v>
      </c>
      <c r="E839" s="658" t="s">
        <v>1140</v>
      </c>
      <c r="F839" s="653"/>
      <c r="G839" s="654"/>
      <c r="H839" s="657">
        <v>4000000</v>
      </c>
      <c r="I839" s="657">
        <f t="shared" ref="I839" si="48">H839</f>
        <v>4000000</v>
      </c>
      <c r="J839" s="657"/>
      <c r="K839" s="657">
        <v>4000000</v>
      </c>
      <c r="L839" s="657">
        <f t="shared" ref="L839" si="49">K839-I839</f>
        <v>0</v>
      </c>
    </row>
    <row r="840" spans="1:12">
      <c r="A840" s="658"/>
      <c r="B840" s="658"/>
      <c r="C840" s="658"/>
      <c r="D840" s="674"/>
      <c r="E840" s="658"/>
      <c r="F840" s="655"/>
      <c r="G840" s="656"/>
      <c r="H840" s="657"/>
      <c r="I840" s="657"/>
      <c r="J840" s="657"/>
      <c r="K840" s="657"/>
      <c r="L840" s="657"/>
    </row>
    <row r="841" spans="1:12">
      <c r="A841" s="658"/>
      <c r="B841" s="658" t="s">
        <v>2551</v>
      </c>
      <c r="C841" s="658" t="s">
        <v>2567</v>
      </c>
      <c r="D841" s="658" t="s">
        <v>2548</v>
      </c>
      <c r="E841" s="658" t="s">
        <v>239</v>
      </c>
      <c r="F841" s="653" t="s">
        <v>2233</v>
      </c>
      <c r="G841" s="654"/>
      <c r="H841" s="657">
        <v>44967</v>
      </c>
      <c r="I841" s="657">
        <v>12000000</v>
      </c>
      <c r="J841" s="657"/>
      <c r="K841" s="657">
        <v>12000000</v>
      </c>
      <c r="L841" s="657">
        <f t="shared" ref="L841" si="50">K841-I841</f>
        <v>0</v>
      </c>
    </row>
    <row r="842" spans="1:12">
      <c r="A842" s="658"/>
      <c r="B842" s="658"/>
      <c r="C842" s="658"/>
      <c r="D842" s="658"/>
      <c r="E842" s="658"/>
      <c r="F842" s="655"/>
      <c r="G842" s="656"/>
      <c r="H842" s="657"/>
      <c r="I842" s="657"/>
      <c r="J842" s="657"/>
      <c r="K842" s="657"/>
      <c r="L842" s="657"/>
    </row>
    <row r="843" spans="1:12">
      <c r="A843" s="658"/>
      <c r="B843" s="658"/>
      <c r="C843" s="658" t="s">
        <v>978</v>
      </c>
      <c r="D843" s="658" t="s">
        <v>2557</v>
      </c>
      <c r="E843" s="658" t="s">
        <v>2560</v>
      </c>
      <c r="F843" s="653"/>
      <c r="G843" s="654"/>
      <c r="H843" s="657">
        <v>4430000</v>
      </c>
      <c r="I843" s="657">
        <f>H843</f>
        <v>4430000</v>
      </c>
      <c r="J843" s="657"/>
      <c r="K843" s="657">
        <v>4430000</v>
      </c>
      <c r="L843" s="657">
        <f t="shared" ref="L843" si="51">K843-I843</f>
        <v>0</v>
      </c>
    </row>
    <row r="844" spans="1:12">
      <c r="A844" s="658"/>
      <c r="B844" s="658"/>
      <c r="C844" s="658"/>
      <c r="D844" s="658"/>
      <c r="E844" s="658"/>
      <c r="F844" s="655"/>
      <c r="G844" s="656"/>
      <c r="H844" s="657"/>
      <c r="I844" s="657"/>
      <c r="J844" s="657"/>
      <c r="K844" s="657"/>
      <c r="L844" s="657"/>
    </row>
    <row r="845" spans="1:12">
      <c r="A845" s="658"/>
      <c r="B845" s="658"/>
      <c r="C845" s="658" t="s">
        <v>983</v>
      </c>
      <c r="D845" s="658" t="s">
        <v>2557</v>
      </c>
      <c r="E845" s="658" t="s">
        <v>2348</v>
      </c>
      <c r="F845" s="653"/>
      <c r="G845" s="654"/>
      <c r="H845" s="657">
        <v>750000</v>
      </c>
      <c r="I845" s="657">
        <f t="shared" ref="I845" si="52">H845</f>
        <v>750000</v>
      </c>
      <c r="J845" s="657"/>
      <c r="K845" s="657">
        <v>750000</v>
      </c>
      <c r="L845" s="657">
        <f t="shared" ref="L845" si="53">K845-I845</f>
        <v>0</v>
      </c>
    </row>
    <row r="846" spans="1:12">
      <c r="A846" s="658"/>
      <c r="B846" s="658"/>
      <c r="C846" s="658"/>
      <c r="D846" s="658"/>
      <c r="E846" s="658"/>
      <c r="F846" s="655"/>
      <c r="G846" s="656"/>
      <c r="H846" s="657"/>
      <c r="I846" s="657"/>
      <c r="J846" s="657"/>
      <c r="K846" s="657"/>
      <c r="L846" s="657"/>
    </row>
    <row r="847" spans="1:12">
      <c r="A847" s="658"/>
      <c r="B847" s="658" t="s">
        <v>2552</v>
      </c>
      <c r="C847" s="658" t="s">
        <v>2570</v>
      </c>
      <c r="D847" s="658" t="s">
        <v>2557</v>
      </c>
      <c r="E847" s="658" t="s">
        <v>239</v>
      </c>
      <c r="F847" s="653" t="s">
        <v>2233</v>
      </c>
      <c r="G847" s="654"/>
      <c r="H847" s="657">
        <v>45189</v>
      </c>
      <c r="I847" s="657">
        <v>12000000</v>
      </c>
      <c r="J847" s="657"/>
      <c r="K847" s="657">
        <v>12000000</v>
      </c>
      <c r="L847" s="657">
        <f t="shared" ref="L847" si="54">K847-I847</f>
        <v>0</v>
      </c>
    </row>
    <row r="848" spans="1:12">
      <c r="A848" s="658"/>
      <c r="B848" s="658"/>
      <c r="C848" s="658"/>
      <c r="D848" s="658"/>
      <c r="E848" s="658"/>
      <c r="F848" s="655"/>
      <c r="G848" s="656"/>
      <c r="H848" s="657"/>
      <c r="I848" s="657"/>
      <c r="J848" s="657"/>
      <c r="K848" s="657"/>
      <c r="L848" s="657"/>
    </row>
    <row r="849" spans="1:13">
      <c r="A849" s="658"/>
      <c r="B849" s="658"/>
      <c r="C849" s="658" t="s">
        <v>988</v>
      </c>
      <c r="D849" s="674" t="s">
        <v>2563</v>
      </c>
      <c r="E849" s="658" t="s">
        <v>2558</v>
      </c>
      <c r="F849" s="653"/>
      <c r="G849" s="654"/>
      <c r="H849" s="657">
        <v>4000000</v>
      </c>
      <c r="I849" s="657">
        <f t="shared" ref="I849" si="55">H849</f>
        <v>4000000</v>
      </c>
      <c r="J849" s="657"/>
      <c r="K849" s="657">
        <v>4000000</v>
      </c>
      <c r="L849" s="657">
        <f t="shared" ref="L849" si="56">K849-I849</f>
        <v>0</v>
      </c>
    </row>
    <row r="850" spans="1:13">
      <c r="A850" s="658"/>
      <c r="B850" s="658"/>
      <c r="C850" s="658"/>
      <c r="D850" s="674"/>
      <c r="E850" s="658"/>
      <c r="F850" s="655"/>
      <c r="G850" s="656"/>
      <c r="H850" s="657"/>
      <c r="I850" s="657"/>
      <c r="J850" s="657"/>
      <c r="K850" s="657"/>
      <c r="L850" s="657"/>
    </row>
    <row r="851" spans="1:13" ht="12.75" customHeight="1">
      <c r="A851" s="658"/>
      <c r="B851" s="658"/>
      <c r="C851" s="658" t="s">
        <v>1012</v>
      </c>
      <c r="D851" s="658" t="s">
        <v>2568</v>
      </c>
      <c r="E851" s="658" t="s">
        <v>2559</v>
      </c>
      <c r="F851" s="653"/>
      <c r="G851" s="654"/>
      <c r="H851" s="657">
        <v>3482600</v>
      </c>
      <c r="I851" s="657">
        <f t="shared" ref="I851" si="57">H851</f>
        <v>3482600</v>
      </c>
      <c r="J851" s="657"/>
      <c r="K851" s="657">
        <v>3482600</v>
      </c>
      <c r="L851" s="657">
        <f t="shared" ref="L851" si="58">K851-I851</f>
        <v>0</v>
      </c>
    </row>
    <row r="852" spans="1:13">
      <c r="A852" s="658"/>
      <c r="B852" s="658"/>
      <c r="C852" s="658"/>
      <c r="D852" s="658"/>
      <c r="E852" s="658"/>
      <c r="F852" s="655"/>
      <c r="G852" s="656"/>
      <c r="H852" s="657"/>
      <c r="I852" s="657"/>
      <c r="J852" s="657"/>
      <c r="K852" s="657"/>
      <c r="L852" s="657"/>
    </row>
    <row r="853" spans="1:13">
      <c r="A853" s="658"/>
      <c r="B853" s="658"/>
      <c r="C853" s="658" t="s">
        <v>993</v>
      </c>
      <c r="D853" s="658" t="s">
        <v>2568</v>
      </c>
      <c r="E853" s="658" t="s">
        <v>2559</v>
      </c>
      <c r="F853" s="653"/>
      <c r="G853" s="654"/>
      <c r="H853" s="657">
        <v>5306400</v>
      </c>
      <c r="I853" s="657">
        <f t="shared" ref="I853" si="59">H853</f>
        <v>5306400</v>
      </c>
      <c r="J853" s="657"/>
      <c r="K853" s="657">
        <v>5306400</v>
      </c>
      <c r="L853" s="657">
        <f t="shared" ref="L853" si="60">K853-I853</f>
        <v>0</v>
      </c>
    </row>
    <row r="854" spans="1:13">
      <c r="A854" s="658"/>
      <c r="B854" s="658"/>
      <c r="C854" s="658"/>
      <c r="D854" s="658"/>
      <c r="E854" s="658"/>
      <c r="F854" s="655"/>
      <c r="G854" s="656"/>
      <c r="H854" s="657"/>
      <c r="I854" s="657"/>
      <c r="J854" s="657"/>
      <c r="K854" s="657"/>
      <c r="L854" s="657"/>
    </row>
    <row r="855" spans="1:13">
      <c r="A855" s="658"/>
      <c r="B855" s="658"/>
      <c r="C855" s="658" t="s">
        <v>554</v>
      </c>
      <c r="D855" s="674" t="s">
        <v>2563</v>
      </c>
      <c r="E855" s="658" t="s">
        <v>2409</v>
      </c>
      <c r="F855" s="653"/>
      <c r="G855" s="654"/>
      <c r="H855" s="657">
        <v>3000000</v>
      </c>
      <c r="I855" s="657">
        <f t="shared" ref="I855" si="61">H855</f>
        <v>3000000</v>
      </c>
      <c r="J855" s="657"/>
      <c r="K855" s="657">
        <v>3000000</v>
      </c>
      <c r="L855" s="657">
        <f t="shared" ref="L855" si="62">K855-I855</f>
        <v>0</v>
      </c>
    </row>
    <row r="856" spans="1:13">
      <c r="A856" s="658"/>
      <c r="B856" s="658"/>
      <c r="C856" s="658"/>
      <c r="D856" s="674"/>
      <c r="E856" s="658"/>
      <c r="F856" s="655"/>
      <c r="G856" s="656"/>
      <c r="H856" s="657"/>
      <c r="I856" s="657"/>
      <c r="J856" s="657"/>
      <c r="K856" s="657"/>
      <c r="L856" s="657"/>
    </row>
    <row r="857" spans="1:13">
      <c r="A857" s="658"/>
      <c r="B857" s="658" t="s">
        <v>2553</v>
      </c>
      <c r="C857" s="658" t="s">
        <v>2579</v>
      </c>
      <c r="D857" s="658" t="s">
        <v>2568</v>
      </c>
      <c r="E857" s="658" t="s">
        <v>239</v>
      </c>
      <c r="F857" s="653"/>
      <c r="G857" s="654"/>
      <c r="H857" s="657">
        <v>44580</v>
      </c>
      <c r="I857" s="657">
        <v>12000000</v>
      </c>
      <c r="J857" s="657"/>
      <c r="K857" s="657">
        <v>12000000</v>
      </c>
      <c r="L857" s="657">
        <f t="shared" ref="L857" si="63">K857-I857</f>
        <v>0</v>
      </c>
    </row>
    <row r="858" spans="1:13">
      <c r="A858" s="658"/>
      <c r="B858" s="658"/>
      <c r="C858" s="658"/>
      <c r="D858" s="658"/>
      <c r="E858" s="658"/>
      <c r="F858" s="655"/>
      <c r="G858" s="656"/>
      <c r="H858" s="657"/>
      <c r="I858" s="657"/>
      <c r="J858" s="657"/>
      <c r="K858" s="657"/>
      <c r="L858" s="657"/>
      <c r="M858" s="573">
        <f>I857+I853+I851+I847+I845+I843+I841+I833+I831+I829+I827+I825+I823+I821+I819+I817+I815+I813+I811+I809+I807+I805+I803+I801+I799+I797+I795+I793+I791+I789+I787+I785+I783+I781+I779+I777+I775+I773+I771+I769+I767+I765+I763+I761+I759+I757+I755+I753+I751+I749+I747+I745+I743+I741</f>
        <v>327769000</v>
      </c>
    </row>
    <row r="859" spans="1:13">
      <c r="A859" s="658"/>
      <c r="B859" s="658"/>
      <c r="C859" s="658" t="s">
        <v>1002</v>
      </c>
      <c r="D859" s="674" t="s">
        <v>2573</v>
      </c>
      <c r="E859" s="690" t="s">
        <v>117</v>
      </c>
      <c r="F859" s="653"/>
      <c r="G859" s="654"/>
      <c r="H859" s="657">
        <v>900000</v>
      </c>
      <c r="I859" s="657">
        <f t="shared" ref="I859" si="64">H859</f>
        <v>900000</v>
      </c>
      <c r="J859" s="657"/>
      <c r="K859" s="657"/>
      <c r="L859" s="657">
        <f t="shared" ref="L859" si="65">K859-I859</f>
        <v>-900000</v>
      </c>
    </row>
    <row r="860" spans="1:13">
      <c r="A860" s="658"/>
      <c r="B860" s="658"/>
      <c r="C860" s="658"/>
      <c r="D860" s="674"/>
      <c r="E860" s="690"/>
      <c r="F860" s="655"/>
      <c r="G860" s="656"/>
      <c r="H860" s="657"/>
      <c r="I860" s="657"/>
      <c r="J860" s="657"/>
      <c r="K860" s="657"/>
      <c r="L860" s="657"/>
      <c r="M860" t="s">
        <v>2555</v>
      </c>
    </row>
    <row r="861" spans="1:13">
      <c r="A861" s="859" t="s">
        <v>542</v>
      </c>
      <c r="B861" s="860"/>
      <c r="C861" s="860"/>
      <c r="D861" s="860"/>
      <c r="E861" s="860"/>
      <c r="F861" s="860"/>
      <c r="G861" s="860"/>
      <c r="H861" s="860"/>
      <c r="I861" s="860"/>
      <c r="J861" s="860"/>
      <c r="K861" s="860"/>
      <c r="L861" s="861"/>
    </row>
    <row r="862" spans="1:13">
      <c r="A862" s="862"/>
      <c r="B862" s="863"/>
      <c r="C862" s="863"/>
      <c r="D862" s="863"/>
      <c r="E862" s="863"/>
      <c r="F862" s="863"/>
      <c r="G862" s="863"/>
      <c r="H862" s="863"/>
      <c r="I862" s="863"/>
      <c r="J862" s="863"/>
      <c r="K862" s="863"/>
      <c r="L862" s="864"/>
    </row>
    <row r="863" spans="1:13">
      <c r="A863" s="658"/>
      <c r="B863" s="658"/>
      <c r="C863" s="658" t="s">
        <v>1011</v>
      </c>
      <c r="D863" s="674" t="s">
        <v>2573</v>
      </c>
      <c r="E863" s="658" t="s">
        <v>2376</v>
      </c>
      <c r="F863" s="653"/>
      <c r="G863" s="654"/>
      <c r="H863" s="657">
        <v>720000</v>
      </c>
      <c r="I863" s="657">
        <f t="shared" ref="I863" si="66">H863</f>
        <v>720000</v>
      </c>
      <c r="J863" s="657"/>
      <c r="K863" s="657">
        <v>720000</v>
      </c>
      <c r="L863" s="657">
        <f t="shared" ref="L863" si="67">K863-I863</f>
        <v>0</v>
      </c>
    </row>
    <row r="864" spans="1:13">
      <c r="A864" s="658"/>
      <c r="B864" s="658"/>
      <c r="C864" s="658"/>
      <c r="D864" s="674"/>
      <c r="E864" s="658"/>
      <c r="F864" s="655"/>
      <c r="G864" s="656"/>
      <c r="H864" s="657"/>
      <c r="I864" s="657"/>
      <c r="J864" s="657"/>
      <c r="K864" s="657"/>
      <c r="L864" s="657"/>
    </row>
    <row r="865" spans="1:13">
      <c r="A865" s="658"/>
      <c r="B865" s="658"/>
      <c r="C865" s="658" t="s">
        <v>1013</v>
      </c>
      <c r="D865" s="674" t="s">
        <v>2573</v>
      </c>
      <c r="E865" s="658" t="s">
        <v>2231</v>
      </c>
      <c r="F865" s="653"/>
      <c r="G865" s="654"/>
      <c r="H865" s="657">
        <v>3600000</v>
      </c>
      <c r="I865" s="657">
        <f t="shared" ref="I865" si="68">H865</f>
        <v>3600000</v>
      </c>
      <c r="J865" s="657"/>
      <c r="K865" s="657">
        <v>3600000</v>
      </c>
      <c r="L865" s="657">
        <f t="shared" ref="L865" si="69">K865-I865</f>
        <v>0</v>
      </c>
      <c r="M865" s="6" t="s">
        <v>2626</v>
      </c>
    </row>
    <row r="866" spans="1:13">
      <c r="A866" s="658"/>
      <c r="B866" s="658"/>
      <c r="C866" s="658"/>
      <c r="D866" s="674"/>
      <c r="E866" s="658"/>
      <c r="F866" s="655"/>
      <c r="G866" s="656"/>
      <c r="H866" s="657"/>
      <c r="I866" s="657"/>
      <c r="J866" s="657"/>
      <c r="K866" s="657"/>
      <c r="L866" s="657"/>
    </row>
    <row r="867" spans="1:13">
      <c r="A867" s="658"/>
      <c r="B867" s="658" t="s">
        <v>2554</v>
      </c>
      <c r="C867" s="658" t="s">
        <v>2574</v>
      </c>
      <c r="D867" s="658" t="s">
        <v>2563</v>
      </c>
      <c r="E867" s="658" t="s">
        <v>239</v>
      </c>
      <c r="F867" s="653" t="s">
        <v>2572</v>
      </c>
      <c r="G867" s="654"/>
      <c r="H867" s="657">
        <v>46272</v>
      </c>
      <c r="I867" s="657">
        <v>12500000</v>
      </c>
      <c r="J867" s="657"/>
      <c r="K867" s="657"/>
      <c r="L867" s="657">
        <f t="shared" ref="L867" si="70">K867-I867</f>
        <v>-12500000</v>
      </c>
      <c r="M867" s="6" t="s">
        <v>2620</v>
      </c>
    </row>
    <row r="868" spans="1:13">
      <c r="A868" s="658"/>
      <c r="B868" s="658"/>
      <c r="C868" s="658"/>
      <c r="D868" s="658"/>
      <c r="E868" s="658"/>
      <c r="F868" s="655"/>
      <c r="G868" s="656"/>
      <c r="H868" s="657"/>
      <c r="I868" s="657"/>
      <c r="J868" s="657"/>
      <c r="K868" s="657"/>
      <c r="L868" s="657"/>
    </row>
    <row r="869" spans="1:13">
      <c r="A869" s="658"/>
      <c r="B869" s="658"/>
      <c r="C869" s="658" t="s">
        <v>1019</v>
      </c>
      <c r="D869" s="674" t="s">
        <v>2573</v>
      </c>
      <c r="E869" s="658" t="s">
        <v>1601</v>
      </c>
      <c r="F869" s="653"/>
      <c r="G869" s="654"/>
      <c r="H869" s="657">
        <v>8000000</v>
      </c>
      <c r="I869" s="657">
        <f t="shared" ref="I869" si="71">H869</f>
        <v>8000000</v>
      </c>
      <c r="J869" s="657"/>
      <c r="K869" s="657">
        <v>8000000</v>
      </c>
      <c r="L869" s="657">
        <f t="shared" ref="L869" si="72">K869-I869</f>
        <v>0</v>
      </c>
      <c r="M869" t="s">
        <v>2627</v>
      </c>
    </row>
    <row r="870" spans="1:13">
      <c r="A870" s="658"/>
      <c r="B870" s="658"/>
      <c r="C870" s="658"/>
      <c r="D870" s="674"/>
      <c r="E870" s="658"/>
      <c r="F870" s="655"/>
      <c r="G870" s="656"/>
      <c r="H870" s="657"/>
      <c r="I870" s="657"/>
      <c r="J870" s="657"/>
      <c r="K870" s="657"/>
      <c r="L870" s="657"/>
      <c r="M870">
        <v>1</v>
      </c>
    </row>
    <row r="871" spans="1:13">
      <c r="A871" s="658"/>
      <c r="B871" s="658" t="s">
        <v>2575</v>
      </c>
      <c r="C871" s="658" t="s">
        <v>2588</v>
      </c>
      <c r="D871" s="658" t="s">
        <v>2573</v>
      </c>
      <c r="E871" s="658" t="s">
        <v>239</v>
      </c>
      <c r="F871" s="653"/>
      <c r="G871" s="654"/>
      <c r="H871" s="657">
        <v>44118</v>
      </c>
      <c r="I871" s="657">
        <v>12000000</v>
      </c>
      <c r="J871" s="657"/>
      <c r="K871" s="657">
        <v>12000000</v>
      </c>
      <c r="L871" s="657">
        <f t="shared" ref="L871" si="73">K871-I871</f>
        <v>0</v>
      </c>
      <c r="M871" t="s">
        <v>2682</v>
      </c>
    </row>
    <row r="872" spans="1:13">
      <c r="A872" s="658"/>
      <c r="B872" s="658"/>
      <c r="C872" s="658"/>
      <c r="D872" s="658"/>
      <c r="E872" s="658"/>
      <c r="F872" s="655"/>
      <c r="G872" s="656"/>
      <c r="H872" s="657"/>
      <c r="I872" s="657"/>
      <c r="J872" s="657"/>
      <c r="K872" s="657"/>
      <c r="L872" s="657"/>
    </row>
    <row r="873" spans="1:13">
      <c r="A873" s="658"/>
      <c r="B873" s="658"/>
      <c r="C873" s="658" t="s">
        <v>1035</v>
      </c>
      <c r="D873" s="658" t="s">
        <v>2583</v>
      </c>
      <c r="E873" s="658" t="s">
        <v>240</v>
      </c>
      <c r="F873" s="653"/>
      <c r="G873" s="654"/>
      <c r="H873" s="657">
        <v>4500000</v>
      </c>
      <c r="I873" s="657">
        <f t="shared" ref="I873" si="74">H873</f>
        <v>4500000</v>
      </c>
      <c r="J873" s="657"/>
      <c r="K873" s="657">
        <v>4500000</v>
      </c>
      <c r="L873" s="657">
        <f t="shared" ref="L873" si="75">K873-I873</f>
        <v>0</v>
      </c>
      <c r="M873" s="573">
        <f>I835+I837+I839+I849+I855+I859+I863+I865++I867+I869+I871+I873+I875+I877+I879+I881+I883+I885+I887+I889+I891+I893+I895+I897+I899+I901+I903+I905+I907+I909+I911+I913+I915+I917+I921+I923+I925+M876+I927+I937+I957</f>
        <v>265552400</v>
      </c>
    </row>
    <row r="874" spans="1:13">
      <c r="A874" s="658"/>
      <c r="B874" s="658"/>
      <c r="C874" s="658"/>
      <c r="D874" s="658"/>
      <c r="E874" s="658"/>
      <c r="F874" s="655"/>
      <c r="G874" s="656"/>
      <c r="H874" s="657"/>
      <c r="I874" s="657"/>
      <c r="J874" s="657"/>
      <c r="K874" s="657"/>
      <c r="L874" s="657"/>
    </row>
    <row r="875" spans="1:13">
      <c r="A875" s="658"/>
      <c r="B875" s="658"/>
      <c r="C875" s="658" t="s">
        <v>1030</v>
      </c>
      <c r="D875" s="658" t="s">
        <v>2583</v>
      </c>
      <c r="E875" s="690" t="s">
        <v>2517</v>
      </c>
      <c r="F875" s="653"/>
      <c r="G875" s="654"/>
      <c r="H875" s="657">
        <v>2000000</v>
      </c>
      <c r="I875" s="657">
        <f t="shared" ref="I875" si="76">H875</f>
        <v>2000000</v>
      </c>
      <c r="J875" s="657"/>
      <c r="K875" s="657"/>
      <c r="L875" s="657">
        <f t="shared" ref="L875" si="77">K875-I875</f>
        <v>-2000000</v>
      </c>
    </row>
    <row r="876" spans="1:13">
      <c r="A876" s="658"/>
      <c r="B876" s="658"/>
      <c r="C876" s="658"/>
      <c r="D876" s="658"/>
      <c r="E876" s="690"/>
      <c r="F876" s="655"/>
      <c r="G876" s="656"/>
      <c r="H876" s="657"/>
      <c r="I876" s="657"/>
      <c r="J876" s="657"/>
      <c r="K876" s="657"/>
      <c r="L876" s="657"/>
    </row>
    <row r="877" spans="1:13">
      <c r="A877" s="658"/>
      <c r="B877" s="658" t="s">
        <v>2576</v>
      </c>
      <c r="C877" s="658" t="s">
        <v>2584</v>
      </c>
      <c r="D877" s="658" t="s">
        <v>2573</v>
      </c>
      <c r="E877" s="658" t="s">
        <v>239</v>
      </c>
      <c r="F877" s="653" t="s">
        <v>2233</v>
      </c>
      <c r="G877" s="654"/>
      <c r="H877" s="657">
        <v>44181</v>
      </c>
      <c r="I877" s="657">
        <v>12000000</v>
      </c>
      <c r="J877" s="657"/>
      <c r="K877" s="657"/>
      <c r="L877" s="657">
        <f t="shared" ref="L877" si="78">K877-I877</f>
        <v>-12000000</v>
      </c>
    </row>
    <row r="878" spans="1:13">
      <c r="A878" s="658"/>
      <c r="B878" s="658"/>
      <c r="C878" s="658"/>
      <c r="D878" s="658"/>
      <c r="E878" s="658"/>
      <c r="F878" s="655"/>
      <c r="G878" s="656"/>
      <c r="H878" s="657"/>
      <c r="I878" s="657"/>
      <c r="J878" s="657"/>
      <c r="K878" s="657"/>
      <c r="L878" s="657"/>
    </row>
    <row r="879" spans="1:13">
      <c r="A879" s="658"/>
      <c r="B879" s="658"/>
      <c r="C879" s="658" t="s">
        <v>1031</v>
      </c>
      <c r="D879" s="658" t="s">
        <v>2580</v>
      </c>
      <c r="E879" s="658" t="s">
        <v>2582</v>
      </c>
      <c r="F879" s="653"/>
      <c r="G879" s="654"/>
      <c r="H879" s="657">
        <v>3500000</v>
      </c>
      <c r="I879" s="657">
        <f t="shared" ref="I879" si="79">H879</f>
        <v>3500000</v>
      </c>
      <c r="J879" s="657"/>
      <c r="K879" s="657">
        <v>3500000</v>
      </c>
      <c r="L879" s="657">
        <f t="shared" ref="L879" si="80">K879-I879</f>
        <v>0</v>
      </c>
    </row>
    <row r="880" spans="1:13">
      <c r="A880" s="658"/>
      <c r="B880" s="658"/>
      <c r="C880" s="658"/>
      <c r="D880" s="658"/>
      <c r="E880" s="658"/>
      <c r="F880" s="655"/>
      <c r="G880" s="656"/>
      <c r="H880" s="657"/>
      <c r="I880" s="657"/>
      <c r="J880" s="657"/>
      <c r="K880" s="657"/>
      <c r="L880" s="657"/>
    </row>
    <row r="881" spans="1:13">
      <c r="A881" s="658"/>
      <c r="B881" s="658"/>
      <c r="C881" s="658" t="s">
        <v>1020</v>
      </c>
      <c r="D881" s="658" t="s">
        <v>2580</v>
      </c>
      <c r="E881" s="658" t="s">
        <v>2559</v>
      </c>
      <c r="F881" s="653"/>
      <c r="G881" s="654"/>
      <c r="H881" s="657">
        <v>13930400</v>
      </c>
      <c r="I881" s="657">
        <f t="shared" ref="I881" si="81">H881</f>
        <v>13930400</v>
      </c>
      <c r="J881" s="657"/>
      <c r="K881" s="657">
        <v>13930400</v>
      </c>
      <c r="L881" s="657">
        <f t="shared" ref="L881" si="82">K881-I881</f>
        <v>0</v>
      </c>
    </row>
    <row r="882" spans="1:13">
      <c r="A882" s="658"/>
      <c r="B882" s="658"/>
      <c r="C882" s="658"/>
      <c r="D882" s="658"/>
      <c r="E882" s="658"/>
      <c r="F882" s="655"/>
      <c r="G882" s="656"/>
      <c r="H882" s="657"/>
      <c r="I882" s="657"/>
      <c r="J882" s="657"/>
      <c r="K882" s="657"/>
      <c r="L882" s="657"/>
    </row>
    <row r="883" spans="1:13">
      <c r="A883" s="658"/>
      <c r="B883" s="658" t="s">
        <v>2577</v>
      </c>
      <c r="C883" s="658" t="s">
        <v>2587</v>
      </c>
      <c r="D883" s="658" t="s">
        <v>2586</v>
      </c>
      <c r="E883" s="658" t="s">
        <v>239</v>
      </c>
      <c r="F883" s="653" t="s">
        <v>2233</v>
      </c>
      <c r="G883" s="654"/>
      <c r="H883" s="657">
        <v>44395</v>
      </c>
      <c r="I883" s="657">
        <v>12000000</v>
      </c>
      <c r="J883" s="657"/>
      <c r="K883" s="657">
        <v>12000000</v>
      </c>
      <c r="L883" s="657">
        <f t="shared" ref="L883" si="83">K883-I883</f>
        <v>0</v>
      </c>
    </row>
    <row r="884" spans="1:13">
      <c r="A884" s="658"/>
      <c r="B884" s="658"/>
      <c r="C884" s="658"/>
      <c r="D884" s="658"/>
      <c r="E884" s="658"/>
      <c r="F884" s="655"/>
      <c r="G884" s="656"/>
      <c r="H884" s="657"/>
      <c r="I884" s="657"/>
      <c r="J884" s="657"/>
      <c r="K884" s="657"/>
      <c r="L884" s="657"/>
    </row>
    <row r="885" spans="1:13">
      <c r="A885" s="658"/>
      <c r="B885" s="658"/>
      <c r="C885" s="658" t="s">
        <v>1036</v>
      </c>
      <c r="D885" s="658" t="s">
        <v>2589</v>
      </c>
      <c r="E885" s="690" t="s">
        <v>1745</v>
      </c>
      <c r="F885" s="653"/>
      <c r="G885" s="654"/>
      <c r="H885" s="657">
        <v>900000</v>
      </c>
      <c r="I885" s="657">
        <f t="shared" ref="I885" si="84">H885</f>
        <v>900000</v>
      </c>
      <c r="J885" s="657"/>
      <c r="K885" s="657"/>
      <c r="L885" s="657">
        <f t="shared" ref="L885" si="85">K885-I885</f>
        <v>-900000</v>
      </c>
    </row>
    <row r="886" spans="1:13">
      <c r="A886" s="658"/>
      <c r="B886" s="658"/>
      <c r="C886" s="658"/>
      <c r="D886" s="658"/>
      <c r="E886" s="690"/>
      <c r="F886" s="655"/>
      <c r="G886" s="656"/>
      <c r="H886" s="657"/>
      <c r="I886" s="657"/>
      <c r="J886" s="657"/>
      <c r="K886" s="657"/>
      <c r="L886" s="657"/>
    </row>
    <row r="887" spans="1:13">
      <c r="A887" s="658"/>
      <c r="B887" s="658"/>
      <c r="C887" s="658" t="s">
        <v>1037</v>
      </c>
      <c r="D887" s="658" t="s">
        <v>2589</v>
      </c>
      <c r="E887" s="658" t="s">
        <v>1601</v>
      </c>
      <c r="F887" s="653"/>
      <c r="G887" s="654"/>
      <c r="H887" s="657">
        <v>5500000</v>
      </c>
      <c r="I887" s="657">
        <f t="shared" ref="I887" si="86">H887</f>
        <v>5500000</v>
      </c>
      <c r="J887" s="657"/>
      <c r="K887" s="657">
        <v>5500000</v>
      </c>
      <c r="L887" s="657">
        <v>0</v>
      </c>
    </row>
    <row r="888" spans="1:13">
      <c r="A888" s="658"/>
      <c r="B888" s="658"/>
      <c r="C888" s="658"/>
      <c r="D888" s="658"/>
      <c r="E888" s="658"/>
      <c r="F888" s="655"/>
      <c r="G888" s="656"/>
      <c r="H888" s="657"/>
      <c r="I888" s="657"/>
      <c r="J888" s="657"/>
      <c r="K888" s="657"/>
      <c r="L888" s="657"/>
    </row>
    <row r="889" spans="1:13">
      <c r="A889" s="658"/>
      <c r="B889" s="658"/>
      <c r="C889" s="658" t="s">
        <v>1038</v>
      </c>
      <c r="D889" s="658" t="s">
        <v>2590</v>
      </c>
      <c r="E889" s="658" t="s">
        <v>2348</v>
      </c>
      <c r="F889" s="653"/>
      <c r="G889" s="654"/>
      <c r="H889" s="657">
        <v>750000</v>
      </c>
      <c r="I889" s="657">
        <f t="shared" ref="I889" si="87">H889</f>
        <v>750000</v>
      </c>
      <c r="J889" s="657"/>
      <c r="K889" s="657">
        <v>750000</v>
      </c>
      <c r="L889" s="657">
        <f t="shared" ref="L889" si="88">K889-I889</f>
        <v>0</v>
      </c>
    </row>
    <row r="890" spans="1:13">
      <c r="A890" s="658"/>
      <c r="B890" s="658"/>
      <c r="C890" s="658"/>
      <c r="D890" s="658"/>
      <c r="E890" s="658"/>
      <c r="F890" s="655"/>
      <c r="G890" s="656"/>
      <c r="H890" s="657"/>
      <c r="I890" s="657"/>
      <c r="J890" s="657"/>
      <c r="K890" s="657"/>
      <c r="L890" s="657"/>
    </row>
    <row r="891" spans="1:13">
      <c r="A891" s="658"/>
      <c r="B891" s="658" t="s">
        <v>2581</v>
      </c>
      <c r="C891" s="658" t="s">
        <v>2603</v>
      </c>
      <c r="D891" s="658" t="s">
        <v>2589</v>
      </c>
      <c r="E891" s="658" t="s">
        <v>239</v>
      </c>
      <c r="F891" s="653" t="s">
        <v>2233</v>
      </c>
      <c r="G891" s="654"/>
      <c r="H891" s="657">
        <v>43169</v>
      </c>
      <c r="I891" s="657">
        <v>12000000</v>
      </c>
      <c r="J891" s="657"/>
      <c r="K891" s="657">
        <v>12000000</v>
      </c>
      <c r="L891" s="657">
        <f t="shared" ref="L891" si="89">K891-I891</f>
        <v>0</v>
      </c>
    </row>
    <row r="892" spans="1:13">
      <c r="A892" s="658"/>
      <c r="B892" s="658"/>
      <c r="C892" s="658"/>
      <c r="D892" s="658"/>
      <c r="E892" s="658"/>
      <c r="F892" s="655"/>
      <c r="G892" s="656"/>
      <c r="H892" s="657"/>
      <c r="I892" s="657"/>
      <c r="J892" s="657"/>
      <c r="K892" s="657"/>
      <c r="L892" s="657"/>
    </row>
    <row r="893" spans="1:13">
      <c r="A893" s="658"/>
      <c r="B893" s="658"/>
      <c r="C893" s="658" t="s">
        <v>1045</v>
      </c>
      <c r="D893" s="658" t="s">
        <v>2602</v>
      </c>
      <c r="E893" s="658" t="s">
        <v>1140</v>
      </c>
      <c r="F893" s="653"/>
      <c r="G893" s="654"/>
      <c r="H893" s="657">
        <v>5000000</v>
      </c>
      <c r="I893" s="657">
        <v>5000000</v>
      </c>
      <c r="J893" s="657"/>
      <c r="K893" s="657">
        <v>5000000</v>
      </c>
      <c r="L893" s="657">
        <f t="shared" ref="L893" si="90">K893-I893</f>
        <v>0</v>
      </c>
    </row>
    <row r="894" spans="1:13">
      <c r="A894" s="658"/>
      <c r="B894" s="658"/>
      <c r="C894" s="658"/>
      <c r="D894" s="658"/>
      <c r="E894" s="658"/>
      <c r="F894" s="655"/>
      <c r="G894" s="656"/>
      <c r="H894" s="657"/>
      <c r="I894" s="657"/>
      <c r="J894" s="657"/>
      <c r="K894" s="657"/>
      <c r="L894" s="657"/>
      <c r="M894" t="s">
        <v>2600</v>
      </c>
    </row>
    <row r="895" spans="1:13">
      <c r="A895" s="658"/>
      <c r="B895" s="658" t="s">
        <v>2591</v>
      </c>
      <c r="C895" s="658" t="s">
        <v>2608</v>
      </c>
      <c r="D895" s="658" t="s">
        <v>2604</v>
      </c>
      <c r="E895" s="658" t="s">
        <v>239</v>
      </c>
      <c r="F895" s="653"/>
      <c r="G895" s="654"/>
      <c r="H895" s="657">
        <v>44667</v>
      </c>
      <c r="I895" s="657">
        <v>12500000</v>
      </c>
      <c r="J895" s="657"/>
      <c r="K895" s="657">
        <v>12000000</v>
      </c>
      <c r="L895" s="657">
        <f t="shared" ref="L895" si="91">K895-I895</f>
        <v>-500000</v>
      </c>
    </row>
    <row r="896" spans="1:13">
      <c r="A896" s="658"/>
      <c r="B896" s="658"/>
      <c r="C896" s="658"/>
      <c r="D896" s="658"/>
      <c r="E896" s="658"/>
      <c r="F896" s="655"/>
      <c r="G896" s="656"/>
      <c r="H896" s="657"/>
      <c r="I896" s="657"/>
      <c r="J896" s="657"/>
      <c r="K896" s="657"/>
      <c r="L896" s="657"/>
    </row>
    <row r="897" spans="1:12">
      <c r="A897" s="658"/>
      <c r="B897" s="658"/>
      <c r="C897" s="658" t="s">
        <v>1046</v>
      </c>
      <c r="D897" s="658" t="s">
        <v>2601</v>
      </c>
      <c r="E897" s="658" t="s">
        <v>2592</v>
      </c>
      <c r="F897" s="653"/>
      <c r="G897" s="654"/>
      <c r="H897" s="657">
        <v>4100000</v>
      </c>
      <c r="I897" s="657">
        <f t="shared" ref="I897" si="92">H897</f>
        <v>4100000</v>
      </c>
      <c r="J897" s="657"/>
      <c r="K897" s="657">
        <v>4100000</v>
      </c>
      <c r="L897" s="657">
        <f t="shared" ref="L897" si="93">K897-I897</f>
        <v>0</v>
      </c>
    </row>
    <row r="898" spans="1:12">
      <c r="A898" s="658"/>
      <c r="B898" s="658"/>
      <c r="C898" s="658"/>
      <c r="D898" s="658"/>
      <c r="E898" s="658"/>
      <c r="F898" s="655"/>
      <c r="G898" s="656"/>
      <c r="H898" s="657"/>
      <c r="I898" s="657"/>
      <c r="J898" s="657"/>
      <c r="K898" s="657"/>
      <c r="L898" s="657"/>
    </row>
    <row r="899" spans="1:12">
      <c r="A899" s="658"/>
      <c r="B899" s="658"/>
      <c r="C899" s="658" t="s">
        <v>1052</v>
      </c>
      <c r="D899" s="658" t="s">
        <v>2601</v>
      </c>
      <c r="E899" s="658" t="s">
        <v>2593</v>
      </c>
      <c r="F899" s="653"/>
      <c r="G899" s="654"/>
      <c r="H899" s="657">
        <v>1900000</v>
      </c>
      <c r="I899" s="657">
        <f t="shared" ref="I899" si="94">H899</f>
        <v>1900000</v>
      </c>
      <c r="J899" s="657"/>
      <c r="K899" s="657">
        <v>1900000</v>
      </c>
      <c r="L899" s="657">
        <f t="shared" ref="L899" si="95">K899-I899</f>
        <v>0</v>
      </c>
    </row>
    <row r="900" spans="1:12">
      <c r="A900" s="658"/>
      <c r="B900" s="658"/>
      <c r="C900" s="658"/>
      <c r="D900" s="658"/>
      <c r="E900" s="658"/>
      <c r="F900" s="655"/>
      <c r="G900" s="656"/>
      <c r="H900" s="657"/>
      <c r="I900" s="657"/>
      <c r="J900" s="657"/>
      <c r="K900" s="657"/>
      <c r="L900" s="657"/>
    </row>
    <row r="901" spans="1:12">
      <c r="A901" s="658"/>
      <c r="B901" s="658" t="s">
        <v>2594</v>
      </c>
      <c r="C901" s="658" t="s">
        <v>2605</v>
      </c>
      <c r="D901" s="658" t="s">
        <v>2604</v>
      </c>
      <c r="E901" s="658" t="s">
        <v>239</v>
      </c>
      <c r="F901" s="653"/>
      <c r="G901" s="654"/>
      <c r="H901" s="657">
        <v>42880</v>
      </c>
      <c r="I901" s="657">
        <v>12000000</v>
      </c>
      <c r="J901" s="657"/>
      <c r="K901" s="657">
        <v>12000000</v>
      </c>
      <c r="L901" s="657">
        <f t="shared" ref="L901" si="96">K901-I901</f>
        <v>0</v>
      </c>
    </row>
    <row r="902" spans="1:12">
      <c r="A902" s="658"/>
      <c r="B902" s="658"/>
      <c r="C902" s="658"/>
      <c r="D902" s="658"/>
      <c r="E902" s="658"/>
      <c r="F902" s="655"/>
      <c r="G902" s="656"/>
      <c r="H902" s="657"/>
      <c r="I902" s="657"/>
      <c r="J902" s="657"/>
      <c r="K902" s="657"/>
      <c r="L902" s="657"/>
    </row>
    <row r="903" spans="1:12">
      <c r="A903" s="658"/>
      <c r="B903" s="658"/>
      <c r="C903" s="658" t="s">
        <v>1053</v>
      </c>
      <c r="D903" s="658" t="s">
        <v>2609</v>
      </c>
      <c r="E903" s="690" t="s">
        <v>117</v>
      </c>
      <c r="F903" s="653"/>
      <c r="G903" s="654"/>
      <c r="H903" s="657">
        <v>900000</v>
      </c>
      <c r="I903" s="657">
        <f t="shared" ref="I903" si="97">H903</f>
        <v>900000</v>
      </c>
      <c r="J903" s="657"/>
      <c r="K903" s="657"/>
      <c r="L903" s="657">
        <f t="shared" ref="L903" si="98">K903-I903</f>
        <v>-900000</v>
      </c>
    </row>
    <row r="904" spans="1:12">
      <c r="A904" s="658"/>
      <c r="B904" s="658"/>
      <c r="C904" s="658"/>
      <c r="D904" s="658"/>
      <c r="E904" s="690"/>
      <c r="F904" s="655"/>
      <c r="G904" s="656"/>
      <c r="H904" s="657"/>
      <c r="I904" s="657"/>
      <c r="J904" s="657"/>
      <c r="K904" s="657"/>
      <c r="L904" s="657"/>
    </row>
    <row r="905" spans="1:12">
      <c r="A905" s="658"/>
      <c r="B905" s="658" t="s">
        <v>2595</v>
      </c>
      <c r="C905" s="658" t="s">
        <v>2607</v>
      </c>
      <c r="D905" s="658" t="s">
        <v>2606</v>
      </c>
      <c r="E905" s="658" t="s">
        <v>239</v>
      </c>
      <c r="F905" s="653"/>
      <c r="G905" s="654"/>
      <c r="H905" s="657">
        <v>43329</v>
      </c>
      <c r="I905" s="657">
        <v>12000000</v>
      </c>
      <c r="J905" s="657"/>
      <c r="K905" s="657">
        <v>12000000</v>
      </c>
      <c r="L905" s="657">
        <f t="shared" ref="L905" si="99">K905-I905</f>
        <v>0</v>
      </c>
    </row>
    <row r="906" spans="1:12">
      <c r="A906" s="658"/>
      <c r="B906" s="658"/>
      <c r="C906" s="658"/>
      <c r="D906" s="658"/>
      <c r="E906" s="658"/>
      <c r="F906" s="655"/>
      <c r="G906" s="656"/>
      <c r="H906" s="657"/>
      <c r="I906" s="657"/>
      <c r="J906" s="657"/>
      <c r="K906" s="657"/>
      <c r="L906" s="657"/>
    </row>
    <row r="907" spans="1:12">
      <c r="A907" s="658"/>
      <c r="B907" s="658"/>
      <c r="C907" s="658" t="s">
        <v>1054</v>
      </c>
      <c r="D907" s="658" t="s">
        <v>2613</v>
      </c>
      <c r="E907" s="658" t="s">
        <v>2559</v>
      </c>
      <c r="F907" s="653" t="s">
        <v>2596</v>
      </c>
      <c r="G907" s="654"/>
      <c r="H907" s="657">
        <v>17252000</v>
      </c>
      <c r="I907" s="657">
        <f t="shared" ref="I907" si="100">H907</f>
        <v>17252000</v>
      </c>
      <c r="J907" s="657"/>
      <c r="K907" s="657">
        <v>17252000</v>
      </c>
      <c r="L907" s="657">
        <f t="shared" ref="L907" si="101">K907-I907</f>
        <v>0</v>
      </c>
    </row>
    <row r="908" spans="1:12">
      <c r="A908" s="658"/>
      <c r="B908" s="658"/>
      <c r="C908" s="658"/>
      <c r="D908" s="658"/>
      <c r="E908" s="658"/>
      <c r="F908" s="655"/>
      <c r="G908" s="656"/>
      <c r="H908" s="657"/>
      <c r="I908" s="657"/>
      <c r="J908" s="657"/>
      <c r="K908" s="657"/>
      <c r="L908" s="657"/>
    </row>
    <row r="909" spans="1:12">
      <c r="A909" s="658"/>
      <c r="B909" s="658" t="s">
        <v>2597</v>
      </c>
      <c r="C909" s="658" t="s">
        <v>2617</v>
      </c>
      <c r="D909" s="658" t="s">
        <v>2606</v>
      </c>
      <c r="E909" s="658" t="s">
        <v>239</v>
      </c>
      <c r="F909" s="653"/>
      <c r="G909" s="654"/>
      <c r="H909" s="657">
        <v>44643</v>
      </c>
      <c r="I909" s="657">
        <v>12500000</v>
      </c>
      <c r="J909" s="657"/>
      <c r="K909" s="657">
        <v>12500000</v>
      </c>
      <c r="L909" s="657">
        <f t="shared" ref="L909" si="102">K909-I909</f>
        <v>0</v>
      </c>
    </row>
    <row r="910" spans="1:12">
      <c r="A910" s="658"/>
      <c r="B910" s="658"/>
      <c r="C910" s="658"/>
      <c r="D910" s="658"/>
      <c r="E910" s="658"/>
      <c r="F910" s="655"/>
      <c r="G910" s="656"/>
      <c r="H910" s="657"/>
      <c r="I910" s="657"/>
      <c r="J910" s="657"/>
      <c r="K910" s="657"/>
      <c r="L910" s="657"/>
    </row>
    <row r="911" spans="1:12">
      <c r="A911" s="658"/>
      <c r="B911" s="658"/>
      <c r="C911" s="658" t="s">
        <v>1049</v>
      </c>
      <c r="D911" s="658" t="s">
        <v>2609</v>
      </c>
      <c r="E911" s="658" t="s">
        <v>2598</v>
      </c>
      <c r="F911" s="653"/>
      <c r="G911" s="654"/>
      <c r="H911" s="657">
        <v>2600000</v>
      </c>
      <c r="I911" s="657">
        <f t="shared" ref="I911" si="103">H911</f>
        <v>2600000</v>
      </c>
      <c r="J911" s="657"/>
      <c r="K911" s="657">
        <v>2600000</v>
      </c>
      <c r="L911" s="657">
        <f t="shared" ref="L911" si="104">K911-I911</f>
        <v>0</v>
      </c>
    </row>
    <row r="912" spans="1:12">
      <c r="A912" s="658"/>
      <c r="B912" s="658"/>
      <c r="C912" s="658"/>
      <c r="D912" s="658"/>
      <c r="E912" s="658"/>
      <c r="F912" s="655"/>
      <c r="G912" s="656"/>
      <c r="H912" s="657"/>
      <c r="I912" s="657"/>
      <c r="J912" s="657"/>
      <c r="K912" s="657"/>
      <c r="L912" s="657"/>
    </row>
    <row r="913" spans="1:13">
      <c r="A913" s="658"/>
      <c r="B913" s="658" t="s">
        <v>2599</v>
      </c>
      <c r="C913" s="658" t="s">
        <v>2619</v>
      </c>
      <c r="D913" s="658" t="s">
        <v>2618</v>
      </c>
      <c r="E913" s="658" t="s">
        <v>239</v>
      </c>
      <c r="F913" s="653" t="s">
        <v>2233</v>
      </c>
      <c r="G913" s="654"/>
      <c r="H913" s="657">
        <v>42949</v>
      </c>
      <c r="I913" s="657">
        <v>12000000</v>
      </c>
      <c r="J913" s="657"/>
      <c r="K913" s="657">
        <v>12000000</v>
      </c>
      <c r="L913" s="657">
        <f t="shared" ref="L913" si="105">K913-I913</f>
        <v>0</v>
      </c>
    </row>
    <row r="914" spans="1:13">
      <c r="A914" s="658"/>
      <c r="B914" s="658"/>
      <c r="C914" s="658"/>
      <c r="D914" s="658"/>
      <c r="E914" s="658"/>
      <c r="F914" s="655"/>
      <c r="G914" s="656"/>
      <c r="H914" s="657"/>
      <c r="I914" s="657"/>
      <c r="J914" s="657"/>
      <c r="K914" s="657"/>
      <c r="L914" s="657"/>
    </row>
    <row r="915" spans="1:13">
      <c r="A915" s="658"/>
      <c r="B915" s="658"/>
      <c r="C915" s="658" t="s">
        <v>1055</v>
      </c>
      <c r="D915" s="658" t="s">
        <v>2609</v>
      </c>
      <c r="E915" s="690" t="s">
        <v>117</v>
      </c>
      <c r="F915" s="653"/>
      <c r="G915" s="654"/>
      <c r="H915" s="657">
        <v>900000</v>
      </c>
      <c r="I915" s="657">
        <f t="shared" ref="I915" si="106">H915</f>
        <v>900000</v>
      </c>
      <c r="J915" s="657"/>
      <c r="K915" s="657"/>
      <c r="L915" s="657">
        <f t="shared" ref="L915" si="107">K915-I915</f>
        <v>-900000</v>
      </c>
    </row>
    <row r="916" spans="1:13">
      <c r="A916" s="658"/>
      <c r="B916" s="658"/>
      <c r="C916" s="658"/>
      <c r="D916" s="658"/>
      <c r="E916" s="690"/>
      <c r="F916" s="655"/>
      <c r="G916" s="656"/>
      <c r="H916" s="657"/>
      <c r="I916" s="657"/>
      <c r="J916" s="657"/>
      <c r="K916" s="657"/>
      <c r="L916" s="657"/>
    </row>
    <row r="917" spans="1:13">
      <c r="A917" s="658"/>
      <c r="B917" s="658"/>
      <c r="C917" s="658" t="s">
        <v>1056</v>
      </c>
      <c r="D917" s="658" t="s">
        <v>2609</v>
      </c>
      <c r="E917" s="658" t="s">
        <v>2610</v>
      </c>
      <c r="F917" s="653"/>
      <c r="G917" s="654"/>
      <c r="H917" s="657">
        <v>3200000</v>
      </c>
      <c r="I917" s="657">
        <f t="shared" ref="I917" si="108">H917</f>
        <v>3200000</v>
      </c>
      <c r="J917" s="657"/>
      <c r="K917" s="657"/>
      <c r="L917" s="657">
        <f t="shared" ref="L917" si="109">K917-I917</f>
        <v>-3200000</v>
      </c>
    </row>
    <row r="918" spans="1:13">
      <c r="A918" s="658"/>
      <c r="B918" s="658"/>
      <c r="C918" s="658"/>
      <c r="D918" s="658"/>
      <c r="E918" s="658"/>
      <c r="F918" s="655"/>
      <c r="G918" s="656"/>
      <c r="H918" s="657"/>
      <c r="I918" s="657"/>
      <c r="J918" s="657"/>
      <c r="K918" s="657"/>
      <c r="L918" s="657"/>
    </row>
    <row r="919" spans="1:13">
      <c r="A919" s="658"/>
      <c r="B919" s="658" t="s">
        <v>2614</v>
      </c>
      <c r="C919" s="658"/>
      <c r="D919" s="658"/>
      <c r="E919" s="690"/>
      <c r="F919" s="653"/>
      <c r="G919" s="654"/>
      <c r="H919" s="657"/>
      <c r="I919" s="657">
        <f t="shared" ref="I919" si="110">H919</f>
        <v>0</v>
      </c>
      <c r="J919" s="657"/>
      <c r="K919" s="657"/>
      <c r="L919" s="657">
        <f t="shared" ref="L919" si="111">K919-I919</f>
        <v>0</v>
      </c>
    </row>
    <row r="920" spans="1:13">
      <c r="A920" s="658"/>
      <c r="B920" s="658"/>
      <c r="C920" s="658"/>
      <c r="D920" s="658"/>
      <c r="E920" s="690"/>
      <c r="F920" s="655"/>
      <c r="G920" s="656"/>
      <c r="H920" s="657"/>
      <c r="I920" s="657"/>
      <c r="J920" s="657"/>
      <c r="K920" s="657"/>
      <c r="L920" s="657"/>
    </row>
    <row r="921" spans="1:13">
      <c r="A921" s="658"/>
      <c r="B921" s="658" t="s">
        <v>2624</v>
      </c>
      <c r="C921" s="658" t="s">
        <v>2625</v>
      </c>
      <c r="D921" s="658" t="s">
        <v>2609</v>
      </c>
      <c r="E921" s="658" t="s">
        <v>239</v>
      </c>
      <c r="F921" s="653" t="s">
        <v>2233</v>
      </c>
      <c r="G921" s="654"/>
      <c r="H921" s="657">
        <v>43630</v>
      </c>
      <c r="I921" s="657">
        <v>12000000</v>
      </c>
      <c r="J921" s="657"/>
      <c r="K921" s="657">
        <v>12000000</v>
      </c>
      <c r="L921" s="657">
        <f t="shared" ref="L921" si="112">K921-I921</f>
        <v>0</v>
      </c>
    </row>
    <row r="922" spans="1:13">
      <c r="A922" s="658"/>
      <c r="B922" s="658"/>
      <c r="C922" s="658"/>
      <c r="D922" s="658"/>
      <c r="E922" s="658"/>
      <c r="F922" s="655"/>
      <c r="G922" s="656"/>
      <c r="H922" s="657"/>
      <c r="I922" s="657"/>
      <c r="J922" s="657"/>
      <c r="K922" s="657"/>
      <c r="L922" s="657"/>
    </row>
    <row r="923" spans="1:13">
      <c r="A923" s="658"/>
      <c r="B923" s="856" t="s">
        <v>648</v>
      </c>
      <c r="C923" s="658" t="s">
        <v>1057</v>
      </c>
      <c r="D923" s="658" t="s">
        <v>2612</v>
      </c>
      <c r="E923" s="658" t="s">
        <v>889</v>
      </c>
      <c r="F923" s="653"/>
      <c r="G923" s="654"/>
      <c r="H923" s="657">
        <v>3000000</v>
      </c>
      <c r="I923" s="657">
        <f t="shared" ref="I923" si="113">H923</f>
        <v>3000000</v>
      </c>
      <c r="J923" s="657"/>
      <c r="K923" s="657">
        <v>3000000</v>
      </c>
      <c r="L923" s="657">
        <f t="shared" ref="L923" si="114">K923-I923</f>
        <v>0</v>
      </c>
    </row>
    <row r="924" spans="1:13">
      <c r="A924" s="658"/>
      <c r="B924" s="856"/>
      <c r="C924" s="658"/>
      <c r="D924" s="658"/>
      <c r="E924" s="658"/>
      <c r="F924" s="655"/>
      <c r="G924" s="656"/>
      <c r="H924" s="657"/>
      <c r="I924" s="657"/>
      <c r="J924" s="657"/>
      <c r="K924" s="657"/>
      <c r="L924" s="657"/>
    </row>
    <row r="925" spans="1:13">
      <c r="A925" s="658"/>
      <c r="B925" s="658"/>
      <c r="C925" s="658" t="s">
        <v>1072</v>
      </c>
      <c r="D925" s="658" t="s">
        <v>2612</v>
      </c>
      <c r="E925" s="658" t="s">
        <v>1661</v>
      </c>
      <c r="F925" s="653"/>
      <c r="G925" s="654"/>
      <c r="H925" s="657">
        <v>5000000</v>
      </c>
      <c r="I925" s="657">
        <f t="shared" ref="I925" si="115">H925</f>
        <v>5000000</v>
      </c>
      <c r="J925" s="657"/>
      <c r="K925" s="657">
        <v>5000000</v>
      </c>
      <c r="L925" s="657">
        <f t="shared" ref="L925" si="116">K925-I925</f>
        <v>0</v>
      </c>
    </row>
    <row r="926" spans="1:13">
      <c r="A926" s="658"/>
      <c r="B926" s="658"/>
      <c r="C926" s="658"/>
      <c r="D926" s="658"/>
      <c r="E926" s="658"/>
      <c r="F926" s="655"/>
      <c r="G926" s="656"/>
      <c r="H926" s="657"/>
      <c r="I926" s="657"/>
      <c r="J926" s="657"/>
      <c r="K926" s="657"/>
      <c r="L926" s="657"/>
    </row>
    <row r="927" spans="1:13">
      <c r="A927" s="658"/>
      <c r="B927" s="658" t="s">
        <v>2611</v>
      </c>
      <c r="C927" s="658" t="s">
        <v>2639</v>
      </c>
      <c r="D927" s="658" t="s">
        <v>2638</v>
      </c>
      <c r="E927" s="658" t="s">
        <v>239</v>
      </c>
      <c r="F927" s="653" t="s">
        <v>2565</v>
      </c>
      <c r="G927" s="654"/>
      <c r="H927" s="657">
        <v>43056</v>
      </c>
      <c r="I927" s="657">
        <v>12000000</v>
      </c>
      <c r="J927" s="657"/>
      <c r="K927" s="657">
        <v>12000000</v>
      </c>
      <c r="L927" s="657">
        <f t="shared" ref="L927" si="117">K927-I927</f>
        <v>0</v>
      </c>
      <c r="M927" t="s">
        <v>2615</v>
      </c>
    </row>
    <row r="928" spans="1:13">
      <c r="A928" s="658"/>
      <c r="B928" s="658"/>
      <c r="C928" s="658"/>
      <c r="D928" s="658"/>
      <c r="E928" s="658"/>
      <c r="F928" s="655"/>
      <c r="G928" s="656"/>
      <c r="H928" s="657"/>
      <c r="I928" s="657"/>
      <c r="J928" s="657"/>
      <c r="K928" s="657"/>
      <c r="L928" s="657"/>
    </row>
    <row r="929" spans="1:14">
      <c r="A929" s="1033" t="s">
        <v>2667</v>
      </c>
      <c r="B929" s="1034"/>
      <c r="C929" s="1034"/>
      <c r="D929" s="1034"/>
      <c r="E929" s="1034"/>
      <c r="F929" s="1034"/>
      <c r="G929" s="1034"/>
      <c r="H929" s="1034"/>
      <c r="I929" s="1034"/>
      <c r="J929" s="1034"/>
      <c r="K929" s="1034"/>
      <c r="L929" s="1035"/>
    </row>
    <row r="930" spans="1:14">
      <c r="A930" s="1036"/>
      <c r="B930" s="1037"/>
      <c r="C930" s="1037"/>
      <c r="D930" s="1037"/>
      <c r="E930" s="1037"/>
      <c r="F930" s="1037"/>
      <c r="G930" s="1037"/>
      <c r="H930" s="1037"/>
      <c r="I930" s="1037"/>
      <c r="J930" s="1037"/>
      <c r="K930" s="1037"/>
      <c r="L930" s="1038"/>
    </row>
    <row r="931" spans="1:14">
      <c r="A931" s="658"/>
      <c r="B931" s="856" t="s">
        <v>642</v>
      </c>
      <c r="C931" s="658" t="s">
        <v>2633</v>
      </c>
      <c r="D931" s="658" t="s">
        <v>2628</v>
      </c>
      <c r="E931" s="690" t="s">
        <v>117</v>
      </c>
      <c r="F931" s="653"/>
      <c r="G931" s="654"/>
      <c r="H931" s="657">
        <v>900000</v>
      </c>
      <c r="I931" s="657">
        <f t="shared" ref="I931" si="118">H931</f>
        <v>900000</v>
      </c>
      <c r="J931" s="657"/>
      <c r="K931" s="657"/>
      <c r="L931" s="657">
        <f t="shared" ref="L931" si="119">K931-I931</f>
        <v>-900000</v>
      </c>
    </row>
    <row r="932" spans="1:14">
      <c r="A932" s="658"/>
      <c r="B932" s="658"/>
      <c r="C932" s="658"/>
      <c r="D932" s="658"/>
      <c r="E932" s="690"/>
      <c r="F932" s="655"/>
      <c r="G932" s="656"/>
      <c r="H932" s="657"/>
      <c r="I932" s="657"/>
      <c r="J932" s="657"/>
      <c r="K932" s="657"/>
      <c r="L932" s="657"/>
    </row>
    <row r="933" spans="1:14">
      <c r="A933" s="658"/>
      <c r="B933" s="658"/>
      <c r="C933" s="658" t="s">
        <v>2637</v>
      </c>
      <c r="D933" s="658" t="s">
        <v>2628</v>
      </c>
      <c r="E933" s="658" t="s">
        <v>2375</v>
      </c>
      <c r="F933" s="653"/>
      <c r="G933" s="654"/>
      <c r="H933" s="657">
        <v>720000</v>
      </c>
      <c r="I933" s="657">
        <f t="shared" ref="I933" si="120">H933</f>
        <v>720000</v>
      </c>
      <c r="J933" s="657"/>
      <c r="K933" s="657">
        <v>720000</v>
      </c>
      <c r="L933" s="657">
        <f t="shared" ref="L933" si="121">K933-I933</f>
        <v>0</v>
      </c>
      <c r="M933" t="s">
        <v>2635</v>
      </c>
    </row>
    <row r="934" spans="1:14">
      <c r="A934" s="658"/>
      <c r="B934" s="658"/>
      <c r="C934" s="658"/>
      <c r="D934" s="658"/>
      <c r="E934" s="658"/>
      <c r="F934" s="655"/>
      <c r="G934" s="656"/>
      <c r="H934" s="657"/>
      <c r="I934" s="657"/>
      <c r="J934" s="657"/>
      <c r="K934" s="657"/>
      <c r="L934" s="657"/>
    </row>
    <row r="935" spans="1:14">
      <c r="A935" s="658"/>
      <c r="B935" s="658"/>
      <c r="C935" s="658" t="s">
        <v>2634</v>
      </c>
      <c r="D935" s="658" t="s">
        <v>2628</v>
      </c>
      <c r="E935" s="658" t="s">
        <v>2376</v>
      </c>
      <c r="F935" s="653"/>
      <c r="G935" s="654"/>
      <c r="H935" s="657">
        <v>540000</v>
      </c>
      <c r="I935" s="657">
        <f t="shared" ref="I935" si="122">H935</f>
        <v>540000</v>
      </c>
      <c r="J935" s="657"/>
      <c r="K935" s="657">
        <v>540000</v>
      </c>
      <c r="L935" s="657">
        <f t="shared" ref="L935" si="123">K935-I935</f>
        <v>0</v>
      </c>
      <c r="M935" t="s">
        <v>2636</v>
      </c>
    </row>
    <row r="936" spans="1:14">
      <c r="A936" s="658"/>
      <c r="B936" s="658"/>
      <c r="C936" s="658"/>
      <c r="D936" s="658"/>
      <c r="E936" s="658"/>
      <c r="F936" s="655"/>
      <c r="G936" s="656"/>
      <c r="H936" s="657"/>
      <c r="I936" s="657"/>
      <c r="J936" s="657"/>
      <c r="K936" s="657"/>
      <c r="L936" s="657"/>
    </row>
    <row r="937" spans="1:14">
      <c r="A937" s="658"/>
      <c r="B937" s="658" t="s">
        <v>2623</v>
      </c>
      <c r="C937" s="658" t="s">
        <v>2640</v>
      </c>
      <c r="D937" s="674" t="s">
        <v>2612</v>
      </c>
      <c r="E937" s="658" t="s">
        <v>239</v>
      </c>
      <c r="F937" s="653" t="s">
        <v>2641</v>
      </c>
      <c r="G937" s="654"/>
      <c r="H937" s="657">
        <v>43056</v>
      </c>
      <c r="I937" s="657">
        <v>12000000</v>
      </c>
      <c r="J937" s="657"/>
      <c r="K937" s="657">
        <v>12000000</v>
      </c>
      <c r="L937" s="657">
        <f t="shared" ref="L937" si="124">K937-I937</f>
        <v>0</v>
      </c>
    </row>
    <row r="938" spans="1:14">
      <c r="A938" s="658"/>
      <c r="B938" s="658"/>
      <c r="C938" s="658"/>
      <c r="D938" s="674"/>
      <c r="E938" s="658"/>
      <c r="F938" s="655"/>
      <c r="G938" s="656"/>
      <c r="H938" s="657"/>
      <c r="I938" s="657"/>
      <c r="J938" s="657"/>
      <c r="K938" s="657"/>
      <c r="L938" s="657"/>
    </row>
    <row r="939" spans="1:14">
      <c r="A939" s="658"/>
      <c r="B939" s="856" t="s">
        <v>646</v>
      </c>
      <c r="C939" s="658" t="s">
        <v>1083</v>
      </c>
      <c r="D939" s="658" t="s">
        <v>2628</v>
      </c>
      <c r="E939" s="658" t="s">
        <v>1144</v>
      </c>
      <c r="F939" s="653"/>
      <c r="G939" s="654"/>
      <c r="H939" s="657">
        <v>3840000</v>
      </c>
      <c r="I939" s="657">
        <f t="shared" ref="I939" si="125">H939</f>
        <v>3840000</v>
      </c>
      <c r="J939" s="657"/>
      <c r="K939" s="657">
        <v>3840000</v>
      </c>
      <c r="L939" s="657">
        <f t="shared" ref="L939" si="126">K939-I939</f>
        <v>0</v>
      </c>
      <c r="N939" s="573">
        <f xml:space="preserve"> SUM(I931,I933,I935,I937,I939,I941,I943,I945,I947,I949,I951,I953,I955,I959,I961,I963,I965,I967,I969,I971,I973,I975,I977,I979,I981,I983,I985,I987,I989,I991,I993,I995,I997,I999,I1001,I1005,I1007,I1011,I1017,I1019)-I937</f>
        <v>225910000</v>
      </c>
    </row>
    <row r="940" spans="1:14">
      <c r="A940" s="658"/>
      <c r="B940" s="658"/>
      <c r="C940" s="658"/>
      <c r="D940" s="658"/>
      <c r="E940" s="658"/>
      <c r="F940" s="655"/>
      <c r="G940" s="656"/>
      <c r="H940" s="657"/>
      <c r="I940" s="657"/>
      <c r="J940" s="657"/>
      <c r="K940" s="657"/>
      <c r="L940" s="657"/>
    </row>
    <row r="941" spans="1:14">
      <c r="A941" s="658"/>
      <c r="B941" s="658"/>
      <c r="C941" s="658" t="s">
        <v>1084</v>
      </c>
      <c r="D941" s="658" t="s">
        <v>2628</v>
      </c>
      <c r="E941" s="658" t="s">
        <v>1140</v>
      </c>
      <c r="F941" s="653"/>
      <c r="G941" s="654"/>
      <c r="H941" s="657">
        <v>3500000</v>
      </c>
      <c r="I941" s="657">
        <f t="shared" ref="I941" si="127">H941</f>
        <v>3500000</v>
      </c>
      <c r="J941" s="657"/>
      <c r="K941" s="657">
        <v>3500000</v>
      </c>
      <c r="L941" s="657">
        <f t="shared" ref="L941" si="128">K941-I941</f>
        <v>0</v>
      </c>
    </row>
    <row r="942" spans="1:14">
      <c r="A942" s="658"/>
      <c r="B942" s="658"/>
      <c r="C942" s="658"/>
      <c r="D942" s="658"/>
      <c r="E942" s="658"/>
      <c r="F942" s="655"/>
      <c r="G942" s="656"/>
      <c r="H942" s="657"/>
      <c r="I942" s="657"/>
      <c r="J942" s="657"/>
      <c r="K942" s="657"/>
      <c r="L942" s="657"/>
    </row>
    <row r="943" spans="1:14">
      <c r="A943" s="658"/>
      <c r="B943" s="658"/>
      <c r="C943" s="658" t="s">
        <v>1085</v>
      </c>
      <c r="D943" s="658" t="s">
        <v>2628</v>
      </c>
      <c r="E943" s="658" t="s">
        <v>2632</v>
      </c>
      <c r="F943" s="653"/>
      <c r="G943" s="654"/>
      <c r="H943" s="657">
        <v>3000000</v>
      </c>
      <c r="I943" s="657">
        <f t="shared" ref="I943" si="129">H943</f>
        <v>3000000</v>
      </c>
      <c r="J943" s="657"/>
      <c r="K943" s="657">
        <v>3000000</v>
      </c>
      <c r="L943" s="657">
        <f t="shared" ref="L943" si="130">K943-I943</f>
        <v>0</v>
      </c>
    </row>
    <row r="944" spans="1:14">
      <c r="A944" s="658"/>
      <c r="B944" s="658"/>
      <c r="C944" s="658"/>
      <c r="D944" s="658"/>
      <c r="E944" s="658"/>
      <c r="F944" s="655"/>
      <c r="G944" s="656"/>
      <c r="H944" s="657"/>
      <c r="I944" s="657"/>
      <c r="J944" s="657"/>
      <c r="K944" s="657"/>
      <c r="L944" s="657"/>
    </row>
    <row r="945" spans="1:14">
      <c r="A945" s="658"/>
      <c r="B945" s="658" t="s">
        <v>2630</v>
      </c>
      <c r="C945" s="658" t="s">
        <v>2659</v>
      </c>
      <c r="D945" s="658" t="s">
        <v>2631</v>
      </c>
      <c r="E945" s="658" t="s">
        <v>239</v>
      </c>
      <c r="F945" s="653" t="s">
        <v>2233</v>
      </c>
      <c r="G945" s="654"/>
      <c r="H945" s="657">
        <v>43929</v>
      </c>
      <c r="I945" s="657">
        <v>12000000</v>
      </c>
      <c r="J945" s="657"/>
      <c r="K945" s="657">
        <v>12000000</v>
      </c>
      <c r="L945" s="657">
        <f t="shared" ref="L945" si="131">K945-I945</f>
        <v>0</v>
      </c>
      <c r="M945" s="6" t="s">
        <v>2650</v>
      </c>
    </row>
    <row r="946" spans="1:14">
      <c r="A946" s="658"/>
      <c r="B946" s="658"/>
      <c r="C946" s="658"/>
      <c r="D946" s="658"/>
      <c r="E946" s="658"/>
      <c r="F946" s="655"/>
      <c r="G946" s="656"/>
      <c r="H946" s="657"/>
      <c r="I946" s="657"/>
      <c r="J946" s="657"/>
      <c r="K946" s="657"/>
      <c r="L946" s="657"/>
      <c r="M946" s="6" t="s">
        <v>2651</v>
      </c>
    </row>
    <row r="947" spans="1:14">
      <c r="A947" s="658"/>
      <c r="B947" s="856" t="s">
        <v>653</v>
      </c>
      <c r="C947" s="658" t="s">
        <v>2653</v>
      </c>
      <c r="D947" s="658" t="s">
        <v>2657</v>
      </c>
      <c r="E947" s="658" t="s">
        <v>2652</v>
      </c>
      <c r="F947" s="653"/>
      <c r="G947" s="654"/>
      <c r="H947" s="657">
        <v>2800000</v>
      </c>
      <c r="I947" s="657">
        <f t="shared" ref="I947" si="132">H947</f>
        <v>2800000</v>
      </c>
      <c r="J947" s="657"/>
      <c r="K947" s="657">
        <v>2800000</v>
      </c>
      <c r="L947" s="657">
        <f t="shared" ref="L947" si="133">K947-I947</f>
        <v>0</v>
      </c>
    </row>
    <row r="948" spans="1:14">
      <c r="A948" s="658"/>
      <c r="B948" s="658"/>
      <c r="C948" s="658"/>
      <c r="D948" s="658"/>
      <c r="E948" s="658"/>
      <c r="F948" s="655"/>
      <c r="G948" s="656"/>
      <c r="H948" s="657"/>
      <c r="I948" s="657"/>
      <c r="J948" s="657"/>
      <c r="K948" s="657"/>
      <c r="L948" s="657"/>
    </row>
    <row r="949" spans="1:14">
      <c r="A949" s="658"/>
      <c r="B949" s="658" t="s">
        <v>2616</v>
      </c>
      <c r="C949" s="658" t="s">
        <v>2648</v>
      </c>
      <c r="D949" s="658" t="s">
        <v>2628</v>
      </c>
      <c r="E949" s="658" t="s">
        <v>239</v>
      </c>
      <c r="F949" s="653" t="s">
        <v>2233</v>
      </c>
      <c r="G949" s="654"/>
      <c r="H949" s="657">
        <v>44220</v>
      </c>
      <c r="I949" s="657">
        <v>12000000</v>
      </c>
      <c r="J949" s="657"/>
      <c r="K949" s="657">
        <v>12000000</v>
      </c>
      <c r="L949" s="657">
        <f t="shared" ref="L949" si="134">K949-I949</f>
        <v>0</v>
      </c>
    </row>
    <row r="950" spans="1:14">
      <c r="A950" s="658"/>
      <c r="B950" s="658"/>
      <c r="C950" s="658"/>
      <c r="D950" s="658"/>
      <c r="E950" s="658"/>
      <c r="F950" s="655"/>
      <c r="G950" s="656"/>
      <c r="H950" s="657"/>
      <c r="I950" s="657"/>
      <c r="J950" s="657"/>
      <c r="K950" s="657"/>
      <c r="L950" s="657"/>
      <c r="N950" t="s">
        <v>2627</v>
      </c>
    </row>
    <row r="951" spans="1:14">
      <c r="A951" s="658"/>
      <c r="B951" s="856" t="s">
        <v>650</v>
      </c>
      <c r="C951" s="658" t="s">
        <v>2633</v>
      </c>
      <c r="D951" s="658" t="s">
        <v>2645</v>
      </c>
      <c r="E951" s="658" t="s">
        <v>2450</v>
      </c>
      <c r="F951" s="653"/>
      <c r="G951" s="654"/>
      <c r="H951" s="657">
        <v>3000000</v>
      </c>
      <c r="I951" s="657">
        <f t="shared" ref="I951" si="135">H951</f>
        <v>3000000</v>
      </c>
      <c r="J951" s="657"/>
      <c r="K951" s="657">
        <v>3000000</v>
      </c>
      <c r="L951" s="657">
        <f t="shared" ref="L951" si="136">K951-I951</f>
        <v>0</v>
      </c>
      <c r="N951" s="6" t="s">
        <v>2795</v>
      </c>
    </row>
    <row r="952" spans="1:14">
      <c r="A952" s="658"/>
      <c r="B952" s="658"/>
      <c r="C952" s="658"/>
      <c r="D952" s="658"/>
      <c r="E952" s="658"/>
      <c r="F952" s="655"/>
      <c r="G952" s="656"/>
      <c r="H952" s="657"/>
      <c r="I952" s="657"/>
      <c r="J952" s="657"/>
      <c r="K952" s="657"/>
      <c r="L952" s="657"/>
    </row>
    <row r="953" spans="1:14">
      <c r="A953" s="658"/>
      <c r="B953" s="658"/>
      <c r="C953" s="658" t="s">
        <v>2634</v>
      </c>
      <c r="D953" s="658" t="s">
        <v>2645</v>
      </c>
      <c r="E953" s="658" t="s">
        <v>2643</v>
      </c>
      <c r="F953" s="653"/>
      <c r="G953" s="654"/>
      <c r="H953" s="657">
        <v>3800000</v>
      </c>
      <c r="I953" s="657">
        <f t="shared" ref="I953" si="137">H953</f>
        <v>3800000</v>
      </c>
      <c r="J953" s="657"/>
      <c r="K953" s="657">
        <v>3800000</v>
      </c>
      <c r="L953" s="657">
        <f t="shared" ref="L953" si="138">K953-I953</f>
        <v>0</v>
      </c>
    </row>
    <row r="954" spans="1:14">
      <c r="A954" s="658"/>
      <c r="B954" s="658"/>
      <c r="C954" s="658"/>
      <c r="D954" s="658"/>
      <c r="E954" s="658"/>
      <c r="F954" s="655"/>
      <c r="G954" s="656"/>
      <c r="H954" s="657"/>
      <c r="I954" s="657"/>
      <c r="J954" s="657"/>
      <c r="K954" s="657"/>
      <c r="L954" s="657"/>
    </row>
    <row r="955" spans="1:14">
      <c r="A955" s="658"/>
      <c r="B955" s="658"/>
      <c r="C955" s="658" t="s">
        <v>2637</v>
      </c>
      <c r="D955" s="658" t="s">
        <v>2645</v>
      </c>
      <c r="E955" s="658" t="s">
        <v>2644</v>
      </c>
      <c r="F955" s="653"/>
      <c r="G955" s="654"/>
      <c r="H955" s="657">
        <v>3300000</v>
      </c>
      <c r="I955" s="657">
        <f t="shared" ref="I955" si="139">H955</f>
        <v>3300000</v>
      </c>
      <c r="J955" s="657"/>
      <c r="K955" s="657">
        <v>3300000</v>
      </c>
      <c r="L955" s="657">
        <f t="shared" ref="L955" si="140">K955-I955</f>
        <v>0</v>
      </c>
    </row>
    <row r="956" spans="1:14">
      <c r="A956" s="658"/>
      <c r="B956" s="658"/>
      <c r="C956" s="658"/>
      <c r="D956" s="658"/>
      <c r="E956" s="658"/>
      <c r="F956" s="655"/>
      <c r="G956" s="656"/>
      <c r="H956" s="657"/>
      <c r="I956" s="657"/>
      <c r="J956" s="657"/>
      <c r="K956" s="657"/>
      <c r="L956" s="657"/>
    </row>
    <row r="957" spans="1:14">
      <c r="A957" s="658"/>
      <c r="B957" s="658" t="s">
        <v>2647</v>
      </c>
      <c r="C957" s="658" t="s">
        <v>1073</v>
      </c>
      <c r="D957" s="674" t="s">
        <v>2622</v>
      </c>
      <c r="E957" s="658" t="s">
        <v>2621</v>
      </c>
      <c r="F957" s="653"/>
      <c r="G957" s="654"/>
      <c r="H957" s="657">
        <v>1700000</v>
      </c>
      <c r="I957" s="657">
        <f t="shared" ref="I957" si="141">H957</f>
        <v>1700000</v>
      </c>
      <c r="J957" s="657"/>
      <c r="K957" s="657"/>
      <c r="L957" s="657">
        <f t="shared" ref="L957" si="142">K957-I957</f>
        <v>-1700000</v>
      </c>
    </row>
    <row r="958" spans="1:14">
      <c r="A958" s="658"/>
      <c r="B958" s="658"/>
      <c r="C958" s="658"/>
      <c r="D958" s="674"/>
      <c r="E958" s="658"/>
      <c r="F958" s="655"/>
      <c r="G958" s="656"/>
      <c r="H958" s="657"/>
      <c r="I958" s="657"/>
      <c r="J958" s="657"/>
      <c r="K958" s="657"/>
      <c r="L958" s="657"/>
    </row>
    <row r="959" spans="1:14">
      <c r="A959" s="658"/>
      <c r="B959" s="658" t="s">
        <v>2629</v>
      </c>
      <c r="C959" s="658" t="s">
        <v>2658</v>
      </c>
      <c r="D959" s="658" t="s">
        <v>2631</v>
      </c>
      <c r="E959" s="658" t="s">
        <v>239</v>
      </c>
      <c r="F959" s="653" t="s">
        <v>2233</v>
      </c>
      <c r="G959" s="654"/>
      <c r="H959" s="657">
        <v>44292</v>
      </c>
      <c r="I959" s="657">
        <v>12000000</v>
      </c>
      <c r="J959" s="657"/>
      <c r="K959" s="657">
        <v>12000000</v>
      </c>
      <c r="L959" s="657">
        <f t="shared" ref="L959" si="143">K959-I959</f>
        <v>0</v>
      </c>
    </row>
    <row r="960" spans="1:14">
      <c r="A960" s="658"/>
      <c r="B960" s="658"/>
      <c r="C960" s="658"/>
      <c r="D960" s="658"/>
      <c r="E960" s="658"/>
      <c r="F960" s="655"/>
      <c r="G960" s="656"/>
      <c r="H960" s="657"/>
      <c r="I960" s="657"/>
      <c r="J960" s="657"/>
      <c r="K960" s="657"/>
      <c r="L960" s="657"/>
    </row>
    <row r="961" spans="1:12">
      <c r="A961" s="658"/>
      <c r="B961" s="856" t="s">
        <v>654</v>
      </c>
      <c r="C961" s="658" t="s">
        <v>1867</v>
      </c>
      <c r="D961" s="658" t="s">
        <v>2656</v>
      </c>
      <c r="E961" s="658" t="s">
        <v>1601</v>
      </c>
      <c r="F961" s="653"/>
      <c r="G961" s="654"/>
      <c r="H961" s="657">
        <v>8000000</v>
      </c>
      <c r="I961" s="657">
        <f t="shared" ref="I961" si="144">H961</f>
        <v>8000000</v>
      </c>
      <c r="J961" s="657"/>
      <c r="K961" s="657">
        <v>8000000</v>
      </c>
      <c r="L961" s="657">
        <f t="shared" ref="L961" si="145">K961-I961</f>
        <v>0</v>
      </c>
    </row>
    <row r="962" spans="1:12">
      <c r="A962" s="658"/>
      <c r="B962" s="658"/>
      <c r="C962" s="658"/>
      <c r="D962" s="658"/>
      <c r="E962" s="658"/>
      <c r="F962" s="655"/>
      <c r="G962" s="656"/>
      <c r="H962" s="657"/>
      <c r="I962" s="657"/>
      <c r="J962" s="657"/>
      <c r="K962" s="657"/>
      <c r="L962" s="657"/>
    </row>
    <row r="963" spans="1:12">
      <c r="A963" s="658"/>
      <c r="B963" s="658"/>
      <c r="C963" s="658" t="s">
        <v>2646</v>
      </c>
      <c r="D963" s="658" t="s">
        <v>2657</v>
      </c>
      <c r="E963" s="690" t="s">
        <v>117</v>
      </c>
      <c r="F963" s="653"/>
      <c r="G963" s="654"/>
      <c r="H963" s="657">
        <v>900000</v>
      </c>
      <c r="I963" s="657">
        <f t="shared" ref="I963" si="146">H963</f>
        <v>900000</v>
      </c>
      <c r="J963" s="657"/>
      <c r="K963" s="657"/>
      <c r="L963" s="657">
        <f t="shared" ref="L963" si="147">K963-I963</f>
        <v>-900000</v>
      </c>
    </row>
    <row r="964" spans="1:12">
      <c r="A964" s="658"/>
      <c r="B964" s="658"/>
      <c r="C964" s="658"/>
      <c r="D964" s="658"/>
      <c r="E964" s="690"/>
      <c r="F964" s="655"/>
      <c r="G964" s="656"/>
      <c r="H964" s="657"/>
      <c r="I964" s="657"/>
      <c r="J964" s="657"/>
      <c r="K964" s="657"/>
      <c r="L964" s="657"/>
    </row>
    <row r="965" spans="1:12">
      <c r="A965" s="658"/>
      <c r="B965" s="658" t="s">
        <v>2642</v>
      </c>
      <c r="C965" s="658" t="s">
        <v>2662</v>
      </c>
      <c r="D965" s="658" t="s">
        <v>2661</v>
      </c>
      <c r="E965" s="658" t="s">
        <v>239</v>
      </c>
      <c r="F965" s="653" t="s">
        <v>2233</v>
      </c>
      <c r="G965" s="654"/>
      <c r="H965" s="657">
        <v>43295</v>
      </c>
      <c r="I965" s="657">
        <v>12000000</v>
      </c>
      <c r="J965" s="657"/>
      <c r="K965" s="657">
        <v>12000000</v>
      </c>
      <c r="L965" s="657">
        <f t="shared" ref="L965" si="148">K965-I965</f>
        <v>0</v>
      </c>
    </row>
    <row r="966" spans="1:12">
      <c r="A966" s="658"/>
      <c r="B966" s="658"/>
      <c r="C966" s="658"/>
      <c r="D966" s="658"/>
      <c r="E966" s="658"/>
      <c r="F966" s="655"/>
      <c r="G966" s="656"/>
      <c r="H966" s="657"/>
      <c r="I966" s="657"/>
      <c r="J966" s="657"/>
      <c r="K966" s="657"/>
      <c r="L966" s="657"/>
    </row>
    <row r="967" spans="1:12">
      <c r="A967" s="658"/>
      <c r="B967" s="658"/>
      <c r="C967" s="658" t="s">
        <v>2671</v>
      </c>
      <c r="D967" s="658" t="s">
        <v>2669</v>
      </c>
      <c r="E967" s="690" t="s">
        <v>2376</v>
      </c>
      <c r="F967" s="653"/>
      <c r="G967" s="654"/>
      <c r="H967" s="657">
        <v>540000</v>
      </c>
      <c r="I967" s="657">
        <f t="shared" ref="I967" si="149">H967</f>
        <v>540000</v>
      </c>
      <c r="J967" s="657"/>
      <c r="K967" s="657"/>
      <c r="L967" s="657">
        <f t="shared" ref="L967" si="150">K967-I967</f>
        <v>-540000</v>
      </c>
    </row>
    <row r="968" spans="1:12">
      <c r="A968" s="658"/>
      <c r="B968" s="658"/>
      <c r="C968" s="658"/>
      <c r="D968" s="658"/>
      <c r="E968" s="690"/>
      <c r="F968" s="655"/>
      <c r="G968" s="656"/>
      <c r="H968" s="657"/>
      <c r="I968" s="657"/>
      <c r="J968" s="657"/>
      <c r="K968" s="657"/>
      <c r="L968" s="657"/>
    </row>
    <row r="969" spans="1:12">
      <c r="A969" s="658"/>
      <c r="B969" s="856" t="s">
        <v>655</v>
      </c>
      <c r="C969" s="658" t="s">
        <v>1866</v>
      </c>
      <c r="D969" s="658" t="s">
        <v>2669</v>
      </c>
      <c r="E969" s="658" t="s">
        <v>2375</v>
      </c>
      <c r="F969" s="653"/>
      <c r="G969" s="654"/>
      <c r="H969" s="657">
        <v>720000</v>
      </c>
      <c r="I969" s="657">
        <f>H969</f>
        <v>720000</v>
      </c>
      <c r="J969" s="657"/>
      <c r="K969" s="657">
        <v>720000</v>
      </c>
      <c r="L969" s="657">
        <f>K969-I969</f>
        <v>0</v>
      </c>
    </row>
    <row r="970" spans="1:12">
      <c r="A970" s="658"/>
      <c r="B970" s="658"/>
      <c r="C970" s="658"/>
      <c r="D970" s="658"/>
      <c r="E970" s="658"/>
      <c r="F970" s="655"/>
      <c r="G970" s="656"/>
      <c r="H970" s="657"/>
      <c r="I970" s="657"/>
      <c r="J970" s="657"/>
      <c r="K970" s="657"/>
      <c r="L970" s="657"/>
    </row>
    <row r="971" spans="1:12">
      <c r="A971" s="658"/>
      <c r="B971" s="658"/>
      <c r="C971" s="658" t="s">
        <v>2673</v>
      </c>
      <c r="D971" s="658" t="s">
        <v>2672</v>
      </c>
      <c r="E971" s="658" t="s">
        <v>2660</v>
      </c>
      <c r="F971" s="653"/>
      <c r="G971" s="654"/>
      <c r="H971" s="657">
        <v>3200000</v>
      </c>
      <c r="I971" s="657">
        <f>H971</f>
        <v>3200000</v>
      </c>
      <c r="J971" s="657"/>
      <c r="K971" s="657">
        <v>3200000</v>
      </c>
      <c r="L971" s="657">
        <f>K971-I971</f>
        <v>0</v>
      </c>
    </row>
    <row r="972" spans="1:12">
      <c r="A972" s="658"/>
      <c r="B972" s="658"/>
      <c r="C972" s="658"/>
      <c r="D972" s="658"/>
      <c r="E972" s="658"/>
      <c r="F972" s="655"/>
      <c r="G972" s="656"/>
      <c r="H972" s="657"/>
      <c r="I972" s="657"/>
      <c r="J972" s="657"/>
      <c r="K972" s="657"/>
      <c r="L972" s="657"/>
    </row>
    <row r="973" spans="1:12">
      <c r="A973" s="658"/>
      <c r="B973" s="658" t="s">
        <v>2649</v>
      </c>
      <c r="C973" s="658" t="s">
        <v>2664</v>
      </c>
      <c r="D973" s="658" t="s">
        <v>2657</v>
      </c>
      <c r="E973" s="658" t="s">
        <v>239</v>
      </c>
      <c r="F973" s="653" t="s">
        <v>2233</v>
      </c>
      <c r="G973" s="654"/>
      <c r="H973" s="657">
        <v>43447</v>
      </c>
      <c r="I973" s="657">
        <v>12000000</v>
      </c>
      <c r="J973" s="657"/>
      <c r="K973" s="657">
        <v>12000000</v>
      </c>
      <c r="L973" s="657">
        <f t="shared" ref="L973" si="151">K973-I973</f>
        <v>0</v>
      </c>
    </row>
    <row r="974" spans="1:12">
      <c r="A974" s="658"/>
      <c r="B974" s="658"/>
      <c r="C974" s="658"/>
      <c r="D974" s="658"/>
      <c r="E974" s="658"/>
      <c r="F974" s="655"/>
      <c r="G974" s="656"/>
      <c r="H974" s="657"/>
      <c r="I974" s="657"/>
      <c r="J974" s="657"/>
      <c r="K974" s="657"/>
      <c r="L974" s="657"/>
    </row>
    <row r="975" spans="1:12">
      <c r="A975" s="658"/>
      <c r="B975" s="856" t="s">
        <v>659</v>
      </c>
      <c r="C975" s="658" t="s">
        <v>2670</v>
      </c>
      <c r="D975" s="658" t="s">
        <v>2663</v>
      </c>
      <c r="E975" s="690" t="s">
        <v>2517</v>
      </c>
      <c r="F975" s="653"/>
      <c r="G975" s="654"/>
      <c r="H975" s="657">
        <v>2000000</v>
      </c>
      <c r="I975" s="657">
        <f t="shared" ref="I975" si="152">H975</f>
        <v>2000000</v>
      </c>
      <c r="J975" s="657"/>
      <c r="K975" s="657"/>
      <c r="L975" s="657">
        <f t="shared" ref="L975" si="153">K975-I975</f>
        <v>-2000000</v>
      </c>
    </row>
    <row r="976" spans="1:12">
      <c r="A976" s="658"/>
      <c r="B976" s="658"/>
      <c r="C976" s="658"/>
      <c r="D976" s="658"/>
      <c r="E976" s="690"/>
      <c r="F976" s="655"/>
      <c r="G976" s="656"/>
      <c r="H976" s="657"/>
      <c r="I976" s="657"/>
      <c r="J976" s="657"/>
      <c r="K976" s="657"/>
      <c r="L976" s="657"/>
    </row>
    <row r="977" spans="1:12">
      <c r="A977" s="658"/>
      <c r="B977" s="658" t="s">
        <v>2654</v>
      </c>
      <c r="C977" s="658" t="s">
        <v>2666</v>
      </c>
      <c r="D977" s="658" t="s">
        <v>2663</v>
      </c>
      <c r="E977" s="658" t="s">
        <v>239</v>
      </c>
      <c r="F977" s="653" t="s">
        <v>2233</v>
      </c>
      <c r="G977" s="654"/>
      <c r="H977" s="657">
        <v>43633</v>
      </c>
      <c r="I977" s="657">
        <v>12000000</v>
      </c>
      <c r="J977" s="657"/>
      <c r="K977" s="657">
        <v>12000000</v>
      </c>
      <c r="L977" s="657">
        <f t="shared" ref="L977" si="154">K977-I977</f>
        <v>0</v>
      </c>
    </row>
    <row r="978" spans="1:12">
      <c r="A978" s="658"/>
      <c r="B978" s="658"/>
      <c r="C978" s="658"/>
      <c r="D978" s="658"/>
      <c r="E978" s="658"/>
      <c r="F978" s="655"/>
      <c r="G978" s="656"/>
      <c r="H978" s="657"/>
      <c r="I978" s="657"/>
      <c r="J978" s="657"/>
      <c r="K978" s="657"/>
      <c r="L978" s="657"/>
    </row>
    <row r="979" spans="1:12">
      <c r="A979" s="658"/>
      <c r="B979" s="854" t="s">
        <v>660</v>
      </c>
      <c r="C979" s="658" t="s">
        <v>2674</v>
      </c>
      <c r="D979" s="658" t="s">
        <v>2672</v>
      </c>
      <c r="E979" s="690" t="s">
        <v>2231</v>
      </c>
      <c r="F979" s="653"/>
      <c r="G979" s="654"/>
      <c r="H979" s="657">
        <v>2800000</v>
      </c>
      <c r="I979" s="657">
        <f t="shared" ref="I979" si="155">H979</f>
        <v>2800000</v>
      </c>
      <c r="J979" s="657"/>
      <c r="K979" s="657"/>
      <c r="L979" s="657">
        <f t="shared" ref="L979" si="156">K979-I979</f>
        <v>-2800000</v>
      </c>
    </row>
    <row r="980" spans="1:12">
      <c r="A980" s="658"/>
      <c r="B980" s="854"/>
      <c r="C980" s="658"/>
      <c r="D980" s="658"/>
      <c r="E980" s="690"/>
      <c r="F980" s="655"/>
      <c r="G980" s="656"/>
      <c r="H980" s="657"/>
      <c r="I980" s="657"/>
      <c r="J980" s="657"/>
      <c r="K980" s="657"/>
      <c r="L980" s="657"/>
    </row>
    <row r="981" spans="1:12">
      <c r="A981" s="658"/>
      <c r="B981" s="658"/>
      <c r="C981" s="658" t="s">
        <v>2675</v>
      </c>
      <c r="D981" s="658" t="s">
        <v>2672</v>
      </c>
      <c r="E981" s="658" t="s">
        <v>2231</v>
      </c>
      <c r="F981" s="653"/>
      <c r="G981" s="654"/>
      <c r="H981" s="657">
        <v>2900000</v>
      </c>
      <c r="I981" s="657">
        <f t="shared" ref="I981" si="157">H981</f>
        <v>2900000</v>
      </c>
      <c r="J981" s="657"/>
      <c r="K981" s="657">
        <v>2900000</v>
      </c>
      <c r="L981" s="657">
        <f t="shared" ref="L981" si="158">K981-I981</f>
        <v>0</v>
      </c>
    </row>
    <row r="982" spans="1:12">
      <c r="A982" s="658"/>
      <c r="B982" s="658"/>
      <c r="C982" s="658"/>
      <c r="D982" s="658"/>
      <c r="E982" s="658"/>
      <c r="F982" s="655"/>
      <c r="G982" s="656"/>
      <c r="H982" s="657"/>
      <c r="I982" s="657"/>
      <c r="J982" s="657"/>
      <c r="K982" s="657"/>
      <c r="L982" s="657"/>
    </row>
    <row r="983" spans="1:12">
      <c r="A983" s="658"/>
      <c r="B983" s="658"/>
      <c r="C983" s="658" t="s">
        <v>2676</v>
      </c>
      <c r="D983" s="658" t="s">
        <v>2672</v>
      </c>
      <c r="E983" s="658" t="s">
        <v>2592</v>
      </c>
      <c r="F983" s="653"/>
      <c r="G983" s="654"/>
      <c r="H983" s="657">
        <v>3500000</v>
      </c>
      <c r="I983" s="657">
        <f t="shared" ref="I983" si="159">H983</f>
        <v>3500000</v>
      </c>
      <c r="J983" s="657"/>
      <c r="K983" s="657">
        <v>3500000</v>
      </c>
      <c r="L983" s="657">
        <f t="shared" ref="L983" si="160">K983-I983</f>
        <v>0</v>
      </c>
    </row>
    <row r="984" spans="1:12">
      <c r="A984" s="658"/>
      <c r="B984" s="658"/>
      <c r="C984" s="658"/>
      <c r="D984" s="658"/>
      <c r="E984" s="658"/>
      <c r="F984" s="655"/>
      <c r="G984" s="656"/>
      <c r="H984" s="657"/>
      <c r="I984" s="657"/>
      <c r="J984" s="657"/>
      <c r="K984" s="657"/>
      <c r="L984" s="657"/>
    </row>
    <row r="985" spans="1:12">
      <c r="A985" s="658"/>
      <c r="B985" s="658" t="s">
        <v>2655</v>
      </c>
      <c r="C985" s="658" t="s">
        <v>2665</v>
      </c>
      <c r="D985" s="658" t="s">
        <v>2663</v>
      </c>
      <c r="E985" s="658" t="s">
        <v>239</v>
      </c>
      <c r="F985" s="653" t="s">
        <v>2233</v>
      </c>
      <c r="G985" s="654"/>
      <c r="H985" s="657">
        <v>44024</v>
      </c>
      <c r="I985" s="657">
        <v>12000000</v>
      </c>
      <c r="J985" s="657"/>
      <c r="K985" s="657">
        <v>12000000</v>
      </c>
      <c r="L985" s="657">
        <f t="shared" ref="L985" si="161">K985-I985</f>
        <v>0</v>
      </c>
    </row>
    <row r="986" spans="1:12">
      <c r="A986" s="658"/>
      <c r="B986" s="658"/>
      <c r="C986" s="658"/>
      <c r="D986" s="658"/>
      <c r="E986" s="658"/>
      <c r="F986" s="655"/>
      <c r="G986" s="656"/>
      <c r="H986" s="657"/>
      <c r="I986" s="657"/>
      <c r="J986" s="657"/>
      <c r="K986" s="657"/>
      <c r="L986" s="657"/>
    </row>
    <row r="987" spans="1:12">
      <c r="A987" s="658"/>
      <c r="B987" s="854" t="s">
        <v>666</v>
      </c>
      <c r="C987" s="658" t="s">
        <v>2668</v>
      </c>
      <c r="D987" s="658" t="s">
        <v>2669</v>
      </c>
      <c r="E987" s="658" t="s">
        <v>1140</v>
      </c>
      <c r="F987" s="653"/>
      <c r="G987" s="654"/>
      <c r="H987" s="657">
        <v>6000000</v>
      </c>
      <c r="I987" s="657">
        <f t="shared" ref="I987" si="162">H987</f>
        <v>6000000</v>
      </c>
      <c r="J987" s="657"/>
      <c r="K987" s="657">
        <v>6000000</v>
      </c>
      <c r="L987" s="657">
        <f t="shared" ref="L987" si="163">K987-I987</f>
        <v>0</v>
      </c>
    </row>
    <row r="988" spans="1:12">
      <c r="A988" s="658"/>
      <c r="B988" s="658"/>
      <c r="C988" s="658"/>
      <c r="D988" s="658"/>
      <c r="E988" s="658"/>
      <c r="F988" s="655"/>
      <c r="G988" s="656"/>
      <c r="H988" s="657"/>
      <c r="I988" s="657"/>
      <c r="J988" s="657"/>
      <c r="K988" s="657"/>
      <c r="L988" s="657"/>
    </row>
    <row r="989" spans="1:12">
      <c r="A989" s="658"/>
      <c r="B989" s="658"/>
      <c r="C989" s="658" t="s">
        <v>2677</v>
      </c>
      <c r="D989" s="658" t="s">
        <v>2678</v>
      </c>
      <c r="E989" s="658" t="s">
        <v>2280</v>
      </c>
      <c r="F989" s="653"/>
      <c r="G989" s="654"/>
      <c r="H989" s="657">
        <v>4000000</v>
      </c>
      <c r="I989" s="657">
        <f t="shared" ref="I989" si="164">H989</f>
        <v>4000000</v>
      </c>
      <c r="J989" s="657"/>
      <c r="K989" s="657">
        <v>4000000</v>
      </c>
      <c r="L989" s="657">
        <f t="shared" ref="L989" si="165">K989-I989</f>
        <v>0</v>
      </c>
    </row>
    <row r="990" spans="1:12">
      <c r="A990" s="658"/>
      <c r="B990" s="658"/>
      <c r="C990" s="658"/>
      <c r="D990" s="658"/>
      <c r="E990" s="658"/>
      <c r="F990" s="655"/>
      <c r="G990" s="656"/>
      <c r="H990" s="657"/>
      <c r="I990" s="657"/>
      <c r="J990" s="657"/>
      <c r="K990" s="657"/>
      <c r="L990" s="657"/>
    </row>
    <row r="991" spans="1:12">
      <c r="A991" s="658"/>
      <c r="B991" s="658" t="s">
        <v>2679</v>
      </c>
      <c r="C991" s="658" t="s">
        <v>2691</v>
      </c>
      <c r="D991" s="658" t="s">
        <v>2690</v>
      </c>
      <c r="E991" s="658" t="s">
        <v>239</v>
      </c>
      <c r="F991" s="653"/>
      <c r="G991" s="654"/>
      <c r="H991" s="657">
        <v>43911</v>
      </c>
      <c r="I991" s="657">
        <v>12000000</v>
      </c>
      <c r="J991" s="657"/>
      <c r="K991" s="657">
        <v>12000000</v>
      </c>
      <c r="L991" s="657">
        <f t="shared" ref="L991" si="166">K991-I991</f>
        <v>0</v>
      </c>
    </row>
    <row r="992" spans="1:12">
      <c r="A992" s="658"/>
      <c r="B992" s="658"/>
      <c r="C992" s="658"/>
      <c r="D992" s="658"/>
      <c r="E992" s="658"/>
      <c r="F992" s="655"/>
      <c r="G992" s="656"/>
      <c r="H992" s="657"/>
      <c r="I992" s="657"/>
      <c r="J992" s="657"/>
      <c r="K992" s="657"/>
      <c r="L992" s="657"/>
    </row>
    <row r="993" spans="1:14">
      <c r="A993" s="658"/>
      <c r="B993" s="854" t="s">
        <v>675</v>
      </c>
      <c r="C993" s="658" t="s">
        <v>2693</v>
      </c>
      <c r="D993" s="658" t="s">
        <v>2692</v>
      </c>
      <c r="E993" s="690" t="s">
        <v>117</v>
      </c>
      <c r="F993" s="653"/>
      <c r="G993" s="654"/>
      <c r="H993" s="657">
        <v>900000</v>
      </c>
      <c r="I993" s="657">
        <v>900000</v>
      </c>
      <c r="J993" s="657"/>
      <c r="K993" s="657"/>
      <c r="L993" s="657">
        <f t="shared" ref="L993" si="167">K993-I993</f>
        <v>-900000</v>
      </c>
    </row>
    <row r="994" spans="1:14">
      <c r="A994" s="658"/>
      <c r="B994" s="658"/>
      <c r="C994" s="658"/>
      <c r="D994" s="658"/>
      <c r="E994" s="690"/>
      <c r="F994" s="655"/>
      <c r="G994" s="656"/>
      <c r="H994" s="657"/>
      <c r="I994" s="657"/>
      <c r="J994" s="657"/>
      <c r="K994" s="657"/>
      <c r="L994" s="657"/>
    </row>
    <row r="995" spans="1:14">
      <c r="A995" s="658"/>
      <c r="B995" s="658" t="s">
        <v>2680</v>
      </c>
      <c r="C995" s="658" t="s">
        <v>2694</v>
      </c>
      <c r="D995" s="658" t="s">
        <v>2690</v>
      </c>
      <c r="E995" s="658" t="s">
        <v>239</v>
      </c>
      <c r="F995" s="653" t="s">
        <v>2467</v>
      </c>
      <c r="G995" s="654"/>
      <c r="H995" s="657">
        <v>44756</v>
      </c>
      <c r="I995" s="657">
        <v>12000000</v>
      </c>
      <c r="J995" s="657"/>
      <c r="K995" s="657">
        <v>12000000</v>
      </c>
      <c r="L995" s="657">
        <f t="shared" ref="L995" si="168">K995-I995</f>
        <v>0</v>
      </c>
    </row>
    <row r="996" spans="1:14">
      <c r="A996" s="658"/>
      <c r="B996" s="658"/>
      <c r="C996" s="658"/>
      <c r="D996" s="658"/>
      <c r="E996" s="658"/>
      <c r="F996" s="655"/>
      <c r="G996" s="656"/>
      <c r="H996" s="657"/>
      <c r="I996" s="657"/>
      <c r="J996" s="657"/>
      <c r="K996" s="657"/>
      <c r="L996" s="657"/>
    </row>
    <row r="997" spans="1:14">
      <c r="A997" s="658"/>
      <c r="B997" s="854" t="s">
        <v>676</v>
      </c>
      <c r="C997" s="658" t="s">
        <v>2683</v>
      </c>
      <c r="D997" s="658" t="s">
        <v>2684</v>
      </c>
      <c r="E997" s="693" t="s">
        <v>2182</v>
      </c>
      <c r="F997" s="653"/>
      <c r="G997" s="654"/>
      <c r="H997" s="657">
        <v>7000000</v>
      </c>
      <c r="I997" s="657">
        <v>7000000</v>
      </c>
      <c r="J997" s="657"/>
      <c r="K997" s="657">
        <v>2000000</v>
      </c>
      <c r="L997" s="657">
        <f t="shared" ref="L997" si="169">K997-I997</f>
        <v>-5000000</v>
      </c>
      <c r="N997" s="6" t="s">
        <v>2696</v>
      </c>
    </row>
    <row r="998" spans="1:14">
      <c r="A998" s="658"/>
      <c r="B998" s="658"/>
      <c r="C998" s="658"/>
      <c r="D998" s="658"/>
      <c r="E998" s="693"/>
      <c r="F998" s="655"/>
      <c r="G998" s="656"/>
      <c r="H998" s="657"/>
      <c r="I998" s="657"/>
      <c r="J998" s="657"/>
      <c r="K998" s="657"/>
      <c r="L998" s="657"/>
    </row>
    <row r="999" spans="1:14">
      <c r="A999" s="658"/>
      <c r="B999" s="658" t="s">
        <v>2689</v>
      </c>
      <c r="C999" s="658" t="s">
        <v>2695</v>
      </c>
      <c r="D999" s="658" t="s">
        <v>2690</v>
      </c>
      <c r="E999" s="658" t="s">
        <v>239</v>
      </c>
      <c r="F999" s="653"/>
      <c r="G999" s="654"/>
      <c r="H999" s="657">
        <v>44223</v>
      </c>
      <c r="I999" s="657">
        <v>12000000</v>
      </c>
      <c r="J999" s="657"/>
      <c r="K999" s="657">
        <v>12000000</v>
      </c>
      <c r="L999" s="657">
        <f t="shared" ref="L999" si="170">K999-I999</f>
        <v>0</v>
      </c>
    </row>
    <row r="1000" spans="1:14">
      <c r="A1000" s="658"/>
      <c r="B1000" s="658"/>
      <c r="C1000" s="658"/>
      <c r="D1000" s="658"/>
      <c r="E1000" s="658"/>
      <c r="F1000" s="655"/>
      <c r="G1000" s="656"/>
      <c r="H1000" s="657"/>
      <c r="I1000" s="657"/>
      <c r="J1000" s="657"/>
      <c r="K1000" s="657"/>
      <c r="L1000" s="657"/>
    </row>
    <row r="1001" spans="1:14">
      <c r="A1001" s="658"/>
      <c r="B1001" s="658"/>
      <c r="C1001" s="658" t="s">
        <v>2711</v>
      </c>
      <c r="D1001" s="658" t="s">
        <v>2712</v>
      </c>
      <c r="E1001" s="658" t="s">
        <v>239</v>
      </c>
      <c r="F1001" s="653"/>
      <c r="G1001" s="654"/>
      <c r="H1001" s="657">
        <v>800000</v>
      </c>
      <c r="I1001" s="657">
        <f t="shared" ref="I1001" si="171">H1001</f>
        <v>800000</v>
      </c>
      <c r="J1001" s="657"/>
      <c r="K1001" s="657">
        <v>800000</v>
      </c>
      <c r="L1001" s="657">
        <f t="shared" ref="L1001" si="172">K1001-I1001</f>
        <v>0</v>
      </c>
    </row>
    <row r="1002" spans="1:14">
      <c r="A1002" s="658"/>
      <c r="B1002" s="658"/>
      <c r="C1002" s="658"/>
      <c r="D1002" s="658"/>
      <c r="E1002" s="658"/>
      <c r="F1002" s="655"/>
      <c r="G1002" s="656"/>
      <c r="H1002" s="657"/>
      <c r="I1002" s="657"/>
      <c r="J1002" s="657"/>
      <c r="K1002" s="657"/>
      <c r="L1002" s="657"/>
    </row>
    <row r="1003" spans="1:14">
      <c r="A1003" s="658"/>
      <c r="B1003" s="658" t="s">
        <v>2685</v>
      </c>
      <c r="C1003" s="854" t="s">
        <v>2686</v>
      </c>
      <c r="D1003" s="658"/>
      <c r="E1003" s="658"/>
      <c r="F1003" s="653"/>
      <c r="G1003" s="654"/>
      <c r="H1003" s="657"/>
      <c r="I1003" s="657">
        <f t="shared" ref="I1003" si="173">H1003</f>
        <v>0</v>
      </c>
      <c r="J1003" s="657"/>
      <c r="K1003" s="657"/>
      <c r="L1003" s="657">
        <f t="shared" ref="L1003" si="174">K1003-I1003</f>
        <v>0</v>
      </c>
    </row>
    <row r="1004" spans="1:14">
      <c r="A1004" s="658"/>
      <c r="B1004" s="658"/>
      <c r="C1004" s="658"/>
      <c r="D1004" s="658"/>
      <c r="E1004" s="658"/>
      <c r="F1004" s="655"/>
      <c r="G1004" s="656"/>
      <c r="H1004" s="657"/>
      <c r="I1004" s="657"/>
      <c r="J1004" s="657"/>
      <c r="K1004" s="657"/>
      <c r="L1004" s="657"/>
    </row>
    <row r="1005" spans="1:14">
      <c r="A1005" s="658"/>
      <c r="B1005" s="658" t="s">
        <v>2687</v>
      </c>
      <c r="C1005" s="658" t="s">
        <v>2710</v>
      </c>
      <c r="D1005" s="658" t="s">
        <v>2709</v>
      </c>
      <c r="E1005" s="658" t="s">
        <v>239</v>
      </c>
      <c r="F1005" s="653"/>
      <c r="G1005" s="654"/>
      <c r="H1005" s="657">
        <v>43689</v>
      </c>
      <c r="I1005" s="657">
        <v>12000000</v>
      </c>
      <c r="J1005" s="657"/>
      <c r="K1005" s="657">
        <v>12000000</v>
      </c>
      <c r="L1005" s="657">
        <f t="shared" ref="L1005" si="175">K1005-I1005</f>
        <v>0</v>
      </c>
      <c r="M1005" s="6" t="s">
        <v>2688</v>
      </c>
    </row>
    <row r="1006" spans="1:14">
      <c r="A1006" s="658"/>
      <c r="B1006" s="658"/>
      <c r="C1006" s="658"/>
      <c r="D1006" s="658"/>
      <c r="E1006" s="658"/>
      <c r="F1006" s="655"/>
      <c r="G1006" s="656"/>
      <c r="H1006" s="657"/>
      <c r="I1006" s="657"/>
      <c r="J1006" s="657"/>
      <c r="K1006" s="657"/>
      <c r="L1006" s="657"/>
    </row>
    <row r="1007" spans="1:14">
      <c r="A1007" s="658"/>
      <c r="B1007" s="854" t="s">
        <v>682</v>
      </c>
      <c r="C1007" s="658" t="s">
        <v>2705</v>
      </c>
      <c r="D1007" s="658" t="s">
        <v>2704</v>
      </c>
      <c r="E1007" s="658" t="s">
        <v>2348</v>
      </c>
      <c r="F1007" s="653"/>
      <c r="G1007" s="654"/>
      <c r="H1007" s="657">
        <v>750000</v>
      </c>
      <c r="I1007" s="657">
        <f t="shared" ref="I1007" si="176">H1007</f>
        <v>750000</v>
      </c>
      <c r="J1007" s="657"/>
      <c r="K1007" s="657">
        <v>750000</v>
      </c>
      <c r="L1007" s="657">
        <f t="shared" ref="L1007" si="177">K1007-I1007</f>
        <v>0</v>
      </c>
    </row>
    <row r="1008" spans="1:14">
      <c r="A1008" s="658"/>
      <c r="B1008" s="658"/>
      <c r="C1008" s="658"/>
      <c r="D1008" s="658"/>
      <c r="E1008" s="658"/>
      <c r="F1008" s="655"/>
      <c r="G1008" s="656"/>
      <c r="H1008" s="657"/>
      <c r="I1008" s="657"/>
      <c r="J1008" s="657"/>
      <c r="K1008" s="657"/>
      <c r="L1008" s="657"/>
    </row>
    <row r="1009" spans="1:13">
      <c r="A1009" s="658"/>
      <c r="B1009" s="658"/>
      <c r="C1009" s="658" t="s">
        <v>2706</v>
      </c>
      <c r="D1009" s="674" t="s">
        <v>2701</v>
      </c>
      <c r="E1009" s="690" t="s">
        <v>2375</v>
      </c>
      <c r="F1009" s="653"/>
      <c r="G1009" s="654"/>
      <c r="H1009" s="657">
        <v>700000</v>
      </c>
      <c r="I1009" s="657">
        <f t="shared" ref="I1009" si="178">H1009</f>
        <v>700000</v>
      </c>
      <c r="J1009" s="657"/>
      <c r="K1009" s="657"/>
      <c r="L1009" s="657">
        <f t="shared" ref="L1009" si="179">K1009-I1009</f>
        <v>-700000</v>
      </c>
    </row>
    <row r="1010" spans="1:13">
      <c r="A1010" s="658"/>
      <c r="B1010" s="658"/>
      <c r="C1010" s="658"/>
      <c r="D1010" s="674"/>
      <c r="E1010" s="690"/>
      <c r="F1010" s="655"/>
      <c r="G1010" s="656"/>
      <c r="H1010" s="657"/>
      <c r="I1010" s="657"/>
      <c r="J1010" s="657"/>
      <c r="K1010" s="657"/>
      <c r="L1010" s="657"/>
      <c r="M1010" t="s">
        <v>2703</v>
      </c>
    </row>
    <row r="1011" spans="1:13">
      <c r="A1011" s="658"/>
      <c r="B1011" s="658"/>
      <c r="C1011" s="658" t="s">
        <v>2707</v>
      </c>
      <c r="D1011" s="658" t="s">
        <v>2704</v>
      </c>
      <c r="E1011" s="658" t="s">
        <v>2376</v>
      </c>
      <c r="F1011" s="653"/>
      <c r="G1011" s="654"/>
      <c r="H1011" s="657">
        <v>500000</v>
      </c>
      <c r="I1011" s="657">
        <f t="shared" ref="I1011" si="180">H1011</f>
        <v>500000</v>
      </c>
      <c r="J1011" s="657"/>
      <c r="K1011" s="657">
        <v>500000</v>
      </c>
      <c r="L1011" s="657">
        <f t="shared" ref="L1011" si="181">K1011-I1011</f>
        <v>0</v>
      </c>
    </row>
    <row r="1012" spans="1:13">
      <c r="A1012" s="658"/>
      <c r="B1012" s="658"/>
      <c r="C1012" s="658"/>
      <c r="D1012" s="658"/>
      <c r="E1012" s="658"/>
      <c r="F1012" s="655"/>
      <c r="G1012" s="656"/>
      <c r="H1012" s="657"/>
      <c r="I1012" s="657"/>
      <c r="J1012" s="657"/>
      <c r="K1012" s="657"/>
      <c r="L1012" s="657"/>
    </row>
    <row r="1013" spans="1:13">
      <c r="A1013" s="658"/>
      <c r="B1013" s="658"/>
      <c r="C1013" s="658" t="s">
        <v>2708</v>
      </c>
      <c r="D1013" s="674" t="s">
        <v>2701</v>
      </c>
      <c r="E1013" s="690" t="s">
        <v>117</v>
      </c>
      <c r="F1013" s="653"/>
      <c r="G1013" s="654"/>
      <c r="H1013" s="657">
        <v>900000</v>
      </c>
      <c r="I1013" s="657">
        <f t="shared" ref="I1013" si="182">H1013</f>
        <v>900000</v>
      </c>
      <c r="J1013" s="657"/>
      <c r="K1013" s="657"/>
      <c r="L1013" s="657">
        <f t="shared" ref="L1013" si="183">K1013-I1013</f>
        <v>-900000</v>
      </c>
    </row>
    <row r="1014" spans="1:13">
      <c r="A1014" s="658"/>
      <c r="B1014" s="658"/>
      <c r="C1014" s="658"/>
      <c r="D1014" s="674"/>
      <c r="E1014" s="690"/>
      <c r="F1014" s="655"/>
      <c r="G1014" s="656"/>
      <c r="H1014" s="657"/>
      <c r="I1014" s="657"/>
      <c r="J1014" s="657"/>
      <c r="K1014" s="657"/>
      <c r="L1014" s="657"/>
    </row>
    <row r="1015" spans="1:13">
      <c r="A1015" s="658"/>
      <c r="B1015" s="854"/>
      <c r="C1015" s="658" t="s">
        <v>2702</v>
      </c>
      <c r="D1015" s="674" t="s">
        <v>2701</v>
      </c>
      <c r="E1015" s="658" t="s">
        <v>1140</v>
      </c>
      <c r="F1015" s="653"/>
      <c r="G1015" s="654"/>
      <c r="H1015" s="657">
        <v>5200000</v>
      </c>
      <c r="I1015" s="657">
        <f>H1015</f>
        <v>5200000</v>
      </c>
      <c r="J1015" s="657"/>
      <c r="K1015" s="657">
        <v>5200000</v>
      </c>
      <c r="L1015" s="657">
        <f t="shared" ref="L1015" si="184">K1015-I1015</f>
        <v>0</v>
      </c>
    </row>
    <row r="1016" spans="1:13">
      <c r="A1016" s="658"/>
      <c r="B1016" s="658"/>
      <c r="C1016" s="658"/>
      <c r="D1016" s="674"/>
      <c r="E1016" s="658"/>
      <c r="F1016" s="655"/>
      <c r="G1016" s="656"/>
      <c r="H1016" s="657"/>
      <c r="I1016" s="657"/>
      <c r="J1016" s="657"/>
      <c r="K1016" s="657"/>
      <c r="L1016" s="657"/>
    </row>
    <row r="1017" spans="1:13">
      <c r="A1017" s="658"/>
      <c r="B1017" s="658" t="s">
        <v>2681</v>
      </c>
      <c r="C1017" s="658" t="s">
        <v>2713</v>
      </c>
      <c r="D1017" s="658" t="s">
        <v>2709</v>
      </c>
      <c r="E1017" s="658" t="s">
        <v>239</v>
      </c>
      <c r="F1017" s="653"/>
      <c r="G1017" s="654"/>
      <c r="H1017" s="657">
        <v>43422</v>
      </c>
      <c r="I1017" s="657">
        <v>12000000</v>
      </c>
      <c r="J1017" s="657"/>
      <c r="K1017" s="657">
        <v>12000000</v>
      </c>
      <c r="L1017" s="657">
        <f t="shared" ref="L1017" si="185">K1017-I1017</f>
        <v>0</v>
      </c>
    </row>
    <row r="1018" spans="1:13">
      <c r="A1018" s="658"/>
      <c r="B1018" s="658"/>
      <c r="C1018" s="658"/>
      <c r="D1018" s="658"/>
      <c r="E1018" s="658"/>
      <c r="F1018" s="655"/>
      <c r="G1018" s="656"/>
      <c r="H1018" s="657"/>
      <c r="I1018" s="657"/>
      <c r="J1018" s="657"/>
      <c r="K1018" s="657"/>
      <c r="L1018" s="657"/>
    </row>
    <row r="1019" spans="1:13">
      <c r="A1019" s="658"/>
      <c r="B1019" s="854" t="s">
        <v>681</v>
      </c>
      <c r="C1019" s="658" t="s">
        <v>2699</v>
      </c>
      <c r="D1019" s="658" t="s">
        <v>2700</v>
      </c>
      <c r="E1019" s="658" t="s">
        <v>1601</v>
      </c>
      <c r="F1019" s="653"/>
      <c r="G1019" s="654"/>
      <c r="H1019" s="657">
        <v>12000000</v>
      </c>
      <c r="I1019" s="657">
        <f>H1019</f>
        <v>12000000</v>
      </c>
      <c r="J1019" s="657"/>
      <c r="K1019" s="657">
        <v>12000000</v>
      </c>
      <c r="L1019" s="657">
        <f t="shared" ref="L1019" si="186">K1019-I1019</f>
        <v>0</v>
      </c>
    </row>
    <row r="1020" spans="1:13">
      <c r="A1020" s="658"/>
      <c r="B1020" s="658"/>
      <c r="C1020" s="658"/>
      <c r="D1020" s="658"/>
      <c r="E1020" s="658"/>
      <c r="F1020" s="655"/>
      <c r="G1020" s="656"/>
      <c r="H1020" s="657"/>
      <c r="I1020" s="657"/>
      <c r="J1020" s="657"/>
      <c r="K1020" s="657"/>
      <c r="L1020" s="657"/>
    </row>
    <row r="1021" spans="1:13">
      <c r="A1021" s="848" t="s">
        <v>572</v>
      </c>
      <c r="B1021" s="849"/>
      <c r="C1021" s="849"/>
      <c r="D1021" s="849"/>
      <c r="E1021" s="849"/>
      <c r="F1021" s="849"/>
      <c r="G1021" s="849"/>
      <c r="H1021" s="849"/>
      <c r="I1021" s="849"/>
      <c r="J1021" s="849"/>
      <c r="K1021" s="849"/>
      <c r="L1021" s="850"/>
    </row>
    <row r="1022" spans="1:13">
      <c r="A1022" s="851"/>
      <c r="B1022" s="852"/>
      <c r="C1022" s="852"/>
      <c r="D1022" s="852"/>
      <c r="E1022" s="852"/>
      <c r="F1022" s="852"/>
      <c r="G1022" s="852"/>
      <c r="H1022" s="852"/>
      <c r="I1022" s="852"/>
      <c r="J1022" s="852"/>
      <c r="K1022" s="852"/>
      <c r="L1022" s="853"/>
    </row>
    <row r="1023" spans="1:13">
      <c r="A1023" s="658"/>
      <c r="B1023" s="658" t="s">
        <v>2697</v>
      </c>
      <c r="C1023" s="658" t="s">
        <v>2810</v>
      </c>
      <c r="D1023" s="658" t="s">
        <v>2701</v>
      </c>
      <c r="E1023" s="658" t="s">
        <v>239</v>
      </c>
      <c r="F1023" s="653" t="s">
        <v>2565</v>
      </c>
      <c r="G1023" s="654"/>
      <c r="H1023" s="657">
        <v>43781</v>
      </c>
      <c r="I1023" s="657">
        <v>12000000</v>
      </c>
      <c r="J1023" s="657"/>
      <c r="K1023" s="657">
        <v>12000000</v>
      </c>
      <c r="L1023" s="657">
        <f t="shared" ref="L1023" si="187">K1023-I1023</f>
        <v>0</v>
      </c>
    </row>
    <row r="1024" spans="1:13">
      <c r="A1024" s="658"/>
      <c r="B1024" s="658"/>
      <c r="C1024" s="658"/>
      <c r="D1024" s="658"/>
      <c r="E1024" s="658"/>
      <c r="F1024" s="655"/>
      <c r="G1024" s="656"/>
      <c r="H1024" s="657"/>
      <c r="I1024" s="657"/>
      <c r="J1024" s="657"/>
      <c r="K1024" s="657"/>
      <c r="L1024" s="657"/>
    </row>
    <row r="1025" spans="1:14">
      <c r="A1025" s="658"/>
      <c r="B1025" s="854" t="s">
        <v>683</v>
      </c>
      <c r="C1025" s="658" t="s">
        <v>2717</v>
      </c>
      <c r="D1025" s="658" t="s">
        <v>2720</v>
      </c>
      <c r="E1025" s="658" t="s">
        <v>2716</v>
      </c>
      <c r="F1025" s="653"/>
      <c r="G1025" s="654"/>
      <c r="H1025" s="657">
        <v>3000000</v>
      </c>
      <c r="I1025" s="657">
        <f t="shared" ref="I1025" si="188">H1025</f>
        <v>3000000</v>
      </c>
      <c r="J1025" s="657"/>
      <c r="K1025" s="657">
        <v>3000000</v>
      </c>
      <c r="L1025" s="657">
        <f t="shared" ref="L1025" si="189">K1025-I1025</f>
        <v>0</v>
      </c>
    </row>
    <row r="1026" spans="1:14">
      <c r="A1026" s="658"/>
      <c r="B1026" s="658"/>
      <c r="C1026" s="658"/>
      <c r="D1026" s="658"/>
      <c r="E1026" s="658"/>
      <c r="F1026" s="655"/>
      <c r="G1026" s="656"/>
      <c r="H1026" s="657"/>
      <c r="I1026" s="657"/>
      <c r="J1026" s="657"/>
      <c r="K1026" s="657"/>
      <c r="L1026" s="657"/>
    </row>
    <row r="1027" spans="1:14">
      <c r="A1027" s="658"/>
      <c r="B1027" s="658"/>
      <c r="C1027" s="658" t="s">
        <v>2718</v>
      </c>
      <c r="D1027" s="658" t="s">
        <v>2721</v>
      </c>
      <c r="E1027" s="658" t="s">
        <v>2558</v>
      </c>
      <c r="F1027" s="653"/>
      <c r="G1027" s="654"/>
      <c r="H1027" s="657">
        <v>4000000</v>
      </c>
      <c r="I1027" s="657">
        <f t="shared" ref="I1027" si="190">H1027</f>
        <v>4000000</v>
      </c>
      <c r="J1027" s="657"/>
      <c r="K1027" s="657">
        <v>4000000</v>
      </c>
      <c r="L1027" s="657">
        <f t="shared" ref="L1027" si="191">K1027-I1027</f>
        <v>0</v>
      </c>
    </row>
    <row r="1028" spans="1:14">
      <c r="A1028" s="658"/>
      <c r="B1028" s="658"/>
      <c r="C1028" s="658"/>
      <c r="D1028" s="658"/>
      <c r="E1028" s="658"/>
      <c r="F1028" s="655"/>
      <c r="G1028" s="656"/>
      <c r="H1028" s="657"/>
      <c r="I1028" s="657"/>
      <c r="J1028" s="657"/>
      <c r="K1028" s="657"/>
      <c r="L1028" s="657"/>
    </row>
    <row r="1029" spans="1:14">
      <c r="A1029" s="658"/>
      <c r="B1029" s="658"/>
      <c r="C1029" s="658" t="s">
        <v>2719</v>
      </c>
      <c r="D1029" s="658" t="s">
        <v>2722</v>
      </c>
      <c r="E1029" s="658" t="s">
        <v>2547</v>
      </c>
      <c r="F1029" s="653"/>
      <c r="G1029" s="654"/>
      <c r="H1029" s="657">
        <v>2500000</v>
      </c>
      <c r="I1029" s="657">
        <f t="shared" ref="I1029" si="192">H1029</f>
        <v>2500000</v>
      </c>
      <c r="J1029" s="657"/>
      <c r="K1029" s="657">
        <v>2500000</v>
      </c>
      <c r="L1029" s="657">
        <f t="shared" ref="L1029" si="193">K1029-I1029</f>
        <v>0</v>
      </c>
    </row>
    <row r="1030" spans="1:14">
      <c r="A1030" s="658"/>
      <c r="B1030" s="658"/>
      <c r="C1030" s="658"/>
      <c r="D1030" s="658"/>
      <c r="E1030" s="658"/>
      <c r="F1030" s="655"/>
      <c r="G1030" s="656"/>
      <c r="H1030" s="657"/>
      <c r="I1030" s="657"/>
      <c r="J1030" s="657"/>
      <c r="K1030" s="657"/>
      <c r="L1030" s="657"/>
    </row>
    <row r="1031" spans="1:14">
      <c r="A1031" s="658"/>
      <c r="B1031" s="658" t="s">
        <v>2698</v>
      </c>
      <c r="C1031" s="658" t="s">
        <v>2738</v>
      </c>
      <c r="D1031" s="667" t="s">
        <v>2704</v>
      </c>
      <c r="E1031" s="658" t="s">
        <v>239</v>
      </c>
      <c r="F1031" s="653" t="s">
        <v>2233</v>
      </c>
      <c r="G1031" s="654"/>
      <c r="H1031" s="657">
        <v>43150</v>
      </c>
      <c r="I1031" s="657">
        <v>12000000</v>
      </c>
      <c r="J1031" s="657"/>
      <c r="K1031" s="657">
        <v>12000000</v>
      </c>
      <c r="L1031" s="657">
        <f t="shared" ref="L1031" si="194">K1031-I1031</f>
        <v>0</v>
      </c>
    </row>
    <row r="1032" spans="1:14">
      <c r="A1032" s="658"/>
      <c r="B1032" s="658"/>
      <c r="C1032" s="658"/>
      <c r="D1032" s="667"/>
      <c r="E1032" s="658"/>
      <c r="F1032" s="655"/>
      <c r="G1032" s="656"/>
      <c r="H1032" s="657"/>
      <c r="I1032" s="657"/>
      <c r="J1032" s="657"/>
      <c r="K1032" s="657"/>
      <c r="L1032" s="657"/>
    </row>
    <row r="1033" spans="1:14">
      <c r="A1033" s="658"/>
      <c r="B1033" s="854" t="s">
        <v>693</v>
      </c>
      <c r="C1033" s="658" t="s">
        <v>2729</v>
      </c>
      <c r="D1033" s="658" t="s">
        <v>2720</v>
      </c>
      <c r="E1033" s="658" t="s">
        <v>2723</v>
      </c>
      <c r="F1033" s="653"/>
      <c r="G1033" s="654"/>
      <c r="H1033" s="657">
        <v>1900000</v>
      </c>
      <c r="I1033" s="657">
        <f t="shared" ref="I1033" si="195">H1033</f>
        <v>1900000</v>
      </c>
      <c r="J1033" s="657"/>
      <c r="K1033" s="657">
        <v>1900000</v>
      </c>
      <c r="L1033" s="657">
        <f t="shared" ref="L1033" si="196">K1033-I1033</f>
        <v>0</v>
      </c>
    </row>
    <row r="1034" spans="1:14">
      <c r="A1034" s="658"/>
      <c r="B1034" s="854"/>
      <c r="C1034" s="658"/>
      <c r="D1034" s="658"/>
      <c r="E1034" s="658"/>
      <c r="F1034" s="655"/>
      <c r="G1034" s="656"/>
      <c r="H1034" s="657"/>
      <c r="I1034" s="657"/>
      <c r="J1034" s="657"/>
      <c r="K1034" s="657"/>
      <c r="L1034" s="657"/>
    </row>
    <row r="1035" spans="1:14">
      <c r="A1035" s="658"/>
      <c r="B1035" s="658"/>
      <c r="C1035" s="658" t="s">
        <v>2730</v>
      </c>
      <c r="D1035" s="658" t="s">
        <v>2728</v>
      </c>
      <c r="E1035" s="658" t="s">
        <v>2723</v>
      </c>
      <c r="F1035" s="653"/>
      <c r="G1035" s="654"/>
      <c r="H1035" s="657">
        <v>1900000</v>
      </c>
      <c r="I1035" s="657">
        <f t="shared" ref="I1035" si="197">H1035</f>
        <v>1900000</v>
      </c>
      <c r="J1035" s="657"/>
      <c r="K1035" s="657">
        <v>1900000</v>
      </c>
      <c r="L1035" s="657">
        <f t="shared" ref="L1035" si="198">K1035-I1035</f>
        <v>0</v>
      </c>
      <c r="N1035" s="572">
        <f>SUM(I1033,I1009,I1013,I1015,I1023:I1030,I1035:I1118)</f>
        <v>304709200</v>
      </c>
    </row>
    <row r="1036" spans="1:14">
      <c r="A1036" s="658"/>
      <c r="B1036" s="658"/>
      <c r="C1036" s="658"/>
      <c r="D1036" s="658"/>
      <c r="E1036" s="658"/>
      <c r="F1036" s="655"/>
      <c r="G1036" s="656"/>
      <c r="H1036" s="657"/>
      <c r="I1036" s="657"/>
      <c r="J1036" s="657"/>
      <c r="K1036" s="657"/>
      <c r="L1036" s="657"/>
    </row>
    <row r="1037" spans="1:14">
      <c r="A1037" s="658"/>
      <c r="B1037" s="658"/>
      <c r="C1037" s="658" t="s">
        <v>2731</v>
      </c>
      <c r="D1037" s="658" t="s">
        <v>2728</v>
      </c>
      <c r="E1037" s="658" t="s">
        <v>2723</v>
      </c>
      <c r="F1037" s="653"/>
      <c r="G1037" s="654"/>
      <c r="H1037" s="657">
        <v>3800000</v>
      </c>
      <c r="I1037" s="657">
        <f t="shared" ref="I1037" si="199">H1037</f>
        <v>3800000</v>
      </c>
      <c r="J1037" s="657"/>
      <c r="K1037" s="657">
        <v>3800000</v>
      </c>
      <c r="L1037" s="657">
        <f t="shared" ref="L1037" si="200">K1037-I1037</f>
        <v>0</v>
      </c>
    </row>
    <row r="1038" spans="1:14">
      <c r="A1038" s="658"/>
      <c r="B1038" s="658"/>
      <c r="C1038" s="658"/>
      <c r="D1038" s="658"/>
      <c r="E1038" s="658"/>
      <c r="F1038" s="655"/>
      <c r="G1038" s="656"/>
      <c r="H1038" s="657"/>
      <c r="I1038" s="657"/>
      <c r="J1038" s="657"/>
      <c r="K1038" s="657"/>
      <c r="L1038" s="657"/>
    </row>
    <row r="1039" spans="1:14">
      <c r="A1039" s="658"/>
      <c r="B1039" s="658"/>
      <c r="C1039" s="658" t="s">
        <v>2732</v>
      </c>
      <c r="D1039" s="658" t="s">
        <v>2728</v>
      </c>
      <c r="E1039" s="658" t="s">
        <v>2737</v>
      </c>
      <c r="F1039" s="653"/>
      <c r="G1039" s="654"/>
      <c r="H1039" s="657">
        <v>5510000</v>
      </c>
      <c r="I1039" s="657">
        <f t="shared" ref="I1039" si="201">H1039</f>
        <v>5510000</v>
      </c>
      <c r="J1039" s="657"/>
      <c r="K1039" s="657">
        <v>5510000</v>
      </c>
      <c r="L1039" s="657">
        <f t="shared" ref="L1039" si="202">K1039-I1039</f>
        <v>0</v>
      </c>
      <c r="M1039" t="s">
        <v>2724</v>
      </c>
    </row>
    <row r="1040" spans="1:14">
      <c r="A1040" s="658"/>
      <c r="B1040" s="658"/>
      <c r="C1040" s="658"/>
      <c r="D1040" s="658"/>
      <c r="E1040" s="658"/>
      <c r="F1040" s="655"/>
      <c r="G1040" s="656"/>
      <c r="H1040" s="657"/>
      <c r="I1040" s="657"/>
      <c r="J1040" s="657"/>
      <c r="K1040" s="657"/>
      <c r="L1040" s="657"/>
    </row>
    <row r="1041" spans="1:13">
      <c r="A1041" s="658"/>
      <c r="B1041" s="658" t="s">
        <v>2714</v>
      </c>
      <c r="C1041" s="658" t="s">
        <v>2741</v>
      </c>
      <c r="D1041" s="658" t="s">
        <v>2739</v>
      </c>
      <c r="E1041" s="658" t="s">
        <v>239</v>
      </c>
      <c r="F1041" s="653" t="s">
        <v>2233</v>
      </c>
      <c r="G1041" s="654"/>
      <c r="H1041" s="657">
        <v>44300</v>
      </c>
      <c r="I1041" s="657">
        <v>12000000</v>
      </c>
      <c r="J1041" s="657"/>
      <c r="K1041" s="657">
        <v>12000000</v>
      </c>
      <c r="L1041" s="657">
        <f t="shared" ref="L1041" si="203">K1041-I1041</f>
        <v>0</v>
      </c>
    </row>
    <row r="1042" spans="1:13">
      <c r="A1042" s="658"/>
      <c r="B1042" s="658"/>
      <c r="C1042" s="658"/>
      <c r="D1042" s="658"/>
      <c r="E1042" s="658"/>
      <c r="F1042" s="655"/>
      <c r="G1042" s="656"/>
      <c r="H1042" s="657"/>
      <c r="I1042" s="657"/>
      <c r="J1042" s="657"/>
      <c r="K1042" s="657"/>
      <c r="L1042" s="657"/>
    </row>
    <row r="1043" spans="1:13">
      <c r="A1043" s="658"/>
      <c r="B1043" s="854" t="s">
        <v>694</v>
      </c>
      <c r="C1043" s="658" t="s">
        <v>2733</v>
      </c>
      <c r="D1043" s="658" t="s">
        <v>2727</v>
      </c>
      <c r="E1043" s="690" t="s">
        <v>117</v>
      </c>
      <c r="F1043" s="653"/>
      <c r="G1043" s="654"/>
      <c r="H1043" s="657">
        <v>1000000</v>
      </c>
      <c r="I1043" s="657">
        <f t="shared" ref="I1043" si="204">H1043</f>
        <v>1000000</v>
      </c>
      <c r="J1043" s="657"/>
      <c r="K1043" s="657"/>
      <c r="L1043" s="657">
        <f t="shared" ref="L1043" si="205">K1043-I1043</f>
        <v>-1000000</v>
      </c>
    </row>
    <row r="1044" spans="1:13">
      <c r="A1044" s="658"/>
      <c r="B1044" s="854"/>
      <c r="C1044" s="658"/>
      <c r="D1044" s="658"/>
      <c r="E1044" s="690"/>
      <c r="F1044" s="655"/>
      <c r="G1044" s="656"/>
      <c r="H1044" s="657"/>
      <c r="I1044" s="657"/>
      <c r="J1044" s="657"/>
      <c r="K1044" s="657"/>
      <c r="L1044" s="657"/>
    </row>
    <row r="1045" spans="1:13">
      <c r="A1045" s="658"/>
      <c r="B1045" s="658"/>
      <c r="C1045" s="658" t="s">
        <v>2734</v>
      </c>
      <c r="D1045" s="658" t="s">
        <v>2727</v>
      </c>
      <c r="E1045" s="658" t="s">
        <v>2726</v>
      </c>
      <c r="F1045" s="653"/>
      <c r="G1045" s="654"/>
      <c r="H1045" s="657">
        <v>1150000</v>
      </c>
      <c r="I1045" s="657">
        <f t="shared" ref="I1045" si="206">H1045</f>
        <v>1150000</v>
      </c>
      <c r="J1045" s="657"/>
      <c r="K1045" s="657">
        <v>1150000</v>
      </c>
      <c r="L1045" s="657">
        <f t="shared" ref="L1045" si="207">K1045-I1045</f>
        <v>0</v>
      </c>
    </row>
    <row r="1046" spans="1:13">
      <c r="A1046" s="658"/>
      <c r="B1046" s="658"/>
      <c r="C1046" s="658"/>
      <c r="D1046" s="658"/>
      <c r="E1046" s="658"/>
      <c r="F1046" s="655"/>
      <c r="G1046" s="656"/>
      <c r="H1046" s="657"/>
      <c r="I1046" s="657"/>
      <c r="J1046" s="657"/>
      <c r="K1046" s="657"/>
      <c r="L1046" s="657"/>
    </row>
    <row r="1047" spans="1:13">
      <c r="A1047" s="658"/>
      <c r="B1047" s="658" t="s">
        <v>2715</v>
      </c>
      <c r="C1047" s="658" t="s">
        <v>2740</v>
      </c>
      <c r="D1047" s="658" t="s">
        <v>2739</v>
      </c>
      <c r="E1047" s="658" t="s">
        <v>239</v>
      </c>
      <c r="F1047" s="653" t="s">
        <v>2725</v>
      </c>
      <c r="G1047" s="654"/>
      <c r="H1047" s="657">
        <v>46146</v>
      </c>
      <c r="I1047" s="657">
        <v>12500000</v>
      </c>
      <c r="J1047" s="657"/>
      <c r="K1047" s="657">
        <v>12500000</v>
      </c>
      <c r="L1047" s="657">
        <f t="shared" ref="L1047" si="208">K1047-I1047</f>
        <v>0</v>
      </c>
    </row>
    <row r="1048" spans="1:13">
      <c r="A1048" s="658"/>
      <c r="B1048" s="658"/>
      <c r="C1048" s="658"/>
      <c r="D1048" s="658"/>
      <c r="E1048" s="658"/>
      <c r="F1048" s="655"/>
      <c r="G1048" s="656"/>
      <c r="H1048" s="657"/>
      <c r="I1048" s="657"/>
      <c r="J1048" s="657"/>
      <c r="K1048" s="657"/>
      <c r="L1048" s="657"/>
    </row>
    <row r="1049" spans="1:13">
      <c r="A1049" s="658"/>
      <c r="B1049" s="854" t="s">
        <v>700</v>
      </c>
      <c r="C1049" s="658" t="s">
        <v>2735</v>
      </c>
      <c r="D1049" s="658" t="s">
        <v>2727</v>
      </c>
      <c r="E1049" s="658" t="s">
        <v>2223</v>
      </c>
      <c r="F1049" s="653"/>
      <c r="G1049" s="654"/>
      <c r="H1049" s="657">
        <v>4530000</v>
      </c>
      <c r="I1049" s="657">
        <f t="shared" ref="I1049" si="209">H1049</f>
        <v>4530000</v>
      </c>
      <c r="J1049" s="657"/>
      <c r="K1049" s="657">
        <v>4530000</v>
      </c>
      <c r="L1049" s="657">
        <f t="shared" ref="L1049" si="210">K1049-I1049</f>
        <v>0</v>
      </c>
    </row>
    <row r="1050" spans="1:13">
      <c r="A1050" s="658"/>
      <c r="B1050" s="854"/>
      <c r="C1050" s="658"/>
      <c r="D1050" s="658"/>
      <c r="E1050" s="658"/>
      <c r="F1050" s="655"/>
      <c r="G1050" s="656"/>
      <c r="H1050" s="657"/>
      <c r="I1050" s="657"/>
      <c r="J1050" s="657"/>
      <c r="K1050" s="657"/>
      <c r="L1050" s="657"/>
    </row>
    <row r="1051" spans="1:13">
      <c r="A1051" s="658"/>
      <c r="B1051" s="658" t="s">
        <v>2736</v>
      </c>
      <c r="C1051" s="658" t="s">
        <v>2745</v>
      </c>
      <c r="D1051" s="658" t="s">
        <v>2727</v>
      </c>
      <c r="E1051" s="658" t="s">
        <v>239</v>
      </c>
      <c r="F1051" s="653" t="s">
        <v>2233</v>
      </c>
      <c r="G1051" s="654"/>
      <c r="H1051" s="855">
        <v>44743</v>
      </c>
      <c r="I1051" s="657">
        <v>12000000</v>
      </c>
      <c r="J1051" s="657"/>
      <c r="K1051" s="657">
        <v>12000000</v>
      </c>
      <c r="L1051" s="657">
        <f t="shared" ref="L1051" si="211">K1051-I1051</f>
        <v>0</v>
      </c>
      <c r="M1051">
        <v>-6</v>
      </c>
    </row>
    <row r="1052" spans="1:13">
      <c r="A1052" s="658"/>
      <c r="B1052" s="658"/>
      <c r="C1052" s="658"/>
      <c r="D1052" s="658"/>
      <c r="E1052" s="658"/>
      <c r="F1052" s="655"/>
      <c r="G1052" s="656"/>
      <c r="H1052" s="855"/>
      <c r="I1052" s="657"/>
      <c r="J1052" s="657"/>
      <c r="K1052" s="657"/>
      <c r="L1052" s="657"/>
    </row>
    <row r="1053" spans="1:13">
      <c r="A1053" s="658"/>
      <c r="B1053" s="658"/>
      <c r="C1053" s="658" t="s">
        <v>2743</v>
      </c>
      <c r="D1053" s="658" t="s">
        <v>2742</v>
      </c>
      <c r="E1053" s="658" t="s">
        <v>643</v>
      </c>
      <c r="F1053" s="653"/>
      <c r="G1053" s="654"/>
      <c r="H1053" s="657">
        <v>14640000</v>
      </c>
      <c r="I1053" s="657">
        <f t="shared" ref="I1053" si="212">H1053</f>
        <v>14640000</v>
      </c>
      <c r="J1053" s="657"/>
      <c r="K1053" s="657">
        <v>14640000</v>
      </c>
      <c r="L1053" s="657">
        <f t="shared" ref="L1053" si="213">K1053-I1053</f>
        <v>0</v>
      </c>
    </row>
    <row r="1054" spans="1:13">
      <c r="A1054" s="658"/>
      <c r="B1054" s="658"/>
      <c r="C1054" s="658"/>
      <c r="D1054" s="658"/>
      <c r="E1054" s="658"/>
      <c r="F1054" s="655"/>
      <c r="G1054" s="656"/>
      <c r="H1054" s="657"/>
      <c r="I1054" s="657"/>
      <c r="J1054" s="657"/>
      <c r="K1054" s="657"/>
      <c r="L1054" s="657"/>
    </row>
    <row r="1055" spans="1:13">
      <c r="A1055" s="658"/>
      <c r="B1055" s="658"/>
      <c r="C1055" s="658" t="s">
        <v>2744</v>
      </c>
      <c r="D1055" s="658" t="s">
        <v>2742</v>
      </c>
      <c r="E1055" s="658" t="s">
        <v>2723</v>
      </c>
      <c r="F1055" s="653"/>
      <c r="G1055" s="654"/>
      <c r="H1055" s="657">
        <v>3800000</v>
      </c>
      <c r="I1055" s="657">
        <f t="shared" ref="I1055" si="214">H1055</f>
        <v>3800000</v>
      </c>
      <c r="J1055" s="657"/>
      <c r="K1055" s="657">
        <v>3800000</v>
      </c>
      <c r="L1055" s="657">
        <f t="shared" ref="L1055" si="215">K1055-I1055</f>
        <v>0</v>
      </c>
    </row>
    <row r="1056" spans="1:13">
      <c r="A1056" s="658"/>
      <c r="B1056" s="658"/>
      <c r="C1056" s="658"/>
      <c r="D1056" s="658"/>
      <c r="E1056" s="658"/>
      <c r="F1056" s="655"/>
      <c r="G1056" s="656"/>
      <c r="H1056" s="657"/>
      <c r="I1056" s="657"/>
      <c r="J1056" s="657"/>
      <c r="K1056" s="657"/>
      <c r="L1056" s="657"/>
    </row>
    <row r="1057" spans="1:13">
      <c r="A1057" s="658"/>
      <c r="B1057" s="658" t="s">
        <v>2746</v>
      </c>
      <c r="C1057" s="658" t="s">
        <v>2756</v>
      </c>
      <c r="D1057" s="658" t="s">
        <v>2755</v>
      </c>
      <c r="E1057" s="658" t="s">
        <v>239</v>
      </c>
      <c r="F1057" s="653" t="s">
        <v>2565</v>
      </c>
      <c r="G1057" s="654"/>
      <c r="H1057" s="657">
        <v>44886</v>
      </c>
      <c r="I1057" s="657">
        <v>12000000</v>
      </c>
      <c r="J1057" s="657"/>
      <c r="K1057" s="657">
        <v>12000000</v>
      </c>
      <c r="L1057" s="657">
        <f t="shared" ref="L1057" si="216">K1057-I1057</f>
        <v>0</v>
      </c>
    </row>
    <row r="1058" spans="1:13">
      <c r="A1058" s="658"/>
      <c r="B1058" s="658"/>
      <c r="C1058" s="658"/>
      <c r="D1058" s="658"/>
      <c r="E1058" s="658"/>
      <c r="F1058" s="655"/>
      <c r="G1058" s="656"/>
      <c r="H1058" s="657"/>
      <c r="I1058" s="657"/>
      <c r="J1058" s="657"/>
      <c r="K1058" s="657"/>
      <c r="L1058" s="657"/>
    </row>
    <row r="1059" spans="1:13">
      <c r="A1059" s="658"/>
      <c r="B1059" s="658"/>
      <c r="C1059" s="658" t="s">
        <v>2747</v>
      </c>
      <c r="D1059" s="658" t="s">
        <v>2748</v>
      </c>
      <c r="E1059" s="658" t="s">
        <v>1601</v>
      </c>
      <c r="F1059" s="653"/>
      <c r="G1059" s="654"/>
      <c r="H1059" s="657">
        <v>7000000</v>
      </c>
      <c r="I1059" s="657">
        <f t="shared" ref="I1059" si="217">H1059</f>
        <v>7000000</v>
      </c>
      <c r="J1059" s="657"/>
      <c r="K1059" s="657">
        <v>7000000</v>
      </c>
      <c r="L1059" s="657">
        <f t="shared" ref="L1059" si="218">K1059-I1059</f>
        <v>0</v>
      </c>
    </row>
    <row r="1060" spans="1:13">
      <c r="A1060" s="658"/>
      <c r="B1060" s="658"/>
      <c r="C1060" s="658"/>
      <c r="D1060" s="658"/>
      <c r="E1060" s="658"/>
      <c r="F1060" s="655"/>
      <c r="G1060" s="656"/>
      <c r="H1060" s="657"/>
      <c r="I1060" s="657"/>
      <c r="J1060" s="657"/>
      <c r="K1060" s="657"/>
      <c r="L1060" s="657"/>
    </row>
    <row r="1061" spans="1:13">
      <c r="A1061" s="658"/>
      <c r="B1061" s="658"/>
      <c r="C1061" s="658" t="s">
        <v>2751</v>
      </c>
      <c r="D1061" s="658" t="s">
        <v>2748</v>
      </c>
      <c r="E1061" s="658" t="s">
        <v>2749</v>
      </c>
      <c r="F1061" s="653"/>
      <c r="G1061" s="654"/>
      <c r="H1061" s="657">
        <v>2700000</v>
      </c>
      <c r="I1061" s="657">
        <f t="shared" ref="I1061" si="219">H1061</f>
        <v>2700000</v>
      </c>
      <c r="J1061" s="657"/>
      <c r="K1061" s="657">
        <v>2700000</v>
      </c>
      <c r="L1061" s="657">
        <f t="shared" ref="L1061" si="220">K1061-I1061</f>
        <v>0</v>
      </c>
      <c r="M1061" s="558">
        <v>42363</v>
      </c>
    </row>
    <row r="1062" spans="1:13">
      <c r="A1062" s="658"/>
      <c r="B1062" s="658"/>
      <c r="C1062" s="658"/>
      <c r="D1062" s="658"/>
      <c r="E1062" s="658"/>
      <c r="F1062" s="655"/>
      <c r="G1062" s="656"/>
      <c r="H1062" s="657"/>
      <c r="I1062" s="657"/>
      <c r="J1062" s="657"/>
      <c r="K1062" s="657"/>
      <c r="L1062" s="657"/>
    </row>
    <row r="1063" spans="1:13">
      <c r="A1063" s="658"/>
      <c r="B1063" s="658"/>
      <c r="C1063" s="658" t="s">
        <v>2752</v>
      </c>
      <c r="D1063" s="658" t="s">
        <v>2750</v>
      </c>
      <c r="E1063" s="658" t="s">
        <v>2753</v>
      </c>
      <c r="F1063" s="653"/>
      <c r="G1063" s="654"/>
      <c r="H1063" s="657">
        <v>11000</v>
      </c>
      <c r="I1063" s="858">
        <v>2899200</v>
      </c>
      <c r="J1063" s="657" t="s">
        <v>2817</v>
      </c>
      <c r="K1063" s="657">
        <v>2899200</v>
      </c>
      <c r="L1063" s="657">
        <f t="shared" ref="L1063" si="221">K1063-I1063</f>
        <v>0</v>
      </c>
      <c r="M1063" t="s">
        <v>2754</v>
      </c>
    </row>
    <row r="1064" spans="1:13">
      <c r="A1064" s="658"/>
      <c r="B1064" s="658"/>
      <c r="C1064" s="658"/>
      <c r="D1064" s="658"/>
      <c r="E1064" s="658"/>
      <c r="F1064" s="655"/>
      <c r="G1064" s="656"/>
      <c r="H1064" s="657"/>
      <c r="I1064" s="858"/>
      <c r="J1064" s="657"/>
      <c r="K1064" s="657"/>
      <c r="L1064" s="657"/>
    </row>
    <row r="1065" spans="1:13">
      <c r="A1065" s="658"/>
      <c r="B1065" s="658" t="s">
        <v>2757</v>
      </c>
      <c r="C1065" s="658" t="s">
        <v>2770</v>
      </c>
      <c r="D1065" s="658" t="s">
        <v>2763</v>
      </c>
      <c r="E1065" s="658" t="s">
        <v>239</v>
      </c>
      <c r="F1065" s="653" t="s">
        <v>2233</v>
      </c>
      <c r="G1065" s="654"/>
      <c r="H1065" s="657">
        <v>44886</v>
      </c>
      <c r="I1065" s="657">
        <v>12000000</v>
      </c>
      <c r="J1065" s="657"/>
      <c r="K1065" s="657">
        <v>12000000</v>
      </c>
      <c r="L1065" s="657">
        <f t="shared" ref="L1065" si="222">K1065-I1065</f>
        <v>0</v>
      </c>
    </row>
    <row r="1066" spans="1:13">
      <c r="A1066" s="658"/>
      <c r="B1066" s="658"/>
      <c r="C1066" s="658"/>
      <c r="D1066" s="658"/>
      <c r="E1066" s="658"/>
      <c r="F1066" s="655"/>
      <c r="G1066" s="656"/>
      <c r="H1066" s="657"/>
      <c r="I1066" s="657"/>
      <c r="J1066" s="657"/>
      <c r="K1066" s="657"/>
      <c r="L1066" s="657"/>
    </row>
    <row r="1067" spans="1:13">
      <c r="A1067" s="658"/>
      <c r="B1067" s="658"/>
      <c r="C1067" s="658" t="s">
        <v>2758</v>
      </c>
      <c r="D1067" s="658" t="s">
        <v>2761</v>
      </c>
      <c r="E1067" s="690" t="s">
        <v>2376</v>
      </c>
      <c r="F1067" s="653"/>
      <c r="G1067" s="654"/>
      <c r="H1067" s="657">
        <v>500000</v>
      </c>
      <c r="I1067" s="657">
        <f t="shared" ref="I1067" si="223">H1067</f>
        <v>500000</v>
      </c>
      <c r="J1067" s="657"/>
      <c r="K1067" s="657"/>
      <c r="L1067" s="657">
        <f t="shared" ref="L1067" si="224">K1067-I1067</f>
        <v>-500000</v>
      </c>
    </row>
    <row r="1068" spans="1:13">
      <c r="A1068" s="658"/>
      <c r="B1068" s="658"/>
      <c r="C1068" s="658"/>
      <c r="D1068" s="658"/>
      <c r="E1068" s="690"/>
      <c r="F1068" s="655"/>
      <c r="G1068" s="656"/>
      <c r="H1068" s="657"/>
      <c r="I1068" s="657"/>
      <c r="J1068" s="657"/>
      <c r="K1068" s="657"/>
      <c r="L1068" s="657"/>
    </row>
    <row r="1069" spans="1:13">
      <c r="A1069" s="658"/>
      <c r="B1069" s="658"/>
      <c r="C1069" s="658" t="s">
        <v>2759</v>
      </c>
      <c r="D1069" s="658" t="s">
        <v>2761</v>
      </c>
      <c r="E1069" s="690" t="s">
        <v>2375</v>
      </c>
      <c r="F1069" s="653"/>
      <c r="G1069" s="654"/>
      <c r="H1069" s="657">
        <v>700000</v>
      </c>
      <c r="I1069" s="657">
        <f t="shared" ref="I1069" si="225">H1069</f>
        <v>700000</v>
      </c>
      <c r="J1069" s="657"/>
      <c r="K1069" s="657"/>
      <c r="L1069" s="657">
        <f t="shared" ref="L1069" si="226">K1069-I1069</f>
        <v>-700000</v>
      </c>
    </row>
    <row r="1070" spans="1:13">
      <c r="A1070" s="658"/>
      <c r="B1070" s="658"/>
      <c r="C1070" s="658"/>
      <c r="D1070" s="658"/>
      <c r="E1070" s="690"/>
      <c r="F1070" s="655"/>
      <c r="G1070" s="656"/>
      <c r="H1070" s="657"/>
      <c r="I1070" s="657"/>
      <c r="J1070" s="657"/>
      <c r="K1070" s="657"/>
      <c r="L1070" s="657"/>
    </row>
    <row r="1071" spans="1:13">
      <c r="A1071" s="658"/>
      <c r="B1071" s="658"/>
      <c r="C1071" s="658" t="s">
        <v>2760</v>
      </c>
      <c r="D1071" s="658" t="s">
        <v>2761</v>
      </c>
      <c r="E1071" s="690" t="s">
        <v>117</v>
      </c>
      <c r="F1071" s="653"/>
      <c r="G1071" s="654"/>
      <c r="H1071" s="657">
        <v>1000000</v>
      </c>
      <c r="I1071" s="657">
        <f t="shared" ref="I1071" si="227">H1071</f>
        <v>1000000</v>
      </c>
      <c r="J1071" s="657"/>
      <c r="K1071" s="657"/>
      <c r="L1071" s="657">
        <f t="shared" ref="L1071" si="228">K1071-I1071</f>
        <v>-1000000</v>
      </c>
    </row>
    <row r="1072" spans="1:13">
      <c r="A1072" s="658"/>
      <c r="B1072" s="658"/>
      <c r="C1072" s="658"/>
      <c r="D1072" s="658"/>
      <c r="E1072" s="690"/>
      <c r="F1072" s="655"/>
      <c r="G1072" s="656"/>
      <c r="H1072" s="657"/>
      <c r="I1072" s="657"/>
      <c r="J1072" s="657"/>
      <c r="K1072" s="657"/>
      <c r="L1072" s="657"/>
    </row>
    <row r="1073" spans="1:12">
      <c r="A1073" s="658"/>
      <c r="B1073" s="658" t="s">
        <v>2762</v>
      </c>
      <c r="C1073" s="658" t="s">
        <v>2819</v>
      </c>
      <c r="D1073" s="658" t="s">
        <v>2763</v>
      </c>
      <c r="E1073" s="658" t="s">
        <v>239</v>
      </c>
      <c r="F1073" s="653" t="s">
        <v>2233</v>
      </c>
      <c r="G1073" s="654"/>
      <c r="H1073" s="657">
        <v>44886</v>
      </c>
      <c r="I1073" s="657">
        <v>12000000</v>
      </c>
      <c r="J1073" s="657"/>
      <c r="K1073" s="657">
        <v>12000000</v>
      </c>
      <c r="L1073" s="657">
        <f t="shared" ref="L1073" si="229">K1073-I1073</f>
        <v>0</v>
      </c>
    </row>
    <row r="1074" spans="1:12">
      <c r="A1074" s="658"/>
      <c r="B1074" s="658"/>
      <c r="C1074" s="658"/>
      <c r="D1074" s="658"/>
      <c r="E1074" s="658"/>
      <c r="F1074" s="655"/>
      <c r="G1074" s="656"/>
      <c r="H1074" s="657"/>
      <c r="I1074" s="657"/>
      <c r="J1074" s="657"/>
      <c r="K1074" s="657"/>
      <c r="L1074" s="657"/>
    </row>
    <row r="1075" spans="1:12">
      <c r="A1075" s="658"/>
      <c r="B1075" s="658"/>
      <c r="C1075" s="658" t="s">
        <v>2765</v>
      </c>
      <c r="D1075" s="658" t="s">
        <v>2761</v>
      </c>
      <c r="E1075" s="658" t="s">
        <v>2764</v>
      </c>
      <c r="F1075" s="653"/>
      <c r="G1075" s="654"/>
      <c r="H1075" s="657">
        <v>3500000</v>
      </c>
      <c r="I1075" s="657">
        <f t="shared" ref="I1075" si="230">H1075</f>
        <v>3500000</v>
      </c>
      <c r="J1075" s="657"/>
      <c r="K1075" s="657">
        <v>3500000</v>
      </c>
      <c r="L1075" s="657">
        <f t="shared" ref="L1075" si="231">K1075-I1075</f>
        <v>0</v>
      </c>
    </row>
    <row r="1076" spans="1:12">
      <c r="A1076" s="658"/>
      <c r="B1076" s="658"/>
      <c r="C1076" s="658"/>
      <c r="D1076" s="658"/>
      <c r="E1076" s="658"/>
      <c r="F1076" s="655"/>
      <c r="G1076" s="656"/>
      <c r="H1076" s="657"/>
      <c r="I1076" s="657"/>
      <c r="J1076" s="657"/>
      <c r="K1076" s="657"/>
      <c r="L1076" s="657"/>
    </row>
    <row r="1077" spans="1:12">
      <c r="A1077" s="658"/>
      <c r="B1077" s="658"/>
      <c r="C1077" s="658" t="s">
        <v>2766</v>
      </c>
      <c r="D1077" s="658" t="s">
        <v>2761</v>
      </c>
      <c r="E1077" s="658" t="s">
        <v>240</v>
      </c>
      <c r="F1077" s="653"/>
      <c r="G1077" s="654"/>
      <c r="H1077" s="657">
        <v>4500000</v>
      </c>
      <c r="I1077" s="657">
        <f t="shared" ref="I1077" si="232">H1077</f>
        <v>4500000</v>
      </c>
      <c r="J1077" s="657"/>
      <c r="K1077" s="657">
        <v>4500000</v>
      </c>
      <c r="L1077" s="657">
        <f t="shared" ref="L1077" si="233">K1077-I1077</f>
        <v>0</v>
      </c>
    </row>
    <row r="1078" spans="1:12">
      <c r="A1078" s="658"/>
      <c r="B1078" s="658"/>
      <c r="C1078" s="658"/>
      <c r="D1078" s="658"/>
      <c r="E1078" s="658"/>
      <c r="F1078" s="655"/>
      <c r="G1078" s="656"/>
      <c r="H1078" s="657"/>
      <c r="I1078" s="657"/>
      <c r="J1078" s="657"/>
      <c r="K1078" s="657"/>
      <c r="L1078" s="657"/>
    </row>
    <row r="1079" spans="1:12">
      <c r="A1079" s="658"/>
      <c r="B1079" s="658" t="s">
        <v>2794</v>
      </c>
      <c r="C1079" s="658" t="s">
        <v>2800</v>
      </c>
      <c r="D1079" s="658" t="s">
        <v>2761</v>
      </c>
      <c r="E1079" s="658" t="s">
        <v>239</v>
      </c>
      <c r="F1079" s="653" t="s">
        <v>2233</v>
      </c>
      <c r="G1079" s="654"/>
      <c r="H1079" s="657">
        <v>45530</v>
      </c>
      <c r="I1079" s="657">
        <v>12000000</v>
      </c>
      <c r="J1079" s="657"/>
      <c r="K1079" s="657">
        <v>12000000</v>
      </c>
      <c r="L1079" s="657">
        <f t="shared" ref="L1079" si="234">K1079-I1079</f>
        <v>0</v>
      </c>
    </row>
    <row r="1080" spans="1:12">
      <c r="A1080" s="658"/>
      <c r="B1080" s="658"/>
      <c r="C1080" s="658"/>
      <c r="D1080" s="658"/>
      <c r="E1080" s="658"/>
      <c r="F1080" s="655"/>
      <c r="G1080" s="656"/>
      <c r="H1080" s="657"/>
      <c r="I1080" s="657"/>
      <c r="J1080" s="657"/>
      <c r="K1080" s="657"/>
      <c r="L1080" s="657"/>
    </row>
    <row r="1081" spans="1:12">
      <c r="A1081" s="658"/>
      <c r="B1081" s="658"/>
      <c r="C1081" s="658" t="s">
        <v>2768</v>
      </c>
      <c r="D1081" s="658" t="s">
        <v>2767</v>
      </c>
      <c r="E1081" s="658" t="s">
        <v>1140</v>
      </c>
      <c r="F1081" s="653"/>
      <c r="G1081" s="654"/>
      <c r="H1081" s="657">
        <v>7500000</v>
      </c>
      <c r="I1081" s="657">
        <f t="shared" ref="I1081" si="235">H1081</f>
        <v>7500000</v>
      </c>
      <c r="J1081" s="657"/>
      <c r="K1081" s="657">
        <v>7500000</v>
      </c>
      <c r="L1081" s="657">
        <f t="shared" ref="L1081" si="236">K1081-I1081</f>
        <v>0</v>
      </c>
    </row>
    <row r="1082" spans="1:12">
      <c r="A1082" s="658"/>
      <c r="B1082" s="658"/>
      <c r="C1082" s="658"/>
      <c r="D1082" s="658"/>
      <c r="E1082" s="658"/>
      <c r="F1082" s="655"/>
      <c r="G1082" s="656"/>
      <c r="H1082" s="657"/>
      <c r="I1082" s="657"/>
      <c r="J1082" s="657"/>
      <c r="K1082" s="657"/>
      <c r="L1082" s="657"/>
    </row>
    <row r="1083" spans="1:12">
      <c r="A1083" s="658"/>
      <c r="B1083" s="658"/>
      <c r="C1083" s="658" t="s">
        <v>2769</v>
      </c>
      <c r="D1083" s="658" t="s">
        <v>2771</v>
      </c>
      <c r="E1083" s="690" t="s">
        <v>2517</v>
      </c>
      <c r="F1083" s="653" t="s">
        <v>2233</v>
      </c>
      <c r="G1083" s="654"/>
      <c r="H1083" s="657">
        <v>2000000</v>
      </c>
      <c r="I1083" s="657">
        <f t="shared" ref="I1083" si="237">H1083</f>
        <v>2000000</v>
      </c>
      <c r="J1083" s="657"/>
      <c r="K1083" s="657"/>
      <c r="L1083" s="657">
        <f t="shared" ref="L1083" si="238">K1083-I1083</f>
        <v>-2000000</v>
      </c>
    </row>
    <row r="1084" spans="1:12">
      <c r="A1084" s="658"/>
      <c r="B1084" s="658"/>
      <c r="C1084" s="658"/>
      <c r="D1084" s="658"/>
      <c r="E1084" s="690"/>
      <c r="F1084" s="655"/>
      <c r="G1084" s="656"/>
      <c r="H1084" s="657"/>
      <c r="I1084" s="657"/>
      <c r="J1084" s="657"/>
      <c r="K1084" s="657"/>
      <c r="L1084" s="657"/>
    </row>
    <row r="1085" spans="1:12">
      <c r="A1085" s="658"/>
      <c r="B1085" s="658" t="s">
        <v>2793</v>
      </c>
      <c r="C1085" s="658" t="s">
        <v>2798</v>
      </c>
      <c r="D1085" s="658" t="s">
        <v>2796</v>
      </c>
      <c r="E1085" s="658" t="s">
        <v>239</v>
      </c>
      <c r="F1085" s="653"/>
      <c r="G1085" s="654"/>
      <c r="H1085" s="657">
        <v>45467</v>
      </c>
      <c r="I1085" s="657">
        <v>12000000</v>
      </c>
      <c r="J1085" s="657"/>
      <c r="K1085" s="657">
        <v>12000000</v>
      </c>
      <c r="L1085" s="657">
        <f t="shared" ref="L1085" si="239">K1085-I1085</f>
        <v>0</v>
      </c>
    </row>
    <row r="1086" spans="1:12">
      <c r="A1086" s="658"/>
      <c r="B1086" s="658"/>
      <c r="C1086" s="658"/>
      <c r="D1086" s="658"/>
      <c r="E1086" s="658"/>
      <c r="F1086" s="655"/>
      <c r="G1086" s="656"/>
      <c r="H1086" s="657"/>
      <c r="I1086" s="657"/>
      <c r="J1086" s="657"/>
      <c r="K1086" s="657"/>
      <c r="L1086" s="657"/>
    </row>
    <row r="1087" spans="1:12">
      <c r="A1087" s="658"/>
      <c r="B1087" s="658"/>
      <c r="C1087" s="658" t="s">
        <v>2775</v>
      </c>
      <c r="D1087" s="658" t="s">
        <v>2774</v>
      </c>
      <c r="E1087" s="658" t="s">
        <v>2772</v>
      </c>
      <c r="F1087" s="653"/>
      <c r="G1087" s="654"/>
      <c r="H1087" s="657">
        <v>4000000</v>
      </c>
      <c r="I1087" s="657">
        <f t="shared" ref="I1087" si="240">H1087</f>
        <v>4000000</v>
      </c>
      <c r="J1087" s="657"/>
      <c r="K1087" s="657">
        <v>4000000</v>
      </c>
      <c r="L1087" s="657">
        <f t="shared" ref="L1087" si="241">K1087-I1087</f>
        <v>0</v>
      </c>
    </row>
    <row r="1088" spans="1:12">
      <c r="A1088" s="658"/>
      <c r="B1088" s="658"/>
      <c r="C1088" s="658"/>
      <c r="D1088" s="658"/>
      <c r="E1088" s="658"/>
      <c r="F1088" s="655"/>
      <c r="G1088" s="656"/>
      <c r="H1088" s="657"/>
      <c r="I1088" s="657"/>
      <c r="J1088" s="657"/>
      <c r="K1088" s="657"/>
      <c r="L1088" s="657"/>
    </row>
    <row r="1089" spans="1:13">
      <c r="A1089" s="658"/>
      <c r="B1089" s="658"/>
      <c r="C1089" s="658" t="s">
        <v>2776</v>
      </c>
      <c r="D1089" s="658" t="s">
        <v>2774</v>
      </c>
      <c r="E1089" s="658" t="s">
        <v>2773</v>
      </c>
      <c r="F1089" s="653"/>
      <c r="G1089" s="654"/>
      <c r="H1089" s="657">
        <v>3800000</v>
      </c>
      <c r="I1089" s="657">
        <f t="shared" ref="I1089" si="242">H1089</f>
        <v>3800000</v>
      </c>
      <c r="J1089" s="657"/>
      <c r="K1089" s="657">
        <v>3800000</v>
      </c>
      <c r="L1089" s="657">
        <f t="shared" ref="L1089" si="243">K1089-I1089</f>
        <v>0</v>
      </c>
    </row>
    <row r="1090" spans="1:13">
      <c r="A1090" s="658"/>
      <c r="B1090" s="658"/>
      <c r="C1090" s="658"/>
      <c r="D1090" s="658"/>
      <c r="E1090" s="658"/>
      <c r="F1090" s="655"/>
      <c r="G1090" s="656"/>
      <c r="H1090" s="657"/>
      <c r="I1090" s="657"/>
      <c r="J1090" s="657"/>
      <c r="K1090" s="657"/>
      <c r="L1090" s="657"/>
    </row>
    <row r="1091" spans="1:13">
      <c r="A1091" s="658"/>
      <c r="B1091" s="658" t="s">
        <v>2777</v>
      </c>
      <c r="C1091" s="658" t="s">
        <v>2799</v>
      </c>
      <c r="D1091" s="658" t="s">
        <v>2771</v>
      </c>
      <c r="E1091" s="658" t="s">
        <v>239</v>
      </c>
      <c r="F1091" s="653" t="s">
        <v>2233</v>
      </c>
      <c r="G1091" s="654"/>
      <c r="H1091" s="657">
        <v>46092</v>
      </c>
      <c r="I1091" s="657">
        <v>12000000</v>
      </c>
      <c r="J1091" s="657"/>
      <c r="K1091" s="657">
        <v>12000000</v>
      </c>
      <c r="L1091" s="657">
        <f t="shared" ref="L1091" si="244">K1091-I1091</f>
        <v>0</v>
      </c>
    </row>
    <row r="1092" spans="1:13">
      <c r="A1092" s="658"/>
      <c r="B1092" s="658"/>
      <c r="C1092" s="658"/>
      <c r="D1092" s="658"/>
      <c r="E1092" s="658"/>
      <c r="F1092" s="655"/>
      <c r="G1092" s="656"/>
      <c r="H1092" s="657"/>
      <c r="I1092" s="657"/>
      <c r="J1092" s="657"/>
      <c r="K1092" s="657"/>
      <c r="L1092" s="657"/>
    </row>
    <row r="1093" spans="1:13">
      <c r="A1093" s="658"/>
      <c r="B1093" s="658"/>
      <c r="C1093" s="658" t="s">
        <v>2783</v>
      </c>
      <c r="D1093" s="658" t="s">
        <v>2790</v>
      </c>
      <c r="E1093" s="658" t="s">
        <v>2778</v>
      </c>
      <c r="F1093" s="653"/>
      <c r="G1093" s="654"/>
      <c r="H1093" s="657">
        <v>8000000</v>
      </c>
      <c r="I1093" s="657">
        <f t="shared" ref="I1093" si="245">H1093</f>
        <v>8000000</v>
      </c>
      <c r="J1093" s="657"/>
      <c r="K1093" s="657">
        <v>8000000</v>
      </c>
      <c r="L1093" s="657">
        <f t="shared" ref="L1093" si="246">K1093-I1093</f>
        <v>0</v>
      </c>
    </row>
    <row r="1094" spans="1:13">
      <c r="A1094" s="658"/>
      <c r="B1094" s="658"/>
      <c r="C1094" s="658"/>
      <c r="D1094" s="658"/>
      <c r="E1094" s="658"/>
      <c r="F1094" s="655"/>
      <c r="G1094" s="656"/>
      <c r="H1094" s="657"/>
      <c r="I1094" s="657"/>
      <c r="J1094" s="657"/>
      <c r="K1094" s="657"/>
      <c r="L1094" s="657"/>
    </row>
    <row r="1095" spans="1:13">
      <c r="A1095" s="658"/>
      <c r="B1095" s="658"/>
      <c r="C1095" s="658" t="s">
        <v>2784</v>
      </c>
      <c r="D1095" s="658" t="s">
        <v>2790</v>
      </c>
      <c r="E1095" s="658" t="s">
        <v>2716</v>
      </c>
      <c r="F1095" s="653"/>
      <c r="G1095" s="654"/>
      <c r="H1095" s="657">
        <v>3580000</v>
      </c>
      <c r="I1095" s="657">
        <f t="shared" ref="I1095" si="247">H1095</f>
        <v>3580000</v>
      </c>
      <c r="J1095" s="657"/>
      <c r="K1095" s="657">
        <v>3580000</v>
      </c>
      <c r="L1095" s="657">
        <f t="shared" ref="L1095" si="248">K1095-I1095</f>
        <v>0</v>
      </c>
    </row>
    <row r="1096" spans="1:13">
      <c r="A1096" s="658"/>
      <c r="B1096" s="658"/>
      <c r="C1096" s="658"/>
      <c r="D1096" s="658"/>
      <c r="E1096" s="658"/>
      <c r="F1096" s="655"/>
      <c r="G1096" s="656"/>
      <c r="H1096" s="657"/>
      <c r="I1096" s="657"/>
      <c r="J1096" s="657"/>
      <c r="K1096" s="657"/>
      <c r="L1096" s="657"/>
    </row>
    <row r="1097" spans="1:13">
      <c r="A1097" s="658"/>
      <c r="B1097" s="658" t="s">
        <v>2779</v>
      </c>
      <c r="C1097" s="658" t="s">
        <v>2797</v>
      </c>
      <c r="D1097" s="658" t="s">
        <v>2771</v>
      </c>
      <c r="E1097" s="658" t="s">
        <v>239</v>
      </c>
      <c r="F1097" s="653" t="s">
        <v>2233</v>
      </c>
      <c r="G1097" s="654"/>
      <c r="H1097" s="657">
        <v>45467</v>
      </c>
      <c r="I1097" s="657">
        <v>12000000</v>
      </c>
      <c r="J1097" s="657"/>
      <c r="K1097" s="657">
        <v>12000000</v>
      </c>
      <c r="L1097" s="657">
        <f t="shared" ref="L1097" si="249">K1097-I1097</f>
        <v>0</v>
      </c>
    </row>
    <row r="1098" spans="1:13">
      <c r="A1098" s="658"/>
      <c r="B1098" s="658"/>
      <c r="C1098" s="658"/>
      <c r="D1098" s="658"/>
      <c r="E1098" s="658"/>
      <c r="F1098" s="655"/>
      <c r="G1098" s="656"/>
      <c r="H1098" s="657"/>
      <c r="I1098" s="657"/>
      <c r="J1098" s="657"/>
      <c r="K1098" s="657"/>
      <c r="L1098" s="657"/>
      <c r="M1098" s="574" t="s">
        <v>2071</v>
      </c>
    </row>
    <row r="1099" spans="1:13">
      <c r="A1099" s="658"/>
      <c r="B1099" s="658"/>
      <c r="C1099" s="658" t="s">
        <v>2785</v>
      </c>
      <c r="D1099" s="658" t="s">
        <v>2790</v>
      </c>
      <c r="E1099" s="658" t="s">
        <v>2780</v>
      </c>
      <c r="F1099" s="653"/>
      <c r="G1099" s="654"/>
      <c r="H1099" s="657">
        <v>2700000</v>
      </c>
      <c r="I1099" s="657">
        <f t="shared" ref="I1099" si="250">H1099</f>
        <v>2700000</v>
      </c>
      <c r="J1099" s="657"/>
      <c r="K1099" s="657">
        <v>2700000</v>
      </c>
      <c r="L1099" s="657">
        <f t="shared" ref="L1099" si="251">K1099-I1099</f>
        <v>0</v>
      </c>
      <c r="M1099" s="6" t="s">
        <v>2844</v>
      </c>
    </row>
    <row r="1100" spans="1:13">
      <c r="A1100" s="658"/>
      <c r="B1100" s="658"/>
      <c r="C1100" s="658"/>
      <c r="D1100" s="658"/>
      <c r="E1100" s="658"/>
      <c r="F1100" s="655"/>
      <c r="G1100" s="656"/>
      <c r="H1100" s="657"/>
      <c r="I1100" s="657"/>
      <c r="J1100" s="657"/>
      <c r="K1100" s="657"/>
      <c r="L1100" s="657"/>
    </row>
    <row r="1101" spans="1:13">
      <c r="A1101" s="658"/>
      <c r="B1101" s="658"/>
      <c r="C1101" s="658" t="s">
        <v>2786</v>
      </c>
      <c r="D1101" s="658" t="s">
        <v>2790</v>
      </c>
      <c r="E1101" s="658" t="s">
        <v>2781</v>
      </c>
      <c r="F1101" s="653"/>
      <c r="G1101" s="654"/>
      <c r="H1101" s="657">
        <v>4100000</v>
      </c>
      <c r="I1101" s="657">
        <f t="shared" ref="I1101" si="252">H1101</f>
        <v>4100000</v>
      </c>
      <c r="J1101" s="657"/>
      <c r="K1101" s="657">
        <v>4100000</v>
      </c>
      <c r="L1101" s="657">
        <f t="shared" ref="L1101" si="253">K1101-I1101</f>
        <v>0</v>
      </c>
    </row>
    <row r="1102" spans="1:13">
      <c r="A1102" s="658"/>
      <c r="B1102" s="658"/>
      <c r="C1102" s="658"/>
      <c r="D1102" s="658"/>
      <c r="E1102" s="658"/>
      <c r="F1102" s="655"/>
      <c r="G1102" s="656"/>
      <c r="H1102" s="657"/>
      <c r="I1102" s="657"/>
      <c r="J1102" s="657"/>
      <c r="K1102" s="657"/>
      <c r="L1102" s="657"/>
    </row>
    <row r="1103" spans="1:13">
      <c r="A1103" s="658"/>
      <c r="B1103" s="658"/>
      <c r="C1103" s="658" t="s">
        <v>2787</v>
      </c>
      <c r="D1103" s="658" t="s">
        <v>2790</v>
      </c>
      <c r="E1103" s="690" t="s">
        <v>117</v>
      </c>
      <c r="F1103" s="653"/>
      <c r="G1103" s="654"/>
      <c r="H1103" s="657">
        <v>1000000</v>
      </c>
      <c r="I1103" s="657">
        <f t="shared" ref="I1103" si="254">H1103</f>
        <v>1000000</v>
      </c>
      <c r="J1103" s="657"/>
      <c r="K1103" s="657"/>
      <c r="L1103" s="657">
        <f t="shared" ref="L1103" si="255">K1103-I1103</f>
        <v>-1000000</v>
      </c>
    </row>
    <row r="1104" spans="1:13">
      <c r="A1104" s="658"/>
      <c r="B1104" s="658"/>
      <c r="C1104" s="658"/>
      <c r="D1104" s="658"/>
      <c r="E1104" s="690"/>
      <c r="F1104" s="655"/>
      <c r="G1104" s="656"/>
      <c r="H1104" s="657"/>
      <c r="I1104" s="657"/>
      <c r="J1104" s="657"/>
      <c r="K1104" s="657"/>
      <c r="L1104" s="657"/>
    </row>
    <row r="1105" spans="1:12">
      <c r="A1105" s="658"/>
      <c r="B1105" s="658" t="s">
        <v>2791</v>
      </c>
      <c r="C1105" s="658" t="s">
        <v>2803</v>
      </c>
      <c r="D1105" s="658" t="s">
        <v>2802</v>
      </c>
      <c r="E1105" s="658" t="s">
        <v>239</v>
      </c>
      <c r="F1105" s="653" t="s">
        <v>2233</v>
      </c>
      <c r="G1105" s="654"/>
      <c r="H1105" s="657">
        <v>46571</v>
      </c>
      <c r="I1105" s="657">
        <v>12000000</v>
      </c>
      <c r="J1105" s="657"/>
      <c r="K1105" s="657">
        <v>12000000</v>
      </c>
      <c r="L1105" s="657">
        <f t="shared" ref="L1105" si="256">K1105-I1105</f>
        <v>0</v>
      </c>
    </row>
    <row r="1106" spans="1:12">
      <c r="A1106" s="658"/>
      <c r="B1106" s="658"/>
      <c r="C1106" s="658"/>
      <c r="D1106" s="658"/>
      <c r="E1106" s="658"/>
      <c r="F1106" s="655"/>
      <c r="G1106" s="656"/>
      <c r="H1106" s="657"/>
      <c r="I1106" s="657"/>
      <c r="J1106" s="657"/>
      <c r="K1106" s="657"/>
      <c r="L1106" s="657"/>
    </row>
    <row r="1107" spans="1:12">
      <c r="A1107" s="658"/>
      <c r="B1107" s="658"/>
      <c r="C1107" s="658" t="s">
        <v>2788</v>
      </c>
      <c r="D1107" s="658" t="s">
        <v>2811</v>
      </c>
      <c r="E1107" s="658" t="s">
        <v>1144</v>
      </c>
      <c r="F1107" s="653"/>
      <c r="G1107" s="654"/>
      <c r="H1107" s="657">
        <v>3800000</v>
      </c>
      <c r="I1107" s="857">
        <v>3800000</v>
      </c>
      <c r="J1107" s="657"/>
      <c r="K1107" s="657">
        <v>3800000</v>
      </c>
      <c r="L1107" s="657">
        <f t="shared" ref="L1107" si="257">K1107-I1107</f>
        <v>0</v>
      </c>
    </row>
    <row r="1108" spans="1:12">
      <c r="A1108" s="658"/>
      <c r="B1108" s="658"/>
      <c r="C1108" s="658"/>
      <c r="D1108" s="658"/>
      <c r="E1108" s="658"/>
      <c r="F1108" s="655"/>
      <c r="G1108" s="656"/>
      <c r="H1108" s="657"/>
      <c r="I1108" s="857"/>
      <c r="J1108" s="657"/>
      <c r="K1108" s="657"/>
      <c r="L1108" s="657"/>
    </row>
    <row r="1109" spans="1:12">
      <c r="A1109" s="658"/>
      <c r="B1109" s="658" t="s">
        <v>2792</v>
      </c>
      <c r="C1109" s="658" t="s">
        <v>2820</v>
      </c>
      <c r="D1109" s="658" t="s">
        <v>2804</v>
      </c>
      <c r="E1109" s="658" t="s">
        <v>239</v>
      </c>
      <c r="F1109" s="653" t="s">
        <v>2782</v>
      </c>
      <c r="G1109" s="654"/>
      <c r="H1109" s="657">
        <v>48457</v>
      </c>
      <c r="I1109" s="657">
        <v>12500000</v>
      </c>
      <c r="J1109" s="657"/>
      <c r="K1109" s="657">
        <v>12500000</v>
      </c>
      <c r="L1109" s="657">
        <f t="shared" ref="L1109" si="258">K1109-I1109</f>
        <v>0</v>
      </c>
    </row>
    <row r="1110" spans="1:12">
      <c r="A1110" s="658"/>
      <c r="B1110" s="658"/>
      <c r="C1110" s="658"/>
      <c r="D1110" s="658"/>
      <c r="E1110" s="658"/>
      <c r="F1110" s="655"/>
      <c r="G1110" s="656"/>
      <c r="H1110" s="657"/>
      <c r="I1110" s="657"/>
      <c r="J1110" s="657"/>
      <c r="K1110" s="657"/>
      <c r="L1110" s="657"/>
    </row>
    <row r="1111" spans="1:12">
      <c r="A1111" s="658"/>
      <c r="B1111" s="658"/>
      <c r="C1111" s="658" t="s">
        <v>2789</v>
      </c>
      <c r="D1111" s="658" t="s">
        <v>2812</v>
      </c>
      <c r="E1111" s="658" t="s">
        <v>1601</v>
      </c>
      <c r="F1111" s="653"/>
      <c r="G1111" s="654"/>
      <c r="H1111" s="657">
        <v>13000000</v>
      </c>
      <c r="I1111" s="857">
        <v>13000000</v>
      </c>
      <c r="J1111" s="657"/>
      <c r="K1111" s="657">
        <v>13000000</v>
      </c>
      <c r="L1111" s="657">
        <f t="shared" ref="L1111" si="259">K1111-I1111</f>
        <v>0</v>
      </c>
    </row>
    <row r="1112" spans="1:12">
      <c r="A1112" s="658"/>
      <c r="B1112" s="658"/>
      <c r="C1112" s="658"/>
      <c r="D1112" s="658"/>
      <c r="E1112" s="658"/>
      <c r="F1112" s="655"/>
      <c r="G1112" s="656"/>
      <c r="H1112" s="657"/>
      <c r="I1112" s="857"/>
      <c r="J1112" s="657"/>
      <c r="K1112" s="657"/>
      <c r="L1112" s="657"/>
    </row>
    <row r="1113" spans="1:12">
      <c r="A1113" s="658"/>
      <c r="B1113" s="658" t="s">
        <v>2801</v>
      </c>
      <c r="C1113" s="658" t="s">
        <v>2814</v>
      </c>
      <c r="D1113" s="658" t="s">
        <v>2813</v>
      </c>
      <c r="E1113" s="658" t="s">
        <v>239</v>
      </c>
      <c r="F1113" s="653" t="s">
        <v>2233</v>
      </c>
      <c r="G1113" s="654"/>
      <c r="H1113" s="657">
        <v>45582</v>
      </c>
      <c r="I1113" s="657">
        <v>12000000</v>
      </c>
      <c r="J1113" s="657"/>
      <c r="K1113" s="657">
        <v>12000000</v>
      </c>
      <c r="L1113" s="657">
        <f t="shared" ref="L1113" si="260">K1113-I1113</f>
        <v>0</v>
      </c>
    </row>
    <row r="1114" spans="1:12">
      <c r="A1114" s="658"/>
      <c r="B1114" s="658"/>
      <c r="C1114" s="658"/>
      <c r="D1114" s="658"/>
      <c r="E1114" s="658"/>
      <c r="F1114" s="655"/>
      <c r="G1114" s="656"/>
      <c r="H1114" s="657"/>
      <c r="I1114" s="657"/>
      <c r="J1114" s="657"/>
      <c r="K1114" s="657"/>
      <c r="L1114" s="657"/>
    </row>
    <row r="1115" spans="1:12">
      <c r="A1115" s="658"/>
      <c r="B1115" s="658"/>
      <c r="C1115" s="658" t="s">
        <v>2805</v>
      </c>
      <c r="D1115" s="658" t="s">
        <v>2815</v>
      </c>
      <c r="E1115" s="658" t="s">
        <v>283</v>
      </c>
      <c r="F1115" s="653"/>
      <c r="G1115" s="654"/>
      <c r="H1115" s="657">
        <v>4300000</v>
      </c>
      <c r="I1115" s="657">
        <f t="shared" ref="I1115" si="261">H1115</f>
        <v>4300000</v>
      </c>
      <c r="J1115" s="657"/>
      <c r="K1115" s="657">
        <v>4300000</v>
      </c>
      <c r="L1115" s="657">
        <f t="shared" ref="L1115" si="262">K1115-I1115</f>
        <v>0</v>
      </c>
    </row>
    <row r="1116" spans="1:12">
      <c r="A1116" s="658"/>
      <c r="B1116" s="658"/>
      <c r="C1116" s="658"/>
      <c r="D1116" s="658"/>
      <c r="E1116" s="658"/>
      <c r="F1116" s="655"/>
      <c r="G1116" s="656"/>
      <c r="H1116" s="657"/>
      <c r="I1116" s="657"/>
      <c r="J1116" s="657"/>
      <c r="K1116" s="657"/>
      <c r="L1116" s="657"/>
    </row>
    <row r="1117" spans="1:12">
      <c r="A1117" s="658"/>
      <c r="B1117" s="658"/>
      <c r="C1117" s="658" t="s">
        <v>2806</v>
      </c>
      <c r="D1117" s="658" t="s">
        <v>2816</v>
      </c>
      <c r="E1117" s="658" t="s">
        <v>2376</v>
      </c>
      <c r="F1117" s="653"/>
      <c r="G1117" s="654"/>
      <c r="H1117" s="657">
        <v>600000</v>
      </c>
      <c r="I1117" s="657">
        <f t="shared" ref="I1117" si="263">H1117</f>
        <v>600000</v>
      </c>
      <c r="J1117" s="657"/>
      <c r="K1117" s="657">
        <v>600000</v>
      </c>
      <c r="L1117" s="657">
        <f t="shared" ref="L1117" si="264">K1117-I1117</f>
        <v>0</v>
      </c>
    </row>
    <row r="1118" spans="1:12">
      <c r="A1118" s="658"/>
      <c r="B1118" s="658"/>
      <c r="C1118" s="658"/>
      <c r="D1118" s="658"/>
      <c r="E1118" s="658"/>
      <c r="F1118" s="655"/>
      <c r="G1118" s="656"/>
      <c r="H1118" s="657"/>
      <c r="I1118" s="657"/>
      <c r="J1118" s="657"/>
      <c r="K1118" s="657"/>
      <c r="L1118" s="657"/>
    </row>
    <row r="1119" spans="1:12">
      <c r="A1119" s="658"/>
      <c r="B1119" s="658" t="s">
        <v>2821</v>
      </c>
      <c r="C1119" s="658"/>
      <c r="D1119" s="658"/>
      <c r="E1119" s="691"/>
      <c r="F1119" s="653"/>
      <c r="G1119" s="654"/>
      <c r="H1119" s="657"/>
      <c r="I1119" s="657">
        <f t="shared" ref="I1119" si="265">H1119</f>
        <v>0</v>
      </c>
      <c r="J1119" s="657"/>
      <c r="K1119" s="657"/>
      <c r="L1119" s="657">
        <f t="shared" ref="L1119" si="266">K1119-I1119</f>
        <v>0</v>
      </c>
    </row>
    <row r="1120" spans="1:12">
      <c r="A1120" s="658"/>
      <c r="B1120" s="658"/>
      <c r="C1120" s="658"/>
      <c r="D1120" s="658"/>
      <c r="E1120" s="691"/>
      <c r="F1120" s="655"/>
      <c r="G1120" s="656"/>
      <c r="H1120" s="657"/>
      <c r="I1120" s="657"/>
      <c r="J1120" s="657"/>
      <c r="K1120" s="657"/>
      <c r="L1120" s="657"/>
    </row>
    <row r="1121" spans="1:12">
      <c r="A1121" s="658"/>
      <c r="B1121" s="658"/>
      <c r="C1121" s="658"/>
      <c r="D1121" s="658"/>
      <c r="E1121" s="691"/>
      <c r="F1121" s="653"/>
      <c r="G1121" s="654"/>
      <c r="H1121" s="657"/>
      <c r="I1121" s="657">
        <f t="shared" ref="I1121" si="267">H1121</f>
        <v>0</v>
      </c>
      <c r="J1121" s="657"/>
      <c r="K1121" s="657"/>
      <c r="L1121" s="657">
        <f t="shared" ref="L1121" si="268">K1121-I1121</f>
        <v>0</v>
      </c>
    </row>
    <row r="1122" spans="1:12">
      <c r="A1122" s="658"/>
      <c r="B1122" s="658"/>
      <c r="C1122" s="658"/>
      <c r="D1122" s="658"/>
      <c r="E1122" s="691"/>
      <c r="F1122" s="655"/>
      <c r="G1122" s="656"/>
      <c r="H1122" s="657"/>
      <c r="I1122" s="657"/>
      <c r="J1122" s="657"/>
      <c r="K1122" s="657"/>
      <c r="L1122" s="657"/>
    </row>
    <row r="1123" spans="1:12">
      <c r="A1123" s="658"/>
      <c r="B1123" s="658"/>
      <c r="C1123" s="658"/>
      <c r="D1123" s="658"/>
      <c r="E1123" s="691"/>
      <c r="F1123" s="653"/>
      <c r="G1123" s="654"/>
      <c r="H1123" s="657"/>
      <c r="I1123" s="657">
        <f t="shared" ref="I1123" si="269">H1123</f>
        <v>0</v>
      </c>
      <c r="J1123" s="657"/>
      <c r="K1123" s="657"/>
      <c r="L1123" s="657">
        <f t="shared" ref="L1123" si="270">K1123-I1123</f>
        <v>0</v>
      </c>
    </row>
    <row r="1124" spans="1:12">
      <c r="A1124" s="658"/>
      <c r="B1124" s="658"/>
      <c r="C1124" s="658"/>
      <c r="D1124" s="658"/>
      <c r="E1124" s="691"/>
      <c r="F1124" s="655"/>
      <c r="G1124" s="656"/>
      <c r="H1124" s="657"/>
      <c r="I1124" s="657"/>
      <c r="J1124" s="657"/>
      <c r="K1124" s="657"/>
      <c r="L1124" s="657"/>
    </row>
    <row r="1125" spans="1:12">
      <c r="A1125" s="658"/>
      <c r="B1125" s="658"/>
      <c r="C1125" s="658"/>
      <c r="D1125" s="658"/>
      <c r="E1125" s="691"/>
      <c r="F1125" s="653"/>
      <c r="G1125" s="654"/>
      <c r="H1125" s="657"/>
      <c r="I1125" s="657">
        <f t="shared" ref="I1125" si="271">H1125</f>
        <v>0</v>
      </c>
      <c r="J1125" s="657"/>
      <c r="K1125" s="657"/>
      <c r="L1125" s="657">
        <f t="shared" ref="L1125" si="272">K1125-I1125</f>
        <v>0</v>
      </c>
    </row>
    <row r="1126" spans="1:12">
      <c r="A1126" s="658"/>
      <c r="B1126" s="658"/>
      <c r="C1126" s="658"/>
      <c r="D1126" s="658"/>
      <c r="E1126" s="691"/>
      <c r="F1126" s="655"/>
      <c r="G1126" s="656"/>
      <c r="H1126" s="657"/>
      <c r="I1126" s="657"/>
      <c r="J1126" s="657"/>
      <c r="K1126" s="657"/>
      <c r="L1126" s="657"/>
    </row>
    <row r="1127" spans="1:12">
      <c r="A1127" s="658"/>
      <c r="B1127" s="658"/>
      <c r="C1127" s="658"/>
      <c r="D1127" s="658"/>
      <c r="E1127" s="691"/>
      <c r="F1127" s="653"/>
      <c r="G1127" s="654"/>
      <c r="H1127" s="657"/>
      <c r="I1127" s="657">
        <f t="shared" ref="I1127" si="273">H1127</f>
        <v>0</v>
      </c>
      <c r="J1127" s="657"/>
      <c r="K1127" s="657"/>
      <c r="L1127" s="657">
        <f t="shared" ref="L1127" si="274">K1127-I1127</f>
        <v>0</v>
      </c>
    </row>
    <row r="1128" spans="1:12">
      <c r="A1128" s="658"/>
      <c r="B1128" s="658"/>
      <c r="C1128" s="658"/>
      <c r="D1128" s="658"/>
      <c r="E1128" s="691"/>
      <c r="F1128" s="655"/>
      <c r="G1128" s="656"/>
      <c r="H1128" s="657"/>
      <c r="I1128" s="657"/>
      <c r="J1128" s="657"/>
      <c r="K1128" s="657"/>
      <c r="L1128" s="657"/>
    </row>
    <row r="1129" spans="1:12">
      <c r="A1129" s="658"/>
      <c r="B1129" s="658"/>
      <c r="C1129" s="658"/>
      <c r="D1129" s="658"/>
      <c r="E1129" s="691"/>
      <c r="F1129" s="653"/>
      <c r="G1129" s="654"/>
      <c r="H1129" s="657"/>
      <c r="I1129" s="657">
        <f t="shared" ref="I1129" si="275">H1129</f>
        <v>0</v>
      </c>
      <c r="J1129" s="657"/>
      <c r="K1129" s="657"/>
      <c r="L1129" s="657">
        <f t="shared" ref="L1129" si="276">K1129-I1129</f>
        <v>0</v>
      </c>
    </row>
    <row r="1130" spans="1:12">
      <c r="A1130" s="658"/>
      <c r="B1130" s="658"/>
      <c r="C1130" s="658"/>
      <c r="D1130" s="658"/>
      <c r="E1130" s="691"/>
      <c r="F1130" s="655"/>
      <c r="G1130" s="656"/>
      <c r="H1130" s="657"/>
      <c r="I1130" s="657"/>
      <c r="J1130" s="657"/>
      <c r="K1130" s="657"/>
      <c r="L1130" s="657"/>
    </row>
    <row r="1131" spans="1:12">
      <c r="A1131" s="658"/>
      <c r="B1131" s="658"/>
      <c r="C1131" s="658"/>
      <c r="D1131" s="658"/>
      <c r="E1131" s="691"/>
      <c r="F1131" s="653"/>
      <c r="G1131" s="654"/>
      <c r="H1131" s="657"/>
      <c r="I1131" s="657">
        <f t="shared" ref="I1131" si="277">H1131</f>
        <v>0</v>
      </c>
      <c r="J1131" s="657"/>
      <c r="K1131" s="657"/>
      <c r="L1131" s="657">
        <f t="shared" ref="L1131" si="278">K1131-I1131</f>
        <v>0</v>
      </c>
    </row>
    <row r="1132" spans="1:12">
      <c r="A1132" s="658"/>
      <c r="B1132" s="658"/>
      <c r="C1132" s="658"/>
      <c r="D1132" s="658"/>
      <c r="E1132" s="691"/>
      <c r="F1132" s="655"/>
      <c r="G1132" s="656"/>
      <c r="H1132" s="657"/>
      <c r="I1132" s="657"/>
      <c r="J1132" s="657"/>
      <c r="K1132" s="657"/>
      <c r="L1132" s="657"/>
    </row>
    <row r="1133" spans="1:12">
      <c r="A1133" s="658"/>
      <c r="B1133" s="658"/>
      <c r="C1133" s="658"/>
      <c r="D1133" s="658"/>
      <c r="E1133" s="691"/>
      <c r="F1133" s="653"/>
      <c r="G1133" s="654"/>
      <c r="H1133" s="657"/>
      <c r="I1133" s="657">
        <f t="shared" ref="I1133" si="279">H1133</f>
        <v>0</v>
      </c>
      <c r="J1133" s="657"/>
      <c r="K1133" s="657"/>
      <c r="L1133" s="657">
        <f t="shared" ref="L1133" si="280">K1133-I1133</f>
        <v>0</v>
      </c>
    </row>
    <row r="1134" spans="1:12">
      <c r="A1134" s="658"/>
      <c r="B1134" s="658"/>
      <c r="C1134" s="658"/>
      <c r="D1134" s="658"/>
      <c r="E1134" s="691"/>
      <c r="F1134" s="655"/>
      <c r="G1134" s="656"/>
      <c r="H1134" s="657"/>
      <c r="I1134" s="657"/>
      <c r="J1134" s="657"/>
      <c r="K1134" s="657"/>
      <c r="L1134" s="657"/>
    </row>
    <row r="1135" spans="1:12">
      <c r="A1135" s="658"/>
      <c r="B1135" s="658"/>
      <c r="C1135" s="658"/>
      <c r="D1135" s="658"/>
      <c r="E1135" s="691"/>
      <c r="F1135" s="653"/>
      <c r="G1135" s="654"/>
      <c r="H1135" s="657"/>
      <c r="I1135" s="657">
        <f t="shared" ref="I1135" si="281">H1135</f>
        <v>0</v>
      </c>
      <c r="J1135" s="657"/>
      <c r="K1135" s="657"/>
      <c r="L1135" s="657">
        <f t="shared" ref="L1135" si="282">K1135-I1135</f>
        <v>0</v>
      </c>
    </row>
    <row r="1136" spans="1:12">
      <c r="A1136" s="658"/>
      <c r="B1136" s="658"/>
      <c r="C1136" s="658"/>
      <c r="D1136" s="658"/>
      <c r="E1136" s="691"/>
      <c r="F1136" s="655"/>
      <c r="G1136" s="656"/>
      <c r="H1136" s="657"/>
      <c r="I1136" s="657"/>
      <c r="J1136" s="657"/>
      <c r="K1136" s="657"/>
      <c r="L1136" s="657"/>
    </row>
    <row r="1137" spans="1:12">
      <c r="A1137" s="658"/>
      <c r="B1137" s="658"/>
      <c r="C1137" s="658"/>
      <c r="D1137" s="658"/>
      <c r="E1137" s="691"/>
      <c r="F1137" s="653"/>
      <c r="G1137" s="654"/>
      <c r="H1137" s="657"/>
      <c r="I1137" s="657">
        <f t="shared" ref="I1137" si="283">H1137</f>
        <v>0</v>
      </c>
      <c r="J1137" s="657"/>
      <c r="K1137" s="657"/>
      <c r="L1137" s="657">
        <f t="shared" ref="L1137" si="284">K1137-I1137</f>
        <v>0</v>
      </c>
    </row>
    <row r="1138" spans="1:12">
      <c r="A1138" s="658"/>
      <c r="B1138" s="658"/>
      <c r="C1138" s="658"/>
      <c r="D1138" s="658"/>
      <c r="E1138" s="691"/>
      <c r="F1138" s="655"/>
      <c r="G1138" s="656"/>
      <c r="H1138" s="657"/>
      <c r="I1138" s="657"/>
      <c r="J1138" s="657"/>
      <c r="K1138" s="657"/>
      <c r="L1138" s="657"/>
    </row>
    <row r="1139" spans="1:12">
      <c r="A1139" s="658"/>
      <c r="B1139" s="658"/>
      <c r="C1139" s="658"/>
      <c r="D1139" s="658"/>
      <c r="E1139" s="691"/>
      <c r="F1139" s="653"/>
      <c r="G1139" s="654"/>
      <c r="H1139" s="657"/>
      <c r="I1139" s="657">
        <f t="shared" ref="I1139" si="285">H1139</f>
        <v>0</v>
      </c>
      <c r="J1139" s="657"/>
      <c r="K1139" s="657"/>
      <c r="L1139" s="657">
        <f t="shared" ref="L1139" si="286">K1139-I1139</f>
        <v>0</v>
      </c>
    </row>
    <row r="1140" spans="1:12">
      <c r="A1140" s="658"/>
      <c r="B1140" s="658"/>
      <c r="C1140" s="658"/>
      <c r="D1140" s="658"/>
      <c r="E1140" s="691"/>
      <c r="F1140" s="655"/>
      <c r="G1140" s="656"/>
      <c r="H1140" s="657"/>
      <c r="I1140" s="657"/>
      <c r="J1140" s="657"/>
      <c r="K1140" s="657"/>
      <c r="L1140" s="657"/>
    </row>
    <row r="1141" spans="1:12">
      <c r="A1141" s="658"/>
      <c r="B1141" s="658"/>
      <c r="C1141" s="658"/>
      <c r="D1141" s="658"/>
      <c r="E1141" s="691"/>
      <c r="F1141" s="653"/>
      <c r="G1141" s="654"/>
      <c r="H1141" s="657"/>
      <c r="I1141" s="657">
        <f t="shared" ref="I1141" si="287">H1141</f>
        <v>0</v>
      </c>
      <c r="J1141" s="657"/>
      <c r="K1141" s="657"/>
      <c r="L1141" s="657">
        <f t="shared" ref="L1141" si="288">K1141-I1141</f>
        <v>0</v>
      </c>
    </row>
    <row r="1142" spans="1:12">
      <c r="A1142" s="658"/>
      <c r="B1142" s="658"/>
      <c r="C1142" s="658"/>
      <c r="D1142" s="658"/>
      <c r="E1142" s="691"/>
      <c r="F1142" s="655"/>
      <c r="G1142" s="656"/>
      <c r="H1142" s="657"/>
      <c r="I1142" s="657"/>
      <c r="J1142" s="657"/>
      <c r="K1142" s="657"/>
      <c r="L1142" s="657"/>
    </row>
    <row r="1143" spans="1:12">
      <c r="A1143" s="658"/>
      <c r="B1143" s="658"/>
      <c r="C1143" s="658"/>
      <c r="D1143" s="658"/>
      <c r="E1143" s="691"/>
      <c r="F1143" s="653"/>
      <c r="G1143" s="654"/>
      <c r="H1143" s="657"/>
      <c r="I1143" s="657">
        <f t="shared" ref="I1143" si="289">H1143</f>
        <v>0</v>
      </c>
      <c r="J1143" s="657"/>
      <c r="K1143" s="657"/>
      <c r="L1143" s="657">
        <f t="shared" ref="L1143" si="290">K1143-I1143</f>
        <v>0</v>
      </c>
    </row>
    <row r="1144" spans="1:12">
      <c r="A1144" s="658"/>
      <c r="B1144" s="658"/>
      <c r="C1144" s="658"/>
      <c r="D1144" s="658"/>
      <c r="E1144" s="691"/>
      <c r="F1144" s="655"/>
      <c r="G1144" s="656"/>
      <c r="H1144" s="657"/>
      <c r="I1144" s="657"/>
      <c r="J1144" s="657"/>
      <c r="K1144" s="657"/>
      <c r="L1144" s="657"/>
    </row>
    <row r="1145" spans="1:12">
      <c r="A1145" s="658"/>
      <c r="B1145" s="658"/>
      <c r="C1145" s="658"/>
      <c r="D1145" s="658"/>
      <c r="E1145" s="691"/>
      <c r="F1145" s="653"/>
      <c r="G1145" s="654"/>
      <c r="H1145" s="657"/>
      <c r="I1145" s="657">
        <f t="shared" ref="I1145" si="291">H1145</f>
        <v>0</v>
      </c>
      <c r="J1145" s="657"/>
      <c r="K1145" s="657"/>
      <c r="L1145" s="657">
        <f t="shared" ref="L1145" si="292">K1145-I1145</f>
        <v>0</v>
      </c>
    </row>
    <row r="1146" spans="1:12">
      <c r="A1146" s="658"/>
      <c r="B1146" s="658"/>
      <c r="C1146" s="658"/>
      <c r="D1146" s="658"/>
      <c r="E1146" s="691"/>
      <c r="F1146" s="655"/>
      <c r="G1146" s="656"/>
      <c r="H1146" s="657"/>
      <c r="I1146" s="657"/>
      <c r="J1146" s="657"/>
      <c r="K1146" s="657"/>
      <c r="L1146" s="657"/>
    </row>
    <row r="1147" spans="1:12">
      <c r="A1147" s="658"/>
      <c r="B1147" s="658"/>
      <c r="C1147" s="658"/>
      <c r="D1147" s="658"/>
      <c r="E1147" s="691"/>
      <c r="F1147" s="653"/>
      <c r="G1147" s="654"/>
      <c r="H1147" s="657"/>
      <c r="I1147" s="657">
        <f t="shared" ref="I1147" si="293">H1147</f>
        <v>0</v>
      </c>
      <c r="J1147" s="657"/>
      <c r="K1147" s="657"/>
      <c r="L1147" s="657">
        <f t="shared" ref="L1147" si="294">K1147-I1147</f>
        <v>0</v>
      </c>
    </row>
    <row r="1148" spans="1:12">
      <c r="A1148" s="658"/>
      <c r="B1148" s="658"/>
      <c r="C1148" s="658"/>
      <c r="D1148" s="658"/>
      <c r="E1148" s="691"/>
      <c r="F1148" s="655"/>
      <c r="G1148" s="656"/>
      <c r="H1148" s="657"/>
      <c r="I1148" s="657"/>
      <c r="J1148" s="657"/>
      <c r="K1148" s="657"/>
      <c r="L1148" s="657"/>
    </row>
    <row r="1149" spans="1:12">
      <c r="A1149" s="658"/>
      <c r="B1149" s="658"/>
      <c r="C1149" s="658"/>
      <c r="D1149" s="658"/>
      <c r="E1149" s="691"/>
      <c r="F1149" s="653"/>
      <c r="G1149" s="654"/>
      <c r="H1149" s="657"/>
      <c r="I1149" s="657">
        <f t="shared" ref="I1149" si="295">H1149</f>
        <v>0</v>
      </c>
      <c r="J1149" s="657"/>
      <c r="K1149" s="657"/>
      <c r="L1149" s="657">
        <f t="shared" ref="L1149" si="296">K1149-I1149</f>
        <v>0</v>
      </c>
    </row>
    <row r="1150" spans="1:12">
      <c r="A1150" s="658"/>
      <c r="B1150" s="658"/>
      <c r="C1150" s="658"/>
      <c r="D1150" s="658"/>
      <c r="E1150" s="691"/>
      <c r="F1150" s="655"/>
      <c r="G1150" s="656"/>
      <c r="H1150" s="657"/>
      <c r="I1150" s="657"/>
      <c r="J1150" s="657"/>
      <c r="K1150" s="657"/>
      <c r="L1150" s="657"/>
    </row>
    <row r="1151" spans="1:12">
      <c r="A1151" s="658"/>
      <c r="B1151" s="658"/>
      <c r="C1151" s="658"/>
      <c r="D1151" s="658"/>
      <c r="E1151" s="691"/>
      <c r="F1151" s="653"/>
      <c r="G1151" s="654"/>
      <c r="H1151" s="657"/>
      <c r="I1151" s="657">
        <f t="shared" ref="I1151" si="297">H1151</f>
        <v>0</v>
      </c>
      <c r="J1151" s="657"/>
      <c r="K1151" s="657"/>
      <c r="L1151" s="657">
        <f t="shared" ref="L1151" si="298">K1151-I1151</f>
        <v>0</v>
      </c>
    </row>
    <row r="1152" spans="1:12">
      <c r="A1152" s="658"/>
      <c r="B1152" s="658"/>
      <c r="C1152" s="658"/>
      <c r="D1152" s="658"/>
      <c r="E1152" s="691"/>
      <c r="F1152" s="655"/>
      <c r="G1152" s="656"/>
      <c r="H1152" s="657"/>
      <c r="I1152" s="657"/>
      <c r="J1152" s="657"/>
      <c r="K1152" s="657"/>
      <c r="L1152" s="657"/>
    </row>
    <row r="1153" spans="1:12">
      <c r="A1153" s="658"/>
      <c r="B1153" s="658"/>
      <c r="C1153" s="658"/>
      <c r="D1153" s="658"/>
      <c r="E1153" s="691"/>
      <c r="F1153" s="653"/>
      <c r="G1153" s="654"/>
      <c r="H1153" s="657"/>
      <c r="I1153" s="657">
        <f t="shared" ref="I1153" si="299">H1153</f>
        <v>0</v>
      </c>
      <c r="J1153" s="657"/>
      <c r="K1153" s="657"/>
      <c r="L1153" s="657">
        <f t="shared" ref="L1153" si="300">K1153-I1153</f>
        <v>0</v>
      </c>
    </row>
    <row r="1154" spans="1:12">
      <c r="A1154" s="658"/>
      <c r="B1154" s="658"/>
      <c r="C1154" s="658"/>
      <c r="D1154" s="658"/>
      <c r="E1154" s="691"/>
      <c r="F1154" s="655"/>
      <c r="G1154" s="656"/>
      <c r="H1154" s="657"/>
      <c r="I1154" s="657"/>
      <c r="J1154" s="657"/>
      <c r="K1154" s="657"/>
      <c r="L1154" s="657"/>
    </row>
    <row r="1155" spans="1:12">
      <c r="A1155" s="658"/>
      <c r="B1155" s="658"/>
      <c r="C1155" s="658"/>
      <c r="D1155" s="658"/>
      <c r="E1155" s="691"/>
      <c r="F1155" s="653"/>
      <c r="G1155" s="654"/>
      <c r="H1155" s="657"/>
      <c r="I1155" s="657">
        <f t="shared" ref="I1155" si="301">H1155</f>
        <v>0</v>
      </c>
      <c r="J1155" s="657"/>
      <c r="K1155" s="657"/>
      <c r="L1155" s="657">
        <f t="shared" ref="L1155" si="302">K1155-I1155</f>
        <v>0</v>
      </c>
    </row>
    <row r="1156" spans="1:12">
      <c r="A1156" s="658"/>
      <c r="B1156" s="658"/>
      <c r="C1156" s="658"/>
      <c r="D1156" s="658"/>
      <c r="E1156" s="691"/>
      <c r="F1156" s="655"/>
      <c r="G1156" s="656"/>
      <c r="H1156" s="657"/>
      <c r="I1156" s="657"/>
      <c r="J1156" s="657"/>
      <c r="K1156" s="657"/>
      <c r="L1156" s="657"/>
    </row>
    <row r="1157" spans="1:12">
      <c r="A1157" s="658"/>
      <c r="B1157" s="658"/>
      <c r="C1157" s="658"/>
      <c r="D1157" s="658"/>
      <c r="E1157" s="691"/>
      <c r="F1157" s="653"/>
      <c r="G1157" s="654"/>
      <c r="H1157" s="657"/>
      <c r="I1157" s="657">
        <f t="shared" ref="I1157" si="303">H1157</f>
        <v>0</v>
      </c>
      <c r="J1157" s="657"/>
      <c r="K1157" s="657"/>
      <c r="L1157" s="657">
        <f t="shared" ref="L1157" si="304">K1157-I1157</f>
        <v>0</v>
      </c>
    </row>
    <row r="1158" spans="1:12">
      <c r="A1158" s="658"/>
      <c r="B1158" s="658"/>
      <c r="C1158" s="658"/>
      <c r="D1158" s="658"/>
      <c r="E1158" s="691"/>
      <c r="F1158" s="655"/>
      <c r="G1158" s="656"/>
      <c r="H1158" s="657"/>
      <c r="I1158" s="657"/>
      <c r="J1158" s="657"/>
      <c r="K1158" s="657"/>
      <c r="L1158" s="657"/>
    </row>
    <row r="1159" spans="1:12">
      <c r="A1159" s="658"/>
      <c r="B1159" s="658"/>
      <c r="C1159" s="658"/>
      <c r="D1159" s="658"/>
      <c r="E1159" s="691"/>
      <c r="F1159" s="653"/>
      <c r="G1159" s="654"/>
      <c r="H1159" s="657"/>
      <c r="I1159" s="657">
        <f t="shared" ref="I1159" si="305">H1159</f>
        <v>0</v>
      </c>
      <c r="J1159" s="657"/>
      <c r="K1159" s="657"/>
      <c r="L1159" s="657">
        <f t="shared" ref="L1159" si="306">K1159-I1159</f>
        <v>0</v>
      </c>
    </row>
    <row r="1160" spans="1:12">
      <c r="A1160" s="658"/>
      <c r="B1160" s="658"/>
      <c r="C1160" s="658"/>
      <c r="D1160" s="658"/>
      <c r="E1160" s="691"/>
      <c r="F1160" s="655"/>
      <c r="G1160" s="656"/>
      <c r="H1160" s="657"/>
      <c r="I1160" s="657"/>
      <c r="J1160" s="657"/>
      <c r="K1160" s="657"/>
      <c r="L1160" s="657"/>
    </row>
    <row r="1161" spans="1:12">
      <c r="A1161" s="658"/>
      <c r="B1161" s="658"/>
      <c r="C1161" s="658"/>
      <c r="D1161" s="658"/>
      <c r="E1161" s="691"/>
      <c r="F1161" s="653"/>
      <c r="G1161" s="654"/>
      <c r="H1161" s="657"/>
      <c r="I1161" s="657">
        <f t="shared" ref="I1161" si="307">H1161</f>
        <v>0</v>
      </c>
      <c r="J1161" s="657"/>
      <c r="K1161" s="657"/>
      <c r="L1161" s="657">
        <f t="shared" ref="L1161" si="308">K1161-I1161</f>
        <v>0</v>
      </c>
    </row>
    <row r="1162" spans="1:12">
      <c r="A1162" s="658"/>
      <c r="B1162" s="658"/>
      <c r="C1162" s="658"/>
      <c r="D1162" s="658"/>
      <c r="E1162" s="691"/>
      <c r="F1162" s="655"/>
      <c r="G1162" s="656"/>
      <c r="H1162" s="657"/>
      <c r="I1162" s="657"/>
      <c r="J1162" s="657"/>
      <c r="K1162" s="657"/>
      <c r="L1162" s="657"/>
    </row>
    <row r="1163" spans="1:12">
      <c r="A1163" s="658"/>
      <c r="B1163" s="658"/>
      <c r="C1163" s="658"/>
      <c r="D1163" s="658"/>
      <c r="E1163" s="691"/>
      <c r="F1163" s="653"/>
      <c r="G1163" s="654"/>
      <c r="H1163" s="657"/>
      <c r="I1163" s="657">
        <f t="shared" ref="I1163" si="309">H1163</f>
        <v>0</v>
      </c>
      <c r="J1163" s="657"/>
      <c r="K1163" s="657"/>
      <c r="L1163" s="657">
        <f t="shared" ref="L1163" si="310">K1163-I1163</f>
        <v>0</v>
      </c>
    </row>
    <row r="1164" spans="1:12">
      <c r="A1164" s="658"/>
      <c r="B1164" s="658"/>
      <c r="C1164" s="658"/>
      <c r="D1164" s="658"/>
      <c r="E1164" s="691"/>
      <c r="F1164" s="655"/>
      <c r="G1164" s="656"/>
      <c r="H1164" s="657"/>
      <c r="I1164" s="657"/>
      <c r="J1164" s="657"/>
      <c r="K1164" s="657"/>
      <c r="L1164" s="657"/>
    </row>
    <row r="1165" spans="1:12">
      <c r="A1165" s="658"/>
      <c r="B1165" s="658"/>
      <c r="C1165" s="658"/>
      <c r="D1165" s="658"/>
      <c r="E1165" s="691"/>
      <c r="F1165" s="653"/>
      <c r="G1165" s="654"/>
      <c r="H1165" s="657"/>
      <c r="I1165" s="657">
        <f t="shared" ref="I1165" si="311">H1165</f>
        <v>0</v>
      </c>
      <c r="J1165" s="657"/>
      <c r="K1165" s="657"/>
      <c r="L1165" s="657">
        <f t="shared" ref="L1165" si="312">K1165-I1165</f>
        <v>0</v>
      </c>
    </row>
    <row r="1166" spans="1:12">
      <c r="A1166" s="658"/>
      <c r="B1166" s="658"/>
      <c r="C1166" s="658"/>
      <c r="D1166" s="658"/>
      <c r="E1166" s="691"/>
      <c r="F1166" s="655"/>
      <c r="G1166" s="656"/>
      <c r="H1166" s="657"/>
      <c r="I1166" s="657"/>
      <c r="J1166" s="657"/>
      <c r="K1166" s="657"/>
      <c r="L1166" s="657"/>
    </row>
    <row r="1167" spans="1:12">
      <c r="A1167" s="658"/>
      <c r="B1167" s="658"/>
      <c r="C1167" s="658"/>
      <c r="D1167" s="658"/>
      <c r="E1167" s="691"/>
      <c r="F1167" s="653"/>
      <c r="G1167" s="654"/>
      <c r="H1167" s="657"/>
      <c r="I1167" s="657">
        <f t="shared" ref="I1167" si="313">H1167</f>
        <v>0</v>
      </c>
      <c r="J1167" s="657"/>
      <c r="K1167" s="657"/>
      <c r="L1167" s="657">
        <f t="shared" ref="L1167" si="314">K1167-I1167</f>
        <v>0</v>
      </c>
    </row>
    <row r="1168" spans="1:12">
      <c r="A1168" s="658"/>
      <c r="B1168" s="658"/>
      <c r="C1168" s="658"/>
      <c r="D1168" s="658"/>
      <c r="E1168" s="691"/>
      <c r="F1168" s="655"/>
      <c r="G1168" s="656"/>
      <c r="H1168" s="657"/>
      <c r="I1168" s="657"/>
      <c r="J1168" s="657"/>
      <c r="K1168" s="657"/>
      <c r="L1168" s="657"/>
    </row>
    <row r="1169" spans="1:12">
      <c r="A1169" s="658"/>
      <c r="B1169" s="658"/>
      <c r="C1169" s="658"/>
      <c r="D1169" s="658"/>
      <c r="E1169" s="658"/>
      <c r="F1169" s="653"/>
      <c r="G1169" s="654"/>
      <c r="H1169" s="657"/>
      <c r="I1169" s="657">
        <f t="shared" ref="I1169" si="315">H1169</f>
        <v>0</v>
      </c>
      <c r="J1169" s="657"/>
      <c r="K1169" s="657"/>
      <c r="L1169" s="657">
        <f t="shared" ref="L1169" si="316">K1169-I1169</f>
        <v>0</v>
      </c>
    </row>
    <row r="1170" spans="1:12">
      <c r="A1170" s="658"/>
      <c r="B1170" s="658"/>
      <c r="C1170" s="658"/>
      <c r="D1170" s="658"/>
      <c r="E1170" s="658"/>
      <c r="F1170" s="655"/>
      <c r="G1170" s="656"/>
      <c r="H1170" s="657"/>
      <c r="I1170" s="657"/>
      <c r="J1170" s="657"/>
      <c r="K1170" s="657"/>
      <c r="L1170" s="657"/>
    </row>
    <row r="1171" spans="1:12">
      <c r="A1171" s="658"/>
      <c r="B1171" s="658"/>
      <c r="C1171" s="658"/>
      <c r="D1171" s="658"/>
      <c r="E1171" s="658"/>
      <c r="F1171" s="653"/>
      <c r="G1171" s="654"/>
      <c r="H1171" s="657"/>
      <c r="I1171" s="657">
        <f t="shared" ref="I1171" si="317">H1171</f>
        <v>0</v>
      </c>
      <c r="J1171" s="657"/>
      <c r="K1171" s="657"/>
      <c r="L1171" s="657">
        <f t="shared" ref="L1171" si="318">K1171-I1171</f>
        <v>0</v>
      </c>
    </row>
    <row r="1172" spans="1:12">
      <c r="A1172" s="658"/>
      <c r="B1172" s="658"/>
      <c r="C1172" s="658"/>
      <c r="D1172" s="658"/>
      <c r="E1172" s="658"/>
      <c r="F1172" s="655"/>
      <c r="G1172" s="656"/>
      <c r="H1172" s="657"/>
      <c r="I1172" s="657"/>
      <c r="J1172" s="657"/>
      <c r="K1172" s="657"/>
      <c r="L1172" s="657"/>
    </row>
  </sheetData>
  <mergeCells count="6354">
    <mergeCell ref="L1027:L1028"/>
    <mergeCell ref="A1033:A1034"/>
    <mergeCell ref="B1033:B1034"/>
    <mergeCell ref="C1033:C1034"/>
    <mergeCell ref="D1033:D1034"/>
    <mergeCell ref="E1033:E1034"/>
    <mergeCell ref="F1033:G1034"/>
    <mergeCell ref="H1033:H1034"/>
    <mergeCell ref="I1033:I1034"/>
    <mergeCell ref="J1033:J1034"/>
    <mergeCell ref="K1033:K1034"/>
    <mergeCell ref="L1033:L1034"/>
    <mergeCell ref="A1035:A1036"/>
    <mergeCell ref="B1035:B1036"/>
    <mergeCell ref="C1035:C1036"/>
    <mergeCell ref="D1035:D1036"/>
    <mergeCell ref="E1035:E1036"/>
    <mergeCell ref="F1035:G1036"/>
    <mergeCell ref="H1035:H1036"/>
    <mergeCell ref="I1035:I1036"/>
    <mergeCell ref="J1035:J1036"/>
    <mergeCell ref="K1035:K1036"/>
    <mergeCell ref="L1035:L1036"/>
    <mergeCell ref="A1031:A1032"/>
    <mergeCell ref="B1031:B1032"/>
    <mergeCell ref="C1031:C1032"/>
    <mergeCell ref="D1031:D1032"/>
    <mergeCell ref="E1031:E1032"/>
    <mergeCell ref="F1031:G1032"/>
    <mergeCell ref="H1031:H1032"/>
    <mergeCell ref="I1031:I1032"/>
    <mergeCell ref="J1031:J1032"/>
    <mergeCell ref="A1003:A1004"/>
    <mergeCell ref="B1003:B1004"/>
    <mergeCell ref="C1003:C1004"/>
    <mergeCell ref="D1003:D1004"/>
    <mergeCell ref="E1003:E1004"/>
    <mergeCell ref="F1003:G1004"/>
    <mergeCell ref="H1003:H1004"/>
    <mergeCell ref="I1003:I1004"/>
    <mergeCell ref="J1003:J1004"/>
    <mergeCell ref="K1003:K1004"/>
    <mergeCell ref="L1003:L1004"/>
    <mergeCell ref="A929:L930"/>
    <mergeCell ref="A979:A980"/>
    <mergeCell ref="B979:B980"/>
    <mergeCell ref="C979:C980"/>
    <mergeCell ref="D979:D980"/>
    <mergeCell ref="E979:E980"/>
    <mergeCell ref="F979:G980"/>
    <mergeCell ref="H979:H980"/>
    <mergeCell ref="I979:I980"/>
    <mergeCell ref="J979:J980"/>
    <mergeCell ref="K979:K980"/>
    <mergeCell ref="L979:L980"/>
    <mergeCell ref="C951:C952"/>
    <mergeCell ref="D951:D952"/>
    <mergeCell ref="E951:E952"/>
    <mergeCell ref="F951:G952"/>
    <mergeCell ref="H951:H952"/>
    <mergeCell ref="I951:I952"/>
    <mergeCell ref="A961:A962"/>
    <mergeCell ref="B961:B962"/>
    <mergeCell ref="C961:C962"/>
    <mergeCell ref="D961:D962"/>
    <mergeCell ref="E961:E962"/>
    <mergeCell ref="F961:G962"/>
    <mergeCell ref="H961:H962"/>
    <mergeCell ref="I961:I962"/>
    <mergeCell ref="J961:J962"/>
    <mergeCell ref="K961:K962"/>
    <mergeCell ref="L961:L962"/>
    <mergeCell ref="A957:A958"/>
    <mergeCell ref="B957:B958"/>
    <mergeCell ref="C957:C958"/>
    <mergeCell ref="D957:D958"/>
    <mergeCell ref="E957:E958"/>
    <mergeCell ref="F957:G958"/>
    <mergeCell ref="H957:H958"/>
    <mergeCell ref="I957:I958"/>
    <mergeCell ref="J957:J958"/>
    <mergeCell ref="K957:K958"/>
    <mergeCell ref="L957:L958"/>
    <mergeCell ref="A959:A960"/>
    <mergeCell ref="B959:B960"/>
    <mergeCell ref="C959:C960"/>
    <mergeCell ref="D959:D960"/>
    <mergeCell ref="A933:A934"/>
    <mergeCell ref="B933:B934"/>
    <mergeCell ref="C933:C934"/>
    <mergeCell ref="D933:D934"/>
    <mergeCell ref="E933:E934"/>
    <mergeCell ref="F933:G934"/>
    <mergeCell ref="H933:H934"/>
    <mergeCell ref="I933:I934"/>
    <mergeCell ref="J933:J934"/>
    <mergeCell ref="K933:K934"/>
    <mergeCell ref="L933:L934"/>
    <mergeCell ref="A937:A938"/>
    <mergeCell ref="B937:B938"/>
    <mergeCell ref="C937:C938"/>
    <mergeCell ref="D937:D938"/>
    <mergeCell ref="E937:E938"/>
    <mergeCell ref="F937:G938"/>
    <mergeCell ref="H937:H938"/>
    <mergeCell ref="I937:I938"/>
    <mergeCell ref="J937:J938"/>
    <mergeCell ref="H623:H624"/>
    <mergeCell ref="I623:I624"/>
    <mergeCell ref="L609:L610"/>
    <mergeCell ref="F607:G608"/>
    <mergeCell ref="F609:G610"/>
    <mergeCell ref="L873:L874"/>
    <mergeCell ref="A879:A880"/>
    <mergeCell ref="B879:B880"/>
    <mergeCell ref="C879:C880"/>
    <mergeCell ref="D879:D880"/>
    <mergeCell ref="E879:E880"/>
    <mergeCell ref="F879:G880"/>
    <mergeCell ref="H879:H880"/>
    <mergeCell ref="I879:I880"/>
    <mergeCell ref="J879:J880"/>
    <mergeCell ref="K879:K880"/>
    <mergeCell ref="L879:L880"/>
    <mergeCell ref="L621:L622"/>
    <mergeCell ref="A619:A620"/>
    <mergeCell ref="B619:B620"/>
    <mergeCell ref="C619:C620"/>
    <mergeCell ref="D619:D620"/>
    <mergeCell ref="E619:E620"/>
    <mergeCell ref="F619:G620"/>
    <mergeCell ref="H619:H620"/>
    <mergeCell ref="I619:I620"/>
    <mergeCell ref="J619:J620"/>
    <mergeCell ref="K619:K620"/>
    <mergeCell ref="L619:L620"/>
    <mergeCell ref="A623:A624"/>
    <mergeCell ref="B623:B624"/>
    <mergeCell ref="C623:C624"/>
    <mergeCell ref="D623:D624"/>
    <mergeCell ref="E623:E624"/>
    <mergeCell ref="I621:I622"/>
    <mergeCell ref="J621:J622"/>
    <mergeCell ref="K621:K622"/>
    <mergeCell ref="B605:B606"/>
    <mergeCell ref="C605:C606"/>
    <mergeCell ref="D605:D606"/>
    <mergeCell ref="E605:E606"/>
    <mergeCell ref="F605:G606"/>
    <mergeCell ref="H605:H606"/>
    <mergeCell ref="I605:I606"/>
    <mergeCell ref="A609:A610"/>
    <mergeCell ref="B609:B610"/>
    <mergeCell ref="C609:C610"/>
    <mergeCell ref="D609:D610"/>
    <mergeCell ref="E609:E610"/>
    <mergeCell ref="H609:H610"/>
    <mergeCell ref="I609:I610"/>
    <mergeCell ref="J609:J610"/>
    <mergeCell ref="K609:K610"/>
    <mergeCell ref="A611:A612"/>
    <mergeCell ref="B611:B612"/>
    <mergeCell ref="C611:C612"/>
    <mergeCell ref="D611:D612"/>
    <mergeCell ref="E611:E612"/>
    <mergeCell ref="H611:H612"/>
    <mergeCell ref="I611:I612"/>
    <mergeCell ref="J611:J612"/>
    <mergeCell ref="K611:K612"/>
    <mergeCell ref="F623:G624"/>
    <mergeCell ref="E607:E608"/>
    <mergeCell ref="K559:K560"/>
    <mergeCell ref="A561:A562"/>
    <mergeCell ref="B561:B562"/>
    <mergeCell ref="C561:C562"/>
    <mergeCell ref="D561:D562"/>
    <mergeCell ref="E561:E562"/>
    <mergeCell ref="H561:H562"/>
    <mergeCell ref="I561:I562"/>
    <mergeCell ref="J561:J562"/>
    <mergeCell ref="K561:K562"/>
    <mergeCell ref="A563:A564"/>
    <mergeCell ref="B563:B564"/>
    <mergeCell ref="C563:C564"/>
    <mergeCell ref="D563:D564"/>
    <mergeCell ref="E563:E564"/>
    <mergeCell ref="H563:H564"/>
    <mergeCell ref="I563:I564"/>
    <mergeCell ref="J563:J564"/>
    <mergeCell ref="K563:K564"/>
    <mergeCell ref="F561:G562"/>
    <mergeCell ref="F563:G564"/>
    <mergeCell ref="H555:H556"/>
    <mergeCell ref="J555:J556"/>
    <mergeCell ref="K555:K556"/>
    <mergeCell ref="L555:L556"/>
    <mergeCell ref="I555:I556"/>
    <mergeCell ref="A555:A556"/>
    <mergeCell ref="E555:E556"/>
    <mergeCell ref="D555:D556"/>
    <mergeCell ref="C555:C556"/>
    <mergeCell ref="B555:B556"/>
    <mergeCell ref="L519:L520"/>
    <mergeCell ref="J507:J508"/>
    <mergeCell ref="J509:J510"/>
    <mergeCell ref="J511:J512"/>
    <mergeCell ref="J513:J514"/>
    <mergeCell ref="J515:J516"/>
    <mergeCell ref="J517:J518"/>
    <mergeCell ref="E507:E508"/>
    <mergeCell ref="E509:E510"/>
    <mergeCell ref="E511:E512"/>
    <mergeCell ref="E513:E514"/>
    <mergeCell ref="E515:E516"/>
    <mergeCell ref="E517:E518"/>
    <mergeCell ref="F507:G508"/>
    <mergeCell ref="F509:G510"/>
    <mergeCell ref="F511:G512"/>
    <mergeCell ref="F513:G514"/>
    <mergeCell ref="F515:G516"/>
    <mergeCell ref="F517:G518"/>
    <mergeCell ref="K507:K508"/>
    <mergeCell ref="K509:K510"/>
    <mergeCell ref="K511:K512"/>
    <mergeCell ref="K513:K514"/>
    <mergeCell ref="K515:K516"/>
    <mergeCell ref="K517:K518"/>
    <mergeCell ref="L511:L512"/>
    <mergeCell ref="L513:L514"/>
    <mergeCell ref="L515:L516"/>
    <mergeCell ref="L517:L518"/>
    <mergeCell ref="H507:H508"/>
    <mergeCell ref="H509:H510"/>
    <mergeCell ref="H511:H512"/>
    <mergeCell ref="H513:H514"/>
    <mergeCell ref="H515:H516"/>
    <mergeCell ref="H517:H518"/>
    <mergeCell ref="I507:I508"/>
    <mergeCell ref="I509:I510"/>
    <mergeCell ref="I511:I512"/>
    <mergeCell ref="I513:I514"/>
    <mergeCell ref="I515:I516"/>
    <mergeCell ref="I517:I518"/>
    <mergeCell ref="L507:L508"/>
    <mergeCell ref="L509:L510"/>
    <mergeCell ref="D511:D512"/>
    <mergeCell ref="D513:D514"/>
    <mergeCell ref="D515:D516"/>
    <mergeCell ref="D517:D518"/>
    <mergeCell ref="B521:B522"/>
    <mergeCell ref="C521:C522"/>
    <mergeCell ref="D521:D522"/>
    <mergeCell ref="E521:E522"/>
    <mergeCell ref="F521:G522"/>
    <mergeCell ref="E535:E536"/>
    <mergeCell ref="B531:B532"/>
    <mergeCell ref="C531:C532"/>
    <mergeCell ref="D531:D532"/>
    <mergeCell ref="E531:E532"/>
    <mergeCell ref="A507:A508"/>
    <mergeCell ref="A509:A510"/>
    <mergeCell ref="A511:A512"/>
    <mergeCell ref="A513:A514"/>
    <mergeCell ref="A515:A516"/>
    <mergeCell ref="A517:A518"/>
    <mergeCell ref="B507:B508"/>
    <mergeCell ref="B509:B510"/>
    <mergeCell ref="B511:B512"/>
    <mergeCell ref="B513:B514"/>
    <mergeCell ref="B515:B516"/>
    <mergeCell ref="B517:B518"/>
    <mergeCell ref="C507:C508"/>
    <mergeCell ref="C509:C510"/>
    <mergeCell ref="C511:C512"/>
    <mergeCell ref="C513:C514"/>
    <mergeCell ref="C515:C516"/>
    <mergeCell ref="C517:C518"/>
    <mergeCell ref="B411:B412"/>
    <mergeCell ref="C411:C412"/>
    <mergeCell ref="D411:D412"/>
    <mergeCell ref="E411:E412"/>
    <mergeCell ref="F411:G412"/>
    <mergeCell ref="H411:H412"/>
    <mergeCell ref="I411:I412"/>
    <mergeCell ref="J411:J412"/>
    <mergeCell ref="I417:I418"/>
    <mergeCell ref="J417:J418"/>
    <mergeCell ref="J443:J444"/>
    <mergeCell ref="J449:J450"/>
    <mergeCell ref="J463:J464"/>
    <mergeCell ref="B499:B500"/>
    <mergeCell ref="C499:C500"/>
    <mergeCell ref="D499:D500"/>
    <mergeCell ref="E499:E500"/>
    <mergeCell ref="F499:G500"/>
    <mergeCell ref="H499:H500"/>
    <mergeCell ref="I499:I500"/>
    <mergeCell ref="J499:J500"/>
    <mergeCell ref="C505:C506"/>
    <mergeCell ref="D505:D506"/>
    <mergeCell ref="E505:E506"/>
    <mergeCell ref="F505:G506"/>
    <mergeCell ref="H505:H506"/>
    <mergeCell ref="I505:I506"/>
    <mergeCell ref="J505:J506"/>
    <mergeCell ref="D507:D508"/>
    <mergeCell ref="D509:D510"/>
    <mergeCell ref="K411:K412"/>
    <mergeCell ref="L411:L412"/>
    <mergeCell ref="A317:L317"/>
    <mergeCell ref="I320:I321"/>
    <mergeCell ref="J320:J321"/>
    <mergeCell ref="K320:K321"/>
    <mergeCell ref="L320:L321"/>
    <mergeCell ref="A318:A319"/>
    <mergeCell ref="B318:B319"/>
    <mergeCell ref="C318:C319"/>
    <mergeCell ref="D318:D319"/>
    <mergeCell ref="E318:E319"/>
    <mergeCell ref="F318:G319"/>
    <mergeCell ref="H318:H319"/>
    <mergeCell ref="I318:I319"/>
    <mergeCell ref="H324:H325"/>
    <mergeCell ref="I324:I325"/>
    <mergeCell ref="J324:J325"/>
    <mergeCell ref="K328:K329"/>
    <mergeCell ref="L328:L329"/>
    <mergeCell ref="A330:A331"/>
    <mergeCell ref="B330:B331"/>
    <mergeCell ref="C330:C331"/>
    <mergeCell ref="K330:K331"/>
    <mergeCell ref="L330:L331"/>
    <mergeCell ref="A328:A329"/>
    <mergeCell ref="F194:G195"/>
    <mergeCell ref="H194:H195"/>
    <mergeCell ref="I194:I195"/>
    <mergeCell ref="J194:J195"/>
    <mergeCell ref="K194:K195"/>
    <mergeCell ref="L194:L195"/>
    <mergeCell ref="K198:K199"/>
    <mergeCell ref="L198:L199"/>
    <mergeCell ref="A202:A203"/>
    <mergeCell ref="B202:B203"/>
    <mergeCell ref="C202:C203"/>
    <mergeCell ref="D202:D203"/>
    <mergeCell ref="E202:E203"/>
    <mergeCell ref="F202:G203"/>
    <mergeCell ref="H202:H203"/>
    <mergeCell ref="I202:I203"/>
    <mergeCell ref="J202:J203"/>
    <mergeCell ref="K202:K203"/>
    <mergeCell ref="L202:L203"/>
    <mergeCell ref="A198:A199"/>
    <mergeCell ref="B198:B199"/>
    <mergeCell ref="C198:C199"/>
    <mergeCell ref="D198:D199"/>
    <mergeCell ref="H206:H207"/>
    <mergeCell ref="I206:I207"/>
    <mergeCell ref="J206:J207"/>
    <mergeCell ref="K206:K207"/>
    <mergeCell ref="L206:L207"/>
    <mergeCell ref="A204:A205"/>
    <mergeCell ref="K26:K27"/>
    <mergeCell ref="K42:K43"/>
    <mergeCell ref="I40:I41"/>
    <mergeCell ref="J40:J41"/>
    <mergeCell ref="K36:K37"/>
    <mergeCell ref="J46:J47"/>
    <mergeCell ref="E69:E70"/>
    <mergeCell ref="H69:H70"/>
    <mergeCell ref="I52:I53"/>
    <mergeCell ref="J52:J53"/>
    <mergeCell ref="K52:K53"/>
    <mergeCell ref="H57:H58"/>
    <mergeCell ref="I57:I58"/>
    <mergeCell ref="J57:J58"/>
    <mergeCell ref="F54:G55"/>
    <mergeCell ref="K69:K70"/>
    <mergeCell ref="K89:K90"/>
    <mergeCell ref="K30:K31"/>
    <mergeCell ref="F26:G27"/>
    <mergeCell ref="H40:H41"/>
    <mergeCell ref="H26:H27"/>
    <mergeCell ref="I26:I27"/>
    <mergeCell ref="I30:I31"/>
    <mergeCell ref="J30:J31"/>
    <mergeCell ref="J75:J76"/>
    <mergeCell ref="H75:H76"/>
    <mergeCell ref="K71:K72"/>
    <mergeCell ref="K75:K76"/>
    <mergeCell ref="L158:L159"/>
    <mergeCell ref="L115:L116"/>
    <mergeCell ref="A117:A118"/>
    <mergeCell ref="B117:B118"/>
    <mergeCell ref="E28:E29"/>
    <mergeCell ref="F28:G29"/>
    <mergeCell ref="C99:C100"/>
    <mergeCell ref="K40:K41"/>
    <mergeCell ref="A52:A53"/>
    <mergeCell ref="B52:B53"/>
    <mergeCell ref="C52:C53"/>
    <mergeCell ref="D52:D53"/>
    <mergeCell ref="E52:E53"/>
    <mergeCell ref="H52:H53"/>
    <mergeCell ref="A54:A55"/>
    <mergeCell ref="H99:H100"/>
    <mergeCell ref="I99:I100"/>
    <mergeCell ref="J99:J100"/>
    <mergeCell ref="C138:C139"/>
    <mergeCell ref="H136:H137"/>
    <mergeCell ref="I136:I137"/>
    <mergeCell ref="B138:B139"/>
    <mergeCell ref="K115:K116"/>
    <mergeCell ref="K119:K120"/>
    <mergeCell ref="K123:K124"/>
    <mergeCell ref="B129:B130"/>
    <mergeCell ref="C129:C130"/>
    <mergeCell ref="D129:D130"/>
    <mergeCell ref="E129:E130"/>
    <mergeCell ref="H129:H130"/>
    <mergeCell ref="I129:I130"/>
    <mergeCell ref="J129:J130"/>
    <mergeCell ref="K129:K130"/>
    <mergeCell ref="J119:J120"/>
    <mergeCell ref="D138:D139"/>
    <mergeCell ref="E138:E139"/>
    <mergeCell ref="H138:H139"/>
    <mergeCell ref="I138:I139"/>
    <mergeCell ref="J136:J137"/>
    <mergeCell ref="F136:G137"/>
    <mergeCell ref="A56:L56"/>
    <mergeCell ref="B54:B55"/>
    <mergeCell ref="C54:C55"/>
    <mergeCell ref="D54:D55"/>
    <mergeCell ref="E54:E55"/>
    <mergeCell ref="H54:H55"/>
    <mergeCell ref="I54:I55"/>
    <mergeCell ref="K63:K64"/>
    <mergeCell ref="K77:K78"/>
    <mergeCell ref="K81:K82"/>
    <mergeCell ref="J71:J72"/>
    <mergeCell ref="E73:E74"/>
    <mergeCell ref="C111:C112"/>
    <mergeCell ref="D111:D112"/>
    <mergeCell ref="E111:E112"/>
    <mergeCell ref="H111:H112"/>
    <mergeCell ref="I111:I112"/>
    <mergeCell ref="J111:J112"/>
    <mergeCell ref="K99:K100"/>
    <mergeCell ref="K101:K102"/>
    <mergeCell ref="K105:K106"/>
    <mergeCell ref="I75:I76"/>
    <mergeCell ref="H109:H110"/>
    <mergeCell ref="I109:I110"/>
    <mergeCell ref="J16:J17"/>
    <mergeCell ref="A16:A17"/>
    <mergeCell ref="B16:B17"/>
    <mergeCell ref="C16:C17"/>
    <mergeCell ref="D16:D17"/>
    <mergeCell ref="E16:E17"/>
    <mergeCell ref="A24:A25"/>
    <mergeCell ref="B24:B25"/>
    <mergeCell ref="C24:C25"/>
    <mergeCell ref="D24:D25"/>
    <mergeCell ref="E24:E25"/>
    <mergeCell ref="A30:A31"/>
    <mergeCell ref="B30:B31"/>
    <mergeCell ref="F24:G25"/>
    <mergeCell ref="F30:G31"/>
    <mergeCell ref="A26:A27"/>
    <mergeCell ref="B26:B27"/>
    <mergeCell ref="C26:C27"/>
    <mergeCell ref="D26:D27"/>
    <mergeCell ref="E26:E27"/>
    <mergeCell ref="E30:E31"/>
    <mergeCell ref="A28:A29"/>
    <mergeCell ref="B28:B29"/>
    <mergeCell ref="C28:C29"/>
    <mergeCell ref="D28:D29"/>
    <mergeCell ref="J26:J27"/>
    <mergeCell ref="J109:J110"/>
    <mergeCell ref="K109:K110"/>
    <mergeCell ref="L109:L110"/>
    <mergeCell ref="K111:K112"/>
    <mergeCell ref="L111:L112"/>
    <mergeCell ref="A113:A114"/>
    <mergeCell ref="B113:B114"/>
    <mergeCell ref="C113:C114"/>
    <mergeCell ref="D113:D114"/>
    <mergeCell ref="E113:E114"/>
    <mergeCell ref="H113:H114"/>
    <mergeCell ref="K113:K114"/>
    <mergeCell ref="L113:L114"/>
    <mergeCell ref="F111:G112"/>
    <mergeCell ref="A111:A112"/>
    <mergeCell ref="B111:B112"/>
    <mergeCell ref="I113:I114"/>
    <mergeCell ref="J113:J114"/>
    <mergeCell ref="F113:G114"/>
    <mergeCell ref="C117:C118"/>
    <mergeCell ref="D117:D118"/>
    <mergeCell ref="E117:E118"/>
    <mergeCell ref="H117:H118"/>
    <mergeCell ref="I117:I118"/>
    <mergeCell ref="J117:J118"/>
    <mergeCell ref="A14:A15"/>
    <mergeCell ref="B14:B15"/>
    <mergeCell ref="C14:C15"/>
    <mergeCell ref="D14:D15"/>
    <mergeCell ref="E14:E15"/>
    <mergeCell ref="A22:A23"/>
    <mergeCell ref="B22:B23"/>
    <mergeCell ref="C22:C23"/>
    <mergeCell ref="D22:D23"/>
    <mergeCell ref="E22:E23"/>
    <mergeCell ref="A18:A19"/>
    <mergeCell ref="B18:B19"/>
    <mergeCell ref="C18:C19"/>
    <mergeCell ref="D18:D19"/>
    <mergeCell ref="E18:E19"/>
    <mergeCell ref="D20:D21"/>
    <mergeCell ref="E20:E21"/>
    <mergeCell ref="A20:A21"/>
    <mergeCell ref="B20:B21"/>
    <mergeCell ref="C20:C21"/>
    <mergeCell ref="A109:A110"/>
    <mergeCell ref="B109:B110"/>
    <mergeCell ref="C109:C110"/>
    <mergeCell ref="D109:D110"/>
    <mergeCell ref="E109:E110"/>
    <mergeCell ref="F109:G110"/>
    <mergeCell ref="B4:B5"/>
    <mergeCell ref="C4:C5"/>
    <mergeCell ref="D4:D5"/>
    <mergeCell ref="E4:E5"/>
    <mergeCell ref="H4:H5"/>
    <mergeCell ref="K6:K7"/>
    <mergeCell ref="L6:L7"/>
    <mergeCell ref="A8:A9"/>
    <mergeCell ref="B8:B9"/>
    <mergeCell ref="C8:C9"/>
    <mergeCell ref="D8:D9"/>
    <mergeCell ref="E8:E9"/>
    <mergeCell ref="F4:G5"/>
    <mergeCell ref="I4:I5"/>
    <mergeCell ref="J4:J5"/>
    <mergeCell ref="K4:K5"/>
    <mergeCell ref="B6:B7"/>
    <mergeCell ref="C6:C7"/>
    <mergeCell ref="D6:D7"/>
    <mergeCell ref="E6:E7"/>
    <mergeCell ref="H8:H9"/>
    <mergeCell ref="I8:I9"/>
    <mergeCell ref="J8:J9"/>
    <mergeCell ref="K8:K9"/>
    <mergeCell ref="L8:L9"/>
    <mergeCell ref="H6:H7"/>
    <mergeCell ref="I6:I7"/>
    <mergeCell ref="J6:J7"/>
    <mergeCell ref="A12:A13"/>
    <mergeCell ref="B12:B13"/>
    <mergeCell ref="H24:H25"/>
    <mergeCell ref="I24:I25"/>
    <mergeCell ref="J24:J25"/>
    <mergeCell ref="K24:K25"/>
    <mergeCell ref="L24:L25"/>
    <mergeCell ref="K18:K19"/>
    <mergeCell ref="L18:L19"/>
    <mergeCell ref="L16:L17"/>
    <mergeCell ref="K20:K21"/>
    <mergeCell ref="L20:L21"/>
    <mergeCell ref="H22:H23"/>
    <mergeCell ref="I22:I23"/>
    <mergeCell ref="J22:J23"/>
    <mergeCell ref="H18:H19"/>
    <mergeCell ref="I18:I19"/>
    <mergeCell ref="J18:J19"/>
    <mergeCell ref="I20:I21"/>
    <mergeCell ref="J20:J21"/>
    <mergeCell ref="L22:L23"/>
    <mergeCell ref="H20:H21"/>
    <mergeCell ref="K16:K17"/>
    <mergeCell ref="H16:H17"/>
    <mergeCell ref="I16:I17"/>
    <mergeCell ref="K22:K23"/>
    <mergeCell ref="C12:C13"/>
    <mergeCell ref="D12:D13"/>
    <mergeCell ref="E12:E13"/>
    <mergeCell ref="H14:H15"/>
    <mergeCell ref="I14:I15"/>
    <mergeCell ref="J14:J15"/>
    <mergeCell ref="L26:L27"/>
    <mergeCell ref="K32:K33"/>
    <mergeCell ref="L32:L33"/>
    <mergeCell ref="A34:A35"/>
    <mergeCell ref="B34:B35"/>
    <mergeCell ref="C34:C35"/>
    <mergeCell ref="D34:D35"/>
    <mergeCell ref="E34:E35"/>
    <mergeCell ref="H34:H35"/>
    <mergeCell ref="I34:I35"/>
    <mergeCell ref="J34:J35"/>
    <mergeCell ref="K34:K35"/>
    <mergeCell ref="L34:L35"/>
    <mergeCell ref="F32:G33"/>
    <mergeCell ref="F34:G35"/>
    <mergeCell ref="A32:A33"/>
    <mergeCell ref="B32:B33"/>
    <mergeCell ref="C32:C33"/>
    <mergeCell ref="D32:D33"/>
    <mergeCell ref="E32:E33"/>
    <mergeCell ref="H32:H33"/>
    <mergeCell ref="I32:I33"/>
    <mergeCell ref="J32:J33"/>
    <mergeCell ref="H30:H31"/>
    <mergeCell ref="L30:L31"/>
    <mergeCell ref="H28:H29"/>
    <mergeCell ref="I28:I29"/>
    <mergeCell ref="J28:J29"/>
    <mergeCell ref="K28:K29"/>
    <mergeCell ref="L28:L29"/>
    <mergeCell ref="C30:C31"/>
    <mergeCell ref="D30:D31"/>
    <mergeCell ref="L42:L43"/>
    <mergeCell ref="A44:A45"/>
    <mergeCell ref="B44:B45"/>
    <mergeCell ref="C44:C45"/>
    <mergeCell ref="D44:D45"/>
    <mergeCell ref="E44:E45"/>
    <mergeCell ref="H44:H45"/>
    <mergeCell ref="I44:I45"/>
    <mergeCell ref="J44:J45"/>
    <mergeCell ref="K44:K45"/>
    <mergeCell ref="L44:L45"/>
    <mergeCell ref="F42:G43"/>
    <mergeCell ref="F44:G45"/>
    <mergeCell ref="A42:A43"/>
    <mergeCell ref="B42:B43"/>
    <mergeCell ref="C42:C43"/>
    <mergeCell ref="D42:D43"/>
    <mergeCell ref="E42:E43"/>
    <mergeCell ref="H42:H43"/>
    <mergeCell ref="I42:I43"/>
    <mergeCell ref="J42:J43"/>
    <mergeCell ref="L36:L37"/>
    <mergeCell ref="A38:A39"/>
    <mergeCell ref="B38:B39"/>
    <mergeCell ref="C38:C39"/>
    <mergeCell ref="D38:D39"/>
    <mergeCell ref="E38:E39"/>
    <mergeCell ref="H38:H39"/>
    <mergeCell ref="I38:I39"/>
    <mergeCell ref="J38:J39"/>
    <mergeCell ref="K38:K39"/>
    <mergeCell ref="L38:L39"/>
    <mergeCell ref="F36:G37"/>
    <mergeCell ref="F38:G39"/>
    <mergeCell ref="A36:A37"/>
    <mergeCell ref="B36:B37"/>
    <mergeCell ref="C36:C37"/>
    <mergeCell ref="D36:D37"/>
    <mergeCell ref="E36:E37"/>
    <mergeCell ref="H36:H37"/>
    <mergeCell ref="I36:I37"/>
    <mergeCell ref="J36:J37"/>
    <mergeCell ref="L40:L41"/>
    <mergeCell ref="F40:G41"/>
    <mergeCell ref="A40:A41"/>
    <mergeCell ref="B40:B41"/>
    <mergeCell ref="C40:C41"/>
    <mergeCell ref="D40:D41"/>
    <mergeCell ref="E40:E41"/>
    <mergeCell ref="K46:K47"/>
    <mergeCell ref="K54:K55"/>
    <mergeCell ref="K50:K51"/>
    <mergeCell ref="J54:J55"/>
    <mergeCell ref="L46:L47"/>
    <mergeCell ref="A48:A49"/>
    <mergeCell ref="B48:B49"/>
    <mergeCell ref="C48:C49"/>
    <mergeCell ref="D48:D49"/>
    <mergeCell ref="E48:E49"/>
    <mergeCell ref="H48:H49"/>
    <mergeCell ref="I48:I49"/>
    <mergeCell ref="J48:J49"/>
    <mergeCell ref="K48:K49"/>
    <mergeCell ref="L48:L49"/>
    <mergeCell ref="F46:G47"/>
    <mergeCell ref="F48:G49"/>
    <mergeCell ref="A46:A47"/>
    <mergeCell ref="B46:B47"/>
    <mergeCell ref="C46:C47"/>
    <mergeCell ref="D46:D47"/>
    <mergeCell ref="E46:E47"/>
    <mergeCell ref="H46:H47"/>
    <mergeCell ref="I46:I47"/>
    <mergeCell ref="L50:L51"/>
    <mergeCell ref="L52:L53"/>
    <mergeCell ref="F50:G51"/>
    <mergeCell ref="F52:G53"/>
    <mergeCell ref="A50:A51"/>
    <mergeCell ref="B50:B51"/>
    <mergeCell ref="C50:C51"/>
    <mergeCell ref="D50:D51"/>
    <mergeCell ref="E50:E51"/>
    <mergeCell ref="H50:H51"/>
    <mergeCell ref="I50:I51"/>
    <mergeCell ref="J50:J51"/>
    <mergeCell ref="L54:L55"/>
    <mergeCell ref="J63:J64"/>
    <mergeCell ref="K57:K58"/>
    <mergeCell ref="L57:L58"/>
    <mergeCell ref="A59:A60"/>
    <mergeCell ref="B59:B60"/>
    <mergeCell ref="C59:C60"/>
    <mergeCell ref="D59:D60"/>
    <mergeCell ref="E59:E60"/>
    <mergeCell ref="H59:H60"/>
    <mergeCell ref="I59:I60"/>
    <mergeCell ref="J59:J60"/>
    <mergeCell ref="K59:K60"/>
    <mergeCell ref="L59:L60"/>
    <mergeCell ref="F57:G58"/>
    <mergeCell ref="F59:G60"/>
    <mergeCell ref="A57:A58"/>
    <mergeCell ref="B57:B58"/>
    <mergeCell ref="C57:C58"/>
    <mergeCell ref="D57:D58"/>
    <mergeCell ref="E57:E58"/>
    <mergeCell ref="C69:C70"/>
    <mergeCell ref="D69:D70"/>
    <mergeCell ref="I69:I70"/>
    <mergeCell ref="J69:J70"/>
    <mergeCell ref="L63:L64"/>
    <mergeCell ref="A65:A66"/>
    <mergeCell ref="B65:B66"/>
    <mergeCell ref="C65:C66"/>
    <mergeCell ref="D65:D66"/>
    <mergeCell ref="E65:E66"/>
    <mergeCell ref="H65:H66"/>
    <mergeCell ref="I65:I66"/>
    <mergeCell ref="J65:J66"/>
    <mergeCell ref="K65:K66"/>
    <mergeCell ref="L65:L66"/>
    <mergeCell ref="F63:G64"/>
    <mergeCell ref="F65:G66"/>
    <mergeCell ref="A63:A64"/>
    <mergeCell ref="B63:B64"/>
    <mergeCell ref="C63:C64"/>
    <mergeCell ref="D63:D64"/>
    <mergeCell ref="E63:E64"/>
    <mergeCell ref="H63:H64"/>
    <mergeCell ref="I63:I64"/>
    <mergeCell ref="L77:L78"/>
    <mergeCell ref="A79:A80"/>
    <mergeCell ref="B79:B80"/>
    <mergeCell ref="C79:C80"/>
    <mergeCell ref="D79:D80"/>
    <mergeCell ref="E79:E80"/>
    <mergeCell ref="H79:H80"/>
    <mergeCell ref="I79:I80"/>
    <mergeCell ref="J79:J80"/>
    <mergeCell ref="K79:K80"/>
    <mergeCell ref="L79:L80"/>
    <mergeCell ref="F77:G78"/>
    <mergeCell ref="F79:G80"/>
    <mergeCell ref="A77:A78"/>
    <mergeCell ref="B77:B78"/>
    <mergeCell ref="C77:C78"/>
    <mergeCell ref="D77:D78"/>
    <mergeCell ref="E77:E78"/>
    <mergeCell ref="H77:H78"/>
    <mergeCell ref="I77:I78"/>
    <mergeCell ref="J77:J78"/>
    <mergeCell ref="L81:L82"/>
    <mergeCell ref="A83:A84"/>
    <mergeCell ref="B83:B84"/>
    <mergeCell ref="C83:C84"/>
    <mergeCell ref="D83:D84"/>
    <mergeCell ref="E83:E84"/>
    <mergeCell ref="H83:H84"/>
    <mergeCell ref="I83:I84"/>
    <mergeCell ref="J83:J84"/>
    <mergeCell ref="K83:K84"/>
    <mergeCell ref="L83:L84"/>
    <mergeCell ref="F81:G82"/>
    <mergeCell ref="F83:G84"/>
    <mergeCell ref="A81:A82"/>
    <mergeCell ref="B81:B82"/>
    <mergeCell ref="C81:C82"/>
    <mergeCell ref="D81:D82"/>
    <mergeCell ref="E81:E82"/>
    <mergeCell ref="H81:H82"/>
    <mergeCell ref="I81:I82"/>
    <mergeCell ref="J81:J82"/>
    <mergeCell ref="L85:L86"/>
    <mergeCell ref="A87:A88"/>
    <mergeCell ref="B87:B88"/>
    <mergeCell ref="C87:C88"/>
    <mergeCell ref="D87:D88"/>
    <mergeCell ref="E87:E88"/>
    <mergeCell ref="H87:H88"/>
    <mergeCell ref="I87:I88"/>
    <mergeCell ref="J87:J88"/>
    <mergeCell ref="K87:K88"/>
    <mergeCell ref="L87:L88"/>
    <mergeCell ref="F85:G86"/>
    <mergeCell ref="F87:G88"/>
    <mergeCell ref="A85:A86"/>
    <mergeCell ref="B85:B86"/>
    <mergeCell ref="C85:C86"/>
    <mergeCell ref="D85:D86"/>
    <mergeCell ref="E85:E86"/>
    <mergeCell ref="H85:H86"/>
    <mergeCell ref="I85:I86"/>
    <mergeCell ref="J85:J86"/>
    <mergeCell ref="K85:K86"/>
    <mergeCell ref="L89:L90"/>
    <mergeCell ref="K93:K94"/>
    <mergeCell ref="L93:L94"/>
    <mergeCell ref="F93:G94"/>
    <mergeCell ref="A93:A94"/>
    <mergeCell ref="B93:B94"/>
    <mergeCell ref="C93:C94"/>
    <mergeCell ref="D93:D94"/>
    <mergeCell ref="E93:E94"/>
    <mergeCell ref="H93:H94"/>
    <mergeCell ref="I93:I94"/>
    <mergeCell ref="J93:J94"/>
    <mergeCell ref="L91:L92"/>
    <mergeCell ref="F89:G90"/>
    <mergeCell ref="F91:G92"/>
    <mergeCell ref="A89:A90"/>
    <mergeCell ref="B89:B90"/>
    <mergeCell ref="C89:C90"/>
    <mergeCell ref="D89:D90"/>
    <mergeCell ref="E89:E90"/>
    <mergeCell ref="H89:H90"/>
    <mergeCell ref="I89:I90"/>
    <mergeCell ref="J89:J90"/>
    <mergeCell ref="A91:A92"/>
    <mergeCell ref="B91:B92"/>
    <mergeCell ref="C91:C92"/>
    <mergeCell ref="D91:D92"/>
    <mergeCell ref="E91:E92"/>
    <mergeCell ref="H91:H92"/>
    <mergeCell ref="I91:I92"/>
    <mergeCell ref="J91:J92"/>
    <mergeCell ref="K91:K92"/>
    <mergeCell ref="L99:L100"/>
    <mergeCell ref="F99:G100"/>
    <mergeCell ref="K95:K96"/>
    <mergeCell ref="L95:L96"/>
    <mergeCell ref="A97:A98"/>
    <mergeCell ref="B97:B98"/>
    <mergeCell ref="C97:C98"/>
    <mergeCell ref="D97:D98"/>
    <mergeCell ref="E97:E98"/>
    <mergeCell ref="H97:H98"/>
    <mergeCell ref="I97:I98"/>
    <mergeCell ref="J97:J98"/>
    <mergeCell ref="K97:K98"/>
    <mergeCell ref="L97:L98"/>
    <mergeCell ref="F95:G96"/>
    <mergeCell ref="F97:G98"/>
    <mergeCell ref="A95:A96"/>
    <mergeCell ref="B95:B96"/>
    <mergeCell ref="C95:C96"/>
    <mergeCell ref="D95:D96"/>
    <mergeCell ref="E95:E96"/>
    <mergeCell ref="H95:H96"/>
    <mergeCell ref="I95:I96"/>
    <mergeCell ref="J95:J96"/>
    <mergeCell ref="D99:D100"/>
    <mergeCell ref="E99:E100"/>
    <mergeCell ref="A99:A100"/>
    <mergeCell ref="B99:B100"/>
    <mergeCell ref="L101:L102"/>
    <mergeCell ref="A103:A104"/>
    <mergeCell ref="B103:B104"/>
    <mergeCell ref="C103:C104"/>
    <mergeCell ref="D103:D104"/>
    <mergeCell ref="E103:E104"/>
    <mergeCell ref="H103:H104"/>
    <mergeCell ref="I103:I104"/>
    <mergeCell ref="J103:J104"/>
    <mergeCell ref="K103:K104"/>
    <mergeCell ref="L103:L104"/>
    <mergeCell ref="F101:G102"/>
    <mergeCell ref="F103:G104"/>
    <mergeCell ref="A101:A102"/>
    <mergeCell ref="B101:B102"/>
    <mergeCell ref="C101:C102"/>
    <mergeCell ref="D101:D102"/>
    <mergeCell ref="E101:E102"/>
    <mergeCell ref="H101:H102"/>
    <mergeCell ref="I101:I102"/>
    <mergeCell ref="J101:J102"/>
    <mergeCell ref="L105:L106"/>
    <mergeCell ref="A107:A108"/>
    <mergeCell ref="B107:B108"/>
    <mergeCell ref="C107:C108"/>
    <mergeCell ref="D107:D108"/>
    <mergeCell ref="E107:E108"/>
    <mergeCell ref="H107:H108"/>
    <mergeCell ref="I107:I108"/>
    <mergeCell ref="J107:J108"/>
    <mergeCell ref="K107:K108"/>
    <mergeCell ref="L107:L108"/>
    <mergeCell ref="F105:G106"/>
    <mergeCell ref="F107:G108"/>
    <mergeCell ref="A105:A106"/>
    <mergeCell ref="B105:B106"/>
    <mergeCell ref="C105:C106"/>
    <mergeCell ref="D105:D106"/>
    <mergeCell ref="E105:E106"/>
    <mergeCell ref="H105:H106"/>
    <mergeCell ref="I105:I106"/>
    <mergeCell ref="J105:J106"/>
    <mergeCell ref="K117:K118"/>
    <mergeCell ref="L117:L118"/>
    <mergeCell ref="F115:G116"/>
    <mergeCell ref="F117:G118"/>
    <mergeCell ref="A115:A116"/>
    <mergeCell ref="B115:B116"/>
    <mergeCell ref="C115:C116"/>
    <mergeCell ref="D115:D116"/>
    <mergeCell ref="E115:E116"/>
    <mergeCell ref="H115:H116"/>
    <mergeCell ref="I115:I116"/>
    <mergeCell ref="J115:J116"/>
    <mergeCell ref="L119:L120"/>
    <mergeCell ref="A121:A122"/>
    <mergeCell ref="B121:B122"/>
    <mergeCell ref="C121:C122"/>
    <mergeCell ref="D121:D122"/>
    <mergeCell ref="E121:E122"/>
    <mergeCell ref="H121:H122"/>
    <mergeCell ref="I121:I122"/>
    <mergeCell ref="J121:J122"/>
    <mergeCell ref="K121:K122"/>
    <mergeCell ref="L121:L122"/>
    <mergeCell ref="F119:G120"/>
    <mergeCell ref="F121:G122"/>
    <mergeCell ref="A119:A120"/>
    <mergeCell ref="B119:B120"/>
    <mergeCell ref="C119:C120"/>
    <mergeCell ref="D119:D120"/>
    <mergeCell ref="E119:E120"/>
    <mergeCell ref="H119:H120"/>
    <mergeCell ref="I119:I120"/>
    <mergeCell ref="L123:L124"/>
    <mergeCell ref="A125:A126"/>
    <mergeCell ref="B125:B126"/>
    <mergeCell ref="C125:C126"/>
    <mergeCell ref="D125:D126"/>
    <mergeCell ref="E125:E126"/>
    <mergeCell ref="H125:H126"/>
    <mergeCell ref="I125:I126"/>
    <mergeCell ref="J125:J126"/>
    <mergeCell ref="K125:K126"/>
    <mergeCell ref="L125:L126"/>
    <mergeCell ref="F123:G124"/>
    <mergeCell ref="F125:G126"/>
    <mergeCell ref="A123:A124"/>
    <mergeCell ref="B123:B124"/>
    <mergeCell ref="C123:C124"/>
    <mergeCell ref="D123:D124"/>
    <mergeCell ref="E123:E124"/>
    <mergeCell ref="H123:H124"/>
    <mergeCell ref="I123:I124"/>
    <mergeCell ref="J123:J124"/>
    <mergeCell ref="L129:L130"/>
    <mergeCell ref="F127:G128"/>
    <mergeCell ref="F129:G130"/>
    <mergeCell ref="A127:A128"/>
    <mergeCell ref="B127:B128"/>
    <mergeCell ref="C127:C128"/>
    <mergeCell ref="D127:D128"/>
    <mergeCell ref="E127:E128"/>
    <mergeCell ref="H127:H128"/>
    <mergeCell ref="I127:I128"/>
    <mergeCell ref="J127:J128"/>
    <mergeCell ref="K127:K128"/>
    <mergeCell ref="L127:L128"/>
    <mergeCell ref="A129:A130"/>
    <mergeCell ref="J144:J145"/>
    <mergeCell ref="K144:K145"/>
    <mergeCell ref="L144:L145"/>
    <mergeCell ref="F142:G143"/>
    <mergeCell ref="F144:G145"/>
    <mergeCell ref="A142:A143"/>
    <mergeCell ref="B142:B143"/>
    <mergeCell ref="C142:C143"/>
    <mergeCell ref="D142:D143"/>
    <mergeCell ref="E142:E143"/>
    <mergeCell ref="H142:H143"/>
    <mergeCell ref="I142:I143"/>
    <mergeCell ref="F138:G139"/>
    <mergeCell ref="A136:A137"/>
    <mergeCell ref="B136:B137"/>
    <mergeCell ref="C136:C137"/>
    <mergeCell ref="D136:D137"/>
    <mergeCell ref="E136:E137"/>
    <mergeCell ref="K146:K147"/>
    <mergeCell ref="J142:J143"/>
    <mergeCell ref="L146:L147"/>
    <mergeCell ref="A148:A149"/>
    <mergeCell ref="B148:B149"/>
    <mergeCell ref="C148:C149"/>
    <mergeCell ref="D148:D149"/>
    <mergeCell ref="E148:E149"/>
    <mergeCell ref="H148:H149"/>
    <mergeCell ref="I148:I149"/>
    <mergeCell ref="J148:J149"/>
    <mergeCell ref="K148:K149"/>
    <mergeCell ref="L148:L149"/>
    <mergeCell ref="F146:G147"/>
    <mergeCell ref="F148:G149"/>
    <mergeCell ref="A146:A147"/>
    <mergeCell ref="B146:B147"/>
    <mergeCell ref="C146:C147"/>
    <mergeCell ref="D146:D147"/>
    <mergeCell ref="E146:E147"/>
    <mergeCell ref="H146:H147"/>
    <mergeCell ref="I146:I147"/>
    <mergeCell ref="J146:J147"/>
    <mergeCell ref="K142:K143"/>
    <mergeCell ref="L142:L143"/>
    <mergeCell ref="A144:A145"/>
    <mergeCell ref="B144:B145"/>
    <mergeCell ref="C144:C145"/>
    <mergeCell ref="D144:D145"/>
    <mergeCell ref="E144:E145"/>
    <mergeCell ref="H144:H145"/>
    <mergeCell ref="I144:I145"/>
    <mergeCell ref="F150:G151"/>
    <mergeCell ref="K154:K155"/>
    <mergeCell ref="L154:L155"/>
    <mergeCell ref="A152:A153"/>
    <mergeCell ref="B152:B153"/>
    <mergeCell ref="C152:C153"/>
    <mergeCell ref="D152:D153"/>
    <mergeCell ref="E152:E153"/>
    <mergeCell ref="H152:H153"/>
    <mergeCell ref="I152:I153"/>
    <mergeCell ref="J152:J153"/>
    <mergeCell ref="K152:K153"/>
    <mergeCell ref="F152:G153"/>
    <mergeCell ref="A150:A151"/>
    <mergeCell ref="B150:B151"/>
    <mergeCell ref="C150:C151"/>
    <mergeCell ref="D150:D151"/>
    <mergeCell ref="E150:E151"/>
    <mergeCell ref="H150:H151"/>
    <mergeCell ref="I150:I151"/>
    <mergeCell ref="J150:J151"/>
    <mergeCell ref="L160:L161"/>
    <mergeCell ref="F160:G161"/>
    <mergeCell ref="A160:A161"/>
    <mergeCell ref="B160:B161"/>
    <mergeCell ref="C160:C161"/>
    <mergeCell ref="D160:D161"/>
    <mergeCell ref="E160:E161"/>
    <mergeCell ref="H160:H161"/>
    <mergeCell ref="I160:I161"/>
    <mergeCell ref="J160:J161"/>
    <mergeCell ref="K160:K161"/>
    <mergeCell ref="F156:G157"/>
    <mergeCell ref="A154:A155"/>
    <mergeCell ref="L71:L72"/>
    <mergeCell ref="A73:A74"/>
    <mergeCell ref="B73:B74"/>
    <mergeCell ref="C73:C74"/>
    <mergeCell ref="D73:D74"/>
    <mergeCell ref="H73:H74"/>
    <mergeCell ref="I73:I74"/>
    <mergeCell ref="J73:J74"/>
    <mergeCell ref="K73:K74"/>
    <mergeCell ref="L73:L74"/>
    <mergeCell ref="F71:G72"/>
    <mergeCell ref="F73:G74"/>
    <mergeCell ref="A71:A72"/>
    <mergeCell ref="B71:B72"/>
    <mergeCell ref="C71:C72"/>
    <mergeCell ref="D71:D72"/>
    <mergeCell ref="E71:E72"/>
    <mergeCell ref="H71:H72"/>
    <mergeCell ref="I71:I72"/>
    <mergeCell ref="A156:A157"/>
    <mergeCell ref="B156:B157"/>
    <mergeCell ref="C156:C157"/>
    <mergeCell ref="D156:D157"/>
    <mergeCell ref="E156:E157"/>
    <mergeCell ref="H156:H157"/>
    <mergeCell ref="I156:I157"/>
    <mergeCell ref="J156:J157"/>
    <mergeCell ref="K156:K157"/>
    <mergeCell ref="B154:B155"/>
    <mergeCell ref="C162:C163"/>
    <mergeCell ref="D162:D163"/>
    <mergeCell ref="E162:E163"/>
    <mergeCell ref="H162:H163"/>
    <mergeCell ref="I162:I163"/>
    <mergeCell ref="J162:J163"/>
    <mergeCell ref="A162:A163"/>
    <mergeCell ref="B162:B163"/>
    <mergeCell ref="A158:A159"/>
    <mergeCell ref="B158:B159"/>
    <mergeCell ref="C158:C159"/>
    <mergeCell ref="D158:D159"/>
    <mergeCell ref="E158:E159"/>
    <mergeCell ref="F158:G159"/>
    <mergeCell ref="H158:H159"/>
    <mergeCell ref="I158:I159"/>
    <mergeCell ref="J158:J159"/>
    <mergeCell ref="K158:K159"/>
    <mergeCell ref="J154:J155"/>
    <mergeCell ref="E131:E132"/>
    <mergeCell ref="H131:H132"/>
    <mergeCell ref="I131:I132"/>
    <mergeCell ref="J131:J132"/>
    <mergeCell ref="C154:C155"/>
    <mergeCell ref="D154:D155"/>
    <mergeCell ref="E154:E155"/>
    <mergeCell ref="H154:H155"/>
    <mergeCell ref="I154:I155"/>
    <mergeCell ref="F1:G1"/>
    <mergeCell ref="F14:G15"/>
    <mergeCell ref="F16:G17"/>
    <mergeCell ref="F18:G19"/>
    <mergeCell ref="F20:G21"/>
    <mergeCell ref="F22:G23"/>
    <mergeCell ref="F6:G7"/>
    <mergeCell ref="F8:G9"/>
    <mergeCell ref="F12:G13"/>
    <mergeCell ref="A2:L2"/>
    <mergeCell ref="A3:L3"/>
    <mergeCell ref="A10:A11"/>
    <mergeCell ref="B10:B11"/>
    <mergeCell ref="C10:C11"/>
    <mergeCell ref="D10:D11"/>
    <mergeCell ref="E10:E11"/>
    <mergeCell ref="F10:G11"/>
    <mergeCell ref="H10:H11"/>
    <mergeCell ref="I10:I11"/>
    <mergeCell ref="J10:J11"/>
    <mergeCell ref="K150:K151"/>
    <mergeCell ref="L150:L151"/>
    <mergeCell ref="L152:L153"/>
    <mergeCell ref="K10:K11"/>
    <mergeCell ref="L10:L11"/>
    <mergeCell ref="L4:L5"/>
    <mergeCell ref="A6:A7"/>
    <mergeCell ref="K14:K15"/>
    <mergeCell ref="L14:L15"/>
    <mergeCell ref="H12:H13"/>
    <mergeCell ref="I12:I13"/>
    <mergeCell ref="J12:J13"/>
    <mergeCell ref="K12:K13"/>
    <mergeCell ref="L12:L13"/>
    <mergeCell ref="A4:A5"/>
    <mergeCell ref="L156:L157"/>
    <mergeCell ref="F154:G155"/>
    <mergeCell ref="E168:E169"/>
    <mergeCell ref="F168:G169"/>
    <mergeCell ref="H168:H169"/>
    <mergeCell ref="I168:I169"/>
    <mergeCell ref="J168:J169"/>
    <mergeCell ref="K168:K169"/>
    <mergeCell ref="L168:L169"/>
    <mergeCell ref="A166:A167"/>
    <mergeCell ref="B166:B167"/>
    <mergeCell ref="C166:C167"/>
    <mergeCell ref="D166:D167"/>
    <mergeCell ref="E166:E167"/>
    <mergeCell ref="F166:G167"/>
    <mergeCell ref="H166:H167"/>
    <mergeCell ref="I166:I167"/>
    <mergeCell ref="J166:J167"/>
    <mergeCell ref="K162:K163"/>
    <mergeCell ref="L162:L163"/>
    <mergeCell ref="B164:B165"/>
    <mergeCell ref="C164:C165"/>
    <mergeCell ref="D164:D165"/>
    <mergeCell ref="E164:E165"/>
    <mergeCell ref="H164:H165"/>
    <mergeCell ref="I164:I165"/>
    <mergeCell ref="J164:J165"/>
    <mergeCell ref="K164:K165"/>
    <mergeCell ref="L164:L165"/>
    <mergeCell ref="F162:G163"/>
    <mergeCell ref="F164:G165"/>
    <mergeCell ref="A170:A171"/>
    <mergeCell ref="B170:B171"/>
    <mergeCell ref="C170:C171"/>
    <mergeCell ref="D170:D171"/>
    <mergeCell ref="E170:E171"/>
    <mergeCell ref="F170:G171"/>
    <mergeCell ref="H170:H171"/>
    <mergeCell ref="I170:I171"/>
    <mergeCell ref="J170:J171"/>
    <mergeCell ref="K170:K171"/>
    <mergeCell ref="L170:L171"/>
    <mergeCell ref="K166:K167"/>
    <mergeCell ref="L166:L167"/>
    <mergeCell ref="A168:A169"/>
    <mergeCell ref="B168:B169"/>
    <mergeCell ref="C168:C169"/>
    <mergeCell ref="D168:D169"/>
    <mergeCell ref="J172:J173"/>
    <mergeCell ref="K172:K173"/>
    <mergeCell ref="L172:L173"/>
    <mergeCell ref="F182:G183"/>
    <mergeCell ref="H182:H183"/>
    <mergeCell ref="I182:I183"/>
    <mergeCell ref="J182:J183"/>
    <mergeCell ref="L182:L183"/>
    <mergeCell ref="A180:A181"/>
    <mergeCell ref="B180:B181"/>
    <mergeCell ref="C180:C181"/>
    <mergeCell ref="D180:D181"/>
    <mergeCell ref="E180:E181"/>
    <mergeCell ref="F180:G181"/>
    <mergeCell ref="H180:H181"/>
    <mergeCell ref="I180:I181"/>
    <mergeCell ref="J180:J181"/>
    <mergeCell ref="K180:K181"/>
    <mergeCell ref="L180:L181"/>
    <mergeCell ref="A182:A183"/>
    <mergeCell ref="B182:B183"/>
    <mergeCell ref="C182:C183"/>
    <mergeCell ref="D182:D183"/>
    <mergeCell ref="E182:E183"/>
    <mergeCell ref="K182:K183"/>
    <mergeCell ref="I174:I175"/>
    <mergeCell ref="J174:J175"/>
    <mergeCell ref="K174:K175"/>
    <mergeCell ref="H176:H177"/>
    <mergeCell ref="A174:A175"/>
    <mergeCell ref="B174:B175"/>
    <mergeCell ref="C174:C175"/>
    <mergeCell ref="D174:D175"/>
    <mergeCell ref="K176:K177"/>
    <mergeCell ref="L178:L179"/>
    <mergeCell ref="A176:A177"/>
    <mergeCell ref="B176:B177"/>
    <mergeCell ref="K184:K185"/>
    <mergeCell ref="L184:L185"/>
    <mergeCell ref="A184:A185"/>
    <mergeCell ref="B184:B185"/>
    <mergeCell ref="C184:C185"/>
    <mergeCell ref="D184:D185"/>
    <mergeCell ref="E184:E185"/>
    <mergeCell ref="F184:G185"/>
    <mergeCell ref="H184:H185"/>
    <mergeCell ref="I184:I185"/>
    <mergeCell ref="J184:J185"/>
    <mergeCell ref="L75:L76"/>
    <mergeCell ref="L176:L177"/>
    <mergeCell ref="L174:L175"/>
    <mergeCell ref="D172:D173"/>
    <mergeCell ref="E172:E173"/>
    <mergeCell ref="F172:G173"/>
    <mergeCell ref="H172:H173"/>
    <mergeCell ref="A164:A165"/>
    <mergeCell ref="D131:D132"/>
    <mergeCell ref="K140:K141"/>
    <mergeCell ref="L140:L141"/>
    <mergeCell ref="A134:A135"/>
    <mergeCell ref="D134:D135"/>
    <mergeCell ref="E134:E135"/>
    <mergeCell ref="F134:G135"/>
    <mergeCell ref="H134:H135"/>
    <mergeCell ref="A61:A62"/>
    <mergeCell ref="B61:B62"/>
    <mergeCell ref="C61:C62"/>
    <mergeCell ref="D61:D62"/>
    <mergeCell ref="E61:E62"/>
    <mergeCell ref="F61:G62"/>
    <mergeCell ref="H61:H62"/>
    <mergeCell ref="I61:I62"/>
    <mergeCell ref="J61:J62"/>
    <mergeCell ref="K61:K62"/>
    <mergeCell ref="L61:L62"/>
    <mergeCell ref="A75:A76"/>
    <mergeCell ref="B75:B76"/>
    <mergeCell ref="C75:C76"/>
    <mergeCell ref="D75:D76"/>
    <mergeCell ref="E75:E76"/>
    <mergeCell ref="F75:G76"/>
    <mergeCell ref="L69:L70"/>
    <mergeCell ref="F67:G68"/>
    <mergeCell ref="F69:G70"/>
    <mergeCell ref="A67:A68"/>
    <mergeCell ref="B67:B68"/>
    <mergeCell ref="C67:C68"/>
    <mergeCell ref="D67:D68"/>
    <mergeCell ref="E67:E68"/>
    <mergeCell ref="H67:H68"/>
    <mergeCell ref="I67:I68"/>
    <mergeCell ref="J67:J68"/>
    <mergeCell ref="K67:K68"/>
    <mergeCell ref="L67:L68"/>
    <mergeCell ref="A69:A70"/>
    <mergeCell ref="B69:B70"/>
    <mergeCell ref="I134:I135"/>
    <mergeCell ref="J134:J135"/>
    <mergeCell ref="K134:K135"/>
    <mergeCell ref="L134:L135"/>
    <mergeCell ref="B134:C135"/>
    <mergeCell ref="A140:A141"/>
    <mergeCell ref="B140:B141"/>
    <mergeCell ref="C140:C141"/>
    <mergeCell ref="D140:D141"/>
    <mergeCell ref="E140:E141"/>
    <mergeCell ref="F140:G141"/>
    <mergeCell ref="H140:H141"/>
    <mergeCell ref="I140:I141"/>
    <mergeCell ref="J140:J141"/>
    <mergeCell ref="K136:K137"/>
    <mergeCell ref="L136:L137"/>
    <mergeCell ref="A133:L133"/>
    <mergeCell ref="L138:L139"/>
    <mergeCell ref="K131:K132"/>
    <mergeCell ref="L131:L132"/>
    <mergeCell ref="F131:G132"/>
    <mergeCell ref="C131:C132"/>
    <mergeCell ref="A138:A139"/>
    <mergeCell ref="A131:A132"/>
    <mergeCell ref="B131:B132"/>
    <mergeCell ref="J138:J139"/>
    <mergeCell ref="K138:K139"/>
    <mergeCell ref="K186:K187"/>
    <mergeCell ref="L186:L187"/>
    <mergeCell ref="A188:A189"/>
    <mergeCell ref="B188:B189"/>
    <mergeCell ref="C188:C189"/>
    <mergeCell ref="D188:D189"/>
    <mergeCell ref="E188:E189"/>
    <mergeCell ref="F188:G189"/>
    <mergeCell ref="H188:H189"/>
    <mergeCell ref="I188:I189"/>
    <mergeCell ref="J188:J189"/>
    <mergeCell ref="K188:K189"/>
    <mergeCell ref="L188:L189"/>
    <mergeCell ref="A186:A187"/>
    <mergeCell ref="B186:B187"/>
    <mergeCell ref="C186:C187"/>
    <mergeCell ref="D186:D187"/>
    <mergeCell ref="E186:E187"/>
    <mergeCell ref="F186:G187"/>
    <mergeCell ref="H186:H187"/>
    <mergeCell ref="I186:I187"/>
    <mergeCell ref="J186:J187"/>
    <mergeCell ref="I172:I173"/>
    <mergeCell ref="C172:C173"/>
    <mergeCell ref="A172:A173"/>
    <mergeCell ref="B172:B173"/>
    <mergeCell ref="C176:C177"/>
    <mergeCell ref="D176:D177"/>
    <mergeCell ref="E176:E177"/>
    <mergeCell ref="F176:G177"/>
    <mergeCell ref="A196:A197"/>
    <mergeCell ref="B196:B197"/>
    <mergeCell ref="C196:C197"/>
    <mergeCell ref="D196:D197"/>
    <mergeCell ref="E196:E197"/>
    <mergeCell ref="F196:G197"/>
    <mergeCell ref="H196:H197"/>
    <mergeCell ref="I196:I197"/>
    <mergeCell ref="J196:J197"/>
    <mergeCell ref="K196:K197"/>
    <mergeCell ref="A178:A179"/>
    <mergeCell ref="B178:B179"/>
    <mergeCell ref="C178:C179"/>
    <mergeCell ref="D178:D179"/>
    <mergeCell ref="E178:E179"/>
    <mergeCell ref="F178:G179"/>
    <mergeCell ref="H178:H179"/>
    <mergeCell ref="I178:I179"/>
    <mergeCell ref="J178:J179"/>
    <mergeCell ref="K178:K179"/>
    <mergeCell ref="I176:I177"/>
    <mergeCell ref="J176:J177"/>
    <mergeCell ref="E174:E175"/>
    <mergeCell ref="F174:G175"/>
    <mergeCell ref="H174:H175"/>
    <mergeCell ref="A190:A191"/>
    <mergeCell ref="B190:B191"/>
    <mergeCell ref="C190:C191"/>
    <mergeCell ref="D190:D191"/>
    <mergeCell ref="E190:E191"/>
    <mergeCell ref="L200:L201"/>
    <mergeCell ref="D200:D201"/>
    <mergeCell ref="F190:G191"/>
    <mergeCell ref="H190:H191"/>
    <mergeCell ref="I190:I191"/>
    <mergeCell ref="J190:J191"/>
    <mergeCell ref="L192:L193"/>
    <mergeCell ref="H192:H193"/>
    <mergeCell ref="I192:I193"/>
    <mergeCell ref="J192:J193"/>
    <mergeCell ref="K192:K193"/>
    <mergeCell ref="A194:A195"/>
    <mergeCell ref="B194:B195"/>
    <mergeCell ref="C194:C195"/>
    <mergeCell ref="D194:D195"/>
    <mergeCell ref="E194:E195"/>
    <mergeCell ref="E198:E199"/>
    <mergeCell ref="F198:G199"/>
    <mergeCell ref="H198:H199"/>
    <mergeCell ref="I198:I199"/>
    <mergeCell ref="J198:J199"/>
    <mergeCell ref="A200:A201"/>
    <mergeCell ref="B200:B201"/>
    <mergeCell ref="C200:C201"/>
    <mergeCell ref="K200:K201"/>
    <mergeCell ref="A192:A193"/>
    <mergeCell ref="B192:B193"/>
    <mergeCell ref="C208:C209"/>
    <mergeCell ref="D208:D209"/>
    <mergeCell ref="E208:E209"/>
    <mergeCell ref="F208:G209"/>
    <mergeCell ref="H208:H209"/>
    <mergeCell ref="I208:I209"/>
    <mergeCell ref="J208:J209"/>
    <mergeCell ref="B204:B205"/>
    <mergeCell ref="C204:C205"/>
    <mergeCell ref="D204:D205"/>
    <mergeCell ref="E204:E205"/>
    <mergeCell ref="F204:G205"/>
    <mergeCell ref="H204:H205"/>
    <mergeCell ref="I204:I205"/>
    <mergeCell ref="J204:J205"/>
    <mergeCell ref="K190:K191"/>
    <mergeCell ref="L190:L191"/>
    <mergeCell ref="K204:K205"/>
    <mergeCell ref="L204:L205"/>
    <mergeCell ref="L196:L197"/>
    <mergeCell ref="C192:C193"/>
    <mergeCell ref="D192:D193"/>
    <mergeCell ref="E192:E193"/>
    <mergeCell ref="F192:G193"/>
    <mergeCell ref="E200:E201"/>
    <mergeCell ref="F200:G201"/>
    <mergeCell ref="H200:H201"/>
    <mergeCell ref="I200:I201"/>
    <mergeCell ref="J200:J201"/>
    <mergeCell ref="A206:A207"/>
    <mergeCell ref="B206:B207"/>
    <mergeCell ref="C206:C207"/>
    <mergeCell ref="D206:D207"/>
    <mergeCell ref="E206:E207"/>
    <mergeCell ref="F206:G207"/>
    <mergeCell ref="K212:K213"/>
    <mergeCell ref="L212:L213"/>
    <mergeCell ref="A212:A213"/>
    <mergeCell ref="B212:B213"/>
    <mergeCell ref="C212:C213"/>
    <mergeCell ref="D212:D213"/>
    <mergeCell ref="E212:E213"/>
    <mergeCell ref="F212:G213"/>
    <mergeCell ref="H212:H213"/>
    <mergeCell ref="I212:I213"/>
    <mergeCell ref="J212:J213"/>
    <mergeCell ref="K208:K209"/>
    <mergeCell ref="L208:L209"/>
    <mergeCell ref="A210:A211"/>
    <mergeCell ref="B210:B211"/>
    <mergeCell ref="C210:C211"/>
    <mergeCell ref="D210:D211"/>
    <mergeCell ref="E210:E211"/>
    <mergeCell ref="F210:G211"/>
    <mergeCell ref="H210:H211"/>
    <mergeCell ref="I210:I211"/>
    <mergeCell ref="J210:J211"/>
    <mergeCell ref="K210:K211"/>
    <mergeCell ref="L210:L211"/>
    <mergeCell ref="A208:A209"/>
    <mergeCell ref="B208:B209"/>
    <mergeCell ref="A214:A215"/>
    <mergeCell ref="B214:B215"/>
    <mergeCell ref="C214:C215"/>
    <mergeCell ref="D214:D215"/>
    <mergeCell ref="E214:E215"/>
    <mergeCell ref="F214:G215"/>
    <mergeCell ref="H214:H215"/>
    <mergeCell ref="I214:I215"/>
    <mergeCell ref="J214:J215"/>
    <mergeCell ref="K214:K215"/>
    <mergeCell ref="L214:L215"/>
    <mergeCell ref="K216:K217"/>
    <mergeCell ref="L216:L217"/>
    <mergeCell ref="A216:A217"/>
    <mergeCell ref="B216:B217"/>
    <mergeCell ref="C216:C217"/>
    <mergeCell ref="D216:D217"/>
    <mergeCell ref="E216:E217"/>
    <mergeCell ref="F216:G217"/>
    <mergeCell ref="H216:H217"/>
    <mergeCell ref="I216:I217"/>
    <mergeCell ref="J216:J217"/>
    <mergeCell ref="K218:K219"/>
    <mergeCell ref="L218:L219"/>
    <mergeCell ref="A218:A219"/>
    <mergeCell ref="B218:B219"/>
    <mergeCell ref="C218:C219"/>
    <mergeCell ref="D218:D219"/>
    <mergeCell ref="E218:E219"/>
    <mergeCell ref="F218:G219"/>
    <mergeCell ref="H218:H219"/>
    <mergeCell ref="I218:I219"/>
    <mergeCell ref="J218:J219"/>
    <mergeCell ref="A221:A222"/>
    <mergeCell ref="B221:B222"/>
    <mergeCell ref="C221:C222"/>
    <mergeCell ref="D221:D222"/>
    <mergeCell ref="E221:E222"/>
    <mergeCell ref="F221:G222"/>
    <mergeCell ref="H221:H222"/>
    <mergeCell ref="I221:I222"/>
    <mergeCell ref="J221:J222"/>
    <mergeCell ref="K221:K222"/>
    <mergeCell ref="L221:L222"/>
    <mergeCell ref="K223:K224"/>
    <mergeCell ref="L223:L224"/>
    <mergeCell ref="A223:A224"/>
    <mergeCell ref="B223:B224"/>
    <mergeCell ref="C223:C224"/>
    <mergeCell ref="D223:D224"/>
    <mergeCell ref="E223:E224"/>
    <mergeCell ref="F223:G224"/>
    <mergeCell ref="H223:H224"/>
    <mergeCell ref="I223:I224"/>
    <mergeCell ref="J223:J224"/>
    <mergeCell ref="I229:I230"/>
    <mergeCell ref="J229:J230"/>
    <mergeCell ref="K225:K226"/>
    <mergeCell ref="L225:L226"/>
    <mergeCell ref="A227:A228"/>
    <mergeCell ref="B227:B228"/>
    <mergeCell ref="C227:C228"/>
    <mergeCell ref="D227:D228"/>
    <mergeCell ref="E227:E228"/>
    <mergeCell ref="F227:G228"/>
    <mergeCell ref="H227:H228"/>
    <mergeCell ref="I227:I228"/>
    <mergeCell ref="J227:J228"/>
    <mergeCell ref="K227:K228"/>
    <mergeCell ref="L227:L228"/>
    <mergeCell ref="A225:A226"/>
    <mergeCell ref="B225:B226"/>
    <mergeCell ref="C225:C226"/>
    <mergeCell ref="D225:D226"/>
    <mergeCell ref="E225:E226"/>
    <mergeCell ref="F225:G226"/>
    <mergeCell ref="H225:H226"/>
    <mergeCell ref="I225:I226"/>
    <mergeCell ref="J225:J226"/>
    <mergeCell ref="I237:I238"/>
    <mergeCell ref="J237:J238"/>
    <mergeCell ref="K237:K238"/>
    <mergeCell ref="L237:L238"/>
    <mergeCell ref="A235:A236"/>
    <mergeCell ref="B235:B236"/>
    <mergeCell ref="C235:C236"/>
    <mergeCell ref="D235:D236"/>
    <mergeCell ref="E235:E236"/>
    <mergeCell ref="F235:G236"/>
    <mergeCell ref="H235:H236"/>
    <mergeCell ref="I235:I236"/>
    <mergeCell ref="K229:K230"/>
    <mergeCell ref="L229:L230"/>
    <mergeCell ref="A231:A232"/>
    <mergeCell ref="B231:B232"/>
    <mergeCell ref="C231:C232"/>
    <mergeCell ref="D231:D232"/>
    <mergeCell ref="E231:E232"/>
    <mergeCell ref="F231:G232"/>
    <mergeCell ref="H231:H232"/>
    <mergeCell ref="I231:I232"/>
    <mergeCell ref="J231:J232"/>
    <mergeCell ref="K231:K232"/>
    <mergeCell ref="L231:L232"/>
    <mergeCell ref="A229:A230"/>
    <mergeCell ref="B229:B230"/>
    <mergeCell ref="C229:C230"/>
    <mergeCell ref="D229:D230"/>
    <mergeCell ref="E229:E230"/>
    <mergeCell ref="F229:G230"/>
    <mergeCell ref="H229:H230"/>
    <mergeCell ref="J235:J236"/>
    <mergeCell ref="A239:A240"/>
    <mergeCell ref="B239:B240"/>
    <mergeCell ref="C239:C240"/>
    <mergeCell ref="D239:D240"/>
    <mergeCell ref="E239:E240"/>
    <mergeCell ref="F239:G240"/>
    <mergeCell ref="H239:H240"/>
    <mergeCell ref="I239:I240"/>
    <mergeCell ref="J239:J240"/>
    <mergeCell ref="K239:K240"/>
    <mergeCell ref="L239:L240"/>
    <mergeCell ref="A233:A234"/>
    <mergeCell ref="B233:B234"/>
    <mergeCell ref="C233:C234"/>
    <mergeCell ref="D233:D234"/>
    <mergeCell ref="E233:E234"/>
    <mergeCell ref="F233:G234"/>
    <mergeCell ref="H233:H234"/>
    <mergeCell ref="I233:I234"/>
    <mergeCell ref="J233:J234"/>
    <mergeCell ref="K233:K234"/>
    <mergeCell ref="L233:L234"/>
    <mergeCell ref="K235:K236"/>
    <mergeCell ref="L235:L236"/>
    <mergeCell ref="A237:A238"/>
    <mergeCell ref="B237:B238"/>
    <mergeCell ref="C237:C238"/>
    <mergeCell ref="D237:D238"/>
    <mergeCell ref="E237:E238"/>
    <mergeCell ref="F237:G238"/>
    <mergeCell ref="H237:H238"/>
    <mergeCell ref="K241:K242"/>
    <mergeCell ref="L241:L242"/>
    <mergeCell ref="A245:A246"/>
    <mergeCell ref="B245:B246"/>
    <mergeCell ref="C245:C246"/>
    <mergeCell ref="D245:D246"/>
    <mergeCell ref="E245:E246"/>
    <mergeCell ref="F245:G246"/>
    <mergeCell ref="H245:H246"/>
    <mergeCell ref="I245:I246"/>
    <mergeCell ref="J245:J246"/>
    <mergeCell ref="K245:K246"/>
    <mergeCell ref="L245:L246"/>
    <mergeCell ref="A241:A242"/>
    <mergeCell ref="B241:B242"/>
    <mergeCell ref="C241:C242"/>
    <mergeCell ref="D241:D242"/>
    <mergeCell ref="E241:E242"/>
    <mergeCell ref="F241:G242"/>
    <mergeCell ref="H241:H242"/>
    <mergeCell ref="I241:I242"/>
    <mergeCell ref="J241:J242"/>
    <mergeCell ref="A243:A244"/>
    <mergeCell ref="B243:B244"/>
    <mergeCell ref="C243:C244"/>
    <mergeCell ref="D243:D244"/>
    <mergeCell ref="E243:E244"/>
    <mergeCell ref="F243:G244"/>
    <mergeCell ref="H243:H244"/>
    <mergeCell ref="I243:I244"/>
    <mergeCell ref="J243:J244"/>
    <mergeCell ref="K243:K244"/>
    <mergeCell ref="K247:K248"/>
    <mergeCell ref="L247:L248"/>
    <mergeCell ref="A249:A250"/>
    <mergeCell ref="B249:B250"/>
    <mergeCell ref="C249:C250"/>
    <mergeCell ref="D249:D250"/>
    <mergeCell ref="E249:E250"/>
    <mergeCell ref="F249:G250"/>
    <mergeCell ref="H249:H250"/>
    <mergeCell ref="I249:I250"/>
    <mergeCell ref="J249:J250"/>
    <mergeCell ref="K249:K250"/>
    <mergeCell ref="L249:L250"/>
    <mergeCell ref="A247:A248"/>
    <mergeCell ref="B247:B248"/>
    <mergeCell ref="C247:C248"/>
    <mergeCell ref="D247:D248"/>
    <mergeCell ref="E247:E248"/>
    <mergeCell ref="F247:G248"/>
    <mergeCell ref="H247:H248"/>
    <mergeCell ref="I247:I248"/>
    <mergeCell ref="J247:J248"/>
    <mergeCell ref="K251:K252"/>
    <mergeCell ref="L251:L252"/>
    <mergeCell ref="A253:A254"/>
    <mergeCell ref="B253:B254"/>
    <mergeCell ref="C253:C254"/>
    <mergeCell ref="D253:D254"/>
    <mergeCell ref="E253:E254"/>
    <mergeCell ref="F253:G254"/>
    <mergeCell ref="H253:H254"/>
    <mergeCell ref="I253:I254"/>
    <mergeCell ref="J253:J254"/>
    <mergeCell ref="K253:K254"/>
    <mergeCell ref="L253:L254"/>
    <mergeCell ref="A251:A252"/>
    <mergeCell ref="B251:B252"/>
    <mergeCell ref="C251:C252"/>
    <mergeCell ref="D251:D252"/>
    <mergeCell ref="E251:E252"/>
    <mergeCell ref="F251:G252"/>
    <mergeCell ref="H251:H252"/>
    <mergeCell ref="I251:I252"/>
    <mergeCell ref="J251:J252"/>
    <mergeCell ref="K255:K256"/>
    <mergeCell ref="L255:L256"/>
    <mergeCell ref="A257:A258"/>
    <mergeCell ref="B257:B258"/>
    <mergeCell ref="C257:C258"/>
    <mergeCell ref="D257:D258"/>
    <mergeCell ref="E257:E258"/>
    <mergeCell ref="F257:G258"/>
    <mergeCell ref="H257:H258"/>
    <mergeCell ref="I257:I258"/>
    <mergeCell ref="J257:J258"/>
    <mergeCell ref="K257:K258"/>
    <mergeCell ref="L257:L258"/>
    <mergeCell ref="A255:A256"/>
    <mergeCell ref="B255:B256"/>
    <mergeCell ref="C255:C256"/>
    <mergeCell ref="D255:D256"/>
    <mergeCell ref="E255:E256"/>
    <mergeCell ref="F255:G256"/>
    <mergeCell ref="H255:H256"/>
    <mergeCell ref="I255:I256"/>
    <mergeCell ref="J255:J256"/>
    <mergeCell ref="K259:K260"/>
    <mergeCell ref="L259:L260"/>
    <mergeCell ref="A261:A262"/>
    <mergeCell ref="B261:B262"/>
    <mergeCell ref="C261:C262"/>
    <mergeCell ref="D261:D262"/>
    <mergeCell ref="E261:E262"/>
    <mergeCell ref="F261:G262"/>
    <mergeCell ref="H261:H262"/>
    <mergeCell ref="I261:I262"/>
    <mergeCell ref="J261:J262"/>
    <mergeCell ref="K261:K262"/>
    <mergeCell ref="L261:L262"/>
    <mergeCell ref="A259:A260"/>
    <mergeCell ref="B259:B260"/>
    <mergeCell ref="C259:C260"/>
    <mergeCell ref="D259:D260"/>
    <mergeCell ref="E259:E260"/>
    <mergeCell ref="F259:G260"/>
    <mergeCell ref="H259:H260"/>
    <mergeCell ref="I259:I260"/>
    <mergeCell ref="J259:J260"/>
    <mergeCell ref="K263:K264"/>
    <mergeCell ref="L263:L264"/>
    <mergeCell ref="A265:A266"/>
    <mergeCell ref="B265:B266"/>
    <mergeCell ref="C265:C266"/>
    <mergeCell ref="D265:D266"/>
    <mergeCell ref="E265:E266"/>
    <mergeCell ref="F265:G266"/>
    <mergeCell ref="H265:H266"/>
    <mergeCell ref="I265:I266"/>
    <mergeCell ref="J265:J266"/>
    <mergeCell ref="K265:K266"/>
    <mergeCell ref="L265:L266"/>
    <mergeCell ref="A263:A264"/>
    <mergeCell ref="B263:B264"/>
    <mergeCell ref="C263:C264"/>
    <mergeCell ref="D263:D264"/>
    <mergeCell ref="E263:E264"/>
    <mergeCell ref="F263:G264"/>
    <mergeCell ref="H263:H264"/>
    <mergeCell ref="I263:I264"/>
    <mergeCell ref="J263:J264"/>
    <mergeCell ref="J271:J272"/>
    <mergeCell ref="A269:A270"/>
    <mergeCell ref="B269:B270"/>
    <mergeCell ref="C269:C270"/>
    <mergeCell ref="D269:D270"/>
    <mergeCell ref="E269:E270"/>
    <mergeCell ref="F269:G270"/>
    <mergeCell ref="H269:H270"/>
    <mergeCell ref="I269:I270"/>
    <mergeCell ref="J269:J270"/>
    <mergeCell ref="K269:K270"/>
    <mergeCell ref="L269:L270"/>
    <mergeCell ref="K267:K268"/>
    <mergeCell ref="L267:L268"/>
    <mergeCell ref="A267:A268"/>
    <mergeCell ref="B267:B268"/>
    <mergeCell ref="C267:C268"/>
    <mergeCell ref="D267:D268"/>
    <mergeCell ref="E267:E268"/>
    <mergeCell ref="F267:G268"/>
    <mergeCell ref="H267:H268"/>
    <mergeCell ref="I267:I268"/>
    <mergeCell ref="J267:J268"/>
    <mergeCell ref="A275:A276"/>
    <mergeCell ref="B275:B276"/>
    <mergeCell ref="C275:C276"/>
    <mergeCell ref="D275:D276"/>
    <mergeCell ref="E275:E276"/>
    <mergeCell ref="F275:G276"/>
    <mergeCell ref="H275:H276"/>
    <mergeCell ref="I275:I276"/>
    <mergeCell ref="J275:J276"/>
    <mergeCell ref="K275:K276"/>
    <mergeCell ref="L275:L276"/>
    <mergeCell ref="K271:K272"/>
    <mergeCell ref="L271:L272"/>
    <mergeCell ref="A273:A274"/>
    <mergeCell ref="B273:B274"/>
    <mergeCell ref="C273:C274"/>
    <mergeCell ref="D273:D274"/>
    <mergeCell ref="E273:E274"/>
    <mergeCell ref="F273:G274"/>
    <mergeCell ref="H273:H274"/>
    <mergeCell ref="I273:I274"/>
    <mergeCell ref="J273:J274"/>
    <mergeCell ref="K273:K274"/>
    <mergeCell ref="L273:L274"/>
    <mergeCell ref="A271:A272"/>
    <mergeCell ref="B271:B272"/>
    <mergeCell ref="C271:C272"/>
    <mergeCell ref="D271:D272"/>
    <mergeCell ref="E271:E272"/>
    <mergeCell ref="F271:G272"/>
    <mergeCell ref="H271:H272"/>
    <mergeCell ref="I271:I272"/>
    <mergeCell ref="K277:K278"/>
    <mergeCell ref="L277:L278"/>
    <mergeCell ref="A279:A280"/>
    <mergeCell ref="B279:B280"/>
    <mergeCell ref="C279:C280"/>
    <mergeCell ref="D279:D280"/>
    <mergeCell ref="E279:E280"/>
    <mergeCell ref="F279:G280"/>
    <mergeCell ref="H279:H280"/>
    <mergeCell ref="I279:I280"/>
    <mergeCell ref="J279:J280"/>
    <mergeCell ref="K279:K280"/>
    <mergeCell ref="L279:L280"/>
    <mergeCell ref="A277:A278"/>
    <mergeCell ref="B277:B278"/>
    <mergeCell ref="C277:C278"/>
    <mergeCell ref="D277:D278"/>
    <mergeCell ref="E277:E278"/>
    <mergeCell ref="F277:G278"/>
    <mergeCell ref="H277:H278"/>
    <mergeCell ref="I277:I278"/>
    <mergeCell ref="J277:J278"/>
    <mergeCell ref="A281:A282"/>
    <mergeCell ref="B281:B282"/>
    <mergeCell ref="C281:C282"/>
    <mergeCell ref="D281:D282"/>
    <mergeCell ref="E281:E282"/>
    <mergeCell ref="F281:G282"/>
    <mergeCell ref="H281:H282"/>
    <mergeCell ref="I281:I282"/>
    <mergeCell ref="J281:J282"/>
    <mergeCell ref="K281:K282"/>
    <mergeCell ref="L281:L282"/>
    <mergeCell ref="K283:K284"/>
    <mergeCell ref="L283:L284"/>
    <mergeCell ref="A285:A286"/>
    <mergeCell ref="B285:B286"/>
    <mergeCell ref="C285:C286"/>
    <mergeCell ref="D285:D286"/>
    <mergeCell ref="E285:E286"/>
    <mergeCell ref="F285:G286"/>
    <mergeCell ref="H285:H286"/>
    <mergeCell ref="I285:I286"/>
    <mergeCell ref="J285:J286"/>
    <mergeCell ref="K285:K286"/>
    <mergeCell ref="L285:L286"/>
    <mergeCell ref="A283:A284"/>
    <mergeCell ref="B283:B284"/>
    <mergeCell ref="C283:C284"/>
    <mergeCell ref="D283:D284"/>
    <mergeCell ref="E283:E284"/>
    <mergeCell ref="F283:G284"/>
    <mergeCell ref="H283:H284"/>
    <mergeCell ref="I283:I284"/>
    <mergeCell ref="J283:J284"/>
    <mergeCell ref="K287:K288"/>
    <mergeCell ref="L287:L288"/>
    <mergeCell ref="A289:A290"/>
    <mergeCell ref="B289:B290"/>
    <mergeCell ref="C289:C290"/>
    <mergeCell ref="D289:D290"/>
    <mergeCell ref="E289:E290"/>
    <mergeCell ref="F289:G290"/>
    <mergeCell ref="H289:H290"/>
    <mergeCell ref="I289:I290"/>
    <mergeCell ref="J289:J290"/>
    <mergeCell ref="K289:K290"/>
    <mergeCell ref="L289:L290"/>
    <mergeCell ref="A287:A288"/>
    <mergeCell ref="B287:B288"/>
    <mergeCell ref="C287:C288"/>
    <mergeCell ref="D287:D288"/>
    <mergeCell ref="E287:E288"/>
    <mergeCell ref="F287:G288"/>
    <mergeCell ref="H287:H288"/>
    <mergeCell ref="I287:I288"/>
    <mergeCell ref="J287:J288"/>
    <mergeCell ref="K291:K292"/>
    <mergeCell ref="L291:L292"/>
    <mergeCell ref="A293:A294"/>
    <mergeCell ref="B293:B294"/>
    <mergeCell ref="C293:C294"/>
    <mergeCell ref="D293:D294"/>
    <mergeCell ref="E293:E294"/>
    <mergeCell ref="F293:G294"/>
    <mergeCell ref="H293:H294"/>
    <mergeCell ref="I293:I294"/>
    <mergeCell ref="J293:J294"/>
    <mergeCell ref="K293:K294"/>
    <mergeCell ref="L293:L294"/>
    <mergeCell ref="A291:A292"/>
    <mergeCell ref="B291:B292"/>
    <mergeCell ref="C291:C292"/>
    <mergeCell ref="D291:D292"/>
    <mergeCell ref="E291:E292"/>
    <mergeCell ref="F291:G292"/>
    <mergeCell ref="H291:H292"/>
    <mergeCell ref="I291:I292"/>
    <mergeCell ref="J291:J292"/>
    <mergeCell ref="K295:K296"/>
    <mergeCell ref="L295:L296"/>
    <mergeCell ref="A299:A300"/>
    <mergeCell ref="B299:B300"/>
    <mergeCell ref="C299:C300"/>
    <mergeCell ref="D299:D300"/>
    <mergeCell ref="E299:E300"/>
    <mergeCell ref="F299:G300"/>
    <mergeCell ref="H299:H300"/>
    <mergeCell ref="I299:I300"/>
    <mergeCell ref="J299:J300"/>
    <mergeCell ref="K299:K300"/>
    <mergeCell ref="L299:L300"/>
    <mergeCell ref="A295:A296"/>
    <mergeCell ref="B295:B296"/>
    <mergeCell ref="C295:C296"/>
    <mergeCell ref="D295:D296"/>
    <mergeCell ref="E295:E296"/>
    <mergeCell ref="F295:G296"/>
    <mergeCell ref="H295:H296"/>
    <mergeCell ref="I295:I296"/>
    <mergeCell ref="J295:J296"/>
    <mergeCell ref="A297:A298"/>
    <mergeCell ref="B297:B298"/>
    <mergeCell ref="C297:C298"/>
    <mergeCell ref="D297:D298"/>
    <mergeCell ref="E297:E298"/>
    <mergeCell ref="F297:G298"/>
    <mergeCell ref="H297:H298"/>
    <mergeCell ref="I297:I298"/>
    <mergeCell ref="J297:J298"/>
    <mergeCell ref="K297:K298"/>
    <mergeCell ref="K301:K302"/>
    <mergeCell ref="L301:L302"/>
    <mergeCell ref="A301:A302"/>
    <mergeCell ref="B301:B302"/>
    <mergeCell ref="C301:C302"/>
    <mergeCell ref="D301:D302"/>
    <mergeCell ref="E301:E302"/>
    <mergeCell ref="F301:G302"/>
    <mergeCell ref="H301:H302"/>
    <mergeCell ref="I301:I302"/>
    <mergeCell ref="J301:J302"/>
    <mergeCell ref="K303:K304"/>
    <mergeCell ref="L303:L304"/>
    <mergeCell ref="A305:A306"/>
    <mergeCell ref="B305:B306"/>
    <mergeCell ref="C305:C306"/>
    <mergeCell ref="D305:D306"/>
    <mergeCell ref="E305:E306"/>
    <mergeCell ref="F305:G306"/>
    <mergeCell ref="H305:H306"/>
    <mergeCell ref="I305:I306"/>
    <mergeCell ref="J305:J306"/>
    <mergeCell ref="K305:K306"/>
    <mergeCell ref="L305:L306"/>
    <mergeCell ref="A303:A304"/>
    <mergeCell ref="B303:B304"/>
    <mergeCell ref="C303:C304"/>
    <mergeCell ref="D303:D304"/>
    <mergeCell ref="E303:E304"/>
    <mergeCell ref="F303:G304"/>
    <mergeCell ref="H303:H304"/>
    <mergeCell ref="I303:I304"/>
    <mergeCell ref="I313:I314"/>
    <mergeCell ref="J313:J314"/>
    <mergeCell ref="J303:J304"/>
    <mergeCell ref="K307:K308"/>
    <mergeCell ref="L307:L308"/>
    <mergeCell ref="A309:A310"/>
    <mergeCell ref="B309:B310"/>
    <mergeCell ref="C309:C310"/>
    <mergeCell ref="D309:D310"/>
    <mergeCell ref="E309:E310"/>
    <mergeCell ref="F309:G310"/>
    <mergeCell ref="H309:H310"/>
    <mergeCell ref="I309:I310"/>
    <mergeCell ref="J309:J310"/>
    <mergeCell ref="K309:K310"/>
    <mergeCell ref="L309:L310"/>
    <mergeCell ref="A307:A308"/>
    <mergeCell ref="B307:B308"/>
    <mergeCell ref="C307:C308"/>
    <mergeCell ref="D307:D308"/>
    <mergeCell ref="E307:E308"/>
    <mergeCell ref="F307:G308"/>
    <mergeCell ref="H307:H308"/>
    <mergeCell ref="I307:I308"/>
    <mergeCell ref="J307:J308"/>
    <mergeCell ref="A311:A312"/>
    <mergeCell ref="B311:B312"/>
    <mergeCell ref="C311:C312"/>
    <mergeCell ref="D311:D312"/>
    <mergeCell ref="E311:E312"/>
    <mergeCell ref="F311:G312"/>
    <mergeCell ref="H311:H312"/>
    <mergeCell ref="I311:I312"/>
    <mergeCell ref="J311:J312"/>
    <mergeCell ref="K311:K312"/>
    <mergeCell ref="L311:L312"/>
    <mergeCell ref="K313:K314"/>
    <mergeCell ref="L313:L314"/>
    <mergeCell ref="A313:A314"/>
    <mergeCell ref="B313:B314"/>
    <mergeCell ref="C313:C314"/>
    <mergeCell ref="D313:D314"/>
    <mergeCell ref="E313:E314"/>
    <mergeCell ref="F313:G314"/>
    <mergeCell ref="H313:H314"/>
    <mergeCell ref="J318:J319"/>
    <mergeCell ref="A322:A323"/>
    <mergeCell ref="B322:B323"/>
    <mergeCell ref="C322:C323"/>
    <mergeCell ref="D322:D323"/>
    <mergeCell ref="E322:E323"/>
    <mergeCell ref="F322:G323"/>
    <mergeCell ref="H322:H323"/>
    <mergeCell ref="I322:I323"/>
    <mergeCell ref="J322:J323"/>
    <mergeCell ref="K322:K323"/>
    <mergeCell ref="L322:L323"/>
    <mergeCell ref="A315:A316"/>
    <mergeCell ref="B315:B316"/>
    <mergeCell ref="C315:C316"/>
    <mergeCell ref="D315:D316"/>
    <mergeCell ref="E315:E316"/>
    <mergeCell ref="F315:G316"/>
    <mergeCell ref="H315:H316"/>
    <mergeCell ref="I315:I316"/>
    <mergeCell ref="J315:J316"/>
    <mergeCell ref="K315:K316"/>
    <mergeCell ref="L315:L316"/>
    <mergeCell ref="K318:K319"/>
    <mergeCell ref="L318:L319"/>
    <mergeCell ref="A320:A321"/>
    <mergeCell ref="B320:B321"/>
    <mergeCell ref="C320:C321"/>
    <mergeCell ref="D320:D321"/>
    <mergeCell ref="E320:E321"/>
    <mergeCell ref="F320:G321"/>
    <mergeCell ref="H320:H321"/>
    <mergeCell ref="K324:K325"/>
    <mergeCell ref="L324:L325"/>
    <mergeCell ref="A326:A327"/>
    <mergeCell ref="B326:B327"/>
    <mergeCell ref="C326:C327"/>
    <mergeCell ref="D326:D327"/>
    <mergeCell ref="E326:E327"/>
    <mergeCell ref="F326:G327"/>
    <mergeCell ref="H326:H327"/>
    <mergeCell ref="I326:I327"/>
    <mergeCell ref="J326:J327"/>
    <mergeCell ref="K326:K327"/>
    <mergeCell ref="L326:L327"/>
    <mergeCell ref="A324:A325"/>
    <mergeCell ref="B324:B325"/>
    <mergeCell ref="C324:C325"/>
    <mergeCell ref="D324:D325"/>
    <mergeCell ref="E324:E325"/>
    <mergeCell ref="F324:G325"/>
    <mergeCell ref="B328:B329"/>
    <mergeCell ref="C328:C329"/>
    <mergeCell ref="D328:D329"/>
    <mergeCell ref="E328:E329"/>
    <mergeCell ref="F328:G329"/>
    <mergeCell ref="H328:H329"/>
    <mergeCell ref="I328:I329"/>
    <mergeCell ref="J328:J329"/>
    <mergeCell ref="J338:J339"/>
    <mergeCell ref="A334:A335"/>
    <mergeCell ref="B334:B335"/>
    <mergeCell ref="C334:C335"/>
    <mergeCell ref="D334:D335"/>
    <mergeCell ref="E334:E335"/>
    <mergeCell ref="F334:G335"/>
    <mergeCell ref="H334:H335"/>
    <mergeCell ref="I334:I335"/>
    <mergeCell ref="J334:J335"/>
    <mergeCell ref="D330:D331"/>
    <mergeCell ref="E330:E331"/>
    <mergeCell ref="F330:G331"/>
    <mergeCell ref="H330:H331"/>
    <mergeCell ref="I330:I331"/>
    <mergeCell ref="J330:J331"/>
    <mergeCell ref="K334:K335"/>
    <mergeCell ref="L334:L335"/>
    <mergeCell ref="K336:K337"/>
    <mergeCell ref="L336:L337"/>
    <mergeCell ref="A336:A337"/>
    <mergeCell ref="B336:B337"/>
    <mergeCell ref="C336:C337"/>
    <mergeCell ref="D336:D337"/>
    <mergeCell ref="E336:E337"/>
    <mergeCell ref="F336:G337"/>
    <mergeCell ref="H336:H337"/>
    <mergeCell ref="I336:I337"/>
    <mergeCell ref="J336:J337"/>
    <mergeCell ref="A342:A343"/>
    <mergeCell ref="B342:B343"/>
    <mergeCell ref="C342:C343"/>
    <mergeCell ref="D342:D343"/>
    <mergeCell ref="E342:E343"/>
    <mergeCell ref="F342:G343"/>
    <mergeCell ref="H342:H343"/>
    <mergeCell ref="I342:I343"/>
    <mergeCell ref="J342:J343"/>
    <mergeCell ref="K342:K343"/>
    <mergeCell ref="L342:L343"/>
    <mergeCell ref="K338:K339"/>
    <mergeCell ref="L338:L339"/>
    <mergeCell ref="A340:A341"/>
    <mergeCell ref="B340:B341"/>
    <mergeCell ref="C340:C341"/>
    <mergeCell ref="D340:D341"/>
    <mergeCell ref="E340:E341"/>
    <mergeCell ref="F340:G341"/>
    <mergeCell ref="H340:H341"/>
    <mergeCell ref="I340:I341"/>
    <mergeCell ref="J340:J341"/>
    <mergeCell ref="K340:K341"/>
    <mergeCell ref="L340:L341"/>
    <mergeCell ref="A338:A339"/>
    <mergeCell ref="B338:B339"/>
    <mergeCell ref="C338:C339"/>
    <mergeCell ref="D338:D339"/>
    <mergeCell ref="E338:E339"/>
    <mergeCell ref="F338:G339"/>
    <mergeCell ref="H338:H339"/>
    <mergeCell ref="I338:I339"/>
    <mergeCell ref="K344:K345"/>
    <mergeCell ref="L344:L345"/>
    <mergeCell ref="A346:A347"/>
    <mergeCell ref="B346:B347"/>
    <mergeCell ref="C346:C347"/>
    <mergeCell ref="D346:D347"/>
    <mergeCell ref="E346:E347"/>
    <mergeCell ref="F346:G347"/>
    <mergeCell ref="H346:H347"/>
    <mergeCell ref="I346:I347"/>
    <mergeCell ref="J346:J347"/>
    <mergeCell ref="K346:K347"/>
    <mergeCell ref="L346:L347"/>
    <mergeCell ref="A344:A345"/>
    <mergeCell ref="B344:B345"/>
    <mergeCell ref="C344:C345"/>
    <mergeCell ref="D344:D345"/>
    <mergeCell ref="E344:E345"/>
    <mergeCell ref="F344:G345"/>
    <mergeCell ref="H344:H345"/>
    <mergeCell ref="I344:I345"/>
    <mergeCell ref="J344:J345"/>
    <mergeCell ref="K348:K349"/>
    <mergeCell ref="L348:L349"/>
    <mergeCell ref="A350:A351"/>
    <mergeCell ref="B350:B351"/>
    <mergeCell ref="C350:C351"/>
    <mergeCell ref="D350:D351"/>
    <mergeCell ref="E350:E351"/>
    <mergeCell ref="F350:G351"/>
    <mergeCell ref="H350:H351"/>
    <mergeCell ref="I350:I351"/>
    <mergeCell ref="J350:J351"/>
    <mergeCell ref="K350:K351"/>
    <mergeCell ref="L350:L351"/>
    <mergeCell ref="A348:A349"/>
    <mergeCell ref="B348:B349"/>
    <mergeCell ref="C348:C349"/>
    <mergeCell ref="D348:D349"/>
    <mergeCell ref="E348:E349"/>
    <mergeCell ref="F348:G349"/>
    <mergeCell ref="H348:H349"/>
    <mergeCell ref="I348:I349"/>
    <mergeCell ref="J348:J349"/>
    <mergeCell ref="J356:J357"/>
    <mergeCell ref="K352:K353"/>
    <mergeCell ref="L352:L353"/>
    <mergeCell ref="A354:A355"/>
    <mergeCell ref="B354:B355"/>
    <mergeCell ref="C354:C355"/>
    <mergeCell ref="D354:D355"/>
    <mergeCell ref="E354:E355"/>
    <mergeCell ref="F354:G355"/>
    <mergeCell ref="H354:H355"/>
    <mergeCell ref="I354:I355"/>
    <mergeCell ref="J354:J355"/>
    <mergeCell ref="K354:K355"/>
    <mergeCell ref="L354:L355"/>
    <mergeCell ref="A352:A353"/>
    <mergeCell ref="B352:B353"/>
    <mergeCell ref="C352:C353"/>
    <mergeCell ref="D352:D353"/>
    <mergeCell ref="E352:E353"/>
    <mergeCell ref="F352:G353"/>
    <mergeCell ref="H352:H353"/>
    <mergeCell ref="I352:I353"/>
    <mergeCell ref="J352:J353"/>
    <mergeCell ref="K360:K361"/>
    <mergeCell ref="L360:L361"/>
    <mergeCell ref="A360:A361"/>
    <mergeCell ref="B360:B361"/>
    <mergeCell ref="C360:C361"/>
    <mergeCell ref="D360:D361"/>
    <mergeCell ref="E360:E361"/>
    <mergeCell ref="F360:G361"/>
    <mergeCell ref="H360:H361"/>
    <mergeCell ref="I360:I361"/>
    <mergeCell ref="J360:J361"/>
    <mergeCell ref="K356:K357"/>
    <mergeCell ref="L356:L357"/>
    <mergeCell ref="A358:A359"/>
    <mergeCell ref="B358:B359"/>
    <mergeCell ref="C358:C359"/>
    <mergeCell ref="D358:D359"/>
    <mergeCell ref="E358:E359"/>
    <mergeCell ref="F358:G359"/>
    <mergeCell ref="H358:H359"/>
    <mergeCell ref="I358:I359"/>
    <mergeCell ref="J358:J359"/>
    <mergeCell ref="K358:K359"/>
    <mergeCell ref="L358:L359"/>
    <mergeCell ref="A356:A357"/>
    <mergeCell ref="B356:B357"/>
    <mergeCell ref="C356:C357"/>
    <mergeCell ref="D356:D357"/>
    <mergeCell ref="E356:E357"/>
    <mergeCell ref="F356:G357"/>
    <mergeCell ref="H356:H357"/>
    <mergeCell ref="I356:I357"/>
    <mergeCell ref="J366:J367"/>
    <mergeCell ref="K362:K363"/>
    <mergeCell ref="L362:L363"/>
    <mergeCell ref="A364:A365"/>
    <mergeCell ref="B364:B365"/>
    <mergeCell ref="C364:C365"/>
    <mergeCell ref="D364:D365"/>
    <mergeCell ref="E364:E365"/>
    <mergeCell ref="F364:G365"/>
    <mergeCell ref="H364:H365"/>
    <mergeCell ref="I364:I365"/>
    <mergeCell ref="J364:J365"/>
    <mergeCell ref="K364:K365"/>
    <mergeCell ref="L364:L365"/>
    <mergeCell ref="A362:A363"/>
    <mergeCell ref="B362:B363"/>
    <mergeCell ref="C362:C363"/>
    <mergeCell ref="D362:D363"/>
    <mergeCell ref="E362:E363"/>
    <mergeCell ref="F362:G363"/>
    <mergeCell ref="H362:H363"/>
    <mergeCell ref="I362:I363"/>
    <mergeCell ref="J362:J363"/>
    <mergeCell ref="K370:K371"/>
    <mergeCell ref="L370:L371"/>
    <mergeCell ref="A370:A371"/>
    <mergeCell ref="B370:B371"/>
    <mergeCell ref="C370:C371"/>
    <mergeCell ref="D370:D371"/>
    <mergeCell ref="E370:E371"/>
    <mergeCell ref="F370:G371"/>
    <mergeCell ref="H370:H371"/>
    <mergeCell ref="I370:I371"/>
    <mergeCell ref="J370:J371"/>
    <mergeCell ref="K366:K367"/>
    <mergeCell ref="L366:L367"/>
    <mergeCell ref="A368:A369"/>
    <mergeCell ref="B368:B369"/>
    <mergeCell ref="C368:C369"/>
    <mergeCell ref="D368:D369"/>
    <mergeCell ref="E368:E369"/>
    <mergeCell ref="F368:G369"/>
    <mergeCell ref="H368:H369"/>
    <mergeCell ref="I368:I369"/>
    <mergeCell ref="J368:J369"/>
    <mergeCell ref="K368:K369"/>
    <mergeCell ref="L368:L369"/>
    <mergeCell ref="A366:A367"/>
    <mergeCell ref="B366:B367"/>
    <mergeCell ref="C366:C367"/>
    <mergeCell ref="D366:D367"/>
    <mergeCell ref="E366:E367"/>
    <mergeCell ref="F366:G367"/>
    <mergeCell ref="H366:H367"/>
    <mergeCell ref="I366:I367"/>
    <mergeCell ref="K372:K373"/>
    <mergeCell ref="L372:L373"/>
    <mergeCell ref="A374:A375"/>
    <mergeCell ref="C374:C375"/>
    <mergeCell ref="D374:D375"/>
    <mergeCell ref="E374:E375"/>
    <mergeCell ref="F374:G375"/>
    <mergeCell ref="H374:H375"/>
    <mergeCell ref="I374:I375"/>
    <mergeCell ref="J374:J375"/>
    <mergeCell ref="K374:K375"/>
    <mergeCell ref="L374:L375"/>
    <mergeCell ref="A372:A373"/>
    <mergeCell ref="B372:B373"/>
    <mergeCell ref="C372:C373"/>
    <mergeCell ref="D372:D373"/>
    <mergeCell ref="E372:E373"/>
    <mergeCell ref="F372:G373"/>
    <mergeCell ref="H372:H373"/>
    <mergeCell ref="I372:I373"/>
    <mergeCell ref="J372:J373"/>
    <mergeCell ref="K378:K379"/>
    <mergeCell ref="L378:L379"/>
    <mergeCell ref="A380:A381"/>
    <mergeCell ref="B380:B381"/>
    <mergeCell ref="C380:C381"/>
    <mergeCell ref="D380:D381"/>
    <mergeCell ref="E380:E381"/>
    <mergeCell ref="F380:G381"/>
    <mergeCell ref="H380:H381"/>
    <mergeCell ref="I380:I381"/>
    <mergeCell ref="J380:J381"/>
    <mergeCell ref="K380:K381"/>
    <mergeCell ref="L380:L381"/>
    <mergeCell ref="A378:A379"/>
    <mergeCell ref="B378:B379"/>
    <mergeCell ref="C378:C379"/>
    <mergeCell ref="D378:D379"/>
    <mergeCell ref="E378:E379"/>
    <mergeCell ref="F378:G379"/>
    <mergeCell ref="H378:H379"/>
    <mergeCell ref="I378:I379"/>
    <mergeCell ref="J378:J379"/>
    <mergeCell ref="A384:A385"/>
    <mergeCell ref="B384:B385"/>
    <mergeCell ref="C384:C385"/>
    <mergeCell ref="D384:D385"/>
    <mergeCell ref="E384:E385"/>
    <mergeCell ref="F384:G385"/>
    <mergeCell ref="H384:H385"/>
    <mergeCell ref="I384:I385"/>
    <mergeCell ref="J384:J385"/>
    <mergeCell ref="K384:K385"/>
    <mergeCell ref="L384:L385"/>
    <mergeCell ref="A382:A383"/>
    <mergeCell ref="B382:B383"/>
    <mergeCell ref="C382:C383"/>
    <mergeCell ref="D382:D383"/>
    <mergeCell ref="E382:E383"/>
    <mergeCell ref="F382:G383"/>
    <mergeCell ref="H382:H383"/>
    <mergeCell ref="I382:I383"/>
    <mergeCell ref="J382:J383"/>
    <mergeCell ref="K382:K383"/>
    <mergeCell ref="L382:L383"/>
    <mergeCell ref="K386:K387"/>
    <mergeCell ref="L386:L387"/>
    <mergeCell ref="A388:A389"/>
    <mergeCell ref="B388:B389"/>
    <mergeCell ref="C388:C389"/>
    <mergeCell ref="D388:D389"/>
    <mergeCell ref="E388:E389"/>
    <mergeCell ref="F388:G389"/>
    <mergeCell ref="H388:H389"/>
    <mergeCell ref="I388:I389"/>
    <mergeCell ref="J388:J389"/>
    <mergeCell ref="K388:K389"/>
    <mergeCell ref="L388:L389"/>
    <mergeCell ref="A386:A387"/>
    <mergeCell ref="B386:B387"/>
    <mergeCell ref="C386:C387"/>
    <mergeCell ref="D386:D387"/>
    <mergeCell ref="E386:E387"/>
    <mergeCell ref="F386:G387"/>
    <mergeCell ref="H386:H387"/>
    <mergeCell ref="I386:I387"/>
    <mergeCell ref="J386:J387"/>
    <mergeCell ref="A390:A391"/>
    <mergeCell ref="B390:B391"/>
    <mergeCell ref="C390:C391"/>
    <mergeCell ref="D390:D391"/>
    <mergeCell ref="E390:E391"/>
    <mergeCell ref="F390:G391"/>
    <mergeCell ref="H390:H391"/>
    <mergeCell ref="I390:I391"/>
    <mergeCell ref="J390:J391"/>
    <mergeCell ref="K390:K391"/>
    <mergeCell ref="L390:L391"/>
    <mergeCell ref="D394:D395"/>
    <mergeCell ref="E394:E395"/>
    <mergeCell ref="F394:G395"/>
    <mergeCell ref="H394:H395"/>
    <mergeCell ref="I394:I395"/>
    <mergeCell ref="J394:J395"/>
    <mergeCell ref="K392:K393"/>
    <mergeCell ref="L392:L393"/>
    <mergeCell ref="A392:A393"/>
    <mergeCell ref="B392:B393"/>
    <mergeCell ref="C392:C393"/>
    <mergeCell ref="D392:D393"/>
    <mergeCell ref="E392:E393"/>
    <mergeCell ref="F392:G393"/>
    <mergeCell ref="H392:H393"/>
    <mergeCell ref="I392:I393"/>
    <mergeCell ref="J392:J393"/>
    <mergeCell ref="E400:E401"/>
    <mergeCell ref="F400:G401"/>
    <mergeCell ref="H400:H401"/>
    <mergeCell ref="I400:I401"/>
    <mergeCell ref="J400:J401"/>
    <mergeCell ref="K400:K401"/>
    <mergeCell ref="L400:L401"/>
    <mergeCell ref="A398:A399"/>
    <mergeCell ref="B398:B399"/>
    <mergeCell ref="C398:C399"/>
    <mergeCell ref="D398:D399"/>
    <mergeCell ref="E398:E399"/>
    <mergeCell ref="F398:G399"/>
    <mergeCell ref="H398:H399"/>
    <mergeCell ref="I398:I399"/>
    <mergeCell ref="J398:J399"/>
    <mergeCell ref="K394:K395"/>
    <mergeCell ref="L394:L395"/>
    <mergeCell ref="A396:A397"/>
    <mergeCell ref="B396:B397"/>
    <mergeCell ref="C396:C397"/>
    <mergeCell ref="D396:D397"/>
    <mergeCell ref="E396:E397"/>
    <mergeCell ref="F396:G397"/>
    <mergeCell ref="H396:H397"/>
    <mergeCell ref="I396:I397"/>
    <mergeCell ref="J396:J397"/>
    <mergeCell ref="K396:K397"/>
    <mergeCell ref="L396:L397"/>
    <mergeCell ref="A394:A395"/>
    <mergeCell ref="B394:B395"/>
    <mergeCell ref="C394:C395"/>
    <mergeCell ref="A405:A406"/>
    <mergeCell ref="B405:B406"/>
    <mergeCell ref="C405:C406"/>
    <mergeCell ref="D405:D406"/>
    <mergeCell ref="E405:E406"/>
    <mergeCell ref="F405:G406"/>
    <mergeCell ref="H405:H406"/>
    <mergeCell ref="I405:I406"/>
    <mergeCell ref="J405:J406"/>
    <mergeCell ref="K405:K406"/>
    <mergeCell ref="L405:L406"/>
    <mergeCell ref="A402:A403"/>
    <mergeCell ref="B402:B403"/>
    <mergeCell ref="C402:C403"/>
    <mergeCell ref="D402:D403"/>
    <mergeCell ref="E402:E403"/>
    <mergeCell ref="F402:G403"/>
    <mergeCell ref="H402:H403"/>
    <mergeCell ref="I402:I403"/>
    <mergeCell ref="J402:J403"/>
    <mergeCell ref="K407:K408"/>
    <mergeCell ref="L407:L408"/>
    <mergeCell ref="A411:A412"/>
    <mergeCell ref="B413:B414"/>
    <mergeCell ref="C413:C414"/>
    <mergeCell ref="D413:D414"/>
    <mergeCell ref="E413:E414"/>
    <mergeCell ref="F413:G414"/>
    <mergeCell ref="H413:H414"/>
    <mergeCell ref="I413:I414"/>
    <mergeCell ref="J413:J414"/>
    <mergeCell ref="K413:K414"/>
    <mergeCell ref="L413:L414"/>
    <mergeCell ref="A407:A408"/>
    <mergeCell ref="B407:B408"/>
    <mergeCell ref="C407:C408"/>
    <mergeCell ref="D407:D408"/>
    <mergeCell ref="E407:E408"/>
    <mergeCell ref="F407:G408"/>
    <mergeCell ref="H407:H408"/>
    <mergeCell ref="I407:I408"/>
    <mergeCell ref="J407:J408"/>
    <mergeCell ref="A409:A410"/>
    <mergeCell ref="B409:B410"/>
    <mergeCell ref="C409:C410"/>
    <mergeCell ref="D409:D410"/>
    <mergeCell ref="E409:E410"/>
    <mergeCell ref="F409:G410"/>
    <mergeCell ref="H409:H410"/>
    <mergeCell ref="I409:I410"/>
    <mergeCell ref="J409:J410"/>
    <mergeCell ref="K409:K410"/>
    <mergeCell ref="A415:A416"/>
    <mergeCell ref="B415:B416"/>
    <mergeCell ref="C415:C416"/>
    <mergeCell ref="D415:D416"/>
    <mergeCell ref="E415:E416"/>
    <mergeCell ref="F415:G416"/>
    <mergeCell ref="H415:H416"/>
    <mergeCell ref="I415:I416"/>
    <mergeCell ref="J415:J416"/>
    <mergeCell ref="K415:K416"/>
    <mergeCell ref="L415:L416"/>
    <mergeCell ref="A413:A414"/>
    <mergeCell ref="K417:K418"/>
    <mergeCell ref="L417:L418"/>
    <mergeCell ref="A419:A420"/>
    <mergeCell ref="B419:B420"/>
    <mergeCell ref="C419:C420"/>
    <mergeCell ref="D419:D420"/>
    <mergeCell ref="E419:E420"/>
    <mergeCell ref="F419:G420"/>
    <mergeCell ref="H419:H420"/>
    <mergeCell ref="I419:I420"/>
    <mergeCell ref="J419:J420"/>
    <mergeCell ref="K419:K420"/>
    <mergeCell ref="L419:L420"/>
    <mergeCell ref="A417:A418"/>
    <mergeCell ref="B417:B418"/>
    <mergeCell ref="C417:C418"/>
    <mergeCell ref="D417:D418"/>
    <mergeCell ref="E417:E418"/>
    <mergeCell ref="F417:G418"/>
    <mergeCell ref="H417:H418"/>
    <mergeCell ref="K421:K422"/>
    <mergeCell ref="L421:L422"/>
    <mergeCell ref="A423:A424"/>
    <mergeCell ref="B423:B424"/>
    <mergeCell ref="C423:C424"/>
    <mergeCell ref="D423:D424"/>
    <mergeCell ref="E423:E424"/>
    <mergeCell ref="F423:G424"/>
    <mergeCell ref="H423:H424"/>
    <mergeCell ref="I423:I424"/>
    <mergeCell ref="J423:J424"/>
    <mergeCell ref="K423:K424"/>
    <mergeCell ref="L423:L424"/>
    <mergeCell ref="A421:A422"/>
    <mergeCell ref="B421:B422"/>
    <mergeCell ref="C421:C422"/>
    <mergeCell ref="D421:D422"/>
    <mergeCell ref="E421:E422"/>
    <mergeCell ref="F421:G422"/>
    <mergeCell ref="H421:H422"/>
    <mergeCell ref="I421:I422"/>
    <mergeCell ref="J421:J422"/>
    <mergeCell ref="K425:K426"/>
    <mergeCell ref="L425:L426"/>
    <mergeCell ref="A427:A428"/>
    <mergeCell ref="B427:B428"/>
    <mergeCell ref="C427:C428"/>
    <mergeCell ref="D427:D428"/>
    <mergeCell ref="E427:E428"/>
    <mergeCell ref="F427:G428"/>
    <mergeCell ref="H427:H428"/>
    <mergeCell ref="I427:I428"/>
    <mergeCell ref="J427:J428"/>
    <mergeCell ref="K427:K428"/>
    <mergeCell ref="L427:L428"/>
    <mergeCell ref="A425:A426"/>
    <mergeCell ref="B425:B426"/>
    <mergeCell ref="C425:C426"/>
    <mergeCell ref="D425:D426"/>
    <mergeCell ref="E425:E426"/>
    <mergeCell ref="F425:G426"/>
    <mergeCell ref="H425:H426"/>
    <mergeCell ref="I425:I426"/>
    <mergeCell ref="J425:J426"/>
    <mergeCell ref="K429:K430"/>
    <mergeCell ref="L429:L430"/>
    <mergeCell ref="A431:A432"/>
    <mergeCell ref="B431:B432"/>
    <mergeCell ref="C431:C432"/>
    <mergeCell ref="D431:D432"/>
    <mergeCell ref="E431:E432"/>
    <mergeCell ref="F431:G432"/>
    <mergeCell ref="H431:H432"/>
    <mergeCell ref="I431:I432"/>
    <mergeCell ref="J431:J432"/>
    <mergeCell ref="K431:K432"/>
    <mergeCell ref="L431:L432"/>
    <mergeCell ref="A429:A430"/>
    <mergeCell ref="B429:B430"/>
    <mergeCell ref="C429:C430"/>
    <mergeCell ref="D429:D430"/>
    <mergeCell ref="E429:E430"/>
    <mergeCell ref="F429:G430"/>
    <mergeCell ref="H429:H430"/>
    <mergeCell ref="I429:I430"/>
    <mergeCell ref="J429:J430"/>
    <mergeCell ref="A433:A434"/>
    <mergeCell ref="B433:B434"/>
    <mergeCell ref="C433:C434"/>
    <mergeCell ref="D433:D434"/>
    <mergeCell ref="E433:E434"/>
    <mergeCell ref="F433:G434"/>
    <mergeCell ref="H433:H434"/>
    <mergeCell ref="I433:I434"/>
    <mergeCell ref="J433:J434"/>
    <mergeCell ref="K433:K434"/>
    <mergeCell ref="L433:L434"/>
    <mergeCell ref="A435:A436"/>
    <mergeCell ref="B435:B436"/>
    <mergeCell ref="C435:C436"/>
    <mergeCell ref="D435:D436"/>
    <mergeCell ref="E435:E436"/>
    <mergeCell ref="F435:G436"/>
    <mergeCell ref="H435:H436"/>
    <mergeCell ref="I435:I436"/>
    <mergeCell ref="J435:J436"/>
    <mergeCell ref="K435:K436"/>
    <mergeCell ref="L435:L436"/>
    <mergeCell ref="K437:K438"/>
    <mergeCell ref="L437:L438"/>
    <mergeCell ref="A439:A440"/>
    <mergeCell ref="B439:B440"/>
    <mergeCell ref="C439:C440"/>
    <mergeCell ref="D439:D440"/>
    <mergeCell ref="E439:E440"/>
    <mergeCell ref="F439:G440"/>
    <mergeCell ref="H439:H440"/>
    <mergeCell ref="I439:I440"/>
    <mergeCell ref="J439:J440"/>
    <mergeCell ref="K439:K440"/>
    <mergeCell ref="L439:L440"/>
    <mergeCell ref="A437:A438"/>
    <mergeCell ref="B437:B438"/>
    <mergeCell ref="C437:C438"/>
    <mergeCell ref="D437:D438"/>
    <mergeCell ref="E437:E438"/>
    <mergeCell ref="F437:G438"/>
    <mergeCell ref="H437:H438"/>
    <mergeCell ref="I437:I438"/>
    <mergeCell ref="J437:J438"/>
    <mergeCell ref="A441:A442"/>
    <mergeCell ref="B441:B442"/>
    <mergeCell ref="C441:C442"/>
    <mergeCell ref="D441:D442"/>
    <mergeCell ref="E441:E442"/>
    <mergeCell ref="F441:G442"/>
    <mergeCell ref="H441:H442"/>
    <mergeCell ref="I441:I442"/>
    <mergeCell ref="J441:J442"/>
    <mergeCell ref="K441:K442"/>
    <mergeCell ref="L441:L442"/>
    <mergeCell ref="K443:K444"/>
    <mergeCell ref="L443:L444"/>
    <mergeCell ref="A445:A446"/>
    <mergeCell ref="B445:B446"/>
    <mergeCell ref="C445:C446"/>
    <mergeCell ref="D445:D446"/>
    <mergeCell ref="E445:E446"/>
    <mergeCell ref="F445:G446"/>
    <mergeCell ref="H445:H446"/>
    <mergeCell ref="I445:I446"/>
    <mergeCell ref="J445:J446"/>
    <mergeCell ref="K445:K446"/>
    <mergeCell ref="L445:L446"/>
    <mergeCell ref="A443:A444"/>
    <mergeCell ref="B443:B444"/>
    <mergeCell ref="C443:C444"/>
    <mergeCell ref="D443:D444"/>
    <mergeCell ref="E443:E444"/>
    <mergeCell ref="F443:G444"/>
    <mergeCell ref="H443:H444"/>
    <mergeCell ref="I443:I444"/>
    <mergeCell ref="A447:A448"/>
    <mergeCell ref="B447:B448"/>
    <mergeCell ref="C447:C448"/>
    <mergeCell ref="D447:D448"/>
    <mergeCell ref="E447:E448"/>
    <mergeCell ref="F447:G448"/>
    <mergeCell ref="H447:H448"/>
    <mergeCell ref="I447:I448"/>
    <mergeCell ref="J447:J448"/>
    <mergeCell ref="K447:K448"/>
    <mergeCell ref="L447:L448"/>
    <mergeCell ref="K449:K450"/>
    <mergeCell ref="L449:L450"/>
    <mergeCell ref="A451:A452"/>
    <mergeCell ref="B451:B452"/>
    <mergeCell ref="C451:C452"/>
    <mergeCell ref="D451:D452"/>
    <mergeCell ref="E451:E452"/>
    <mergeCell ref="F451:G452"/>
    <mergeCell ref="H451:H452"/>
    <mergeCell ref="I451:I452"/>
    <mergeCell ref="J451:J452"/>
    <mergeCell ref="K451:K452"/>
    <mergeCell ref="L451:L452"/>
    <mergeCell ref="A449:A450"/>
    <mergeCell ref="B449:B450"/>
    <mergeCell ref="C449:C450"/>
    <mergeCell ref="D449:D450"/>
    <mergeCell ref="E449:E450"/>
    <mergeCell ref="F449:G450"/>
    <mergeCell ref="H449:H450"/>
    <mergeCell ref="I449:I450"/>
    <mergeCell ref="K453:K454"/>
    <mergeCell ref="L453:L454"/>
    <mergeCell ref="A455:A456"/>
    <mergeCell ref="B455:B456"/>
    <mergeCell ref="C455:C456"/>
    <mergeCell ref="D455:D456"/>
    <mergeCell ref="E455:E456"/>
    <mergeCell ref="F455:G456"/>
    <mergeCell ref="H455:H456"/>
    <mergeCell ref="I455:I456"/>
    <mergeCell ref="J455:J456"/>
    <mergeCell ref="K455:K456"/>
    <mergeCell ref="L455:L456"/>
    <mergeCell ref="A453:A454"/>
    <mergeCell ref="B453:B454"/>
    <mergeCell ref="C453:C454"/>
    <mergeCell ref="D453:D454"/>
    <mergeCell ref="E453:E454"/>
    <mergeCell ref="F453:G454"/>
    <mergeCell ref="H453:H454"/>
    <mergeCell ref="I453:I454"/>
    <mergeCell ref="J453:J454"/>
    <mergeCell ref="K457:K458"/>
    <mergeCell ref="L457:L458"/>
    <mergeCell ref="A459:A460"/>
    <mergeCell ref="B459:B460"/>
    <mergeCell ref="C459:C460"/>
    <mergeCell ref="D459:D460"/>
    <mergeCell ref="E459:E460"/>
    <mergeCell ref="F459:G460"/>
    <mergeCell ref="H459:H460"/>
    <mergeCell ref="I459:I460"/>
    <mergeCell ref="J459:J460"/>
    <mergeCell ref="K459:K460"/>
    <mergeCell ref="L459:L460"/>
    <mergeCell ref="A457:A458"/>
    <mergeCell ref="B457:B458"/>
    <mergeCell ref="C457:C458"/>
    <mergeCell ref="D457:D458"/>
    <mergeCell ref="E457:E458"/>
    <mergeCell ref="F457:G458"/>
    <mergeCell ref="H457:H458"/>
    <mergeCell ref="I457:I458"/>
    <mergeCell ref="J457:J458"/>
    <mergeCell ref="A461:A462"/>
    <mergeCell ref="B461:B462"/>
    <mergeCell ref="C461:C462"/>
    <mergeCell ref="D461:D462"/>
    <mergeCell ref="E461:E462"/>
    <mergeCell ref="F461:G462"/>
    <mergeCell ref="H461:H462"/>
    <mergeCell ref="I461:I462"/>
    <mergeCell ref="J461:J462"/>
    <mergeCell ref="K461:K462"/>
    <mergeCell ref="L461:L462"/>
    <mergeCell ref="K463:K464"/>
    <mergeCell ref="L463:L464"/>
    <mergeCell ref="A465:A466"/>
    <mergeCell ref="B465:B466"/>
    <mergeCell ref="C465:C466"/>
    <mergeCell ref="D465:D466"/>
    <mergeCell ref="E465:E466"/>
    <mergeCell ref="F465:G466"/>
    <mergeCell ref="H465:H466"/>
    <mergeCell ref="I465:I466"/>
    <mergeCell ref="J465:J466"/>
    <mergeCell ref="K465:K466"/>
    <mergeCell ref="L465:L466"/>
    <mergeCell ref="A463:A464"/>
    <mergeCell ref="B463:B464"/>
    <mergeCell ref="C463:C464"/>
    <mergeCell ref="D463:D464"/>
    <mergeCell ref="E463:E464"/>
    <mergeCell ref="F463:G464"/>
    <mergeCell ref="H463:H464"/>
    <mergeCell ref="I463:I464"/>
    <mergeCell ref="A467:A468"/>
    <mergeCell ref="B467:B468"/>
    <mergeCell ref="C467:C468"/>
    <mergeCell ref="D467:D468"/>
    <mergeCell ref="E467:E468"/>
    <mergeCell ref="F467:G468"/>
    <mergeCell ref="H467:H468"/>
    <mergeCell ref="I467:I468"/>
    <mergeCell ref="J467:J468"/>
    <mergeCell ref="K467:K468"/>
    <mergeCell ref="L467:L468"/>
    <mergeCell ref="A469:A470"/>
    <mergeCell ref="B469:B470"/>
    <mergeCell ref="C469:C470"/>
    <mergeCell ref="D469:D470"/>
    <mergeCell ref="E469:E470"/>
    <mergeCell ref="F469:G470"/>
    <mergeCell ref="H469:H470"/>
    <mergeCell ref="I469:I470"/>
    <mergeCell ref="J469:J470"/>
    <mergeCell ref="K469:K470"/>
    <mergeCell ref="L469:L470"/>
    <mergeCell ref="K471:K472"/>
    <mergeCell ref="L471:L472"/>
    <mergeCell ref="A473:A474"/>
    <mergeCell ref="B473:B474"/>
    <mergeCell ref="C473:C474"/>
    <mergeCell ref="D473:D474"/>
    <mergeCell ref="E473:E474"/>
    <mergeCell ref="F473:G474"/>
    <mergeCell ref="H473:H474"/>
    <mergeCell ref="I473:I474"/>
    <mergeCell ref="J473:J474"/>
    <mergeCell ref="K473:K474"/>
    <mergeCell ref="L473:L474"/>
    <mergeCell ref="A471:A472"/>
    <mergeCell ref="B471:B472"/>
    <mergeCell ref="C471:C472"/>
    <mergeCell ref="D471:D472"/>
    <mergeCell ref="E471:E472"/>
    <mergeCell ref="F471:G472"/>
    <mergeCell ref="H471:H472"/>
    <mergeCell ref="I471:I472"/>
    <mergeCell ref="J471:J472"/>
    <mergeCell ref="K475:K476"/>
    <mergeCell ref="L475:L476"/>
    <mergeCell ref="A477:A478"/>
    <mergeCell ref="B477:B478"/>
    <mergeCell ref="C477:C478"/>
    <mergeCell ref="D477:D478"/>
    <mergeCell ref="E477:E478"/>
    <mergeCell ref="F477:G478"/>
    <mergeCell ref="H477:H478"/>
    <mergeCell ref="I477:I478"/>
    <mergeCell ref="J477:J478"/>
    <mergeCell ref="K477:K478"/>
    <mergeCell ref="L477:L478"/>
    <mergeCell ref="A475:A476"/>
    <mergeCell ref="B475:B476"/>
    <mergeCell ref="C475:C476"/>
    <mergeCell ref="D475:D476"/>
    <mergeCell ref="E475:E476"/>
    <mergeCell ref="F475:G476"/>
    <mergeCell ref="H475:H476"/>
    <mergeCell ref="I475:I476"/>
    <mergeCell ref="J475:J476"/>
    <mergeCell ref="K479:K480"/>
    <mergeCell ref="L479:L480"/>
    <mergeCell ref="A481:A482"/>
    <mergeCell ref="B481:B482"/>
    <mergeCell ref="C481:C482"/>
    <mergeCell ref="D481:D482"/>
    <mergeCell ref="E481:E482"/>
    <mergeCell ref="F481:G482"/>
    <mergeCell ref="H481:H482"/>
    <mergeCell ref="I481:I482"/>
    <mergeCell ref="J481:J482"/>
    <mergeCell ref="K481:K482"/>
    <mergeCell ref="L481:L482"/>
    <mergeCell ref="A479:A480"/>
    <mergeCell ref="B479:B480"/>
    <mergeCell ref="C479:C480"/>
    <mergeCell ref="D479:D480"/>
    <mergeCell ref="E479:E480"/>
    <mergeCell ref="F479:G480"/>
    <mergeCell ref="H479:H480"/>
    <mergeCell ref="I479:I480"/>
    <mergeCell ref="J479:J480"/>
    <mergeCell ref="A483:A484"/>
    <mergeCell ref="B483:B484"/>
    <mergeCell ref="C483:C484"/>
    <mergeCell ref="D483:D484"/>
    <mergeCell ref="E483:E484"/>
    <mergeCell ref="F483:G484"/>
    <mergeCell ref="H483:H484"/>
    <mergeCell ref="I483:I484"/>
    <mergeCell ref="J483:J484"/>
    <mergeCell ref="K483:K484"/>
    <mergeCell ref="L483:L484"/>
    <mergeCell ref="K485:K486"/>
    <mergeCell ref="L485:L486"/>
    <mergeCell ref="A485:A486"/>
    <mergeCell ref="B485:B486"/>
    <mergeCell ref="C485:C486"/>
    <mergeCell ref="D485:D486"/>
    <mergeCell ref="E485:E486"/>
    <mergeCell ref="F485:G486"/>
    <mergeCell ref="H485:H486"/>
    <mergeCell ref="I485:I486"/>
    <mergeCell ref="J485:J486"/>
    <mergeCell ref="K487:K488"/>
    <mergeCell ref="L487:L488"/>
    <mergeCell ref="A487:A488"/>
    <mergeCell ref="B487:B488"/>
    <mergeCell ref="C487:C488"/>
    <mergeCell ref="D487:D488"/>
    <mergeCell ref="E487:E488"/>
    <mergeCell ref="F487:G488"/>
    <mergeCell ref="H487:H488"/>
    <mergeCell ref="I487:I488"/>
    <mergeCell ref="J487:J488"/>
    <mergeCell ref="A489:A490"/>
    <mergeCell ref="B489:B490"/>
    <mergeCell ref="C489:C490"/>
    <mergeCell ref="D489:D490"/>
    <mergeCell ref="E489:E490"/>
    <mergeCell ref="F489:G490"/>
    <mergeCell ref="H489:H490"/>
    <mergeCell ref="I489:I490"/>
    <mergeCell ref="J489:J490"/>
    <mergeCell ref="K489:K490"/>
    <mergeCell ref="L489:L490"/>
    <mergeCell ref="K491:K492"/>
    <mergeCell ref="L491:L492"/>
    <mergeCell ref="A493:A494"/>
    <mergeCell ref="B493:B494"/>
    <mergeCell ref="C493:C494"/>
    <mergeCell ref="D493:D494"/>
    <mergeCell ref="E493:E494"/>
    <mergeCell ref="F493:G494"/>
    <mergeCell ref="H493:H494"/>
    <mergeCell ref="I493:I494"/>
    <mergeCell ref="J493:J494"/>
    <mergeCell ref="K493:K494"/>
    <mergeCell ref="L493:L494"/>
    <mergeCell ref="A491:A492"/>
    <mergeCell ref="B491:B492"/>
    <mergeCell ref="C491:C492"/>
    <mergeCell ref="D491:D492"/>
    <mergeCell ref="E491:E492"/>
    <mergeCell ref="F491:G492"/>
    <mergeCell ref="H491:H492"/>
    <mergeCell ref="I491:I492"/>
    <mergeCell ref="J491:J492"/>
    <mergeCell ref="K495:K496"/>
    <mergeCell ref="L495:L496"/>
    <mergeCell ref="A497:A498"/>
    <mergeCell ref="B497:B498"/>
    <mergeCell ref="C497:C498"/>
    <mergeCell ref="D497:D498"/>
    <mergeCell ref="E497:E498"/>
    <mergeCell ref="F497:G498"/>
    <mergeCell ref="H497:H498"/>
    <mergeCell ref="I497:I498"/>
    <mergeCell ref="J497:J498"/>
    <mergeCell ref="K497:K498"/>
    <mergeCell ref="L497:L498"/>
    <mergeCell ref="A495:A496"/>
    <mergeCell ref="B495:B496"/>
    <mergeCell ref="C495:C496"/>
    <mergeCell ref="D495:D496"/>
    <mergeCell ref="E495:E496"/>
    <mergeCell ref="F495:G496"/>
    <mergeCell ref="H495:H496"/>
    <mergeCell ref="I495:I496"/>
    <mergeCell ref="J495:J496"/>
    <mergeCell ref="K505:K506"/>
    <mergeCell ref="L505:L506"/>
    <mergeCell ref="A503:A504"/>
    <mergeCell ref="B503:B504"/>
    <mergeCell ref="C503:C504"/>
    <mergeCell ref="D503:D504"/>
    <mergeCell ref="E503:E504"/>
    <mergeCell ref="F503:G504"/>
    <mergeCell ref="H503:H504"/>
    <mergeCell ref="I503:I504"/>
    <mergeCell ref="J503:J504"/>
    <mergeCell ref="L297:L298"/>
    <mergeCell ref="L243:L244"/>
    <mergeCell ref="A220:L220"/>
    <mergeCell ref="K503:K504"/>
    <mergeCell ref="L503:L504"/>
    <mergeCell ref="A501:A502"/>
    <mergeCell ref="B501:B502"/>
    <mergeCell ref="C501:C502"/>
    <mergeCell ref="D501:D502"/>
    <mergeCell ref="E501:E502"/>
    <mergeCell ref="F501:G502"/>
    <mergeCell ref="H501:H502"/>
    <mergeCell ref="I501:I502"/>
    <mergeCell ref="J501:J502"/>
    <mergeCell ref="K501:K502"/>
    <mergeCell ref="L501:L502"/>
    <mergeCell ref="K499:K500"/>
    <mergeCell ref="L499:L500"/>
    <mergeCell ref="L409:L410"/>
    <mergeCell ref="A376:A377"/>
    <mergeCell ref="B374:B375"/>
    <mergeCell ref="C376:C377"/>
    <mergeCell ref="D376:D377"/>
    <mergeCell ref="E376:E377"/>
    <mergeCell ref="F376:G377"/>
    <mergeCell ref="H376:H377"/>
    <mergeCell ref="I376:I377"/>
    <mergeCell ref="J376:J377"/>
    <mergeCell ref="K376:K377"/>
    <mergeCell ref="L376:L377"/>
    <mergeCell ref="A404:L404"/>
    <mergeCell ref="A499:A500"/>
    <mergeCell ref="A523:A524"/>
    <mergeCell ref="A525:A526"/>
    <mergeCell ref="A527:A528"/>
    <mergeCell ref="A529:A530"/>
    <mergeCell ref="A531:A532"/>
    <mergeCell ref="A533:A534"/>
    <mergeCell ref="B525:B526"/>
    <mergeCell ref="C525:C526"/>
    <mergeCell ref="D525:D526"/>
    <mergeCell ref="E525:E526"/>
    <mergeCell ref="F525:G526"/>
    <mergeCell ref="H525:H526"/>
    <mergeCell ref="I525:I526"/>
    <mergeCell ref="J525:J526"/>
    <mergeCell ref="K525:K526"/>
    <mergeCell ref="L525:L526"/>
    <mergeCell ref="C529:C530"/>
    <mergeCell ref="D529:D530"/>
    <mergeCell ref="E529:E530"/>
    <mergeCell ref="F529:G530"/>
    <mergeCell ref="H529:H530"/>
    <mergeCell ref="A535:A536"/>
    <mergeCell ref="A537:A538"/>
    <mergeCell ref="A539:A540"/>
    <mergeCell ref="A543:A544"/>
    <mergeCell ref="N323:N324"/>
    <mergeCell ref="A332:A333"/>
    <mergeCell ref="B332:B333"/>
    <mergeCell ref="C332:C333"/>
    <mergeCell ref="D332:D333"/>
    <mergeCell ref="E332:E333"/>
    <mergeCell ref="F332:G333"/>
    <mergeCell ref="H332:H333"/>
    <mergeCell ref="I332:I333"/>
    <mergeCell ref="J332:J333"/>
    <mergeCell ref="K332:K333"/>
    <mergeCell ref="L332:L333"/>
    <mergeCell ref="K402:K403"/>
    <mergeCell ref="L402:L403"/>
    <mergeCell ref="K398:K399"/>
    <mergeCell ref="L398:L399"/>
    <mergeCell ref="A400:A401"/>
    <mergeCell ref="B400:B401"/>
    <mergeCell ref="C400:C401"/>
    <mergeCell ref="D400:D401"/>
    <mergeCell ref="A505:A506"/>
    <mergeCell ref="B505:B506"/>
    <mergeCell ref="H521:H522"/>
    <mergeCell ref="I521:I522"/>
    <mergeCell ref="J521:J522"/>
    <mergeCell ref="K521:K522"/>
    <mergeCell ref="L521:L522"/>
    <mergeCell ref="L523:L524"/>
    <mergeCell ref="A545:A546"/>
    <mergeCell ref="A547:A548"/>
    <mergeCell ref="A549:A550"/>
    <mergeCell ref="A551:A552"/>
    <mergeCell ref="B535:B536"/>
    <mergeCell ref="C535:C536"/>
    <mergeCell ref="D535:D536"/>
    <mergeCell ref="F535:G536"/>
    <mergeCell ref="H535:H536"/>
    <mergeCell ref="I535:I536"/>
    <mergeCell ref="J535:J536"/>
    <mergeCell ref="K535:K536"/>
    <mergeCell ref="B519:B520"/>
    <mergeCell ref="C519:C520"/>
    <mergeCell ref="D519:D520"/>
    <mergeCell ref="E519:E520"/>
    <mergeCell ref="F519:G520"/>
    <mergeCell ref="H519:H520"/>
    <mergeCell ref="I519:I520"/>
    <mergeCell ref="J519:J520"/>
    <mergeCell ref="K519:K520"/>
    <mergeCell ref="B527:B528"/>
    <mergeCell ref="C527:C528"/>
    <mergeCell ref="D527:D528"/>
    <mergeCell ref="E527:E528"/>
    <mergeCell ref="F527:G528"/>
    <mergeCell ref="H527:H528"/>
    <mergeCell ref="I527:I528"/>
    <mergeCell ref="J527:J528"/>
    <mergeCell ref="A519:A520"/>
    <mergeCell ref="A521:A522"/>
    <mergeCell ref="B529:B530"/>
    <mergeCell ref="F531:G532"/>
    <mergeCell ref="H531:H532"/>
    <mergeCell ref="K527:K528"/>
    <mergeCell ref="L527:L528"/>
    <mergeCell ref="B523:B524"/>
    <mergeCell ref="C523:C524"/>
    <mergeCell ref="D523:D524"/>
    <mergeCell ref="E523:E524"/>
    <mergeCell ref="F523:G524"/>
    <mergeCell ref="H523:H524"/>
    <mergeCell ref="I523:I524"/>
    <mergeCell ref="J523:J524"/>
    <mergeCell ref="K523:K524"/>
    <mergeCell ref="I529:I530"/>
    <mergeCell ref="J529:J530"/>
    <mergeCell ref="K529:K530"/>
    <mergeCell ref="L529:L530"/>
    <mergeCell ref="I531:I532"/>
    <mergeCell ref="J531:J532"/>
    <mergeCell ref="K531:K532"/>
    <mergeCell ref="L531:L532"/>
    <mergeCell ref="B533:B534"/>
    <mergeCell ref="C533:C534"/>
    <mergeCell ref="D533:D534"/>
    <mergeCell ref="E533:E534"/>
    <mergeCell ref="F533:G534"/>
    <mergeCell ref="H533:H534"/>
    <mergeCell ref="I533:I534"/>
    <mergeCell ref="J533:J534"/>
    <mergeCell ref="K533:K534"/>
    <mergeCell ref="L533:L534"/>
    <mergeCell ref="L535:L536"/>
    <mergeCell ref="B537:B538"/>
    <mergeCell ref="C537:C538"/>
    <mergeCell ref="D537:D538"/>
    <mergeCell ref="E537:E538"/>
    <mergeCell ref="F537:G538"/>
    <mergeCell ref="H537:H538"/>
    <mergeCell ref="I537:I538"/>
    <mergeCell ref="J537:J538"/>
    <mergeCell ref="K537:K538"/>
    <mergeCell ref="L537:L538"/>
    <mergeCell ref="B539:B540"/>
    <mergeCell ref="C539:C540"/>
    <mergeCell ref="D539:D540"/>
    <mergeCell ref="E539:E540"/>
    <mergeCell ref="F539:G540"/>
    <mergeCell ref="H539:H540"/>
    <mergeCell ref="I539:I540"/>
    <mergeCell ref="J539:J540"/>
    <mergeCell ref="K539:K540"/>
    <mergeCell ref="L539:L540"/>
    <mergeCell ref="B543:B544"/>
    <mergeCell ref="C543:C544"/>
    <mergeCell ref="D543:D544"/>
    <mergeCell ref="E543:E544"/>
    <mergeCell ref="F543:G544"/>
    <mergeCell ref="H543:H544"/>
    <mergeCell ref="I543:I544"/>
    <mergeCell ref="J543:J544"/>
    <mergeCell ref="K543:K544"/>
    <mergeCell ref="L543:L544"/>
    <mergeCell ref="E541:E542"/>
    <mergeCell ref="D541:D542"/>
    <mergeCell ref="C541:C542"/>
    <mergeCell ref="B541:B542"/>
    <mergeCell ref="H541:H542"/>
    <mergeCell ref="I541:I542"/>
    <mergeCell ref="J541:J542"/>
    <mergeCell ref="K541:K542"/>
    <mergeCell ref="L541:L542"/>
    <mergeCell ref="B545:B546"/>
    <mergeCell ref="C545:C546"/>
    <mergeCell ref="D545:D546"/>
    <mergeCell ref="E545:E546"/>
    <mergeCell ref="F545:G546"/>
    <mergeCell ref="H545:H546"/>
    <mergeCell ref="I545:I546"/>
    <mergeCell ref="J545:J546"/>
    <mergeCell ref="K545:K546"/>
    <mergeCell ref="L545:L546"/>
    <mergeCell ref="B547:B548"/>
    <mergeCell ref="C547:C548"/>
    <mergeCell ref="D547:D548"/>
    <mergeCell ref="E547:E548"/>
    <mergeCell ref="F547:G548"/>
    <mergeCell ref="H547:H548"/>
    <mergeCell ref="I547:I548"/>
    <mergeCell ref="J547:J548"/>
    <mergeCell ref="K547:K548"/>
    <mergeCell ref="L547:L548"/>
    <mergeCell ref="B549:B550"/>
    <mergeCell ref="C549:C550"/>
    <mergeCell ref="D549:D550"/>
    <mergeCell ref="E549:E550"/>
    <mergeCell ref="F549:G550"/>
    <mergeCell ref="H549:H550"/>
    <mergeCell ref="I549:I550"/>
    <mergeCell ref="J549:J550"/>
    <mergeCell ref="K549:K550"/>
    <mergeCell ref="L549:L550"/>
    <mergeCell ref="B551:B552"/>
    <mergeCell ref="C551:C552"/>
    <mergeCell ref="D551:D552"/>
    <mergeCell ref="E551:E552"/>
    <mergeCell ref="F551:G552"/>
    <mergeCell ref="H551:H552"/>
    <mergeCell ref="I551:I552"/>
    <mergeCell ref="J551:J552"/>
    <mergeCell ref="K551:K552"/>
    <mergeCell ref="L551:L552"/>
    <mergeCell ref="D553:D554"/>
    <mergeCell ref="E553:E554"/>
    <mergeCell ref="H553:H554"/>
    <mergeCell ref="I553:I554"/>
    <mergeCell ref="J553:J554"/>
    <mergeCell ref="K553:K554"/>
    <mergeCell ref="L553:L554"/>
    <mergeCell ref="F553:G554"/>
    <mergeCell ref="A553:A554"/>
    <mergeCell ref="B553:B554"/>
    <mergeCell ref="C553:C554"/>
    <mergeCell ref="L557:L558"/>
    <mergeCell ref="L559:L560"/>
    <mergeCell ref="L563:L564"/>
    <mergeCell ref="L561:L562"/>
    <mergeCell ref="A557:A558"/>
    <mergeCell ref="B557:B558"/>
    <mergeCell ref="C557:C558"/>
    <mergeCell ref="D557:D558"/>
    <mergeCell ref="E557:E558"/>
    <mergeCell ref="H557:H558"/>
    <mergeCell ref="I557:I558"/>
    <mergeCell ref="J557:J558"/>
    <mergeCell ref="K557:K558"/>
    <mergeCell ref="A559:A560"/>
    <mergeCell ref="B559:B560"/>
    <mergeCell ref="C559:C560"/>
    <mergeCell ref="D559:D560"/>
    <mergeCell ref="E559:E560"/>
    <mergeCell ref="H559:H560"/>
    <mergeCell ref="I559:I560"/>
    <mergeCell ref="J559:J560"/>
    <mergeCell ref="L567:L568"/>
    <mergeCell ref="A571:A572"/>
    <mergeCell ref="B571:B572"/>
    <mergeCell ref="C571:C572"/>
    <mergeCell ref="D571:D572"/>
    <mergeCell ref="E571:E572"/>
    <mergeCell ref="H571:H572"/>
    <mergeCell ref="I571:I572"/>
    <mergeCell ref="J571:J572"/>
    <mergeCell ref="K571:K572"/>
    <mergeCell ref="L571:L572"/>
    <mergeCell ref="A565:A566"/>
    <mergeCell ref="B565:B566"/>
    <mergeCell ref="C565:C566"/>
    <mergeCell ref="D565:D566"/>
    <mergeCell ref="E565:E566"/>
    <mergeCell ref="H565:H566"/>
    <mergeCell ref="I565:I566"/>
    <mergeCell ref="J565:J566"/>
    <mergeCell ref="K565:K566"/>
    <mergeCell ref="A567:A568"/>
    <mergeCell ref="B567:B568"/>
    <mergeCell ref="C567:C568"/>
    <mergeCell ref="D567:D568"/>
    <mergeCell ref="E567:E568"/>
    <mergeCell ref="H567:H568"/>
    <mergeCell ref="I567:I568"/>
    <mergeCell ref="J567:J568"/>
    <mergeCell ref="K567:K568"/>
    <mergeCell ref="L565:L566"/>
    <mergeCell ref="H569:H570"/>
    <mergeCell ref="I569:I570"/>
    <mergeCell ref="A573:A574"/>
    <mergeCell ref="B573:B574"/>
    <mergeCell ref="C573:C574"/>
    <mergeCell ref="D573:D574"/>
    <mergeCell ref="E573:E574"/>
    <mergeCell ref="H573:H574"/>
    <mergeCell ref="I573:I574"/>
    <mergeCell ref="J573:J574"/>
    <mergeCell ref="K573:K574"/>
    <mergeCell ref="L573:L574"/>
    <mergeCell ref="J569:J570"/>
    <mergeCell ref="K569:K570"/>
    <mergeCell ref="L569:L570"/>
    <mergeCell ref="C569:C570"/>
    <mergeCell ref="B569:B570"/>
    <mergeCell ref="A575:A576"/>
    <mergeCell ref="B575:B576"/>
    <mergeCell ref="C575:C576"/>
    <mergeCell ref="D575:D576"/>
    <mergeCell ref="E575:E576"/>
    <mergeCell ref="H575:H576"/>
    <mergeCell ref="I575:I576"/>
    <mergeCell ref="J575:J576"/>
    <mergeCell ref="K575:K576"/>
    <mergeCell ref="L575:L576"/>
    <mergeCell ref="D569:D570"/>
    <mergeCell ref="A577:A578"/>
    <mergeCell ref="B577:B578"/>
    <mergeCell ref="C577:C578"/>
    <mergeCell ref="D577:D578"/>
    <mergeCell ref="E577:E578"/>
    <mergeCell ref="H577:H578"/>
    <mergeCell ref="I577:I578"/>
    <mergeCell ref="J577:J578"/>
    <mergeCell ref="K577:K578"/>
    <mergeCell ref="L577:L578"/>
    <mergeCell ref="A579:A580"/>
    <mergeCell ref="B579:B580"/>
    <mergeCell ref="C579:C580"/>
    <mergeCell ref="D579:D580"/>
    <mergeCell ref="E579:E580"/>
    <mergeCell ref="H579:H580"/>
    <mergeCell ref="I579:I580"/>
    <mergeCell ref="J579:J580"/>
    <mergeCell ref="K579:K580"/>
    <mergeCell ref="L579:L580"/>
    <mergeCell ref="A583:A584"/>
    <mergeCell ref="B583:B584"/>
    <mergeCell ref="C583:C584"/>
    <mergeCell ref="D583:D584"/>
    <mergeCell ref="E583:E584"/>
    <mergeCell ref="H583:H584"/>
    <mergeCell ref="I583:I584"/>
    <mergeCell ref="J583:J584"/>
    <mergeCell ref="K583:K584"/>
    <mergeCell ref="L583:L584"/>
    <mergeCell ref="H581:H582"/>
    <mergeCell ref="D581:D582"/>
    <mergeCell ref="C581:C582"/>
    <mergeCell ref="B581:B582"/>
    <mergeCell ref="A581:A582"/>
    <mergeCell ref="I581:I582"/>
    <mergeCell ref="J581:J582"/>
    <mergeCell ref="K581:K582"/>
    <mergeCell ref="L581:L582"/>
    <mergeCell ref="E581:E582"/>
    <mergeCell ref="A587:A588"/>
    <mergeCell ref="B587:B588"/>
    <mergeCell ref="C587:C588"/>
    <mergeCell ref="D587:D588"/>
    <mergeCell ref="E587:E588"/>
    <mergeCell ref="H587:H588"/>
    <mergeCell ref="I587:I588"/>
    <mergeCell ref="J587:J588"/>
    <mergeCell ref="K587:K588"/>
    <mergeCell ref="L587:L588"/>
    <mergeCell ref="E585:E586"/>
    <mergeCell ref="I585:I586"/>
    <mergeCell ref="H585:H586"/>
    <mergeCell ref="J585:J586"/>
    <mergeCell ref="K585:K586"/>
    <mergeCell ref="L585:L586"/>
    <mergeCell ref="D585:D586"/>
    <mergeCell ref="B585:B586"/>
    <mergeCell ref="C585:C586"/>
    <mergeCell ref="A585:A586"/>
    <mergeCell ref="A589:A590"/>
    <mergeCell ref="B589:B590"/>
    <mergeCell ref="C589:C590"/>
    <mergeCell ref="D589:D590"/>
    <mergeCell ref="E589:E590"/>
    <mergeCell ref="H589:H590"/>
    <mergeCell ref="I589:I590"/>
    <mergeCell ref="J589:J590"/>
    <mergeCell ref="K589:K590"/>
    <mergeCell ref="L589:L590"/>
    <mergeCell ref="A591:A592"/>
    <mergeCell ref="B591:B592"/>
    <mergeCell ref="C591:C592"/>
    <mergeCell ref="D591:D592"/>
    <mergeCell ref="E591:E592"/>
    <mergeCell ref="H591:H592"/>
    <mergeCell ref="I591:I592"/>
    <mergeCell ref="J591:J592"/>
    <mergeCell ref="K591:K592"/>
    <mergeCell ref="L591:L592"/>
    <mergeCell ref="F591:G592"/>
    <mergeCell ref="A593:A594"/>
    <mergeCell ref="B593:B594"/>
    <mergeCell ref="C593:C594"/>
    <mergeCell ref="D593:D594"/>
    <mergeCell ref="E593:E594"/>
    <mergeCell ref="H593:H594"/>
    <mergeCell ref="I593:I594"/>
    <mergeCell ref="J593:J594"/>
    <mergeCell ref="K593:K594"/>
    <mergeCell ref="L593:L594"/>
    <mergeCell ref="A597:A598"/>
    <mergeCell ref="B597:B598"/>
    <mergeCell ref="C597:C598"/>
    <mergeCell ref="D597:D598"/>
    <mergeCell ref="E597:E598"/>
    <mergeCell ref="H597:H598"/>
    <mergeCell ref="I597:I598"/>
    <mergeCell ref="J597:J598"/>
    <mergeCell ref="K597:K598"/>
    <mergeCell ref="L597:L598"/>
    <mergeCell ref="F593:G594"/>
    <mergeCell ref="F597:G598"/>
    <mergeCell ref="E595:E596"/>
    <mergeCell ref="D595:D596"/>
    <mergeCell ref="C595:C596"/>
    <mergeCell ref="B595:B596"/>
    <mergeCell ref="A595:A596"/>
    <mergeCell ref="H595:H596"/>
    <mergeCell ref="I595:I596"/>
    <mergeCell ref="J595:J596"/>
    <mergeCell ref="K595:K596"/>
    <mergeCell ref="L595:L596"/>
    <mergeCell ref="H607:H608"/>
    <mergeCell ref="I607:I608"/>
    <mergeCell ref="J607:J608"/>
    <mergeCell ref="K607:K608"/>
    <mergeCell ref="L607:L608"/>
    <mergeCell ref="A599:A600"/>
    <mergeCell ref="B599:B600"/>
    <mergeCell ref="C599:C600"/>
    <mergeCell ref="D599:D600"/>
    <mergeCell ref="E599:E600"/>
    <mergeCell ref="H599:H600"/>
    <mergeCell ref="I599:I600"/>
    <mergeCell ref="J599:J600"/>
    <mergeCell ref="K599:K600"/>
    <mergeCell ref="L599:L600"/>
    <mergeCell ref="A601:A602"/>
    <mergeCell ref="B601:B602"/>
    <mergeCell ref="C601:C602"/>
    <mergeCell ref="D601:D602"/>
    <mergeCell ref="E601:E602"/>
    <mergeCell ref="H601:H602"/>
    <mergeCell ref="I601:I602"/>
    <mergeCell ref="J601:J602"/>
    <mergeCell ref="K601:K602"/>
    <mergeCell ref="L601:L602"/>
    <mergeCell ref="F599:G600"/>
    <mergeCell ref="F601:G602"/>
    <mergeCell ref="I617:I618"/>
    <mergeCell ref="J617:J618"/>
    <mergeCell ref="K617:K618"/>
    <mergeCell ref="L617:L618"/>
    <mergeCell ref="F615:G616"/>
    <mergeCell ref="F617:G618"/>
    <mergeCell ref="A603:A604"/>
    <mergeCell ref="B603:B604"/>
    <mergeCell ref="C603:C604"/>
    <mergeCell ref="D603:D604"/>
    <mergeCell ref="E603:E604"/>
    <mergeCell ref="H603:H604"/>
    <mergeCell ref="I603:I604"/>
    <mergeCell ref="J603:J604"/>
    <mergeCell ref="K603:K604"/>
    <mergeCell ref="L603:L604"/>
    <mergeCell ref="A605:A606"/>
    <mergeCell ref="B613:B614"/>
    <mergeCell ref="C613:C614"/>
    <mergeCell ref="D613:D614"/>
    <mergeCell ref="E613:E614"/>
    <mergeCell ref="H613:H614"/>
    <mergeCell ref="I613:I614"/>
    <mergeCell ref="J605:J606"/>
    <mergeCell ref="K605:K606"/>
    <mergeCell ref="L605:L606"/>
    <mergeCell ref="F603:G604"/>
    <mergeCell ref="F613:G614"/>
    <mergeCell ref="A607:A608"/>
    <mergeCell ref="B607:B608"/>
    <mergeCell ref="C607:C608"/>
    <mergeCell ref="D607:D608"/>
    <mergeCell ref="J623:J624"/>
    <mergeCell ref="K623:K624"/>
    <mergeCell ref="L623:L624"/>
    <mergeCell ref="A621:A622"/>
    <mergeCell ref="B621:B622"/>
    <mergeCell ref="C621:C622"/>
    <mergeCell ref="D621:D622"/>
    <mergeCell ref="E621:E622"/>
    <mergeCell ref="F621:G622"/>
    <mergeCell ref="H621:H622"/>
    <mergeCell ref="L611:L612"/>
    <mergeCell ref="A613:A614"/>
    <mergeCell ref="J613:J614"/>
    <mergeCell ref="K613:K614"/>
    <mergeCell ref="L613:L614"/>
    <mergeCell ref="F611:G612"/>
    <mergeCell ref="A615:A616"/>
    <mergeCell ref="B615:B616"/>
    <mergeCell ref="C615:C616"/>
    <mergeCell ref="D615:D616"/>
    <mergeCell ref="E615:E616"/>
    <mergeCell ref="H615:H616"/>
    <mergeCell ref="I615:I616"/>
    <mergeCell ref="J615:J616"/>
    <mergeCell ref="K615:K616"/>
    <mergeCell ref="L615:L616"/>
    <mergeCell ref="A617:A618"/>
    <mergeCell ref="B617:B618"/>
    <mergeCell ref="C617:C618"/>
    <mergeCell ref="D617:D618"/>
    <mergeCell ref="E617:E618"/>
    <mergeCell ref="H617:H618"/>
    <mergeCell ref="A627:A628"/>
    <mergeCell ref="B627:B628"/>
    <mergeCell ref="C627:C628"/>
    <mergeCell ref="D627:D628"/>
    <mergeCell ref="E627:E628"/>
    <mergeCell ref="H627:H628"/>
    <mergeCell ref="I627:I628"/>
    <mergeCell ref="J627:J628"/>
    <mergeCell ref="K627:K628"/>
    <mergeCell ref="L627:L628"/>
    <mergeCell ref="F625:G626"/>
    <mergeCell ref="F627:G628"/>
    <mergeCell ref="A629:A630"/>
    <mergeCell ref="B629:B630"/>
    <mergeCell ref="C629:C630"/>
    <mergeCell ref="D629:D630"/>
    <mergeCell ref="E629:E630"/>
    <mergeCell ref="H629:H630"/>
    <mergeCell ref="I629:I630"/>
    <mergeCell ref="J629:J630"/>
    <mergeCell ref="K629:K630"/>
    <mergeCell ref="L629:L630"/>
    <mergeCell ref="A625:A626"/>
    <mergeCell ref="B625:B626"/>
    <mergeCell ref="C625:C626"/>
    <mergeCell ref="D625:D626"/>
    <mergeCell ref="E625:E626"/>
    <mergeCell ref="H625:H626"/>
    <mergeCell ref="I625:I626"/>
    <mergeCell ref="J625:J626"/>
    <mergeCell ref="K625:K626"/>
    <mergeCell ref="L625:L626"/>
    <mergeCell ref="A631:A632"/>
    <mergeCell ref="B631:B632"/>
    <mergeCell ref="C631:C632"/>
    <mergeCell ref="D631:D632"/>
    <mergeCell ref="E631:E632"/>
    <mergeCell ref="H631:H632"/>
    <mergeCell ref="I631:I632"/>
    <mergeCell ref="J631:J632"/>
    <mergeCell ref="K631:K632"/>
    <mergeCell ref="L631:L632"/>
    <mergeCell ref="F629:G630"/>
    <mergeCell ref="F631:G632"/>
    <mergeCell ref="A635:A636"/>
    <mergeCell ref="B635:B636"/>
    <mergeCell ref="C635:C636"/>
    <mergeCell ref="D635:D636"/>
    <mergeCell ref="E635:E636"/>
    <mergeCell ref="H635:H636"/>
    <mergeCell ref="I635:I636"/>
    <mergeCell ref="J635:J636"/>
    <mergeCell ref="K635:K636"/>
    <mergeCell ref="L635:L636"/>
    <mergeCell ref="A637:A638"/>
    <mergeCell ref="B637:B638"/>
    <mergeCell ref="C637:C638"/>
    <mergeCell ref="D637:D638"/>
    <mergeCell ref="E637:E638"/>
    <mergeCell ref="H637:H638"/>
    <mergeCell ref="I637:I638"/>
    <mergeCell ref="J637:J638"/>
    <mergeCell ref="K637:K638"/>
    <mergeCell ref="L637:L638"/>
    <mergeCell ref="F635:G636"/>
    <mergeCell ref="F637:G638"/>
    <mergeCell ref="A639:A640"/>
    <mergeCell ref="B639:B640"/>
    <mergeCell ref="C639:C640"/>
    <mergeCell ref="D639:D640"/>
    <mergeCell ref="E639:E640"/>
    <mergeCell ref="H639:H640"/>
    <mergeCell ref="I639:I640"/>
    <mergeCell ref="J639:J640"/>
    <mergeCell ref="K639:K640"/>
    <mergeCell ref="L639:L640"/>
    <mergeCell ref="A641:A642"/>
    <mergeCell ref="B641:B642"/>
    <mergeCell ref="C641:C642"/>
    <mergeCell ref="D641:D642"/>
    <mergeCell ref="E641:E642"/>
    <mergeCell ref="H641:H642"/>
    <mergeCell ref="I641:I642"/>
    <mergeCell ref="J641:J642"/>
    <mergeCell ref="K641:K642"/>
    <mergeCell ref="L641:L642"/>
    <mergeCell ref="F639:G640"/>
    <mergeCell ref="F641:G642"/>
    <mergeCell ref="A643:A644"/>
    <mergeCell ref="B643:B644"/>
    <mergeCell ref="C643:C644"/>
    <mergeCell ref="D643:D644"/>
    <mergeCell ref="E643:E644"/>
    <mergeCell ref="H643:H644"/>
    <mergeCell ref="I643:I644"/>
    <mergeCell ref="J643:J644"/>
    <mergeCell ref="K643:K644"/>
    <mergeCell ref="L643:L644"/>
    <mergeCell ref="A645:A646"/>
    <mergeCell ref="B645:B646"/>
    <mergeCell ref="C645:C646"/>
    <mergeCell ref="D645:D646"/>
    <mergeCell ref="E645:E646"/>
    <mergeCell ref="H645:H646"/>
    <mergeCell ref="I645:I646"/>
    <mergeCell ref="J645:J646"/>
    <mergeCell ref="K645:K646"/>
    <mergeCell ref="L645:L646"/>
    <mergeCell ref="F643:G644"/>
    <mergeCell ref="F645:G646"/>
    <mergeCell ref="A647:A648"/>
    <mergeCell ref="B647:B648"/>
    <mergeCell ref="C647:C648"/>
    <mergeCell ref="D647:D648"/>
    <mergeCell ref="E647:E648"/>
    <mergeCell ref="H647:H648"/>
    <mergeCell ref="I647:I648"/>
    <mergeCell ref="J647:J648"/>
    <mergeCell ref="K647:K648"/>
    <mergeCell ref="L647:L648"/>
    <mergeCell ref="A649:A650"/>
    <mergeCell ref="B649:B650"/>
    <mergeCell ref="C649:C650"/>
    <mergeCell ref="D649:D650"/>
    <mergeCell ref="E649:E650"/>
    <mergeCell ref="H649:H650"/>
    <mergeCell ref="I649:I650"/>
    <mergeCell ref="J649:J650"/>
    <mergeCell ref="K649:K650"/>
    <mergeCell ref="L649:L650"/>
    <mergeCell ref="F647:G648"/>
    <mergeCell ref="F649:G650"/>
    <mergeCell ref="C651:C652"/>
    <mergeCell ref="D651:D652"/>
    <mergeCell ref="E651:E652"/>
    <mergeCell ref="H651:H652"/>
    <mergeCell ref="I651:I652"/>
    <mergeCell ref="J651:J652"/>
    <mergeCell ref="K651:K652"/>
    <mergeCell ref="L651:L652"/>
    <mergeCell ref="A651:A652"/>
    <mergeCell ref="B651:B652"/>
    <mergeCell ref="A653:A654"/>
    <mergeCell ref="B653:B654"/>
    <mergeCell ref="C653:C654"/>
    <mergeCell ref="D653:D654"/>
    <mergeCell ref="E653:E654"/>
    <mergeCell ref="H653:H654"/>
    <mergeCell ref="I653:I654"/>
    <mergeCell ref="J653:J654"/>
    <mergeCell ref="K653:K654"/>
    <mergeCell ref="L653:L654"/>
    <mergeCell ref="F651:G652"/>
    <mergeCell ref="F653:G654"/>
    <mergeCell ref="A661:A662"/>
    <mergeCell ref="B661:B662"/>
    <mergeCell ref="C661:C662"/>
    <mergeCell ref="D661:D662"/>
    <mergeCell ref="E661:E662"/>
    <mergeCell ref="H661:H662"/>
    <mergeCell ref="I661:I662"/>
    <mergeCell ref="J661:J662"/>
    <mergeCell ref="K661:K662"/>
    <mergeCell ref="L661:L662"/>
    <mergeCell ref="B659:B660"/>
    <mergeCell ref="C659:C660"/>
    <mergeCell ref="D659:D660"/>
    <mergeCell ref="E659:E660"/>
    <mergeCell ref="F659:G660"/>
    <mergeCell ref="H659:H660"/>
    <mergeCell ref="I659:I660"/>
    <mergeCell ref="J659:J660"/>
    <mergeCell ref="K659:K660"/>
    <mergeCell ref="L659:L660"/>
    <mergeCell ref="A663:A664"/>
    <mergeCell ref="B663:B664"/>
    <mergeCell ref="C663:C664"/>
    <mergeCell ref="D663:D664"/>
    <mergeCell ref="E663:E664"/>
    <mergeCell ref="H663:H664"/>
    <mergeCell ref="I663:I664"/>
    <mergeCell ref="J663:J664"/>
    <mergeCell ref="K663:K664"/>
    <mergeCell ref="L663:L664"/>
    <mergeCell ref="F661:G662"/>
    <mergeCell ref="F663:G664"/>
    <mergeCell ref="B665:B666"/>
    <mergeCell ref="C665:C666"/>
    <mergeCell ref="D665:D666"/>
    <mergeCell ref="E665:E666"/>
    <mergeCell ref="H665:H666"/>
    <mergeCell ref="I665:I666"/>
    <mergeCell ref="J665:J666"/>
    <mergeCell ref="K665:K666"/>
    <mergeCell ref="L665:L666"/>
    <mergeCell ref="A669:A670"/>
    <mergeCell ref="B669:B670"/>
    <mergeCell ref="C669:C670"/>
    <mergeCell ref="D669:D670"/>
    <mergeCell ref="E669:E670"/>
    <mergeCell ref="H669:H670"/>
    <mergeCell ref="I669:I670"/>
    <mergeCell ref="J669:J670"/>
    <mergeCell ref="K669:K670"/>
    <mergeCell ref="L669:L670"/>
    <mergeCell ref="F665:G666"/>
    <mergeCell ref="F669:G670"/>
    <mergeCell ref="A667:A668"/>
    <mergeCell ref="B667:B668"/>
    <mergeCell ref="C667:C668"/>
    <mergeCell ref="D667:D668"/>
    <mergeCell ref="E667:E668"/>
    <mergeCell ref="F667:G668"/>
    <mergeCell ref="H667:H668"/>
    <mergeCell ref="I667:I668"/>
    <mergeCell ref="J667:J668"/>
    <mergeCell ref="K667:K668"/>
    <mergeCell ref="L667:L668"/>
    <mergeCell ref="A665:A666"/>
    <mergeCell ref="A671:A672"/>
    <mergeCell ref="B671:B672"/>
    <mergeCell ref="C671:C672"/>
    <mergeCell ref="D671:D672"/>
    <mergeCell ref="E671:E672"/>
    <mergeCell ref="H671:H672"/>
    <mergeCell ref="I671:I672"/>
    <mergeCell ref="J671:J672"/>
    <mergeCell ref="K671:K672"/>
    <mergeCell ref="L671:L672"/>
    <mergeCell ref="A673:A674"/>
    <mergeCell ref="B673:B674"/>
    <mergeCell ref="C673:C674"/>
    <mergeCell ref="D673:D674"/>
    <mergeCell ref="E673:E674"/>
    <mergeCell ref="H673:H674"/>
    <mergeCell ref="I673:I674"/>
    <mergeCell ref="J673:J674"/>
    <mergeCell ref="K673:K674"/>
    <mergeCell ref="L673:L674"/>
    <mergeCell ref="F671:G672"/>
    <mergeCell ref="F673:G674"/>
    <mergeCell ref="A675:A676"/>
    <mergeCell ref="B675:B676"/>
    <mergeCell ref="C675:C676"/>
    <mergeCell ref="D675:D676"/>
    <mergeCell ref="E675:E676"/>
    <mergeCell ref="H675:H676"/>
    <mergeCell ref="I675:I676"/>
    <mergeCell ref="J675:J676"/>
    <mergeCell ref="K675:K676"/>
    <mergeCell ref="L675:L676"/>
    <mergeCell ref="F675:G676"/>
    <mergeCell ref="A677:A678"/>
    <mergeCell ref="B677:B678"/>
    <mergeCell ref="C677:C678"/>
    <mergeCell ref="D677:D678"/>
    <mergeCell ref="E677:E678"/>
    <mergeCell ref="H677:H678"/>
    <mergeCell ref="I677:I678"/>
    <mergeCell ref="J677:J678"/>
    <mergeCell ref="K677:K678"/>
    <mergeCell ref="L677:L678"/>
    <mergeCell ref="A679:A680"/>
    <mergeCell ref="B679:B680"/>
    <mergeCell ref="C679:C680"/>
    <mergeCell ref="D679:D680"/>
    <mergeCell ref="E679:E680"/>
    <mergeCell ref="H679:H680"/>
    <mergeCell ref="I679:I680"/>
    <mergeCell ref="J679:J680"/>
    <mergeCell ref="K679:K680"/>
    <mergeCell ref="L679:L680"/>
    <mergeCell ref="F677:G678"/>
    <mergeCell ref="A681:A682"/>
    <mergeCell ref="B681:B682"/>
    <mergeCell ref="C681:C682"/>
    <mergeCell ref="D681:D682"/>
    <mergeCell ref="E681:E682"/>
    <mergeCell ref="H681:H682"/>
    <mergeCell ref="I681:I682"/>
    <mergeCell ref="J681:J682"/>
    <mergeCell ref="K681:K682"/>
    <mergeCell ref="L681:L682"/>
    <mergeCell ref="A683:A684"/>
    <mergeCell ref="B683:B684"/>
    <mergeCell ref="C683:C684"/>
    <mergeCell ref="D683:D684"/>
    <mergeCell ref="E683:E684"/>
    <mergeCell ref="H683:H684"/>
    <mergeCell ref="I683:I684"/>
    <mergeCell ref="J683:J684"/>
    <mergeCell ref="K683:K684"/>
    <mergeCell ref="L683:L684"/>
    <mergeCell ref="A685:A686"/>
    <mergeCell ref="B685:B686"/>
    <mergeCell ref="C685:C686"/>
    <mergeCell ref="D685:D686"/>
    <mergeCell ref="E685:E686"/>
    <mergeCell ref="H685:H686"/>
    <mergeCell ref="I685:I686"/>
    <mergeCell ref="J685:J686"/>
    <mergeCell ref="K685:K686"/>
    <mergeCell ref="L685:L686"/>
    <mergeCell ref="B695:B696"/>
    <mergeCell ref="C695:C696"/>
    <mergeCell ref="D695:D696"/>
    <mergeCell ref="E695:E696"/>
    <mergeCell ref="H695:H696"/>
    <mergeCell ref="I695:I696"/>
    <mergeCell ref="J695:J696"/>
    <mergeCell ref="K695:K696"/>
    <mergeCell ref="L695:L696"/>
    <mergeCell ref="A691:A692"/>
    <mergeCell ref="B691:B692"/>
    <mergeCell ref="C691:C692"/>
    <mergeCell ref="D691:D692"/>
    <mergeCell ref="E691:E692"/>
    <mergeCell ref="H691:H692"/>
    <mergeCell ref="I691:I692"/>
    <mergeCell ref="J691:J692"/>
    <mergeCell ref="K691:K692"/>
    <mergeCell ref="L691:L692"/>
    <mergeCell ref="A693:A694"/>
    <mergeCell ref="B693:B694"/>
    <mergeCell ref="C693:C694"/>
    <mergeCell ref="D693:D694"/>
    <mergeCell ref="E693:E694"/>
    <mergeCell ref="H693:H694"/>
    <mergeCell ref="I693:I694"/>
    <mergeCell ref="J693:J694"/>
    <mergeCell ref="K693:K694"/>
    <mergeCell ref="L693:L694"/>
    <mergeCell ref="E697:E698"/>
    <mergeCell ref="H697:H698"/>
    <mergeCell ref="I697:I698"/>
    <mergeCell ref="J697:J698"/>
    <mergeCell ref="K697:K698"/>
    <mergeCell ref="L697:L698"/>
    <mergeCell ref="A699:A700"/>
    <mergeCell ref="B699:B700"/>
    <mergeCell ref="C699:C700"/>
    <mergeCell ref="D699:D700"/>
    <mergeCell ref="E699:E700"/>
    <mergeCell ref="H699:H700"/>
    <mergeCell ref="I699:I700"/>
    <mergeCell ref="J699:J700"/>
    <mergeCell ref="K699:K700"/>
    <mergeCell ref="L699:L700"/>
    <mergeCell ref="A701:A702"/>
    <mergeCell ref="B701:B702"/>
    <mergeCell ref="A697:A698"/>
    <mergeCell ref="D707:D708"/>
    <mergeCell ref="E707:E708"/>
    <mergeCell ref="H707:H708"/>
    <mergeCell ref="I707:I708"/>
    <mergeCell ref="J707:J708"/>
    <mergeCell ref="K707:K708"/>
    <mergeCell ref="L707:L708"/>
    <mergeCell ref="A703:A704"/>
    <mergeCell ref="B703:B704"/>
    <mergeCell ref="C703:C704"/>
    <mergeCell ref="D703:D704"/>
    <mergeCell ref="E703:E704"/>
    <mergeCell ref="H703:H704"/>
    <mergeCell ref="I703:I704"/>
    <mergeCell ref="J703:J704"/>
    <mergeCell ref="K703:K704"/>
    <mergeCell ref="L703:L704"/>
    <mergeCell ref="F707:G708"/>
    <mergeCell ref="A707:A708"/>
    <mergeCell ref="B707:B708"/>
    <mergeCell ref="C707:C708"/>
    <mergeCell ref="A709:A710"/>
    <mergeCell ref="B709:B710"/>
    <mergeCell ref="C709:C710"/>
    <mergeCell ref="D709:D710"/>
    <mergeCell ref="E709:E710"/>
    <mergeCell ref="H709:H710"/>
    <mergeCell ref="I709:I710"/>
    <mergeCell ref="J709:J710"/>
    <mergeCell ref="K709:K710"/>
    <mergeCell ref="L709:L710"/>
    <mergeCell ref="A711:A712"/>
    <mergeCell ref="B711:B712"/>
    <mergeCell ref="C711:C712"/>
    <mergeCell ref="D711:D712"/>
    <mergeCell ref="E711:E712"/>
    <mergeCell ref="H711:H712"/>
    <mergeCell ref="I711:I712"/>
    <mergeCell ref="J711:J712"/>
    <mergeCell ref="K711:K712"/>
    <mergeCell ref="L711:L712"/>
    <mergeCell ref="A713:A714"/>
    <mergeCell ref="B713:B714"/>
    <mergeCell ref="C713:C714"/>
    <mergeCell ref="D713:D714"/>
    <mergeCell ref="E713:E714"/>
    <mergeCell ref="H713:H714"/>
    <mergeCell ref="I713:I714"/>
    <mergeCell ref="J713:J714"/>
    <mergeCell ref="K713:K714"/>
    <mergeCell ref="L713:L714"/>
    <mergeCell ref="F719:G720"/>
    <mergeCell ref="F711:G712"/>
    <mergeCell ref="F713:G714"/>
    <mergeCell ref="A715:A716"/>
    <mergeCell ref="B715:B716"/>
    <mergeCell ref="C715:C716"/>
    <mergeCell ref="D715:D716"/>
    <mergeCell ref="E715:E716"/>
    <mergeCell ref="H715:H716"/>
    <mergeCell ref="I715:I716"/>
    <mergeCell ref="J715:J716"/>
    <mergeCell ref="K715:K716"/>
    <mergeCell ref="L715:L716"/>
    <mergeCell ref="A717:A718"/>
    <mergeCell ref="B717:B718"/>
    <mergeCell ref="C717:C718"/>
    <mergeCell ref="D717:D718"/>
    <mergeCell ref="E717:E718"/>
    <mergeCell ref="H717:H718"/>
    <mergeCell ref="I717:I718"/>
    <mergeCell ref="J717:J718"/>
    <mergeCell ref="K717:K718"/>
    <mergeCell ref="L717:L718"/>
    <mergeCell ref="F723:G724"/>
    <mergeCell ref="F715:G716"/>
    <mergeCell ref="F717:G718"/>
    <mergeCell ref="A719:A720"/>
    <mergeCell ref="B719:B720"/>
    <mergeCell ref="C719:C720"/>
    <mergeCell ref="D719:D720"/>
    <mergeCell ref="E719:E720"/>
    <mergeCell ref="H719:H720"/>
    <mergeCell ref="I719:I720"/>
    <mergeCell ref="J719:J720"/>
    <mergeCell ref="K719:K720"/>
    <mergeCell ref="L719:L720"/>
    <mergeCell ref="A721:A722"/>
    <mergeCell ref="B721:B722"/>
    <mergeCell ref="C721:C722"/>
    <mergeCell ref="D721:D722"/>
    <mergeCell ref="E721:E722"/>
    <mergeCell ref="H721:H722"/>
    <mergeCell ref="I721:I722"/>
    <mergeCell ref="J721:J722"/>
    <mergeCell ref="K721:K722"/>
    <mergeCell ref="L721:L722"/>
    <mergeCell ref="F721:G722"/>
    <mergeCell ref="A723:A724"/>
    <mergeCell ref="B723:B724"/>
    <mergeCell ref="C723:C724"/>
    <mergeCell ref="D723:D724"/>
    <mergeCell ref="E723:E724"/>
    <mergeCell ref="H723:H724"/>
    <mergeCell ref="I723:I724"/>
    <mergeCell ref="J723:J724"/>
    <mergeCell ref="K723:K724"/>
    <mergeCell ref="L723:L724"/>
    <mergeCell ref="A725:A726"/>
    <mergeCell ref="B725:B726"/>
    <mergeCell ref="C725:C726"/>
    <mergeCell ref="D725:D726"/>
    <mergeCell ref="E725:E726"/>
    <mergeCell ref="H725:H726"/>
    <mergeCell ref="I725:I726"/>
    <mergeCell ref="J725:J726"/>
    <mergeCell ref="K725:K726"/>
    <mergeCell ref="L725:L726"/>
    <mergeCell ref="L733:L734"/>
    <mergeCell ref="F731:G732"/>
    <mergeCell ref="F725:G726"/>
    <mergeCell ref="A727:A728"/>
    <mergeCell ref="B727:B728"/>
    <mergeCell ref="C727:C728"/>
    <mergeCell ref="D727:D728"/>
    <mergeCell ref="E727:E728"/>
    <mergeCell ref="H727:H728"/>
    <mergeCell ref="I727:I728"/>
    <mergeCell ref="J727:J728"/>
    <mergeCell ref="K727:K728"/>
    <mergeCell ref="L727:L728"/>
    <mergeCell ref="A729:A730"/>
    <mergeCell ref="B729:B730"/>
    <mergeCell ref="C729:C730"/>
    <mergeCell ref="D729:D730"/>
    <mergeCell ref="E729:E730"/>
    <mergeCell ref="H729:H730"/>
    <mergeCell ref="I729:I730"/>
    <mergeCell ref="J729:J730"/>
    <mergeCell ref="K729:K730"/>
    <mergeCell ref="L729:L730"/>
    <mergeCell ref="F727:G728"/>
    <mergeCell ref="F733:G734"/>
    <mergeCell ref="A735:A736"/>
    <mergeCell ref="B735:B736"/>
    <mergeCell ref="C735:C736"/>
    <mergeCell ref="D735:D736"/>
    <mergeCell ref="E735:E736"/>
    <mergeCell ref="H735:H736"/>
    <mergeCell ref="I735:I736"/>
    <mergeCell ref="J735:J736"/>
    <mergeCell ref="K735:K736"/>
    <mergeCell ref="L735:L736"/>
    <mergeCell ref="F735:G736"/>
    <mergeCell ref="F729:G730"/>
    <mergeCell ref="A731:A732"/>
    <mergeCell ref="B731:B732"/>
    <mergeCell ref="C731:C732"/>
    <mergeCell ref="D731:D732"/>
    <mergeCell ref="E731:E732"/>
    <mergeCell ref="H731:H732"/>
    <mergeCell ref="I731:I732"/>
    <mergeCell ref="J731:J732"/>
    <mergeCell ref="K731:K732"/>
    <mergeCell ref="L731:L732"/>
    <mergeCell ref="A733:A734"/>
    <mergeCell ref="B733:B734"/>
    <mergeCell ref="C733:C734"/>
    <mergeCell ref="D733:D734"/>
    <mergeCell ref="E733:E734"/>
    <mergeCell ref="H733:H734"/>
    <mergeCell ref="I733:I734"/>
    <mergeCell ref="J733:J734"/>
    <mergeCell ref="K733:K734"/>
    <mergeCell ref="A737:A738"/>
    <mergeCell ref="B737:B738"/>
    <mergeCell ref="C737:C738"/>
    <mergeCell ref="D737:D738"/>
    <mergeCell ref="E737:E738"/>
    <mergeCell ref="H737:H738"/>
    <mergeCell ref="I737:I738"/>
    <mergeCell ref="J737:J738"/>
    <mergeCell ref="K737:K738"/>
    <mergeCell ref="L737:L738"/>
    <mergeCell ref="A741:A742"/>
    <mergeCell ref="B741:B742"/>
    <mergeCell ref="C741:C742"/>
    <mergeCell ref="D741:D742"/>
    <mergeCell ref="E741:E742"/>
    <mergeCell ref="H741:H742"/>
    <mergeCell ref="I741:I742"/>
    <mergeCell ref="J741:J742"/>
    <mergeCell ref="K741:K742"/>
    <mergeCell ref="L741:L742"/>
    <mergeCell ref="F737:G738"/>
    <mergeCell ref="F741:G742"/>
    <mergeCell ref="A739:L740"/>
    <mergeCell ref="A745:A746"/>
    <mergeCell ref="B745:B746"/>
    <mergeCell ref="C745:C746"/>
    <mergeCell ref="D745:D746"/>
    <mergeCell ref="E745:E746"/>
    <mergeCell ref="H745:H746"/>
    <mergeCell ref="I745:I746"/>
    <mergeCell ref="J745:J746"/>
    <mergeCell ref="K745:K746"/>
    <mergeCell ref="L745:L746"/>
    <mergeCell ref="A747:A748"/>
    <mergeCell ref="B747:B748"/>
    <mergeCell ref="C747:C748"/>
    <mergeCell ref="D747:D748"/>
    <mergeCell ref="E747:E748"/>
    <mergeCell ref="H747:H748"/>
    <mergeCell ref="I747:I748"/>
    <mergeCell ref="J747:J748"/>
    <mergeCell ref="K747:K748"/>
    <mergeCell ref="L747:L748"/>
    <mergeCell ref="F745:G746"/>
    <mergeCell ref="F747:G748"/>
    <mergeCell ref="A749:A750"/>
    <mergeCell ref="B749:B750"/>
    <mergeCell ref="C749:C750"/>
    <mergeCell ref="D749:D750"/>
    <mergeCell ref="E749:E750"/>
    <mergeCell ref="H749:H750"/>
    <mergeCell ref="I749:I750"/>
    <mergeCell ref="J749:J750"/>
    <mergeCell ref="K749:K750"/>
    <mergeCell ref="L749:L750"/>
    <mergeCell ref="A751:A752"/>
    <mergeCell ref="B751:B752"/>
    <mergeCell ref="C751:C752"/>
    <mergeCell ref="D751:D752"/>
    <mergeCell ref="E751:E752"/>
    <mergeCell ref="H751:H752"/>
    <mergeCell ref="I751:I752"/>
    <mergeCell ref="J751:J752"/>
    <mergeCell ref="K751:K752"/>
    <mergeCell ref="L751:L752"/>
    <mergeCell ref="F749:G750"/>
    <mergeCell ref="F751:G752"/>
    <mergeCell ref="A753:A754"/>
    <mergeCell ref="B753:B754"/>
    <mergeCell ref="C753:C754"/>
    <mergeCell ref="D753:D754"/>
    <mergeCell ref="E753:E754"/>
    <mergeCell ref="H753:H754"/>
    <mergeCell ref="I753:I754"/>
    <mergeCell ref="J753:J754"/>
    <mergeCell ref="K753:K754"/>
    <mergeCell ref="L753:L754"/>
    <mergeCell ref="A755:A756"/>
    <mergeCell ref="B755:B756"/>
    <mergeCell ref="C755:C756"/>
    <mergeCell ref="D755:D756"/>
    <mergeCell ref="E755:E756"/>
    <mergeCell ref="H755:H756"/>
    <mergeCell ref="I755:I756"/>
    <mergeCell ref="J755:J756"/>
    <mergeCell ref="K755:K756"/>
    <mergeCell ref="L755:L756"/>
    <mergeCell ref="F753:G754"/>
    <mergeCell ref="F755:G756"/>
    <mergeCell ref="A757:A758"/>
    <mergeCell ref="B757:B758"/>
    <mergeCell ref="C757:C758"/>
    <mergeCell ref="D757:D758"/>
    <mergeCell ref="E757:E758"/>
    <mergeCell ref="H757:H758"/>
    <mergeCell ref="I757:I758"/>
    <mergeCell ref="J757:J758"/>
    <mergeCell ref="K757:K758"/>
    <mergeCell ref="L757:L758"/>
    <mergeCell ref="A759:A760"/>
    <mergeCell ref="B759:B760"/>
    <mergeCell ref="C759:C760"/>
    <mergeCell ref="D759:D760"/>
    <mergeCell ref="E759:E760"/>
    <mergeCell ref="H759:H760"/>
    <mergeCell ref="I759:I760"/>
    <mergeCell ref="J759:J760"/>
    <mergeCell ref="K759:K760"/>
    <mergeCell ref="L759:L760"/>
    <mergeCell ref="F757:G758"/>
    <mergeCell ref="F759:G760"/>
    <mergeCell ref="A761:A762"/>
    <mergeCell ref="B761:B762"/>
    <mergeCell ref="C761:C762"/>
    <mergeCell ref="D761:D762"/>
    <mergeCell ref="E761:E762"/>
    <mergeCell ref="H761:H762"/>
    <mergeCell ref="I761:I762"/>
    <mergeCell ref="J761:J762"/>
    <mergeCell ref="K761:K762"/>
    <mergeCell ref="L761:L762"/>
    <mergeCell ref="A763:A764"/>
    <mergeCell ref="B763:B764"/>
    <mergeCell ref="C763:C764"/>
    <mergeCell ref="D763:D764"/>
    <mergeCell ref="E763:E764"/>
    <mergeCell ref="H763:H764"/>
    <mergeCell ref="I763:I764"/>
    <mergeCell ref="J763:J764"/>
    <mergeCell ref="K763:K764"/>
    <mergeCell ref="L763:L764"/>
    <mergeCell ref="F761:G762"/>
    <mergeCell ref="F763:G764"/>
    <mergeCell ref="A773:A774"/>
    <mergeCell ref="B773:B774"/>
    <mergeCell ref="C773:C774"/>
    <mergeCell ref="D773:D774"/>
    <mergeCell ref="F769:G770"/>
    <mergeCell ref="E773:E774"/>
    <mergeCell ref="A765:A766"/>
    <mergeCell ref="B765:B766"/>
    <mergeCell ref="C765:C766"/>
    <mergeCell ref="D765:D766"/>
    <mergeCell ref="E765:E766"/>
    <mergeCell ref="H765:H766"/>
    <mergeCell ref="I765:I766"/>
    <mergeCell ref="J765:J766"/>
    <mergeCell ref="K765:K766"/>
    <mergeCell ref="L765:L766"/>
    <mergeCell ref="A767:A768"/>
    <mergeCell ref="B767:B768"/>
    <mergeCell ref="C767:C768"/>
    <mergeCell ref="D767:D768"/>
    <mergeCell ref="E767:E768"/>
    <mergeCell ref="H767:H768"/>
    <mergeCell ref="I767:I768"/>
    <mergeCell ref="J767:J768"/>
    <mergeCell ref="K767:K768"/>
    <mergeCell ref="L767:L768"/>
    <mergeCell ref="F765:G766"/>
    <mergeCell ref="F767:G768"/>
    <mergeCell ref="A775:A776"/>
    <mergeCell ref="B775:B776"/>
    <mergeCell ref="C775:C776"/>
    <mergeCell ref="D775:D776"/>
    <mergeCell ref="E775:E776"/>
    <mergeCell ref="H775:H776"/>
    <mergeCell ref="I775:I776"/>
    <mergeCell ref="J775:J776"/>
    <mergeCell ref="K775:K776"/>
    <mergeCell ref="L775:L776"/>
    <mergeCell ref="F773:G774"/>
    <mergeCell ref="A769:A770"/>
    <mergeCell ref="B769:B770"/>
    <mergeCell ref="C769:C770"/>
    <mergeCell ref="D769:D770"/>
    <mergeCell ref="E769:E770"/>
    <mergeCell ref="H769:H770"/>
    <mergeCell ref="I769:I770"/>
    <mergeCell ref="J769:J770"/>
    <mergeCell ref="K769:K770"/>
    <mergeCell ref="L769:L770"/>
    <mergeCell ref="A771:A772"/>
    <mergeCell ref="B771:B772"/>
    <mergeCell ref="C771:C772"/>
    <mergeCell ref="D771:D772"/>
    <mergeCell ref="E771:E772"/>
    <mergeCell ref="H771:H772"/>
    <mergeCell ref="I771:I772"/>
    <mergeCell ref="J771:J772"/>
    <mergeCell ref="K771:K772"/>
    <mergeCell ref="L771:L772"/>
    <mergeCell ref="F771:G772"/>
    <mergeCell ref="D777:D778"/>
    <mergeCell ref="E777:E778"/>
    <mergeCell ref="H777:H778"/>
    <mergeCell ref="H783:H784"/>
    <mergeCell ref="I783:I784"/>
    <mergeCell ref="J783:J784"/>
    <mergeCell ref="K783:K784"/>
    <mergeCell ref="L783:L784"/>
    <mergeCell ref="I779:I780"/>
    <mergeCell ref="L779:L780"/>
    <mergeCell ref="F781:G782"/>
    <mergeCell ref="F783:G784"/>
    <mergeCell ref="H773:H774"/>
    <mergeCell ref="I773:I774"/>
    <mergeCell ref="J773:J774"/>
    <mergeCell ref="K773:K774"/>
    <mergeCell ref="L773:L774"/>
    <mergeCell ref="F779:G780"/>
    <mergeCell ref="H779:H780"/>
    <mergeCell ref="J779:J780"/>
    <mergeCell ref="K779:K780"/>
    <mergeCell ref="I777:I778"/>
    <mergeCell ref="J777:J778"/>
    <mergeCell ref="K777:K778"/>
    <mergeCell ref="L777:L778"/>
    <mergeCell ref="F777:G778"/>
    <mergeCell ref="F775:G776"/>
    <mergeCell ref="I785:I786"/>
    <mergeCell ref="J785:J786"/>
    <mergeCell ref="K785:K786"/>
    <mergeCell ref="L785:L786"/>
    <mergeCell ref="H787:H788"/>
    <mergeCell ref="I787:I788"/>
    <mergeCell ref="J787:J788"/>
    <mergeCell ref="K787:K788"/>
    <mergeCell ref="L787:L788"/>
    <mergeCell ref="F785:G786"/>
    <mergeCell ref="F787:G788"/>
    <mergeCell ref="F789:G790"/>
    <mergeCell ref="C781:C782"/>
    <mergeCell ref="D781:D782"/>
    <mergeCell ref="E781:E782"/>
    <mergeCell ref="H781:H782"/>
    <mergeCell ref="I781:I782"/>
    <mergeCell ref="J781:J782"/>
    <mergeCell ref="K781:K782"/>
    <mergeCell ref="L781:L782"/>
    <mergeCell ref="H785:H786"/>
    <mergeCell ref="L791:L792"/>
    <mergeCell ref="A793:A794"/>
    <mergeCell ref="B793:B794"/>
    <mergeCell ref="C793:C794"/>
    <mergeCell ref="D793:D794"/>
    <mergeCell ref="E793:E794"/>
    <mergeCell ref="H793:H794"/>
    <mergeCell ref="I793:I794"/>
    <mergeCell ref="J793:J794"/>
    <mergeCell ref="K793:K794"/>
    <mergeCell ref="L793:L794"/>
    <mergeCell ref="D791:D792"/>
    <mergeCell ref="E791:E792"/>
    <mergeCell ref="F791:G792"/>
    <mergeCell ref="F793:G794"/>
    <mergeCell ref="I789:I790"/>
    <mergeCell ref="J789:J790"/>
    <mergeCell ref="K789:K790"/>
    <mergeCell ref="L789:L790"/>
    <mergeCell ref="A789:A790"/>
    <mergeCell ref="B789:B790"/>
    <mergeCell ref="C789:C790"/>
    <mergeCell ref="D789:D790"/>
    <mergeCell ref="E789:E790"/>
    <mergeCell ref="H789:H790"/>
    <mergeCell ref="L805:L806"/>
    <mergeCell ref="A803:A804"/>
    <mergeCell ref="B803:B804"/>
    <mergeCell ref="C803:C804"/>
    <mergeCell ref="D803:D804"/>
    <mergeCell ref="E803:E804"/>
    <mergeCell ref="H801:H802"/>
    <mergeCell ref="I801:I802"/>
    <mergeCell ref="J801:J802"/>
    <mergeCell ref="K801:K802"/>
    <mergeCell ref="L801:L802"/>
    <mergeCell ref="F801:G802"/>
    <mergeCell ref="F803:G804"/>
    <mergeCell ref="F805:G806"/>
    <mergeCell ref="I795:I796"/>
    <mergeCell ref="J795:J796"/>
    <mergeCell ref="K795:K796"/>
    <mergeCell ref="L795:L796"/>
    <mergeCell ref="A797:A798"/>
    <mergeCell ref="B797:B798"/>
    <mergeCell ref="C797:C798"/>
    <mergeCell ref="D797:D798"/>
    <mergeCell ref="E797:E798"/>
    <mergeCell ref="H797:H798"/>
    <mergeCell ref="I797:I798"/>
    <mergeCell ref="J797:J798"/>
    <mergeCell ref="K797:K798"/>
    <mergeCell ref="L797:L798"/>
    <mergeCell ref="A799:A800"/>
    <mergeCell ref="B799:B800"/>
    <mergeCell ref="C799:C800"/>
    <mergeCell ref="D799:D800"/>
    <mergeCell ref="L811:L812"/>
    <mergeCell ref="A807:A808"/>
    <mergeCell ref="B807:B808"/>
    <mergeCell ref="C807:C808"/>
    <mergeCell ref="D807:D808"/>
    <mergeCell ref="E807:E808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A811:A812"/>
    <mergeCell ref="B811:B812"/>
    <mergeCell ref="C811:C812"/>
    <mergeCell ref="D811:D812"/>
    <mergeCell ref="E811:E812"/>
    <mergeCell ref="H809:H810"/>
    <mergeCell ref="I809:I810"/>
    <mergeCell ref="J809:J810"/>
    <mergeCell ref="K809:K810"/>
    <mergeCell ref="D809:D810"/>
    <mergeCell ref="E809:E810"/>
    <mergeCell ref="L809:L810"/>
    <mergeCell ref="F807:G808"/>
    <mergeCell ref="F809:G810"/>
    <mergeCell ref="F811:G812"/>
    <mergeCell ref="F565:G566"/>
    <mergeCell ref="F567:G568"/>
    <mergeCell ref="D801:D802"/>
    <mergeCell ref="E801:E802"/>
    <mergeCell ref="E569:E570"/>
    <mergeCell ref="F569:G570"/>
    <mergeCell ref="A791:A792"/>
    <mergeCell ref="B791:B792"/>
    <mergeCell ref="C791:C792"/>
    <mergeCell ref="H811:H812"/>
    <mergeCell ref="I811:I812"/>
    <mergeCell ref="J811:J812"/>
    <mergeCell ref="K811:K812"/>
    <mergeCell ref="D805:D806"/>
    <mergeCell ref="E805:E806"/>
    <mergeCell ref="H805:H806"/>
    <mergeCell ref="I805:I806"/>
    <mergeCell ref="J805:J806"/>
    <mergeCell ref="K805:K806"/>
    <mergeCell ref="E799:E800"/>
    <mergeCell ref="F795:G796"/>
    <mergeCell ref="F797:G798"/>
    <mergeCell ref="F799:G800"/>
    <mergeCell ref="I791:I792"/>
    <mergeCell ref="J791:J792"/>
    <mergeCell ref="K791:K792"/>
    <mergeCell ref="A787:A788"/>
    <mergeCell ref="B787:B788"/>
    <mergeCell ref="H795:H796"/>
    <mergeCell ref="H791:H792"/>
    <mergeCell ref="A781:A782"/>
    <mergeCell ref="B781:B782"/>
    <mergeCell ref="A541:A542"/>
    <mergeCell ref="A783:A784"/>
    <mergeCell ref="B783:B784"/>
    <mergeCell ref="C783:C784"/>
    <mergeCell ref="D783:D784"/>
    <mergeCell ref="E783:E784"/>
    <mergeCell ref="A779:A780"/>
    <mergeCell ref="B779:B780"/>
    <mergeCell ref="C779:C780"/>
    <mergeCell ref="D779:D780"/>
    <mergeCell ref="E779:E780"/>
    <mergeCell ref="A777:A778"/>
    <mergeCell ref="C787:C788"/>
    <mergeCell ref="D787:D788"/>
    <mergeCell ref="E787:E788"/>
    <mergeCell ref="A785:A786"/>
    <mergeCell ref="B785:B786"/>
    <mergeCell ref="C785:C786"/>
    <mergeCell ref="D785:D786"/>
    <mergeCell ref="E785:E786"/>
    <mergeCell ref="C701:C702"/>
    <mergeCell ref="D701:D702"/>
    <mergeCell ref="E701:E702"/>
    <mergeCell ref="A743:A744"/>
    <mergeCell ref="B743:B744"/>
    <mergeCell ref="C743:C744"/>
    <mergeCell ref="D743:D744"/>
    <mergeCell ref="E743:E744"/>
    <mergeCell ref="B777:B778"/>
    <mergeCell ref="C777:C778"/>
    <mergeCell ref="A633:L634"/>
    <mergeCell ref="A659:A660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I803:I804"/>
    <mergeCell ref="J803:J804"/>
    <mergeCell ref="K803:K804"/>
    <mergeCell ref="L803:L804"/>
    <mergeCell ref="A805:A806"/>
    <mergeCell ref="B805:B806"/>
    <mergeCell ref="C805:C806"/>
    <mergeCell ref="F557:G558"/>
    <mergeCell ref="F559:G560"/>
    <mergeCell ref="F571:G572"/>
    <mergeCell ref="F573:G574"/>
    <mergeCell ref="F575:G576"/>
    <mergeCell ref="F577:G578"/>
    <mergeCell ref="F579:G580"/>
    <mergeCell ref="F583:G584"/>
    <mergeCell ref="F587:G588"/>
    <mergeCell ref="F589:G590"/>
    <mergeCell ref="A795:A796"/>
    <mergeCell ref="B795:B796"/>
    <mergeCell ref="C795:C796"/>
    <mergeCell ref="D795:D796"/>
    <mergeCell ref="H803:H804"/>
    <mergeCell ref="E795:E796"/>
    <mergeCell ref="F709:G710"/>
    <mergeCell ref="B657:B658"/>
    <mergeCell ref="C657:C658"/>
    <mergeCell ref="D657:D658"/>
    <mergeCell ref="E657:E658"/>
    <mergeCell ref="F657:G658"/>
    <mergeCell ref="H657:H658"/>
    <mergeCell ref="I657:I658"/>
    <mergeCell ref="J657:J658"/>
    <mergeCell ref="K657:K658"/>
    <mergeCell ref="L657:L658"/>
    <mergeCell ref="A655:A656"/>
    <mergeCell ref="B655:B656"/>
    <mergeCell ref="C655:C656"/>
    <mergeCell ref="D655:D656"/>
    <mergeCell ref="E655:E656"/>
    <mergeCell ref="F655:G656"/>
    <mergeCell ref="H655:H656"/>
    <mergeCell ref="K689:K690"/>
    <mergeCell ref="L689:L690"/>
    <mergeCell ref="A695:A696"/>
    <mergeCell ref="K655:K656"/>
    <mergeCell ref="L655:L656"/>
    <mergeCell ref="F679:G680"/>
    <mergeCell ref="F681:G682"/>
    <mergeCell ref="F683:G684"/>
    <mergeCell ref="F685:G686"/>
    <mergeCell ref="F691:G692"/>
    <mergeCell ref="F693:G694"/>
    <mergeCell ref="F695:G696"/>
    <mergeCell ref="F697:G698"/>
    <mergeCell ref="F699:G700"/>
    <mergeCell ref="F703:G704"/>
    <mergeCell ref="F705:G706"/>
    <mergeCell ref="I655:I656"/>
    <mergeCell ref="J655:J656"/>
    <mergeCell ref="A705:A706"/>
    <mergeCell ref="B705:B706"/>
    <mergeCell ref="C705:C706"/>
    <mergeCell ref="D705:D706"/>
    <mergeCell ref="E705:E706"/>
    <mergeCell ref="H705:H706"/>
    <mergeCell ref="I705:I706"/>
    <mergeCell ref="J705:J706"/>
    <mergeCell ref="K705:K706"/>
    <mergeCell ref="L705:L706"/>
    <mergeCell ref="B697:B698"/>
    <mergeCell ref="C697:C698"/>
    <mergeCell ref="D697:D698"/>
    <mergeCell ref="A657:A658"/>
    <mergeCell ref="F743:G744"/>
    <mergeCell ref="H743:H744"/>
    <mergeCell ref="I743:I744"/>
    <mergeCell ref="J743:J744"/>
    <mergeCell ref="K743:K744"/>
    <mergeCell ref="L743:L744"/>
    <mergeCell ref="F701:G702"/>
    <mergeCell ref="H701:H702"/>
    <mergeCell ref="I701:I702"/>
    <mergeCell ref="J701:J702"/>
    <mergeCell ref="K701:K702"/>
    <mergeCell ref="L701:L702"/>
    <mergeCell ref="A687:A688"/>
    <mergeCell ref="B687:B688"/>
    <mergeCell ref="C687:C688"/>
    <mergeCell ref="D687:D688"/>
    <mergeCell ref="E687:E688"/>
    <mergeCell ref="F687:G688"/>
    <mergeCell ref="H687:H688"/>
    <mergeCell ref="I687:I688"/>
    <mergeCell ref="J687:J688"/>
    <mergeCell ref="K687:K688"/>
    <mergeCell ref="L687:L688"/>
    <mergeCell ref="A689:A690"/>
    <mergeCell ref="B689:B690"/>
    <mergeCell ref="C689:C690"/>
    <mergeCell ref="D689:D690"/>
    <mergeCell ref="E689:E690"/>
    <mergeCell ref="F689:G690"/>
    <mergeCell ref="H689:H690"/>
    <mergeCell ref="I689:I690"/>
    <mergeCell ref="J689:J690"/>
    <mergeCell ref="A813:A814"/>
    <mergeCell ref="B813:B814"/>
    <mergeCell ref="C813:C814"/>
    <mergeCell ref="D813:D814"/>
    <mergeCell ref="E813:E814"/>
    <mergeCell ref="F813:G814"/>
    <mergeCell ref="H813:H814"/>
    <mergeCell ref="I813:I814"/>
    <mergeCell ref="J813:J814"/>
    <mergeCell ref="K813:K814"/>
    <mergeCell ref="L813:L814"/>
    <mergeCell ref="A815:A816"/>
    <mergeCell ref="B815:B816"/>
    <mergeCell ref="C815:C816"/>
    <mergeCell ref="D815:D816"/>
    <mergeCell ref="E815:E816"/>
    <mergeCell ref="F815:G816"/>
    <mergeCell ref="H815:H816"/>
    <mergeCell ref="I815:I816"/>
    <mergeCell ref="J815:J816"/>
    <mergeCell ref="K815:K816"/>
    <mergeCell ref="L815:L816"/>
    <mergeCell ref="A817:A818"/>
    <mergeCell ref="B817:B818"/>
    <mergeCell ref="C817:C818"/>
    <mergeCell ref="D817:D818"/>
    <mergeCell ref="E817:E818"/>
    <mergeCell ref="F817:G818"/>
    <mergeCell ref="H817:H818"/>
    <mergeCell ref="I817:I818"/>
    <mergeCell ref="J817:J818"/>
    <mergeCell ref="K817:K818"/>
    <mergeCell ref="L817:L818"/>
    <mergeCell ref="A819:A820"/>
    <mergeCell ref="B819:B820"/>
    <mergeCell ref="C819:C820"/>
    <mergeCell ref="D819:D820"/>
    <mergeCell ref="E819:E820"/>
    <mergeCell ref="F819:G820"/>
    <mergeCell ref="H819:H820"/>
    <mergeCell ref="I819:I820"/>
    <mergeCell ref="J819:J820"/>
    <mergeCell ref="K819:K820"/>
    <mergeCell ref="L819:L820"/>
    <mergeCell ref="A821:A822"/>
    <mergeCell ref="B821:B822"/>
    <mergeCell ref="C821:C822"/>
    <mergeCell ref="D821:D822"/>
    <mergeCell ref="E821:E822"/>
    <mergeCell ref="F821:G822"/>
    <mergeCell ref="H821:H822"/>
    <mergeCell ref="I821:I822"/>
    <mergeCell ref="J821:J822"/>
    <mergeCell ref="K821:K822"/>
    <mergeCell ref="L821:L822"/>
    <mergeCell ref="A823:A824"/>
    <mergeCell ref="B823:B824"/>
    <mergeCell ref="C823:C824"/>
    <mergeCell ref="D823:D824"/>
    <mergeCell ref="E823:E824"/>
    <mergeCell ref="F823:G824"/>
    <mergeCell ref="H823:H824"/>
    <mergeCell ref="I823:I824"/>
    <mergeCell ref="J823:J824"/>
    <mergeCell ref="K823:K824"/>
    <mergeCell ref="L823:L824"/>
    <mergeCell ref="A825:A826"/>
    <mergeCell ref="B825:B826"/>
    <mergeCell ref="C825:C826"/>
    <mergeCell ref="D825:D826"/>
    <mergeCell ref="E825:E826"/>
    <mergeCell ref="F825:G826"/>
    <mergeCell ref="H825:H826"/>
    <mergeCell ref="I825:I826"/>
    <mergeCell ref="J825:J826"/>
    <mergeCell ref="K825:K826"/>
    <mergeCell ref="L825:L826"/>
    <mergeCell ref="A827:A828"/>
    <mergeCell ref="B827:B828"/>
    <mergeCell ref="C827:C828"/>
    <mergeCell ref="D827:D828"/>
    <mergeCell ref="E827:E828"/>
    <mergeCell ref="F827:G828"/>
    <mergeCell ref="H827:H828"/>
    <mergeCell ref="I827:I828"/>
    <mergeCell ref="J827:J828"/>
    <mergeCell ref="K827:K828"/>
    <mergeCell ref="L827:L828"/>
    <mergeCell ref="A829:A830"/>
    <mergeCell ref="B829:B830"/>
    <mergeCell ref="C829:C830"/>
    <mergeCell ref="D829:D830"/>
    <mergeCell ref="E829:E830"/>
    <mergeCell ref="F829:G830"/>
    <mergeCell ref="H829:H830"/>
    <mergeCell ref="I829:I830"/>
    <mergeCell ref="J829:J830"/>
    <mergeCell ref="K829:K830"/>
    <mergeCell ref="L829:L830"/>
    <mergeCell ref="A831:A832"/>
    <mergeCell ref="B831:B832"/>
    <mergeCell ref="C831:C832"/>
    <mergeCell ref="D831:D832"/>
    <mergeCell ref="E831:E832"/>
    <mergeCell ref="F831:G832"/>
    <mergeCell ref="H831:H832"/>
    <mergeCell ref="I831:I832"/>
    <mergeCell ref="J831:J832"/>
    <mergeCell ref="K831:K832"/>
    <mergeCell ref="L831:L832"/>
    <mergeCell ref="A833:A834"/>
    <mergeCell ref="B833:B834"/>
    <mergeCell ref="C841:C842"/>
    <mergeCell ref="D841:D842"/>
    <mergeCell ref="E833:E834"/>
    <mergeCell ref="F833:G834"/>
    <mergeCell ref="H841:H842"/>
    <mergeCell ref="I833:I834"/>
    <mergeCell ref="J833:J834"/>
    <mergeCell ref="K833:K834"/>
    <mergeCell ref="L833:L834"/>
    <mergeCell ref="A835:A836"/>
    <mergeCell ref="B835:B836"/>
    <mergeCell ref="C835:C836"/>
    <mergeCell ref="D835:D836"/>
    <mergeCell ref="E835:E836"/>
    <mergeCell ref="F835:G836"/>
    <mergeCell ref="H835:H836"/>
    <mergeCell ref="I835:I836"/>
    <mergeCell ref="J835:J836"/>
    <mergeCell ref="K835:K836"/>
    <mergeCell ref="L835:L836"/>
    <mergeCell ref="H833:H834"/>
    <mergeCell ref="C833:C834"/>
    <mergeCell ref="D833:D834"/>
    <mergeCell ref="A839:A840"/>
    <mergeCell ref="B839:B840"/>
    <mergeCell ref="C839:C840"/>
    <mergeCell ref="D839:D840"/>
    <mergeCell ref="E839:E840"/>
    <mergeCell ref="F839:G840"/>
    <mergeCell ref="H839:H840"/>
    <mergeCell ref="I847:I848"/>
    <mergeCell ref="J847:J848"/>
    <mergeCell ref="K847:K848"/>
    <mergeCell ref="L847:L848"/>
    <mergeCell ref="D847:D848"/>
    <mergeCell ref="A849:A850"/>
    <mergeCell ref="B849:B850"/>
    <mergeCell ref="C849:C850"/>
    <mergeCell ref="I839:I840"/>
    <mergeCell ref="J839:J840"/>
    <mergeCell ref="K839:K840"/>
    <mergeCell ref="L839:L840"/>
    <mergeCell ref="A841:A842"/>
    <mergeCell ref="B841:B842"/>
    <mergeCell ref="E841:E842"/>
    <mergeCell ref="F841:G842"/>
    <mergeCell ref="I841:I842"/>
    <mergeCell ref="J841:J842"/>
    <mergeCell ref="K841:K842"/>
    <mergeCell ref="L841:L842"/>
    <mergeCell ref="A843:A844"/>
    <mergeCell ref="B843:B844"/>
    <mergeCell ref="C843:C844"/>
    <mergeCell ref="D843:D844"/>
    <mergeCell ref="E843:E844"/>
    <mergeCell ref="F843:G844"/>
    <mergeCell ref="H843:H844"/>
    <mergeCell ref="I843:I844"/>
    <mergeCell ref="J843:J844"/>
    <mergeCell ref="K843:K844"/>
    <mergeCell ref="L843:L844"/>
    <mergeCell ref="E851:E852"/>
    <mergeCell ref="F851:G852"/>
    <mergeCell ref="H851:H852"/>
    <mergeCell ref="I851:I852"/>
    <mergeCell ref="J851:J852"/>
    <mergeCell ref="K851:K852"/>
    <mergeCell ref="L851:L852"/>
    <mergeCell ref="C857:C858"/>
    <mergeCell ref="D853:D854"/>
    <mergeCell ref="E853:E854"/>
    <mergeCell ref="F853:G854"/>
    <mergeCell ref="H853:H854"/>
    <mergeCell ref="I853:I854"/>
    <mergeCell ref="J853:J854"/>
    <mergeCell ref="K853:K854"/>
    <mergeCell ref="L853:L854"/>
    <mergeCell ref="A845:A846"/>
    <mergeCell ref="B845:B846"/>
    <mergeCell ref="C845:C846"/>
    <mergeCell ref="D845:D846"/>
    <mergeCell ref="E845:E846"/>
    <mergeCell ref="F845:G846"/>
    <mergeCell ref="H845:H846"/>
    <mergeCell ref="I845:I846"/>
    <mergeCell ref="J845:J846"/>
    <mergeCell ref="K845:K846"/>
    <mergeCell ref="L845:L846"/>
    <mergeCell ref="A847:A848"/>
    <mergeCell ref="B847:B848"/>
    <mergeCell ref="E847:E848"/>
    <mergeCell ref="F847:G848"/>
    <mergeCell ref="H847:H848"/>
    <mergeCell ref="B867:B868"/>
    <mergeCell ref="C867:C868"/>
    <mergeCell ref="D867:D868"/>
    <mergeCell ref="E867:E868"/>
    <mergeCell ref="F867:G868"/>
    <mergeCell ref="H867:H868"/>
    <mergeCell ref="I867:I868"/>
    <mergeCell ref="J867:J868"/>
    <mergeCell ref="D849:D850"/>
    <mergeCell ref="E849:E850"/>
    <mergeCell ref="F849:G850"/>
    <mergeCell ref="H849:H850"/>
    <mergeCell ref="I849:I850"/>
    <mergeCell ref="J849:J850"/>
    <mergeCell ref="K849:K850"/>
    <mergeCell ref="L849:L850"/>
    <mergeCell ref="A865:A866"/>
    <mergeCell ref="B865:B866"/>
    <mergeCell ref="C865:C866"/>
    <mergeCell ref="D865:D866"/>
    <mergeCell ref="E865:E866"/>
    <mergeCell ref="F865:G866"/>
    <mergeCell ref="H865:H866"/>
    <mergeCell ref="I865:I866"/>
    <mergeCell ref="J865:J866"/>
    <mergeCell ref="K865:K866"/>
    <mergeCell ref="L865:L866"/>
    <mergeCell ref="A861:L862"/>
    <mergeCell ref="A851:A852"/>
    <mergeCell ref="B851:B852"/>
    <mergeCell ref="C851:C852"/>
    <mergeCell ref="D851:D852"/>
    <mergeCell ref="K867:K868"/>
    <mergeCell ref="L867:L868"/>
    <mergeCell ref="E857:E858"/>
    <mergeCell ref="F857:G858"/>
    <mergeCell ref="H857:H858"/>
    <mergeCell ref="I857:I858"/>
    <mergeCell ref="J857:J858"/>
    <mergeCell ref="K857:K858"/>
    <mergeCell ref="L857:L858"/>
    <mergeCell ref="A853:A854"/>
    <mergeCell ref="B853:B854"/>
    <mergeCell ref="C853:C854"/>
    <mergeCell ref="A869:A870"/>
    <mergeCell ref="B869:B870"/>
    <mergeCell ref="C869:C870"/>
    <mergeCell ref="D869:D870"/>
    <mergeCell ref="E869:E870"/>
    <mergeCell ref="F869:G870"/>
    <mergeCell ref="H869:H870"/>
    <mergeCell ref="I869:I870"/>
    <mergeCell ref="J869:J870"/>
    <mergeCell ref="K869:K870"/>
    <mergeCell ref="L869:L870"/>
    <mergeCell ref="D857:D858"/>
    <mergeCell ref="A855:A856"/>
    <mergeCell ref="B855:B856"/>
    <mergeCell ref="C855:C856"/>
    <mergeCell ref="D855:D856"/>
    <mergeCell ref="E855:E856"/>
    <mergeCell ref="F855:G856"/>
    <mergeCell ref="H855:H856"/>
    <mergeCell ref="A867:A868"/>
    <mergeCell ref="A871:A872"/>
    <mergeCell ref="B871:B872"/>
    <mergeCell ref="C871:C872"/>
    <mergeCell ref="D871:D872"/>
    <mergeCell ref="E871:E872"/>
    <mergeCell ref="F871:G872"/>
    <mergeCell ref="H871:H872"/>
    <mergeCell ref="I871:I872"/>
    <mergeCell ref="J871:J872"/>
    <mergeCell ref="K871:K872"/>
    <mergeCell ref="L871:L872"/>
    <mergeCell ref="A875:A876"/>
    <mergeCell ref="B875:B876"/>
    <mergeCell ref="C875:C876"/>
    <mergeCell ref="D875:D876"/>
    <mergeCell ref="E875:E876"/>
    <mergeCell ref="F875:G876"/>
    <mergeCell ref="H875:H876"/>
    <mergeCell ref="I875:I876"/>
    <mergeCell ref="J875:J876"/>
    <mergeCell ref="K875:K876"/>
    <mergeCell ref="L875:L876"/>
    <mergeCell ref="A873:A874"/>
    <mergeCell ref="B873:B874"/>
    <mergeCell ref="C873:C874"/>
    <mergeCell ref="D873:D874"/>
    <mergeCell ref="E873:E874"/>
    <mergeCell ref="F873:G874"/>
    <mergeCell ref="H873:H874"/>
    <mergeCell ref="I873:I874"/>
    <mergeCell ref="J873:J874"/>
    <mergeCell ref="K873:K874"/>
    <mergeCell ref="A877:A878"/>
    <mergeCell ref="B877:B878"/>
    <mergeCell ref="C877:C878"/>
    <mergeCell ref="D877:D878"/>
    <mergeCell ref="E877:E878"/>
    <mergeCell ref="F877:G878"/>
    <mergeCell ref="H877:H878"/>
    <mergeCell ref="I877:I878"/>
    <mergeCell ref="J877:J878"/>
    <mergeCell ref="K877:K878"/>
    <mergeCell ref="L877:L878"/>
    <mergeCell ref="A881:A882"/>
    <mergeCell ref="B881:B882"/>
    <mergeCell ref="C881:C882"/>
    <mergeCell ref="D881:D882"/>
    <mergeCell ref="E881:E882"/>
    <mergeCell ref="F881:G882"/>
    <mergeCell ref="H881:H882"/>
    <mergeCell ref="I881:I882"/>
    <mergeCell ref="J881:J882"/>
    <mergeCell ref="K881:K882"/>
    <mergeCell ref="L881:L882"/>
    <mergeCell ref="A883:A884"/>
    <mergeCell ref="B883:B884"/>
    <mergeCell ref="C883:C884"/>
    <mergeCell ref="D883:D884"/>
    <mergeCell ref="E883:E884"/>
    <mergeCell ref="F883:G884"/>
    <mergeCell ref="H883:H884"/>
    <mergeCell ref="I883:I884"/>
    <mergeCell ref="J883:J884"/>
    <mergeCell ref="K883:K884"/>
    <mergeCell ref="L883:L884"/>
    <mergeCell ref="A885:A886"/>
    <mergeCell ref="B885:B886"/>
    <mergeCell ref="C885:C886"/>
    <mergeCell ref="D885:D886"/>
    <mergeCell ref="E885:E886"/>
    <mergeCell ref="F885:G886"/>
    <mergeCell ref="H885:H886"/>
    <mergeCell ref="I885:I886"/>
    <mergeCell ref="J885:J886"/>
    <mergeCell ref="K885:K886"/>
    <mergeCell ref="L885:L886"/>
    <mergeCell ref="A887:A888"/>
    <mergeCell ref="B887:B888"/>
    <mergeCell ref="C887:C888"/>
    <mergeCell ref="D887:D888"/>
    <mergeCell ref="E887:E888"/>
    <mergeCell ref="F887:G888"/>
    <mergeCell ref="H887:H888"/>
    <mergeCell ref="I887:I888"/>
    <mergeCell ref="J887:J888"/>
    <mergeCell ref="K887:K888"/>
    <mergeCell ref="L887:L888"/>
    <mergeCell ref="A889:A890"/>
    <mergeCell ref="B889:B890"/>
    <mergeCell ref="C889:C890"/>
    <mergeCell ref="D889:D890"/>
    <mergeCell ref="E889:E890"/>
    <mergeCell ref="F889:G890"/>
    <mergeCell ref="H889:H890"/>
    <mergeCell ref="I889:I890"/>
    <mergeCell ref="J889:J890"/>
    <mergeCell ref="K889:K890"/>
    <mergeCell ref="L889:L890"/>
    <mergeCell ref="A891:A892"/>
    <mergeCell ref="B891:B892"/>
    <mergeCell ref="C891:C892"/>
    <mergeCell ref="D891:D892"/>
    <mergeCell ref="E891:E892"/>
    <mergeCell ref="F891:G892"/>
    <mergeCell ref="H891:H892"/>
    <mergeCell ref="I891:I892"/>
    <mergeCell ref="J891:J892"/>
    <mergeCell ref="K891:K892"/>
    <mergeCell ref="L891:L892"/>
    <mergeCell ref="A893:A894"/>
    <mergeCell ref="B893:B894"/>
    <mergeCell ref="C893:C894"/>
    <mergeCell ref="D893:D894"/>
    <mergeCell ref="E893:E894"/>
    <mergeCell ref="F893:G894"/>
    <mergeCell ref="H893:H894"/>
    <mergeCell ref="I893:I894"/>
    <mergeCell ref="J893:J894"/>
    <mergeCell ref="K893:K894"/>
    <mergeCell ref="L893:L894"/>
    <mergeCell ref="A895:A896"/>
    <mergeCell ref="B895:B896"/>
    <mergeCell ref="C895:C896"/>
    <mergeCell ref="D895:D896"/>
    <mergeCell ref="E895:E896"/>
    <mergeCell ref="F895:G896"/>
    <mergeCell ref="H895:H896"/>
    <mergeCell ref="I895:I896"/>
    <mergeCell ref="J895:J896"/>
    <mergeCell ref="K895:K896"/>
    <mergeCell ref="L895:L896"/>
    <mergeCell ref="A897:A898"/>
    <mergeCell ref="B897:B898"/>
    <mergeCell ref="C897:C898"/>
    <mergeCell ref="D897:D898"/>
    <mergeCell ref="E897:E898"/>
    <mergeCell ref="F897:G898"/>
    <mergeCell ref="H897:H898"/>
    <mergeCell ref="I897:I898"/>
    <mergeCell ref="J897:J898"/>
    <mergeCell ref="K897:K898"/>
    <mergeCell ref="L897:L898"/>
    <mergeCell ref="A899:A900"/>
    <mergeCell ref="B899:B900"/>
    <mergeCell ref="C899:C900"/>
    <mergeCell ref="D899:D900"/>
    <mergeCell ref="E899:E900"/>
    <mergeCell ref="F899:G900"/>
    <mergeCell ref="H899:H900"/>
    <mergeCell ref="I899:I900"/>
    <mergeCell ref="J899:J900"/>
    <mergeCell ref="K899:K900"/>
    <mergeCell ref="L899:L900"/>
    <mergeCell ref="A901:A902"/>
    <mergeCell ref="B901:B902"/>
    <mergeCell ref="C901:C902"/>
    <mergeCell ref="D901:D902"/>
    <mergeCell ref="E901:E902"/>
    <mergeCell ref="F901:G902"/>
    <mergeCell ref="H901:H902"/>
    <mergeCell ref="I901:I902"/>
    <mergeCell ref="J901:J902"/>
    <mergeCell ref="K901:K902"/>
    <mergeCell ref="L901:L902"/>
    <mergeCell ref="A903:A904"/>
    <mergeCell ref="B903:B904"/>
    <mergeCell ref="C903:C904"/>
    <mergeCell ref="D903:D904"/>
    <mergeCell ref="E903:E904"/>
    <mergeCell ref="F903:G904"/>
    <mergeCell ref="H903:H904"/>
    <mergeCell ref="I903:I904"/>
    <mergeCell ref="J903:J904"/>
    <mergeCell ref="K903:K904"/>
    <mergeCell ref="L903:L904"/>
    <mergeCell ref="A905:A906"/>
    <mergeCell ref="B905:B906"/>
    <mergeCell ref="C905:C906"/>
    <mergeCell ref="D905:D906"/>
    <mergeCell ref="E905:E906"/>
    <mergeCell ref="F905:G906"/>
    <mergeCell ref="H905:H906"/>
    <mergeCell ref="I905:I906"/>
    <mergeCell ref="J905:J906"/>
    <mergeCell ref="K905:K906"/>
    <mergeCell ref="L905:L906"/>
    <mergeCell ref="A907:A908"/>
    <mergeCell ref="B907:B908"/>
    <mergeCell ref="C907:C908"/>
    <mergeCell ref="D907:D908"/>
    <mergeCell ref="E907:E908"/>
    <mergeCell ref="F907:G908"/>
    <mergeCell ref="H907:H908"/>
    <mergeCell ref="I907:I908"/>
    <mergeCell ref="J907:J908"/>
    <mergeCell ref="K907:K908"/>
    <mergeCell ref="L907:L908"/>
    <mergeCell ref="A909:A910"/>
    <mergeCell ref="B909:B910"/>
    <mergeCell ref="C909:C910"/>
    <mergeCell ref="D909:D910"/>
    <mergeCell ref="E909:E910"/>
    <mergeCell ref="F909:G910"/>
    <mergeCell ref="H909:H910"/>
    <mergeCell ref="I909:I910"/>
    <mergeCell ref="J909:J910"/>
    <mergeCell ref="K909:K910"/>
    <mergeCell ref="L909:L910"/>
    <mergeCell ref="L913:L914"/>
    <mergeCell ref="A915:A916"/>
    <mergeCell ref="B915:B916"/>
    <mergeCell ref="C915:C916"/>
    <mergeCell ref="D915:D916"/>
    <mergeCell ref="E915:E916"/>
    <mergeCell ref="F915:G916"/>
    <mergeCell ref="H915:H916"/>
    <mergeCell ref="I915:I916"/>
    <mergeCell ref="J915:J916"/>
    <mergeCell ref="K915:K916"/>
    <mergeCell ref="L915:L916"/>
    <mergeCell ref="A911:A912"/>
    <mergeCell ref="B911:B912"/>
    <mergeCell ref="C911:C912"/>
    <mergeCell ref="D911:D912"/>
    <mergeCell ref="E911:E912"/>
    <mergeCell ref="F911:G912"/>
    <mergeCell ref="H911:H912"/>
    <mergeCell ref="I911:I912"/>
    <mergeCell ref="J911:J912"/>
    <mergeCell ref="K911:K912"/>
    <mergeCell ref="L911:L912"/>
    <mergeCell ref="A919:A920"/>
    <mergeCell ref="B919:B920"/>
    <mergeCell ref="C919:C920"/>
    <mergeCell ref="D919:D920"/>
    <mergeCell ref="E919:E920"/>
    <mergeCell ref="F919:G920"/>
    <mergeCell ref="H919:H920"/>
    <mergeCell ref="I919:I920"/>
    <mergeCell ref="J919:J920"/>
    <mergeCell ref="K919:K920"/>
    <mergeCell ref="A913:A914"/>
    <mergeCell ref="B913:B914"/>
    <mergeCell ref="C913:C914"/>
    <mergeCell ref="D913:D914"/>
    <mergeCell ref="E913:E914"/>
    <mergeCell ref="F913:G914"/>
    <mergeCell ref="H913:H914"/>
    <mergeCell ref="I913:I914"/>
    <mergeCell ref="J913:J914"/>
    <mergeCell ref="K913:K914"/>
    <mergeCell ref="A917:A918"/>
    <mergeCell ref="B917:B918"/>
    <mergeCell ref="C917:C918"/>
    <mergeCell ref="D917:D918"/>
    <mergeCell ref="E917:E918"/>
    <mergeCell ref="F917:G918"/>
    <mergeCell ref="H917:H918"/>
    <mergeCell ref="I917:I918"/>
    <mergeCell ref="J917:J918"/>
    <mergeCell ref="K917:K918"/>
    <mergeCell ref="J923:J924"/>
    <mergeCell ref="K923:K924"/>
    <mergeCell ref="L923:L924"/>
    <mergeCell ref="A925:A926"/>
    <mergeCell ref="B925:B926"/>
    <mergeCell ref="C925:C926"/>
    <mergeCell ref="D925:D926"/>
    <mergeCell ref="E925:E926"/>
    <mergeCell ref="F925:G926"/>
    <mergeCell ref="H925:H926"/>
    <mergeCell ref="I925:I926"/>
    <mergeCell ref="J925:J926"/>
    <mergeCell ref="K925:K926"/>
    <mergeCell ref="B921:B922"/>
    <mergeCell ref="C921:C922"/>
    <mergeCell ref="D921:D922"/>
    <mergeCell ref="E921:E922"/>
    <mergeCell ref="F921:G922"/>
    <mergeCell ref="H921:H922"/>
    <mergeCell ref="I921:I922"/>
    <mergeCell ref="J921:J922"/>
    <mergeCell ref="K921:K922"/>
    <mergeCell ref="L921:L922"/>
    <mergeCell ref="D949:D950"/>
    <mergeCell ref="E949:E950"/>
    <mergeCell ref="F949:G950"/>
    <mergeCell ref="H949:H950"/>
    <mergeCell ref="I949:I950"/>
    <mergeCell ref="J949:J950"/>
    <mergeCell ref="K949:K950"/>
    <mergeCell ref="L949:L950"/>
    <mergeCell ref="K937:K938"/>
    <mergeCell ref="L937:L938"/>
    <mergeCell ref="A935:A936"/>
    <mergeCell ref="B935:B936"/>
    <mergeCell ref="C935:C936"/>
    <mergeCell ref="D935:D936"/>
    <mergeCell ref="E935:E936"/>
    <mergeCell ref="F935:G936"/>
    <mergeCell ref="H935:H936"/>
    <mergeCell ref="I935:I936"/>
    <mergeCell ref="J935:J936"/>
    <mergeCell ref="K935:K936"/>
    <mergeCell ref="A945:A946"/>
    <mergeCell ref="B945:B946"/>
    <mergeCell ref="C945:C946"/>
    <mergeCell ref="D945:D946"/>
    <mergeCell ref="E945:E946"/>
    <mergeCell ref="F945:G946"/>
    <mergeCell ref="H945:H946"/>
    <mergeCell ref="I945:I946"/>
    <mergeCell ref="J945:J946"/>
    <mergeCell ref="K945:K946"/>
    <mergeCell ref="L945:L946"/>
    <mergeCell ref="B939:B940"/>
    <mergeCell ref="C963:C964"/>
    <mergeCell ref="D963:D964"/>
    <mergeCell ref="E963:E964"/>
    <mergeCell ref="F963:G964"/>
    <mergeCell ref="H963:H964"/>
    <mergeCell ref="I963:I964"/>
    <mergeCell ref="J963:J964"/>
    <mergeCell ref="K963:K964"/>
    <mergeCell ref="L963:L964"/>
    <mergeCell ref="B953:B954"/>
    <mergeCell ref="C953:C954"/>
    <mergeCell ref="D953:D954"/>
    <mergeCell ref="E953:E954"/>
    <mergeCell ref="F953:G954"/>
    <mergeCell ref="H953:H954"/>
    <mergeCell ref="I953:I954"/>
    <mergeCell ref="A947:A948"/>
    <mergeCell ref="B947:B948"/>
    <mergeCell ref="C947:C948"/>
    <mergeCell ref="D947:D948"/>
    <mergeCell ref="E947:E948"/>
    <mergeCell ref="F947:G948"/>
    <mergeCell ref="H947:H948"/>
    <mergeCell ref="I947:I948"/>
    <mergeCell ref="J947:J948"/>
    <mergeCell ref="K947:K948"/>
    <mergeCell ref="A951:A952"/>
    <mergeCell ref="B951:B952"/>
    <mergeCell ref="L947:L948"/>
    <mergeCell ref="A949:A950"/>
    <mergeCell ref="B949:B950"/>
    <mergeCell ref="C949:C950"/>
    <mergeCell ref="A955:A956"/>
    <mergeCell ref="B955:B956"/>
    <mergeCell ref="C955:C956"/>
    <mergeCell ref="D955:D956"/>
    <mergeCell ref="E955:E956"/>
    <mergeCell ref="F955:G956"/>
    <mergeCell ref="H955:H956"/>
    <mergeCell ref="I955:I956"/>
    <mergeCell ref="J955:J956"/>
    <mergeCell ref="K955:K956"/>
    <mergeCell ref="L955:L956"/>
    <mergeCell ref="A953:A954"/>
    <mergeCell ref="A965:A966"/>
    <mergeCell ref="B965:B966"/>
    <mergeCell ref="C965:C966"/>
    <mergeCell ref="D965:D966"/>
    <mergeCell ref="E965:E966"/>
    <mergeCell ref="F965:G966"/>
    <mergeCell ref="H965:H966"/>
    <mergeCell ref="I965:I966"/>
    <mergeCell ref="J965:J966"/>
    <mergeCell ref="K965:K966"/>
    <mergeCell ref="L965:L966"/>
    <mergeCell ref="E959:E960"/>
    <mergeCell ref="F959:G960"/>
    <mergeCell ref="H959:H960"/>
    <mergeCell ref="I959:I960"/>
    <mergeCell ref="J959:J960"/>
    <mergeCell ref="K959:K960"/>
    <mergeCell ref="L959:L960"/>
    <mergeCell ref="A963:A964"/>
    <mergeCell ref="B963:B964"/>
    <mergeCell ref="A969:A970"/>
    <mergeCell ref="B969:B970"/>
    <mergeCell ref="C969:C970"/>
    <mergeCell ref="D969:D970"/>
    <mergeCell ref="E969:E970"/>
    <mergeCell ref="F969:G970"/>
    <mergeCell ref="H969:H970"/>
    <mergeCell ref="I969:I970"/>
    <mergeCell ref="J969:J970"/>
    <mergeCell ref="K969:K970"/>
    <mergeCell ref="L969:L970"/>
    <mergeCell ref="A967:A968"/>
    <mergeCell ref="B967:B968"/>
    <mergeCell ref="C967:C968"/>
    <mergeCell ref="D967:D968"/>
    <mergeCell ref="E967:E968"/>
    <mergeCell ref="F967:G968"/>
    <mergeCell ref="H967:H968"/>
    <mergeCell ref="I967:I968"/>
    <mergeCell ref="J967:J968"/>
    <mergeCell ref="K967:K968"/>
    <mergeCell ref="L967:L968"/>
    <mergeCell ref="A971:A972"/>
    <mergeCell ref="B971:B972"/>
    <mergeCell ref="C971:C972"/>
    <mergeCell ref="D971:D972"/>
    <mergeCell ref="E971:E972"/>
    <mergeCell ref="F971:G972"/>
    <mergeCell ref="H971:H972"/>
    <mergeCell ref="I971:I972"/>
    <mergeCell ref="J971:J972"/>
    <mergeCell ref="K971:K972"/>
    <mergeCell ref="L971:L972"/>
    <mergeCell ref="A973:A974"/>
    <mergeCell ref="B973:B974"/>
    <mergeCell ref="C973:C974"/>
    <mergeCell ref="D973:D974"/>
    <mergeCell ref="E973:E974"/>
    <mergeCell ref="F973:G974"/>
    <mergeCell ref="H973:H974"/>
    <mergeCell ref="I973:I974"/>
    <mergeCell ref="J973:J974"/>
    <mergeCell ref="K973:K974"/>
    <mergeCell ref="L973:L974"/>
    <mergeCell ref="A975:A976"/>
    <mergeCell ref="B975:B976"/>
    <mergeCell ref="C975:C976"/>
    <mergeCell ref="D975:D976"/>
    <mergeCell ref="E975:E976"/>
    <mergeCell ref="F975:G976"/>
    <mergeCell ref="H975:H976"/>
    <mergeCell ref="I975:I976"/>
    <mergeCell ref="J975:J976"/>
    <mergeCell ref="K975:K976"/>
    <mergeCell ref="L975:L976"/>
    <mergeCell ref="A977:A978"/>
    <mergeCell ref="B977:B978"/>
    <mergeCell ref="C977:C978"/>
    <mergeCell ref="D977:D978"/>
    <mergeCell ref="E977:E978"/>
    <mergeCell ref="F977:G978"/>
    <mergeCell ref="H977:H978"/>
    <mergeCell ref="I977:I978"/>
    <mergeCell ref="J977:J978"/>
    <mergeCell ref="K977:K978"/>
    <mergeCell ref="L977:L978"/>
    <mergeCell ref="A981:A982"/>
    <mergeCell ref="B981:B982"/>
    <mergeCell ref="C981:C982"/>
    <mergeCell ref="D981:D982"/>
    <mergeCell ref="E981:E982"/>
    <mergeCell ref="F981:G982"/>
    <mergeCell ref="H981:H982"/>
    <mergeCell ref="I981:I982"/>
    <mergeCell ref="J981:J982"/>
    <mergeCell ref="K981:K982"/>
    <mergeCell ref="L981:L982"/>
    <mergeCell ref="A983:A984"/>
    <mergeCell ref="B983:B984"/>
    <mergeCell ref="C983:C984"/>
    <mergeCell ref="D983:D984"/>
    <mergeCell ref="E983:E984"/>
    <mergeCell ref="F983:G984"/>
    <mergeCell ref="H983:H984"/>
    <mergeCell ref="I983:I984"/>
    <mergeCell ref="J983:J984"/>
    <mergeCell ref="K983:K984"/>
    <mergeCell ref="L983:L984"/>
    <mergeCell ref="A985:A986"/>
    <mergeCell ref="B985:B986"/>
    <mergeCell ref="C985:C986"/>
    <mergeCell ref="D985:D986"/>
    <mergeCell ref="E985:E986"/>
    <mergeCell ref="F985:G986"/>
    <mergeCell ref="H985:H986"/>
    <mergeCell ref="I985:I986"/>
    <mergeCell ref="J985:J986"/>
    <mergeCell ref="K985:K986"/>
    <mergeCell ref="L985:L986"/>
    <mergeCell ref="A987:A988"/>
    <mergeCell ref="B987:B988"/>
    <mergeCell ref="C987:C988"/>
    <mergeCell ref="D987:D988"/>
    <mergeCell ref="E987:E988"/>
    <mergeCell ref="F987:G988"/>
    <mergeCell ref="H987:H988"/>
    <mergeCell ref="I987:I988"/>
    <mergeCell ref="J987:J988"/>
    <mergeCell ref="K987:K988"/>
    <mergeCell ref="L987:L988"/>
    <mergeCell ref="A989:A990"/>
    <mergeCell ref="B989:B990"/>
    <mergeCell ref="C989:C990"/>
    <mergeCell ref="D989:D990"/>
    <mergeCell ref="E989:E990"/>
    <mergeCell ref="F989:G990"/>
    <mergeCell ref="H989:H990"/>
    <mergeCell ref="I989:I990"/>
    <mergeCell ref="J989:J990"/>
    <mergeCell ref="K989:K990"/>
    <mergeCell ref="L989:L990"/>
    <mergeCell ref="A991:A992"/>
    <mergeCell ref="B991:B992"/>
    <mergeCell ref="C991:C992"/>
    <mergeCell ref="D991:D992"/>
    <mergeCell ref="E991:E992"/>
    <mergeCell ref="F991:G992"/>
    <mergeCell ref="H991:H992"/>
    <mergeCell ref="I991:I992"/>
    <mergeCell ref="J991:J992"/>
    <mergeCell ref="K991:K992"/>
    <mergeCell ref="L991:L992"/>
    <mergeCell ref="L999:L1000"/>
    <mergeCell ref="A993:A994"/>
    <mergeCell ref="B993:B994"/>
    <mergeCell ref="C993:C994"/>
    <mergeCell ref="D993:D994"/>
    <mergeCell ref="E993:E994"/>
    <mergeCell ref="F993:G994"/>
    <mergeCell ref="H993:H994"/>
    <mergeCell ref="I993:I994"/>
    <mergeCell ref="J993:J994"/>
    <mergeCell ref="K993:K994"/>
    <mergeCell ref="L993:L994"/>
    <mergeCell ref="A995:A996"/>
    <mergeCell ref="B995:B996"/>
    <mergeCell ref="C995:C996"/>
    <mergeCell ref="D995:D996"/>
    <mergeCell ref="E995:E996"/>
    <mergeCell ref="F995:G996"/>
    <mergeCell ref="H995:H996"/>
    <mergeCell ref="I995:I996"/>
    <mergeCell ref="J995:J996"/>
    <mergeCell ref="K995:K996"/>
    <mergeCell ref="L995:L996"/>
    <mergeCell ref="A1001:A1002"/>
    <mergeCell ref="B1001:B1002"/>
    <mergeCell ref="C1001:C1002"/>
    <mergeCell ref="D1001:D1002"/>
    <mergeCell ref="E1001:E1002"/>
    <mergeCell ref="F1001:G1002"/>
    <mergeCell ref="H1001:H1002"/>
    <mergeCell ref="I1001:I1002"/>
    <mergeCell ref="J1001:J1002"/>
    <mergeCell ref="K1001:K1002"/>
    <mergeCell ref="L1001:L1002"/>
    <mergeCell ref="A997:A998"/>
    <mergeCell ref="B997:B998"/>
    <mergeCell ref="C997:C998"/>
    <mergeCell ref="D997:D998"/>
    <mergeCell ref="E997:E998"/>
    <mergeCell ref="F997:G998"/>
    <mergeCell ref="H997:H998"/>
    <mergeCell ref="I997:I998"/>
    <mergeCell ref="J997:J998"/>
    <mergeCell ref="K997:K998"/>
    <mergeCell ref="L997:L998"/>
    <mergeCell ref="A999:A1000"/>
    <mergeCell ref="B999:B1000"/>
    <mergeCell ref="C999:C1000"/>
    <mergeCell ref="D999:D1000"/>
    <mergeCell ref="E999:E1000"/>
    <mergeCell ref="F999:G1000"/>
    <mergeCell ref="H999:H1000"/>
    <mergeCell ref="I999:I1000"/>
    <mergeCell ref="J999:J1000"/>
    <mergeCell ref="K999:K1000"/>
    <mergeCell ref="C1015:C1016"/>
    <mergeCell ref="D1015:D1016"/>
    <mergeCell ref="E1015:E1016"/>
    <mergeCell ref="F1015:G1016"/>
    <mergeCell ref="H1015:H1016"/>
    <mergeCell ref="I1015:I1016"/>
    <mergeCell ref="J1015:J1016"/>
    <mergeCell ref="K1015:K1016"/>
    <mergeCell ref="L1015:L1016"/>
    <mergeCell ref="A1013:A1014"/>
    <mergeCell ref="B1013:B1014"/>
    <mergeCell ref="C1013:C1014"/>
    <mergeCell ref="D1013:D1014"/>
    <mergeCell ref="E1013:E1014"/>
    <mergeCell ref="F1013:G1014"/>
    <mergeCell ref="H1013:H1014"/>
    <mergeCell ref="I1013:I1014"/>
    <mergeCell ref="J1013:J1014"/>
    <mergeCell ref="K1013:K1014"/>
    <mergeCell ref="L1013:L1014"/>
    <mergeCell ref="A1023:A1024"/>
    <mergeCell ref="B1023:B1024"/>
    <mergeCell ref="C1023:C1024"/>
    <mergeCell ref="D1023:D1024"/>
    <mergeCell ref="E1023:E1024"/>
    <mergeCell ref="F1023:G1024"/>
    <mergeCell ref="H1023:H1024"/>
    <mergeCell ref="I1023:I1024"/>
    <mergeCell ref="J1023:J1024"/>
    <mergeCell ref="K1023:K1024"/>
    <mergeCell ref="L1023:L1024"/>
    <mergeCell ref="A1017:A1018"/>
    <mergeCell ref="B1017:B1018"/>
    <mergeCell ref="C1017:C1018"/>
    <mergeCell ref="D1017:D1018"/>
    <mergeCell ref="E1017:E1018"/>
    <mergeCell ref="F1017:G1018"/>
    <mergeCell ref="H1017:H1018"/>
    <mergeCell ref="I1017:I1018"/>
    <mergeCell ref="J1017:J1018"/>
    <mergeCell ref="K1017:K1018"/>
    <mergeCell ref="L1017:L1018"/>
    <mergeCell ref="A1019:A1020"/>
    <mergeCell ref="B1019:B1020"/>
    <mergeCell ref="C1019:C1020"/>
    <mergeCell ref="D1019:D1020"/>
    <mergeCell ref="E1019:E1020"/>
    <mergeCell ref="F1019:G1020"/>
    <mergeCell ref="H1019:H1020"/>
    <mergeCell ref="I1019:I1020"/>
    <mergeCell ref="J1019:J1020"/>
    <mergeCell ref="K1019:K1020"/>
    <mergeCell ref="A1025:A1026"/>
    <mergeCell ref="B1025:B1026"/>
    <mergeCell ref="C1025:C1026"/>
    <mergeCell ref="D1025:D1026"/>
    <mergeCell ref="E1025:E1026"/>
    <mergeCell ref="F1025:G1026"/>
    <mergeCell ref="H1025:H1026"/>
    <mergeCell ref="I1025:I1026"/>
    <mergeCell ref="J1025:J1026"/>
    <mergeCell ref="K1025:K1026"/>
    <mergeCell ref="L1025:L1026"/>
    <mergeCell ref="A1029:A1030"/>
    <mergeCell ref="B1029:B1030"/>
    <mergeCell ref="C1029:C1030"/>
    <mergeCell ref="D1029:D1030"/>
    <mergeCell ref="E1029:E1030"/>
    <mergeCell ref="F1029:G1030"/>
    <mergeCell ref="H1029:H1030"/>
    <mergeCell ref="I1029:I1030"/>
    <mergeCell ref="J1029:J1030"/>
    <mergeCell ref="K1029:K1030"/>
    <mergeCell ref="L1029:L1030"/>
    <mergeCell ref="A1027:A1028"/>
    <mergeCell ref="B1027:B1028"/>
    <mergeCell ref="C1027:C1028"/>
    <mergeCell ref="D1027:D1028"/>
    <mergeCell ref="E1027:E1028"/>
    <mergeCell ref="F1027:G1028"/>
    <mergeCell ref="H1027:H1028"/>
    <mergeCell ref="I1027:I1028"/>
    <mergeCell ref="J1027:J1028"/>
    <mergeCell ref="K1027:K1028"/>
    <mergeCell ref="K1031:K1032"/>
    <mergeCell ref="L1031:L1032"/>
    <mergeCell ref="A1039:A1040"/>
    <mergeCell ref="B1039:B1040"/>
    <mergeCell ref="C1039:C1040"/>
    <mergeCell ref="D1039:D1040"/>
    <mergeCell ref="E1039:E1040"/>
    <mergeCell ref="F1039:G1040"/>
    <mergeCell ref="H1039:H1040"/>
    <mergeCell ref="I1039:I1040"/>
    <mergeCell ref="J1039:J1040"/>
    <mergeCell ref="K1039:K1040"/>
    <mergeCell ref="L1039:L1040"/>
    <mergeCell ref="A1037:A1038"/>
    <mergeCell ref="B1037:B1038"/>
    <mergeCell ref="C1037:C1038"/>
    <mergeCell ref="D1037:D1038"/>
    <mergeCell ref="E1037:E1038"/>
    <mergeCell ref="F1037:G1038"/>
    <mergeCell ref="H1037:H1038"/>
    <mergeCell ref="I1037:I1038"/>
    <mergeCell ref="J1037:J1038"/>
    <mergeCell ref="K1037:K1038"/>
    <mergeCell ref="L1037:L1038"/>
    <mergeCell ref="L1047:L1048"/>
    <mergeCell ref="A1041:A1042"/>
    <mergeCell ref="B1041:B1042"/>
    <mergeCell ref="C1041:C1042"/>
    <mergeCell ref="D1041:D1042"/>
    <mergeCell ref="E1041:E1042"/>
    <mergeCell ref="F1041:G1042"/>
    <mergeCell ref="H1041:H1042"/>
    <mergeCell ref="I1041:I1042"/>
    <mergeCell ref="J1041:J1042"/>
    <mergeCell ref="K1041:K1042"/>
    <mergeCell ref="L1041:L1042"/>
    <mergeCell ref="A1043:A1044"/>
    <mergeCell ref="B1043:B1044"/>
    <mergeCell ref="C1043:C1044"/>
    <mergeCell ref="D1043:D1044"/>
    <mergeCell ref="E1043:E1044"/>
    <mergeCell ref="F1043:G1044"/>
    <mergeCell ref="H1043:H1044"/>
    <mergeCell ref="I1043:I1044"/>
    <mergeCell ref="J1043:J1044"/>
    <mergeCell ref="K1043:K1044"/>
    <mergeCell ref="L1043:L1044"/>
    <mergeCell ref="A1049:A1050"/>
    <mergeCell ref="B1049:B1050"/>
    <mergeCell ref="C1049:C1050"/>
    <mergeCell ref="D1049:D1050"/>
    <mergeCell ref="E1049:E1050"/>
    <mergeCell ref="F1049:G1050"/>
    <mergeCell ref="H1049:H1050"/>
    <mergeCell ref="I1049:I1050"/>
    <mergeCell ref="J1049:J1050"/>
    <mergeCell ref="K1049:K1050"/>
    <mergeCell ref="L1049:L1050"/>
    <mergeCell ref="A1045:A1046"/>
    <mergeCell ref="B1045:B1046"/>
    <mergeCell ref="C1045:C1046"/>
    <mergeCell ref="D1045:D1046"/>
    <mergeCell ref="E1045:E1046"/>
    <mergeCell ref="F1045:G1046"/>
    <mergeCell ref="H1045:H1046"/>
    <mergeCell ref="I1045:I1046"/>
    <mergeCell ref="J1045:J1046"/>
    <mergeCell ref="K1045:K1046"/>
    <mergeCell ref="L1045:L1046"/>
    <mergeCell ref="A1047:A1048"/>
    <mergeCell ref="B1047:B1048"/>
    <mergeCell ref="C1047:C1048"/>
    <mergeCell ref="D1047:D1048"/>
    <mergeCell ref="E1047:E1048"/>
    <mergeCell ref="F1047:G1048"/>
    <mergeCell ref="H1047:H1048"/>
    <mergeCell ref="I1047:I1048"/>
    <mergeCell ref="J1047:J1048"/>
    <mergeCell ref="K1047:K1048"/>
    <mergeCell ref="A1051:A1052"/>
    <mergeCell ref="B1051:B1052"/>
    <mergeCell ref="C1051:C1052"/>
    <mergeCell ref="D1051:D1052"/>
    <mergeCell ref="E1051:E1052"/>
    <mergeCell ref="F1051:G1052"/>
    <mergeCell ref="H1051:H1052"/>
    <mergeCell ref="I1051:I1052"/>
    <mergeCell ref="J1051:J1052"/>
    <mergeCell ref="K1051:K1052"/>
    <mergeCell ref="L1051:L1052"/>
    <mergeCell ref="A1053:A1054"/>
    <mergeCell ref="B1053:B1054"/>
    <mergeCell ref="C1053:C1054"/>
    <mergeCell ref="D1053:D1054"/>
    <mergeCell ref="E1053:E1054"/>
    <mergeCell ref="F1053:G1054"/>
    <mergeCell ref="H1053:H1054"/>
    <mergeCell ref="I1053:I1054"/>
    <mergeCell ref="J1053:J1054"/>
    <mergeCell ref="K1053:K1054"/>
    <mergeCell ref="L1053:L1054"/>
    <mergeCell ref="A1055:A1056"/>
    <mergeCell ref="B1055:B1056"/>
    <mergeCell ref="C1055:C1056"/>
    <mergeCell ref="D1055:D1056"/>
    <mergeCell ref="E1055:E1056"/>
    <mergeCell ref="F1055:G1056"/>
    <mergeCell ref="H1055:H1056"/>
    <mergeCell ref="I1055:I1056"/>
    <mergeCell ref="J1055:J1056"/>
    <mergeCell ref="K1055:K1056"/>
    <mergeCell ref="L1055:L1056"/>
    <mergeCell ref="A1057:A1058"/>
    <mergeCell ref="B1057:B1058"/>
    <mergeCell ref="C1057:C1058"/>
    <mergeCell ref="D1057:D1058"/>
    <mergeCell ref="E1057:E1058"/>
    <mergeCell ref="F1057:G1058"/>
    <mergeCell ref="H1057:H1058"/>
    <mergeCell ref="I1057:I1058"/>
    <mergeCell ref="J1057:J1058"/>
    <mergeCell ref="K1057:K1058"/>
    <mergeCell ref="L1057:L1058"/>
    <mergeCell ref="A1059:A1060"/>
    <mergeCell ref="B1059:B1060"/>
    <mergeCell ref="C1059:C1060"/>
    <mergeCell ref="D1059:D1060"/>
    <mergeCell ref="E1059:E1060"/>
    <mergeCell ref="F1059:G1060"/>
    <mergeCell ref="H1059:H1060"/>
    <mergeCell ref="I1059:I1060"/>
    <mergeCell ref="J1059:J1060"/>
    <mergeCell ref="K1059:K1060"/>
    <mergeCell ref="L1059:L1060"/>
    <mergeCell ref="A1061:A1062"/>
    <mergeCell ref="B1061:B1062"/>
    <mergeCell ref="C1061:C1062"/>
    <mergeCell ref="D1061:D1062"/>
    <mergeCell ref="E1061:E1062"/>
    <mergeCell ref="F1061:G1062"/>
    <mergeCell ref="H1061:H1062"/>
    <mergeCell ref="I1061:I1062"/>
    <mergeCell ref="J1061:J1062"/>
    <mergeCell ref="K1061:K1062"/>
    <mergeCell ref="L1061:L1062"/>
    <mergeCell ref="A1063:A1064"/>
    <mergeCell ref="B1063:B1064"/>
    <mergeCell ref="C1063:C1064"/>
    <mergeCell ref="D1063:D1064"/>
    <mergeCell ref="E1063:E1064"/>
    <mergeCell ref="F1063:G1064"/>
    <mergeCell ref="H1063:H1064"/>
    <mergeCell ref="I1063:I1064"/>
    <mergeCell ref="J1063:J1064"/>
    <mergeCell ref="K1063:K1064"/>
    <mergeCell ref="L1063:L1064"/>
    <mergeCell ref="A1065:A1066"/>
    <mergeCell ref="B1065:B1066"/>
    <mergeCell ref="C1065:C1066"/>
    <mergeCell ref="D1065:D1066"/>
    <mergeCell ref="E1065:E1066"/>
    <mergeCell ref="F1065:G1066"/>
    <mergeCell ref="H1065:H1066"/>
    <mergeCell ref="I1065:I1066"/>
    <mergeCell ref="J1065:J1066"/>
    <mergeCell ref="K1065:K1066"/>
    <mergeCell ref="L1065:L1066"/>
    <mergeCell ref="A1067:A1068"/>
    <mergeCell ref="B1067:B1068"/>
    <mergeCell ref="C1067:C1068"/>
    <mergeCell ref="D1067:D1068"/>
    <mergeCell ref="E1067:E1068"/>
    <mergeCell ref="F1067:G1068"/>
    <mergeCell ref="H1067:H1068"/>
    <mergeCell ref="I1067:I1068"/>
    <mergeCell ref="J1067:J1068"/>
    <mergeCell ref="K1067:K1068"/>
    <mergeCell ref="L1067:L1068"/>
    <mergeCell ref="A1069:A1070"/>
    <mergeCell ref="B1069:B1070"/>
    <mergeCell ref="C1069:C1070"/>
    <mergeCell ref="D1069:D1070"/>
    <mergeCell ref="E1069:E1070"/>
    <mergeCell ref="F1069:G1070"/>
    <mergeCell ref="H1069:H1070"/>
    <mergeCell ref="I1069:I1070"/>
    <mergeCell ref="J1069:J1070"/>
    <mergeCell ref="K1069:K1070"/>
    <mergeCell ref="L1069:L1070"/>
    <mergeCell ref="A1071:A1072"/>
    <mergeCell ref="B1071:B1072"/>
    <mergeCell ref="C1071:C1072"/>
    <mergeCell ref="D1071:D1072"/>
    <mergeCell ref="E1071:E1072"/>
    <mergeCell ref="F1071:G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G1074"/>
    <mergeCell ref="H1073:H1074"/>
    <mergeCell ref="I1073:I1074"/>
    <mergeCell ref="J1073:J1074"/>
    <mergeCell ref="K1073:K1074"/>
    <mergeCell ref="L1073:L1074"/>
    <mergeCell ref="A1075:A1076"/>
    <mergeCell ref="B1075:B1076"/>
    <mergeCell ref="C1075:C1076"/>
    <mergeCell ref="D1075:D1076"/>
    <mergeCell ref="E1075:E1076"/>
    <mergeCell ref="F1075:G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G1078"/>
    <mergeCell ref="H1077:H1078"/>
    <mergeCell ref="I1077:I1078"/>
    <mergeCell ref="J1077:J1078"/>
    <mergeCell ref="K1077:K1078"/>
    <mergeCell ref="L1077:L1078"/>
    <mergeCell ref="A1079:A1080"/>
    <mergeCell ref="B1079:B1080"/>
    <mergeCell ref="C1079:C1080"/>
    <mergeCell ref="D1079:D1080"/>
    <mergeCell ref="E1079:E1080"/>
    <mergeCell ref="F1079:G1080"/>
    <mergeCell ref="H1079:H1080"/>
    <mergeCell ref="I1079:I1080"/>
    <mergeCell ref="J1079:J1080"/>
    <mergeCell ref="K1079:K1080"/>
    <mergeCell ref="L1079:L1080"/>
    <mergeCell ref="A1081:A1082"/>
    <mergeCell ref="B1081:B1082"/>
    <mergeCell ref="C1081:C1082"/>
    <mergeCell ref="D1081:D1082"/>
    <mergeCell ref="E1081:E1082"/>
    <mergeCell ref="F1081:G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G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F1085:G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F1087:G1088"/>
    <mergeCell ref="H1087:H1088"/>
    <mergeCell ref="I1087:I1088"/>
    <mergeCell ref="J1087:J1088"/>
    <mergeCell ref="K1087:K1088"/>
    <mergeCell ref="L1087:L1088"/>
    <mergeCell ref="A1089:A1090"/>
    <mergeCell ref="B1089:B1090"/>
    <mergeCell ref="C1089:C1090"/>
    <mergeCell ref="D1089:D1090"/>
    <mergeCell ref="E1089:E1090"/>
    <mergeCell ref="F1089:G1090"/>
    <mergeCell ref="H1089:H1090"/>
    <mergeCell ref="I1089:I1090"/>
    <mergeCell ref="J1089:J1090"/>
    <mergeCell ref="K1089:K1090"/>
    <mergeCell ref="L1089:L1090"/>
    <mergeCell ref="A1091:A1092"/>
    <mergeCell ref="B1091:B1092"/>
    <mergeCell ref="C1091:C1092"/>
    <mergeCell ref="D1091:D1092"/>
    <mergeCell ref="E1091:E1092"/>
    <mergeCell ref="F1091:G1092"/>
    <mergeCell ref="H1091:H1092"/>
    <mergeCell ref="I1091:I1092"/>
    <mergeCell ref="J1091:J1092"/>
    <mergeCell ref="K1091:K1092"/>
    <mergeCell ref="L1091:L1092"/>
    <mergeCell ref="A1093:A1094"/>
    <mergeCell ref="B1093:B1094"/>
    <mergeCell ref="C1093:C1094"/>
    <mergeCell ref="D1093:D1094"/>
    <mergeCell ref="E1093:E1094"/>
    <mergeCell ref="F1093:G1094"/>
    <mergeCell ref="H1093:H1094"/>
    <mergeCell ref="I1093:I1094"/>
    <mergeCell ref="J1093:J1094"/>
    <mergeCell ref="K1093:K1094"/>
    <mergeCell ref="L1093:L1094"/>
    <mergeCell ref="A1095:A1096"/>
    <mergeCell ref="B1095:B1096"/>
    <mergeCell ref="C1095:C1096"/>
    <mergeCell ref="D1095:D1096"/>
    <mergeCell ref="E1095:E1096"/>
    <mergeCell ref="F1095:G1096"/>
    <mergeCell ref="H1095:H1096"/>
    <mergeCell ref="I1095:I1096"/>
    <mergeCell ref="J1095:J1096"/>
    <mergeCell ref="K1095:K1096"/>
    <mergeCell ref="L1095:L1096"/>
    <mergeCell ref="A1097:A1098"/>
    <mergeCell ref="B1097:B1098"/>
    <mergeCell ref="C1097:C1098"/>
    <mergeCell ref="D1097:D1098"/>
    <mergeCell ref="E1097:E1098"/>
    <mergeCell ref="F1097:G1098"/>
    <mergeCell ref="H1097:H1098"/>
    <mergeCell ref="I1097:I1098"/>
    <mergeCell ref="J1097:J1098"/>
    <mergeCell ref="K1097:K1098"/>
    <mergeCell ref="L1097:L1098"/>
    <mergeCell ref="A1099:A1100"/>
    <mergeCell ref="B1099:B1100"/>
    <mergeCell ref="C1099:C1100"/>
    <mergeCell ref="D1099:D1100"/>
    <mergeCell ref="E1099:E1100"/>
    <mergeCell ref="F1099:G1100"/>
    <mergeCell ref="H1099:H1100"/>
    <mergeCell ref="I1099:I1100"/>
    <mergeCell ref="J1099:J1100"/>
    <mergeCell ref="K1099:K1100"/>
    <mergeCell ref="L1099:L1100"/>
    <mergeCell ref="A1101:A1102"/>
    <mergeCell ref="B1101:B1102"/>
    <mergeCell ref="C1101:C1102"/>
    <mergeCell ref="D1101:D1102"/>
    <mergeCell ref="E1101:E1102"/>
    <mergeCell ref="F1101:G1102"/>
    <mergeCell ref="H1101:H1102"/>
    <mergeCell ref="I1101:I1102"/>
    <mergeCell ref="J1101:J1102"/>
    <mergeCell ref="K1101:K1102"/>
    <mergeCell ref="L1101:L1102"/>
    <mergeCell ref="A1103:A1104"/>
    <mergeCell ref="B1103:B1104"/>
    <mergeCell ref="C1103:C1104"/>
    <mergeCell ref="D1103:D1104"/>
    <mergeCell ref="E1103:E1104"/>
    <mergeCell ref="F1103:G1104"/>
    <mergeCell ref="H1103:H1104"/>
    <mergeCell ref="I1103:I1104"/>
    <mergeCell ref="J1103:J1104"/>
    <mergeCell ref="K1103:K1104"/>
    <mergeCell ref="L1103:L1104"/>
    <mergeCell ref="A1105:A1106"/>
    <mergeCell ref="B1105:B1106"/>
    <mergeCell ref="C1105:C1106"/>
    <mergeCell ref="D1105:D1106"/>
    <mergeCell ref="E1105:E1106"/>
    <mergeCell ref="F1105:G1106"/>
    <mergeCell ref="H1105:H1106"/>
    <mergeCell ref="I1105:I1106"/>
    <mergeCell ref="J1105:J1106"/>
    <mergeCell ref="K1105:K1106"/>
    <mergeCell ref="L1105:L1106"/>
    <mergeCell ref="A1107:A1108"/>
    <mergeCell ref="B1107:B1108"/>
    <mergeCell ref="C1107:C1108"/>
    <mergeCell ref="D1107:D1108"/>
    <mergeCell ref="E1107:E1108"/>
    <mergeCell ref="F1107:G1108"/>
    <mergeCell ref="H1107:H1108"/>
    <mergeCell ref="I1107:I1108"/>
    <mergeCell ref="J1107:J1108"/>
    <mergeCell ref="K1107:K1108"/>
    <mergeCell ref="L1107:L1108"/>
    <mergeCell ref="A1109:A1110"/>
    <mergeCell ref="B1109:B1110"/>
    <mergeCell ref="C1109:C1110"/>
    <mergeCell ref="D1109:D1110"/>
    <mergeCell ref="E1109:E1110"/>
    <mergeCell ref="F1109:G1110"/>
    <mergeCell ref="H1109:H1110"/>
    <mergeCell ref="I1109:I1110"/>
    <mergeCell ref="J1109:J1110"/>
    <mergeCell ref="K1109:K1110"/>
    <mergeCell ref="L1109:L1110"/>
    <mergeCell ref="A1111:A1112"/>
    <mergeCell ref="B1111:B1112"/>
    <mergeCell ref="C1111:C1112"/>
    <mergeCell ref="D1111:D1112"/>
    <mergeCell ref="E1111:E1112"/>
    <mergeCell ref="F1111:G1112"/>
    <mergeCell ref="H1111:H1112"/>
    <mergeCell ref="I1111:I1112"/>
    <mergeCell ref="J1111:J1112"/>
    <mergeCell ref="K1111:K1112"/>
    <mergeCell ref="L1111:L1112"/>
    <mergeCell ref="A1113:A1114"/>
    <mergeCell ref="B1113:B1114"/>
    <mergeCell ref="C1113:C1114"/>
    <mergeCell ref="D1113:D1114"/>
    <mergeCell ref="E1113:E1114"/>
    <mergeCell ref="F1113:G1114"/>
    <mergeCell ref="H1113:H1114"/>
    <mergeCell ref="I1113:I1114"/>
    <mergeCell ref="J1113:J1114"/>
    <mergeCell ref="K1113:K1114"/>
    <mergeCell ref="L1113:L1114"/>
    <mergeCell ref="A1115:A1116"/>
    <mergeCell ref="B1115:B1116"/>
    <mergeCell ref="C1115:C1116"/>
    <mergeCell ref="D1115:D1116"/>
    <mergeCell ref="E1115:E1116"/>
    <mergeCell ref="F1115:G1116"/>
    <mergeCell ref="H1115:H1116"/>
    <mergeCell ref="I1115:I1116"/>
    <mergeCell ref="J1115:J1116"/>
    <mergeCell ref="K1115:K1116"/>
    <mergeCell ref="L1115:L1116"/>
    <mergeCell ref="A1117:A1118"/>
    <mergeCell ref="B1117:B1118"/>
    <mergeCell ref="C1117:C1118"/>
    <mergeCell ref="D1117:D1118"/>
    <mergeCell ref="E1117:E1118"/>
    <mergeCell ref="F1117:G1118"/>
    <mergeCell ref="H1117:H1118"/>
    <mergeCell ref="I1117:I1118"/>
    <mergeCell ref="J1117:J1118"/>
    <mergeCell ref="K1117:K1118"/>
    <mergeCell ref="L1117:L1118"/>
    <mergeCell ref="A1119:A1120"/>
    <mergeCell ref="B1119:B1120"/>
    <mergeCell ref="C1119:C1120"/>
    <mergeCell ref="D1119:D1120"/>
    <mergeCell ref="E1119:E1120"/>
    <mergeCell ref="F1119:G1120"/>
    <mergeCell ref="H1119:H1120"/>
    <mergeCell ref="I1119:I1120"/>
    <mergeCell ref="J1119:J1120"/>
    <mergeCell ref="K1119:K1120"/>
    <mergeCell ref="L1119:L1120"/>
    <mergeCell ref="A1121:A1122"/>
    <mergeCell ref="B1121:B1122"/>
    <mergeCell ref="C1121:C1122"/>
    <mergeCell ref="D1121:D1122"/>
    <mergeCell ref="E1121:E1122"/>
    <mergeCell ref="F1121:G1122"/>
    <mergeCell ref="H1121:H1122"/>
    <mergeCell ref="I1121:I1122"/>
    <mergeCell ref="J1121:J1122"/>
    <mergeCell ref="K1121:K1122"/>
    <mergeCell ref="L1121:L1122"/>
    <mergeCell ref="A1123:A1124"/>
    <mergeCell ref="B1123:B1124"/>
    <mergeCell ref="C1123:C1124"/>
    <mergeCell ref="D1123:D1124"/>
    <mergeCell ref="E1123:E1124"/>
    <mergeCell ref="F1123:G1124"/>
    <mergeCell ref="H1123:H1124"/>
    <mergeCell ref="I1123:I1124"/>
    <mergeCell ref="J1123:J1124"/>
    <mergeCell ref="K1123:K1124"/>
    <mergeCell ref="L1123:L1124"/>
    <mergeCell ref="A1125:A1126"/>
    <mergeCell ref="B1125:B1126"/>
    <mergeCell ref="C1125:C1126"/>
    <mergeCell ref="D1125:D1126"/>
    <mergeCell ref="E1125:E1126"/>
    <mergeCell ref="F1125:G1126"/>
    <mergeCell ref="H1125:H1126"/>
    <mergeCell ref="I1125:I1126"/>
    <mergeCell ref="J1125:J1126"/>
    <mergeCell ref="K1125:K1126"/>
    <mergeCell ref="L1125:L1126"/>
    <mergeCell ref="A1127:A1128"/>
    <mergeCell ref="B1127:B1128"/>
    <mergeCell ref="C1127:C1128"/>
    <mergeCell ref="D1127:D1128"/>
    <mergeCell ref="E1127:E1128"/>
    <mergeCell ref="F1127:G1128"/>
    <mergeCell ref="H1127:H1128"/>
    <mergeCell ref="I1127:I1128"/>
    <mergeCell ref="J1127:J1128"/>
    <mergeCell ref="K1127:K1128"/>
    <mergeCell ref="L1127:L1128"/>
    <mergeCell ref="A1129:A1130"/>
    <mergeCell ref="B1129:B1130"/>
    <mergeCell ref="C1129:C1130"/>
    <mergeCell ref="D1129:D1130"/>
    <mergeCell ref="E1129:E1130"/>
    <mergeCell ref="F1129:G1130"/>
    <mergeCell ref="H1129:H1130"/>
    <mergeCell ref="I1129:I1130"/>
    <mergeCell ref="J1129:J1130"/>
    <mergeCell ref="K1129:K1130"/>
    <mergeCell ref="L1129:L1130"/>
    <mergeCell ref="A1131:A1132"/>
    <mergeCell ref="B1131:B1132"/>
    <mergeCell ref="C1131:C1132"/>
    <mergeCell ref="D1131:D1132"/>
    <mergeCell ref="E1131:E1132"/>
    <mergeCell ref="F1131:G1132"/>
    <mergeCell ref="H1131:H1132"/>
    <mergeCell ref="I1131:I1132"/>
    <mergeCell ref="J1131:J1132"/>
    <mergeCell ref="K1131:K1132"/>
    <mergeCell ref="L1131:L1132"/>
    <mergeCell ref="A1133:A1134"/>
    <mergeCell ref="B1133:B1134"/>
    <mergeCell ref="C1133:C1134"/>
    <mergeCell ref="D1133:D1134"/>
    <mergeCell ref="E1133:E1134"/>
    <mergeCell ref="F1133:G1134"/>
    <mergeCell ref="H1133:H1134"/>
    <mergeCell ref="I1133:I1134"/>
    <mergeCell ref="J1133:J1134"/>
    <mergeCell ref="K1133:K1134"/>
    <mergeCell ref="L1133:L1134"/>
    <mergeCell ref="A1135:A1136"/>
    <mergeCell ref="B1135:B1136"/>
    <mergeCell ref="C1135:C1136"/>
    <mergeCell ref="D1135:D1136"/>
    <mergeCell ref="E1135:E1136"/>
    <mergeCell ref="F1135:G1136"/>
    <mergeCell ref="H1135:H1136"/>
    <mergeCell ref="I1135:I1136"/>
    <mergeCell ref="J1135:J1136"/>
    <mergeCell ref="K1135:K1136"/>
    <mergeCell ref="L1135:L1136"/>
    <mergeCell ref="A1137:A1138"/>
    <mergeCell ref="B1137:B1138"/>
    <mergeCell ref="C1137:C1138"/>
    <mergeCell ref="D1137:D1138"/>
    <mergeCell ref="E1137:E1138"/>
    <mergeCell ref="F1137:G1138"/>
    <mergeCell ref="H1137:H1138"/>
    <mergeCell ref="I1137:I1138"/>
    <mergeCell ref="J1137:J1138"/>
    <mergeCell ref="K1137:K1138"/>
    <mergeCell ref="L1137:L1138"/>
    <mergeCell ref="A1139:A1140"/>
    <mergeCell ref="B1139:B1140"/>
    <mergeCell ref="C1139:C1140"/>
    <mergeCell ref="D1139:D1140"/>
    <mergeCell ref="E1139:E1140"/>
    <mergeCell ref="F1139:G1140"/>
    <mergeCell ref="H1139:H1140"/>
    <mergeCell ref="I1139:I1140"/>
    <mergeCell ref="J1139:J1140"/>
    <mergeCell ref="K1139:K1140"/>
    <mergeCell ref="L1139:L1140"/>
    <mergeCell ref="A1141:A1142"/>
    <mergeCell ref="B1141:B1142"/>
    <mergeCell ref="C1141:C1142"/>
    <mergeCell ref="D1141:D1142"/>
    <mergeCell ref="E1141:E1142"/>
    <mergeCell ref="F1141:G1142"/>
    <mergeCell ref="H1141:H1142"/>
    <mergeCell ref="I1141:I1142"/>
    <mergeCell ref="J1141:J1142"/>
    <mergeCell ref="K1141:K1142"/>
    <mergeCell ref="L1141:L1142"/>
    <mergeCell ref="A1143:A1144"/>
    <mergeCell ref="B1143:B1144"/>
    <mergeCell ref="C1143:C1144"/>
    <mergeCell ref="D1143:D1144"/>
    <mergeCell ref="E1143:E1144"/>
    <mergeCell ref="F1143:G1144"/>
    <mergeCell ref="H1143:H1144"/>
    <mergeCell ref="I1143:I1144"/>
    <mergeCell ref="J1143:J1144"/>
    <mergeCell ref="K1143:K1144"/>
    <mergeCell ref="L1143:L1144"/>
    <mergeCell ref="A1145:A1146"/>
    <mergeCell ref="B1145:B1146"/>
    <mergeCell ref="C1145:C1146"/>
    <mergeCell ref="D1145:D1146"/>
    <mergeCell ref="E1145:E1146"/>
    <mergeCell ref="F1145:G1146"/>
    <mergeCell ref="H1145:H1146"/>
    <mergeCell ref="I1145:I1146"/>
    <mergeCell ref="J1145:J1146"/>
    <mergeCell ref="K1145:K1146"/>
    <mergeCell ref="L1145:L1146"/>
    <mergeCell ref="A1147:A1148"/>
    <mergeCell ref="B1147:B1148"/>
    <mergeCell ref="C1147:C1148"/>
    <mergeCell ref="D1147:D1148"/>
    <mergeCell ref="E1147:E1148"/>
    <mergeCell ref="F1147:G1148"/>
    <mergeCell ref="H1147:H1148"/>
    <mergeCell ref="I1147:I1148"/>
    <mergeCell ref="J1147:J1148"/>
    <mergeCell ref="K1147:K1148"/>
    <mergeCell ref="L1147:L1148"/>
    <mergeCell ref="A1149:A1150"/>
    <mergeCell ref="B1149:B1150"/>
    <mergeCell ref="C1149:C1150"/>
    <mergeCell ref="D1149:D1150"/>
    <mergeCell ref="E1149:E1150"/>
    <mergeCell ref="F1149:G1150"/>
    <mergeCell ref="H1149:H1150"/>
    <mergeCell ref="I1149:I1150"/>
    <mergeCell ref="J1149:J1150"/>
    <mergeCell ref="K1149:K1150"/>
    <mergeCell ref="L1149:L1150"/>
    <mergeCell ref="A1151:A1152"/>
    <mergeCell ref="B1151:B1152"/>
    <mergeCell ref="C1151:C1152"/>
    <mergeCell ref="D1151:D1152"/>
    <mergeCell ref="E1151:E1152"/>
    <mergeCell ref="F1151:G1152"/>
    <mergeCell ref="H1151:H1152"/>
    <mergeCell ref="I1151:I1152"/>
    <mergeCell ref="J1151:J1152"/>
    <mergeCell ref="K1151:K1152"/>
    <mergeCell ref="L1151:L1152"/>
    <mergeCell ref="A1153:A1154"/>
    <mergeCell ref="B1153:B1154"/>
    <mergeCell ref="C1153:C1154"/>
    <mergeCell ref="D1153:D1154"/>
    <mergeCell ref="E1153:E1154"/>
    <mergeCell ref="F1153:G1154"/>
    <mergeCell ref="H1153:H1154"/>
    <mergeCell ref="I1153:I1154"/>
    <mergeCell ref="J1153:J1154"/>
    <mergeCell ref="K1153:K1154"/>
    <mergeCell ref="L1153:L1154"/>
    <mergeCell ref="A1155:A1156"/>
    <mergeCell ref="B1155:B1156"/>
    <mergeCell ref="C1155:C1156"/>
    <mergeCell ref="D1155:D1156"/>
    <mergeCell ref="E1155:E1156"/>
    <mergeCell ref="F1155:G1156"/>
    <mergeCell ref="H1155:H1156"/>
    <mergeCell ref="I1155:I1156"/>
    <mergeCell ref="J1155:J1156"/>
    <mergeCell ref="K1155:K1156"/>
    <mergeCell ref="L1155:L1156"/>
    <mergeCell ref="A1157:A1158"/>
    <mergeCell ref="B1157:B1158"/>
    <mergeCell ref="C1157:C1158"/>
    <mergeCell ref="D1157:D1158"/>
    <mergeCell ref="E1157:E1158"/>
    <mergeCell ref="F1157:G1158"/>
    <mergeCell ref="H1157:H1158"/>
    <mergeCell ref="I1157:I1158"/>
    <mergeCell ref="J1157:J1158"/>
    <mergeCell ref="K1157:K1158"/>
    <mergeCell ref="L1157:L1158"/>
    <mergeCell ref="J1165:J1166"/>
    <mergeCell ref="K1165:K1166"/>
    <mergeCell ref="L1165:L1166"/>
    <mergeCell ref="A1159:A1160"/>
    <mergeCell ref="B1159:B1160"/>
    <mergeCell ref="C1159:C1160"/>
    <mergeCell ref="D1159:D1160"/>
    <mergeCell ref="E1159:E1160"/>
    <mergeCell ref="F1159:G1160"/>
    <mergeCell ref="H1159:H1160"/>
    <mergeCell ref="I1159:I1160"/>
    <mergeCell ref="J1159:J1160"/>
    <mergeCell ref="K1159:K1160"/>
    <mergeCell ref="L1159:L1160"/>
    <mergeCell ref="A1161:A1162"/>
    <mergeCell ref="B1161:B1162"/>
    <mergeCell ref="C1161:C1162"/>
    <mergeCell ref="D1161:D1162"/>
    <mergeCell ref="E1161:E1162"/>
    <mergeCell ref="F1161:G1162"/>
    <mergeCell ref="H1161:H1162"/>
    <mergeCell ref="I1161:I1162"/>
    <mergeCell ref="J1161:J1162"/>
    <mergeCell ref="K1161:K1162"/>
    <mergeCell ref="L1161:L1162"/>
    <mergeCell ref="L917:L918"/>
    <mergeCell ref="A921:A922"/>
    <mergeCell ref="L1169:L1170"/>
    <mergeCell ref="A1163:A1164"/>
    <mergeCell ref="B1163:B1164"/>
    <mergeCell ref="C1163:C1164"/>
    <mergeCell ref="D1163:D1164"/>
    <mergeCell ref="E1163:E1164"/>
    <mergeCell ref="F1163:G1164"/>
    <mergeCell ref="H1163:H1164"/>
    <mergeCell ref="I1163:I1164"/>
    <mergeCell ref="J1163:J1164"/>
    <mergeCell ref="K1163:K1164"/>
    <mergeCell ref="L1163:L1164"/>
    <mergeCell ref="A1165:A1166"/>
    <mergeCell ref="B1165:B1166"/>
    <mergeCell ref="C1165:C1166"/>
    <mergeCell ref="D1165:D1166"/>
    <mergeCell ref="E1165:E1166"/>
    <mergeCell ref="F1165:G1166"/>
    <mergeCell ref="H1165:H1166"/>
    <mergeCell ref="I1165:I1166"/>
    <mergeCell ref="L939:L940"/>
    <mergeCell ref="L935:L936"/>
    <mergeCell ref="A941:A942"/>
    <mergeCell ref="B941:B942"/>
    <mergeCell ref="C941:C942"/>
    <mergeCell ref="D941:D942"/>
    <mergeCell ref="E941:E942"/>
    <mergeCell ref="F941:G942"/>
    <mergeCell ref="H941:H942"/>
    <mergeCell ref="I941:I942"/>
    <mergeCell ref="J941:J942"/>
    <mergeCell ref="K941:K942"/>
    <mergeCell ref="K939:K940"/>
    <mergeCell ref="L941:L942"/>
    <mergeCell ref="L919:L920"/>
    <mergeCell ref="A927:A928"/>
    <mergeCell ref="B927:B928"/>
    <mergeCell ref="C927:C928"/>
    <mergeCell ref="L925:L926"/>
    <mergeCell ref="C939:C940"/>
    <mergeCell ref="D939:D940"/>
    <mergeCell ref="E939:E940"/>
    <mergeCell ref="F939:G940"/>
    <mergeCell ref="H939:H940"/>
    <mergeCell ref="I939:I940"/>
    <mergeCell ref="J939:J940"/>
    <mergeCell ref="A923:A924"/>
    <mergeCell ref="B923:B924"/>
    <mergeCell ref="C923:C924"/>
    <mergeCell ref="D923:D924"/>
    <mergeCell ref="E923:E924"/>
    <mergeCell ref="F923:G924"/>
    <mergeCell ref="D927:D928"/>
    <mergeCell ref="E927:E928"/>
    <mergeCell ref="F927:G928"/>
    <mergeCell ref="H927:H928"/>
    <mergeCell ref="I927:I928"/>
    <mergeCell ref="J927:J928"/>
    <mergeCell ref="K927:K928"/>
    <mergeCell ref="L927:L928"/>
    <mergeCell ref="H923:H924"/>
    <mergeCell ref="I923:I924"/>
    <mergeCell ref="A1171:A1172"/>
    <mergeCell ref="B1171:B1172"/>
    <mergeCell ref="C1171:C1172"/>
    <mergeCell ref="D1171:D1172"/>
    <mergeCell ref="E1171:E1172"/>
    <mergeCell ref="F1171:G1172"/>
    <mergeCell ref="H1171:H1172"/>
    <mergeCell ref="I1171:I1172"/>
    <mergeCell ref="J1171:J1172"/>
    <mergeCell ref="K1171:K1172"/>
    <mergeCell ref="L1171:L1172"/>
    <mergeCell ref="A1167:A1168"/>
    <mergeCell ref="B1167:B1168"/>
    <mergeCell ref="C1167:C1168"/>
    <mergeCell ref="D1167:D1168"/>
    <mergeCell ref="E1167:E1168"/>
    <mergeCell ref="F1167:G1168"/>
    <mergeCell ref="H1167:H1168"/>
    <mergeCell ref="I1167:I1168"/>
    <mergeCell ref="J1167:J1168"/>
    <mergeCell ref="K1167:K1168"/>
    <mergeCell ref="L1167:L1168"/>
    <mergeCell ref="A1169:A1170"/>
    <mergeCell ref="B1169:B1170"/>
    <mergeCell ref="C1169:C1170"/>
    <mergeCell ref="D1169:D1170"/>
    <mergeCell ref="E1169:E1170"/>
    <mergeCell ref="F1169:G1170"/>
    <mergeCell ref="H1169:H1170"/>
    <mergeCell ref="I1169:I1170"/>
    <mergeCell ref="J1169:J1170"/>
    <mergeCell ref="K1169:K1170"/>
    <mergeCell ref="J837:J838"/>
    <mergeCell ref="K837:K838"/>
    <mergeCell ref="L837:L838"/>
    <mergeCell ref="A863:A864"/>
    <mergeCell ref="B863:B864"/>
    <mergeCell ref="C863:C864"/>
    <mergeCell ref="D863:D864"/>
    <mergeCell ref="E863:E864"/>
    <mergeCell ref="F863:G864"/>
    <mergeCell ref="H863:H864"/>
    <mergeCell ref="I863:I864"/>
    <mergeCell ref="J863:J864"/>
    <mergeCell ref="K863:K864"/>
    <mergeCell ref="L863:L864"/>
    <mergeCell ref="A859:A860"/>
    <mergeCell ref="B859:B860"/>
    <mergeCell ref="C859:C860"/>
    <mergeCell ref="D859:D860"/>
    <mergeCell ref="E859:E860"/>
    <mergeCell ref="F859:G860"/>
    <mergeCell ref="H859:H860"/>
    <mergeCell ref="I859:I860"/>
    <mergeCell ref="J859:J860"/>
    <mergeCell ref="K859:K860"/>
    <mergeCell ref="L859:L860"/>
    <mergeCell ref="I855:I856"/>
    <mergeCell ref="J855:J856"/>
    <mergeCell ref="K855:K856"/>
    <mergeCell ref="L855:L856"/>
    <mergeCell ref="A857:A858"/>
    <mergeCell ref="B857:B858"/>
    <mergeCell ref="C847:C848"/>
    <mergeCell ref="M642:M643"/>
    <mergeCell ref="A943:A944"/>
    <mergeCell ref="B943:B944"/>
    <mergeCell ref="C943:C944"/>
    <mergeCell ref="D943:D944"/>
    <mergeCell ref="E943:E944"/>
    <mergeCell ref="F943:G944"/>
    <mergeCell ref="H943:H944"/>
    <mergeCell ref="I943:I944"/>
    <mergeCell ref="J943:J944"/>
    <mergeCell ref="K943:K944"/>
    <mergeCell ref="L943:L944"/>
    <mergeCell ref="K931:K932"/>
    <mergeCell ref="L931:L932"/>
    <mergeCell ref="A931:A932"/>
    <mergeCell ref="B931:B932"/>
    <mergeCell ref="C931:C932"/>
    <mergeCell ref="D931:D932"/>
    <mergeCell ref="E931:E932"/>
    <mergeCell ref="F931:G932"/>
    <mergeCell ref="H931:H932"/>
    <mergeCell ref="I931:I932"/>
    <mergeCell ref="J931:J932"/>
    <mergeCell ref="A939:A940"/>
    <mergeCell ref="A837:A838"/>
    <mergeCell ref="B837:B838"/>
    <mergeCell ref="C837:C838"/>
    <mergeCell ref="D837:D838"/>
    <mergeCell ref="E837:E838"/>
    <mergeCell ref="F837:G838"/>
    <mergeCell ref="H837:H838"/>
    <mergeCell ref="I837:I838"/>
    <mergeCell ref="A1021:L1022"/>
    <mergeCell ref="J951:J952"/>
    <mergeCell ref="K951:K952"/>
    <mergeCell ref="L951:L952"/>
    <mergeCell ref="J953:J954"/>
    <mergeCell ref="K953:K954"/>
    <mergeCell ref="L953:L954"/>
    <mergeCell ref="A1007:A1008"/>
    <mergeCell ref="B1007:B1008"/>
    <mergeCell ref="C1007:C1008"/>
    <mergeCell ref="D1007:D1008"/>
    <mergeCell ref="E1007:E1008"/>
    <mergeCell ref="F1007:G1008"/>
    <mergeCell ref="H1007:H1008"/>
    <mergeCell ref="I1007:I1008"/>
    <mergeCell ref="J1007:J1008"/>
    <mergeCell ref="K1007:K1008"/>
    <mergeCell ref="L1007:L1008"/>
    <mergeCell ref="L1019:L1020"/>
    <mergeCell ref="A1005:A1006"/>
    <mergeCell ref="B1005:B1006"/>
    <mergeCell ref="C1005:C1006"/>
    <mergeCell ref="D1005:D1006"/>
    <mergeCell ref="E1005:E1006"/>
    <mergeCell ref="F1005:G1006"/>
    <mergeCell ref="H1005:H1006"/>
    <mergeCell ref="I1005:I1006"/>
    <mergeCell ref="J1005:J1006"/>
    <mergeCell ref="K1005:K1006"/>
    <mergeCell ref="L1005:L1006"/>
    <mergeCell ref="A1015:A1016"/>
    <mergeCell ref="B1015:B1016"/>
    <mergeCell ref="A1011:A1012"/>
    <mergeCell ref="B1011:B1012"/>
    <mergeCell ref="C1011:C1012"/>
    <mergeCell ref="D1011:D1012"/>
    <mergeCell ref="E1011:E1012"/>
    <mergeCell ref="F1011:G1012"/>
    <mergeCell ref="H1011:H1012"/>
    <mergeCell ref="I1011:I1012"/>
    <mergeCell ref="J1011:J1012"/>
    <mergeCell ref="K1011:K1012"/>
    <mergeCell ref="L1011:L1012"/>
    <mergeCell ref="A1009:A1010"/>
    <mergeCell ref="B1009:B1010"/>
    <mergeCell ref="C1009:C1010"/>
    <mergeCell ref="D1009:D1010"/>
    <mergeCell ref="E1009:E1010"/>
    <mergeCell ref="F1009:G1010"/>
    <mergeCell ref="H1009:H1010"/>
    <mergeCell ref="I1009:I1010"/>
    <mergeCell ref="J1009:J1010"/>
    <mergeCell ref="K1009:K1010"/>
    <mergeCell ref="L1009:L1010"/>
  </mergeCells>
  <pageMargins left="0.7" right="0.7" top="0.75" bottom="0.75" header="0.3" footer="0.3"/>
  <pageSetup paperSize="9" orientation="landscape" verticalDpi="0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91"/>
  <sheetViews>
    <sheetView topLeftCell="A218" workbookViewId="0">
      <selection activeCell="E379" sqref="E379:E380"/>
    </sheetView>
  </sheetViews>
  <sheetFormatPr defaultRowHeight="12.75"/>
  <cols>
    <col min="1" max="1" width="4.140625" style="10" customWidth="1"/>
    <col min="2" max="2" width="19.28515625" customWidth="1"/>
    <col min="3" max="3" width="11.28515625" customWidth="1"/>
    <col min="4" max="4" width="12.7109375" customWidth="1"/>
    <col min="5" max="5" width="24.140625" customWidth="1"/>
    <col min="6" max="6" width="11.42578125" customWidth="1"/>
    <col min="7" max="7" width="8.28515625" hidden="1" customWidth="1"/>
    <col min="8" max="8" width="11.28515625" customWidth="1"/>
    <col min="9" max="9" width="10.85546875" customWidth="1"/>
    <col min="10" max="10" width="9.7109375" customWidth="1"/>
    <col min="11" max="11" width="10.42578125" customWidth="1"/>
    <col min="12" max="12" width="12" customWidth="1"/>
    <col min="13" max="13" width="16.42578125" customWidth="1"/>
    <col min="14" max="14" width="16.140625" customWidth="1"/>
    <col min="15" max="15" width="10" customWidth="1"/>
    <col min="16" max="16" width="9.42578125" customWidth="1"/>
    <col min="17" max="17" width="9.28515625" customWidth="1"/>
  </cols>
  <sheetData>
    <row r="1" spans="1:17" ht="57" thickBot="1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3" t="s">
        <v>7</v>
      </c>
      <c r="G1" s="3" t="s">
        <v>1087</v>
      </c>
      <c r="H1" s="3" t="s">
        <v>3</v>
      </c>
      <c r="I1" s="3" t="s">
        <v>21</v>
      </c>
      <c r="J1" s="3" t="s">
        <v>22</v>
      </c>
      <c r="K1" s="3" t="s">
        <v>4</v>
      </c>
      <c r="L1" s="3" t="s">
        <v>5</v>
      </c>
      <c r="M1" s="52" t="s">
        <v>1135</v>
      </c>
      <c r="N1" s="87"/>
      <c r="O1" s="98" t="s">
        <v>1134</v>
      </c>
      <c r="P1" s="86" t="s">
        <v>1132</v>
      </c>
      <c r="Q1" s="98" t="s">
        <v>1104</v>
      </c>
    </row>
    <row r="2" spans="1:17" ht="19.5" thickBot="1">
      <c r="A2" s="51"/>
      <c r="B2" s="952" t="s">
        <v>33</v>
      </c>
      <c r="C2" s="1248"/>
      <c r="D2" s="1248"/>
      <c r="E2" s="1248"/>
      <c r="F2" s="1248"/>
      <c r="G2" s="1248"/>
      <c r="H2" s="1248"/>
      <c r="I2" s="1248"/>
      <c r="J2" s="1248"/>
      <c r="K2" s="1248"/>
      <c r="L2" s="1248"/>
      <c r="M2" s="85">
        <f>SUM(I4:I75)+I84+I86</f>
        <v>181401370</v>
      </c>
      <c r="N2" s="103">
        <v>1</v>
      </c>
      <c r="O2" s="90">
        <f>M2/9800</f>
        <v>18510.343877551022</v>
      </c>
      <c r="P2" s="96">
        <f>O87-O2</f>
        <v>6370.3316326530585</v>
      </c>
      <c r="Q2" s="324">
        <f>O2+P2</f>
        <v>24880.675510204081</v>
      </c>
    </row>
    <row r="3" spans="1:17" ht="19.5" thickBot="1">
      <c r="A3" s="68"/>
      <c r="B3" s="1144" t="s">
        <v>859</v>
      </c>
      <c r="C3" s="1145"/>
      <c r="D3" s="1145"/>
      <c r="E3" s="1145"/>
      <c r="F3" s="1145"/>
      <c r="G3" s="1145"/>
      <c r="H3" s="1145"/>
      <c r="I3" s="1145"/>
      <c r="J3" s="1145"/>
      <c r="K3" s="1145"/>
      <c r="L3" s="1145"/>
      <c r="M3" s="89">
        <f>SUM(M2)</f>
        <v>181401370</v>
      </c>
      <c r="N3" s="104">
        <v>2</v>
      </c>
      <c r="O3" s="198">
        <f>M90/9800</f>
        <v>15463.401020408162</v>
      </c>
      <c r="P3" s="97">
        <f>(880+SUM(M94:M172)-O90)-500</f>
        <v>6668.4183673469361</v>
      </c>
      <c r="Q3" s="198">
        <f t="shared" ref="Q3:Q14" si="0">O3+P3</f>
        <v>22131.819387755098</v>
      </c>
    </row>
    <row r="4" spans="1:17" ht="19.5" customHeight="1">
      <c r="A4" s="1066">
        <v>1</v>
      </c>
      <c r="B4" s="975" t="s">
        <v>1089</v>
      </c>
      <c r="C4" s="969" t="s">
        <v>1119</v>
      </c>
      <c r="D4" s="1020">
        <v>41652</v>
      </c>
      <c r="E4" s="968" t="s">
        <v>239</v>
      </c>
      <c r="F4" s="968"/>
      <c r="G4" s="1170"/>
      <c r="H4" s="973">
        <v>11100000</v>
      </c>
      <c r="I4" s="973">
        <f>H4</f>
        <v>11100000</v>
      </c>
      <c r="J4" s="974"/>
      <c r="K4" s="999">
        <f>I4</f>
        <v>11100000</v>
      </c>
      <c r="L4" s="1129">
        <f>K4-I4</f>
        <v>0</v>
      </c>
      <c r="M4" s="99">
        <f>SUM(L3:L86)</f>
        <v>0</v>
      </c>
      <c r="N4" s="108">
        <v>3</v>
      </c>
      <c r="O4" s="198">
        <f>M173/9800</f>
        <v>15933.683673469388</v>
      </c>
      <c r="P4" s="97">
        <f>450+(P173-M174)</f>
        <v>6615.7448979591809</v>
      </c>
      <c r="Q4" s="198">
        <f t="shared" si="0"/>
        <v>22549.428571428569</v>
      </c>
    </row>
    <row r="5" spans="1:17" ht="21" customHeight="1">
      <c r="A5" s="1066"/>
      <c r="B5" s="976"/>
      <c r="C5" s="904"/>
      <c r="D5" s="865"/>
      <c r="E5" s="865"/>
      <c r="F5" s="865"/>
      <c r="G5" s="1247"/>
      <c r="H5" s="905"/>
      <c r="I5" s="906"/>
      <c r="J5" s="910"/>
      <c r="K5" s="920"/>
      <c r="L5" s="1130"/>
      <c r="M5" s="100">
        <f>M4/9800</f>
        <v>0</v>
      </c>
      <c r="N5" s="104">
        <v>4</v>
      </c>
      <c r="O5" s="198"/>
      <c r="P5" s="97"/>
      <c r="Q5" s="198">
        <f t="shared" si="0"/>
        <v>0</v>
      </c>
    </row>
    <row r="6" spans="1:17" ht="18" customHeight="1">
      <c r="A6" s="1066">
        <v>2</v>
      </c>
      <c r="B6" s="980"/>
      <c r="C6" s="904" t="s">
        <v>51</v>
      </c>
      <c r="D6" s="658" t="s">
        <v>42</v>
      </c>
      <c r="E6" s="865" t="s">
        <v>1113</v>
      </c>
      <c r="F6" s="865" t="s">
        <v>1106</v>
      </c>
      <c r="G6" s="91"/>
      <c r="H6" s="905">
        <v>3600000</v>
      </c>
      <c r="I6" s="905">
        <f>H6</f>
        <v>3600000</v>
      </c>
      <c r="J6" s="909"/>
      <c r="K6" s="919">
        <v>3600000</v>
      </c>
      <c r="L6" s="1130">
        <f>K6-I6</f>
        <v>0</v>
      </c>
      <c r="M6" s="79"/>
      <c r="N6" s="104">
        <v>5</v>
      </c>
      <c r="O6" s="198"/>
      <c r="P6" s="97"/>
      <c r="Q6" s="198">
        <f t="shared" si="0"/>
        <v>0</v>
      </c>
    </row>
    <row r="7" spans="1:17" ht="18.75" customHeight="1">
      <c r="A7" s="1066"/>
      <c r="B7" s="980"/>
      <c r="C7" s="904"/>
      <c r="D7" s="658"/>
      <c r="E7" s="865"/>
      <c r="F7" s="865"/>
      <c r="G7" s="91"/>
      <c r="H7" s="905"/>
      <c r="I7" s="906"/>
      <c r="J7" s="910"/>
      <c r="K7" s="920"/>
      <c r="L7" s="1130"/>
      <c r="M7" s="79"/>
      <c r="N7" s="104">
        <v>6</v>
      </c>
      <c r="O7" s="198"/>
      <c r="P7" s="97"/>
      <c r="Q7" s="198">
        <f t="shared" si="0"/>
        <v>0</v>
      </c>
    </row>
    <row r="8" spans="1:17" ht="16.5" customHeight="1">
      <c r="A8" s="1066">
        <v>3</v>
      </c>
      <c r="B8" s="1234"/>
      <c r="C8" s="904" t="s">
        <v>53</v>
      </c>
      <c r="D8" s="658" t="s">
        <v>42</v>
      </c>
      <c r="E8" s="865" t="s">
        <v>1112</v>
      </c>
      <c r="F8" s="865"/>
      <c r="G8" s="91"/>
      <c r="H8" s="905">
        <v>5000000</v>
      </c>
      <c r="I8" s="905">
        <f>H8</f>
        <v>5000000</v>
      </c>
      <c r="J8" s="909"/>
      <c r="K8" s="919">
        <v>5000000</v>
      </c>
      <c r="L8" s="1130">
        <f>K8-I8</f>
        <v>0</v>
      </c>
      <c r="M8" s="79"/>
      <c r="N8" s="104">
        <v>7</v>
      </c>
      <c r="O8" s="198"/>
      <c r="P8" s="97"/>
      <c r="Q8" s="198">
        <f t="shared" si="0"/>
        <v>0</v>
      </c>
    </row>
    <row r="9" spans="1:17" ht="16.5" customHeight="1" thickBot="1">
      <c r="A9" s="1066"/>
      <c r="B9" s="1235"/>
      <c r="C9" s="938"/>
      <c r="D9" s="939"/>
      <c r="E9" s="937"/>
      <c r="F9" s="937"/>
      <c r="G9" s="94"/>
      <c r="H9" s="942"/>
      <c r="I9" s="943"/>
      <c r="J9" s="944"/>
      <c r="K9" s="1041"/>
      <c r="L9" s="1138"/>
      <c r="M9" s="101">
        <f>(I4+I6+I8)/9800</f>
        <v>2010.204081632653</v>
      </c>
      <c r="N9" s="104">
        <v>8</v>
      </c>
      <c r="O9" s="198"/>
      <c r="P9" s="97"/>
      <c r="Q9" s="198">
        <f t="shared" si="0"/>
        <v>0</v>
      </c>
    </row>
    <row r="10" spans="1:17" ht="12.75" hidden="1" customHeight="1">
      <c r="A10" s="1066">
        <v>4</v>
      </c>
      <c r="B10" s="879"/>
      <c r="C10" s="914"/>
      <c r="D10" s="660"/>
      <c r="E10" s="879"/>
      <c r="F10" s="879"/>
      <c r="G10" s="92"/>
      <c r="H10" s="916"/>
      <c r="I10" s="916"/>
      <c r="J10" s="949"/>
      <c r="K10" s="984"/>
      <c r="L10" s="1142">
        <f>K10-I10</f>
        <v>0</v>
      </c>
      <c r="M10" s="79"/>
      <c r="N10" s="104">
        <v>9</v>
      </c>
      <c r="O10" s="198"/>
      <c r="P10" s="97"/>
      <c r="Q10" s="198">
        <f t="shared" si="0"/>
        <v>0</v>
      </c>
    </row>
    <row r="11" spans="1:17" ht="13.5" hidden="1" customHeight="1" thickBot="1">
      <c r="A11" s="1066"/>
      <c r="B11" s="878"/>
      <c r="C11" s="913"/>
      <c r="D11" s="659"/>
      <c r="E11" s="878"/>
      <c r="F11" s="878"/>
      <c r="G11" s="95"/>
      <c r="H11" s="915"/>
      <c r="I11" s="982"/>
      <c r="J11" s="917"/>
      <c r="K11" s="984"/>
      <c r="L11" s="1137"/>
      <c r="M11" s="79"/>
      <c r="N11" s="104">
        <v>10</v>
      </c>
      <c r="O11" s="198"/>
      <c r="P11" s="97"/>
      <c r="Q11" s="198">
        <f t="shared" si="0"/>
        <v>0</v>
      </c>
    </row>
    <row r="12" spans="1:17" ht="15.75" customHeight="1">
      <c r="A12" s="1066">
        <v>5</v>
      </c>
      <c r="B12" s="975" t="s">
        <v>1090</v>
      </c>
      <c r="C12" s="969" t="s">
        <v>1118</v>
      </c>
      <c r="D12" s="1020">
        <v>41652</v>
      </c>
      <c r="E12" s="968" t="str">
        <f>E4</f>
        <v>ООО "Громин"</v>
      </c>
      <c r="F12" s="968"/>
      <c r="G12" s="93"/>
      <c r="H12" s="973">
        <v>10700000</v>
      </c>
      <c r="I12" s="973">
        <f>H12</f>
        <v>10700000</v>
      </c>
      <c r="J12" s="974"/>
      <c r="K12" s="1001">
        <v>10700000</v>
      </c>
      <c r="L12" s="1129">
        <f>K12-I12</f>
        <v>0</v>
      </c>
      <c r="M12" s="102"/>
      <c r="N12" s="104">
        <v>9</v>
      </c>
      <c r="O12" s="198"/>
      <c r="P12" s="97"/>
      <c r="Q12" s="198">
        <f t="shared" si="0"/>
        <v>0</v>
      </c>
    </row>
    <row r="13" spans="1:17" ht="17.25" customHeight="1">
      <c r="A13" s="1066"/>
      <c r="B13" s="976"/>
      <c r="C13" s="904"/>
      <c r="D13" s="865"/>
      <c r="E13" s="865"/>
      <c r="F13" s="865"/>
      <c r="G13" s="91"/>
      <c r="H13" s="905"/>
      <c r="I13" s="906"/>
      <c r="J13" s="910"/>
      <c r="K13" s="920"/>
      <c r="L13" s="1130"/>
      <c r="M13" s="80"/>
      <c r="N13" s="104">
        <v>10</v>
      </c>
      <c r="O13" s="198"/>
      <c r="P13" s="198"/>
      <c r="Q13" s="198">
        <f t="shared" si="0"/>
        <v>0</v>
      </c>
    </row>
    <row r="14" spans="1:17" ht="15" customHeight="1">
      <c r="A14" s="1066">
        <v>6</v>
      </c>
      <c r="B14" s="981"/>
      <c r="C14" s="913" t="s">
        <v>43</v>
      </c>
      <c r="D14" s="659" t="s">
        <v>1100</v>
      </c>
      <c r="E14" s="878" t="s">
        <v>245</v>
      </c>
      <c r="F14" s="878"/>
      <c r="G14" s="91"/>
      <c r="H14" s="915">
        <v>2500000</v>
      </c>
      <c r="I14" s="915">
        <f>H14</f>
        <v>2500000</v>
      </c>
      <c r="J14" s="948"/>
      <c r="K14" s="915">
        <f>I14</f>
        <v>2500000</v>
      </c>
      <c r="L14" s="950">
        <f>K14-I14</f>
        <v>0</v>
      </c>
      <c r="M14" s="80"/>
      <c r="N14" s="204">
        <v>11</v>
      </c>
      <c r="O14" s="198"/>
      <c r="P14" s="198"/>
      <c r="Q14" s="198">
        <f t="shared" si="0"/>
        <v>0</v>
      </c>
    </row>
    <row r="15" spans="1:17" ht="15" customHeight="1">
      <c r="A15" s="1066"/>
      <c r="B15" s="1092"/>
      <c r="C15" s="914"/>
      <c r="D15" s="660"/>
      <c r="E15" s="879"/>
      <c r="F15" s="879"/>
      <c r="G15" s="91"/>
      <c r="H15" s="916"/>
      <c r="I15" s="916"/>
      <c r="J15" s="949"/>
      <c r="K15" s="916"/>
      <c r="L15" s="951"/>
      <c r="M15" s="80"/>
      <c r="N15" s="204">
        <v>12</v>
      </c>
      <c r="O15" s="198"/>
      <c r="P15" s="198"/>
      <c r="Q15" s="198">
        <f>O15+P15</f>
        <v>0</v>
      </c>
    </row>
    <row r="16" spans="1:17" ht="21.75" customHeight="1">
      <c r="A16" s="1066">
        <v>7</v>
      </c>
      <c r="B16" s="1227"/>
      <c r="C16" s="904" t="s">
        <v>44</v>
      </c>
      <c r="D16" s="658" t="s">
        <v>1100</v>
      </c>
      <c r="E16" s="865" t="s">
        <v>283</v>
      </c>
      <c r="F16" s="940" t="s">
        <v>1115</v>
      </c>
      <c r="G16" s="91"/>
      <c r="H16" s="905">
        <v>5600000</v>
      </c>
      <c r="I16" s="905">
        <f>H16</f>
        <v>5600000</v>
      </c>
      <c r="J16" s="909"/>
      <c r="K16" s="919">
        <v>5600000</v>
      </c>
      <c r="L16" s="1130">
        <f>K16-I16</f>
        <v>0</v>
      </c>
      <c r="M16" s="80"/>
      <c r="N16" s="204"/>
      <c r="O16" s="198">
        <f>SUM(O2:O15)</f>
        <v>49907.428571428572</v>
      </c>
      <c r="P16" s="198">
        <f>SUM(P2:P15)</f>
        <v>19654.494897959175</v>
      </c>
      <c r="Q16" s="198">
        <f>SUM(Q2:Q15)</f>
        <v>69561.923469387752</v>
      </c>
    </row>
    <row r="17" spans="1:17" ht="16.5" customHeight="1" thickBot="1">
      <c r="A17" s="1066"/>
      <c r="B17" s="1228"/>
      <c r="C17" s="938"/>
      <c r="D17" s="939"/>
      <c r="E17" s="937"/>
      <c r="F17" s="937"/>
      <c r="G17" s="94"/>
      <c r="H17" s="942"/>
      <c r="I17" s="943"/>
      <c r="J17" s="944"/>
      <c r="K17" s="1041"/>
      <c r="L17" s="1138"/>
      <c r="M17" s="105">
        <f>200+(I12+I14+I16)/9800</f>
        <v>2118.3673469387754</v>
      </c>
      <c r="N17" s="1266" t="s">
        <v>1104</v>
      </c>
      <c r="O17" s="1267"/>
      <c r="P17" s="1268"/>
      <c r="Q17" s="198">
        <f>Q2+Q3+Q4+Q5+Q6+Q7+Q8+Q9+Q13+Q15</f>
        <v>69561.923469387752</v>
      </c>
    </row>
    <row r="18" spans="1:17" ht="12.75" customHeight="1">
      <c r="A18" s="1066">
        <v>8</v>
      </c>
      <c r="B18" s="975" t="s">
        <v>1091</v>
      </c>
      <c r="C18" s="969" t="s">
        <v>1117</v>
      </c>
      <c r="D18" s="1020">
        <v>41652</v>
      </c>
      <c r="E18" s="968" t="str">
        <f>E12</f>
        <v>ООО "Громин"</v>
      </c>
      <c r="F18" s="1020"/>
      <c r="G18" s="93"/>
      <c r="H18" s="973">
        <v>10700000</v>
      </c>
      <c r="I18" s="973">
        <f>H18</f>
        <v>10700000</v>
      </c>
      <c r="J18" s="974"/>
      <c r="K18" s="999">
        <f>I18</f>
        <v>10700000</v>
      </c>
      <c r="L18" s="1129">
        <f>K18-I18</f>
        <v>0</v>
      </c>
      <c r="M18" s="75"/>
      <c r="N18" s="88"/>
      <c r="O18" s="77"/>
      <c r="P18" s="77"/>
      <c r="Q18" s="78"/>
    </row>
    <row r="19" spans="1:17" ht="12.75" customHeight="1">
      <c r="A19" s="1066"/>
      <c r="B19" s="976"/>
      <c r="C19" s="904"/>
      <c r="D19" s="865"/>
      <c r="E19" s="865"/>
      <c r="F19" s="865"/>
      <c r="G19" s="91"/>
      <c r="H19" s="905"/>
      <c r="I19" s="906"/>
      <c r="J19" s="910"/>
      <c r="K19" s="920"/>
      <c r="L19" s="1130"/>
      <c r="M19" s="74"/>
      <c r="N19" s="88"/>
      <c r="O19" s="77"/>
      <c r="P19" s="77"/>
      <c r="Q19" s="78"/>
    </row>
    <row r="20" spans="1:17" ht="12.75" customHeight="1">
      <c r="A20" s="1066">
        <v>9</v>
      </c>
      <c r="B20" s="980"/>
      <c r="C20" s="904" t="s">
        <v>45</v>
      </c>
      <c r="D20" s="658" t="s">
        <v>1100</v>
      </c>
      <c r="E20" s="865" t="s">
        <v>117</v>
      </c>
      <c r="F20" s="940" t="s">
        <v>1114</v>
      </c>
      <c r="G20" s="193"/>
      <c r="H20" s="905">
        <v>495000</v>
      </c>
      <c r="I20" s="905">
        <f>H20</f>
        <v>495000</v>
      </c>
      <c r="J20" s="909"/>
      <c r="K20" s="919">
        <v>495000</v>
      </c>
      <c r="L20" s="1130">
        <f>K20-I20</f>
        <v>0</v>
      </c>
      <c r="M20" s="74"/>
      <c r="N20" s="88"/>
      <c r="O20" s="77"/>
      <c r="P20" s="77"/>
      <c r="Q20" s="78"/>
    </row>
    <row r="21" spans="1:17" ht="12.75" customHeight="1">
      <c r="A21" s="1066"/>
      <c r="B21" s="980"/>
      <c r="C21" s="904"/>
      <c r="D21" s="658"/>
      <c r="E21" s="865"/>
      <c r="F21" s="865"/>
      <c r="G21" s="193"/>
      <c r="H21" s="905"/>
      <c r="I21" s="906"/>
      <c r="J21" s="910"/>
      <c r="K21" s="920"/>
      <c r="L21" s="1130"/>
      <c r="M21" s="74"/>
      <c r="N21" s="88"/>
      <c r="O21" s="77"/>
      <c r="P21" s="77"/>
      <c r="Q21" s="78"/>
    </row>
    <row r="22" spans="1:17" ht="12.75" customHeight="1">
      <c r="A22" s="1066">
        <v>10</v>
      </c>
      <c r="B22" s="980"/>
      <c r="C22" s="904" t="s">
        <v>46</v>
      </c>
      <c r="D22" s="658" t="s">
        <v>1100</v>
      </c>
      <c r="E22" s="865" t="s">
        <v>1102</v>
      </c>
      <c r="F22" s="865" t="s">
        <v>907</v>
      </c>
      <c r="G22" s="109"/>
      <c r="H22" s="905">
        <v>570000</v>
      </c>
      <c r="I22" s="905">
        <f>H22</f>
        <v>570000</v>
      </c>
      <c r="J22" s="909"/>
      <c r="K22" s="919">
        <v>570000</v>
      </c>
      <c r="L22" s="1130">
        <f>K22-I22</f>
        <v>0</v>
      </c>
      <c r="M22" s="74"/>
      <c r="N22" s="88"/>
      <c r="O22" s="77"/>
      <c r="P22" s="77"/>
      <c r="Q22" s="78"/>
    </row>
    <row r="23" spans="1:17" ht="12.75" customHeight="1">
      <c r="A23" s="1066"/>
      <c r="B23" s="980"/>
      <c r="C23" s="904"/>
      <c r="D23" s="658"/>
      <c r="E23" s="865"/>
      <c r="F23" s="865"/>
      <c r="G23" s="109"/>
      <c r="H23" s="905"/>
      <c r="I23" s="906"/>
      <c r="J23" s="910"/>
      <c r="K23" s="920"/>
      <c r="L23" s="1130"/>
      <c r="M23" s="74"/>
      <c r="N23" s="88"/>
      <c r="O23" s="77"/>
      <c r="P23" s="77"/>
      <c r="Q23" s="78"/>
    </row>
    <row r="24" spans="1:17" ht="12.75" customHeight="1" thickBot="1">
      <c r="A24" s="1066">
        <v>11</v>
      </c>
      <c r="B24" s="1159"/>
      <c r="C24" s="659" t="s">
        <v>50</v>
      </c>
      <c r="D24" s="659" t="s">
        <v>1100</v>
      </c>
      <c r="E24" s="878" t="s">
        <v>1101</v>
      </c>
      <c r="F24" s="878" t="s">
        <v>907</v>
      </c>
      <c r="G24" s="91"/>
      <c r="H24" s="915">
        <v>3000000</v>
      </c>
      <c r="I24" s="915">
        <f>H24</f>
        <v>3000000</v>
      </c>
      <c r="J24" s="948"/>
      <c r="K24" s="919">
        <v>3000000</v>
      </c>
      <c r="L24" s="1130">
        <f>K24-I24</f>
        <v>0</v>
      </c>
      <c r="M24" s="74"/>
      <c r="N24" s="88"/>
      <c r="O24" s="77"/>
      <c r="P24" s="77"/>
      <c r="Q24" s="78"/>
    </row>
    <row r="25" spans="1:17" ht="13.5" customHeight="1" thickBot="1">
      <c r="A25" s="1066"/>
      <c r="B25" s="1230"/>
      <c r="C25" s="1196"/>
      <c r="D25" s="1196"/>
      <c r="E25" s="1197"/>
      <c r="F25" s="1197"/>
      <c r="G25" s="94"/>
      <c r="H25" s="1091"/>
      <c r="I25" s="1091"/>
      <c r="J25" s="1148"/>
      <c r="K25" s="1041"/>
      <c r="L25" s="1138"/>
      <c r="M25" s="72">
        <f>530+(I18+I20+I22+I24)/9800</f>
        <v>2036.6326530612246</v>
      </c>
      <c r="N25" s="88"/>
      <c r="O25" s="77"/>
      <c r="P25" s="77"/>
      <c r="Q25" s="78"/>
    </row>
    <row r="26" spans="1:17" ht="12.75" customHeight="1">
      <c r="A26" s="1066">
        <v>12</v>
      </c>
      <c r="B26" s="1121" t="s">
        <v>1092</v>
      </c>
      <c r="C26" s="969" t="s">
        <v>6</v>
      </c>
      <c r="D26" s="970" t="s">
        <v>1116</v>
      </c>
      <c r="E26" s="1017" t="s">
        <v>247</v>
      </c>
      <c r="F26" s="1020" t="s">
        <v>1111</v>
      </c>
      <c r="G26" s="456"/>
      <c r="H26" s="973">
        <v>3300</v>
      </c>
      <c r="I26" s="973">
        <f>H26*J26</f>
        <v>948750</v>
      </c>
      <c r="J26" s="974">
        <v>287.5</v>
      </c>
      <c r="K26" s="1001">
        <v>948750</v>
      </c>
      <c r="L26" s="1129">
        <f>K26-I26</f>
        <v>0</v>
      </c>
      <c r="M26" s="75"/>
      <c r="N26" s="88"/>
      <c r="O26" s="77"/>
      <c r="P26" s="77"/>
      <c r="Q26" s="78"/>
    </row>
    <row r="27" spans="1:17" ht="12.75" customHeight="1">
      <c r="A27" s="1066"/>
      <c r="B27" s="1122"/>
      <c r="C27" s="904"/>
      <c r="D27" s="658"/>
      <c r="E27" s="879"/>
      <c r="F27" s="865"/>
      <c r="G27" s="457"/>
      <c r="H27" s="905"/>
      <c r="I27" s="906"/>
      <c r="J27" s="910"/>
      <c r="K27" s="920"/>
      <c r="L27" s="1130"/>
      <c r="M27" s="74"/>
      <c r="N27" s="88"/>
      <c r="O27" s="77"/>
      <c r="P27" s="77"/>
      <c r="Q27" s="78"/>
    </row>
    <row r="28" spans="1:17" ht="12.75" customHeight="1" thickBot="1">
      <c r="A28" s="1066">
        <v>13</v>
      </c>
      <c r="B28" s="980"/>
      <c r="C28" s="904" t="s">
        <v>66</v>
      </c>
      <c r="D28" s="658" t="s">
        <v>1109</v>
      </c>
      <c r="E28" s="865" t="s">
        <v>804</v>
      </c>
      <c r="F28" s="1023">
        <f>1050+(H28/9800)+180</f>
        <v>1638.1632653061224</v>
      </c>
      <c r="G28" s="132"/>
      <c r="H28" s="905">
        <v>4000000</v>
      </c>
      <c r="I28" s="905">
        <f>H28</f>
        <v>4000000</v>
      </c>
      <c r="J28" s="909"/>
      <c r="K28" s="919">
        <v>4000000</v>
      </c>
      <c r="L28" s="1130">
        <f>K28-I28</f>
        <v>0</v>
      </c>
      <c r="M28" s="74"/>
      <c r="N28" s="88"/>
      <c r="O28" s="77"/>
      <c r="P28" s="77"/>
      <c r="Q28" s="78"/>
    </row>
    <row r="29" spans="1:17" ht="12.75" customHeight="1" thickBot="1">
      <c r="A29" s="1066"/>
      <c r="B29" s="1143"/>
      <c r="C29" s="938"/>
      <c r="D29" s="939"/>
      <c r="E29" s="937"/>
      <c r="F29" s="1229"/>
      <c r="G29" s="133"/>
      <c r="H29" s="942"/>
      <c r="I29" s="943"/>
      <c r="J29" s="944"/>
      <c r="K29" s="1041"/>
      <c r="L29" s="1138"/>
      <c r="M29" s="72">
        <f>F28</f>
        <v>1638.1632653061224</v>
      </c>
      <c r="N29" s="88"/>
      <c r="O29" s="77"/>
      <c r="P29" s="77"/>
      <c r="Q29" s="78"/>
    </row>
    <row r="30" spans="1:17" ht="12.75" customHeight="1">
      <c r="A30" s="1066">
        <v>14</v>
      </c>
      <c r="B30" s="975" t="s">
        <v>1093</v>
      </c>
      <c r="C30" s="969" t="s">
        <v>39</v>
      </c>
      <c r="D30" s="970" t="s">
        <v>1096</v>
      </c>
      <c r="E30" s="968" t="s">
        <v>1095</v>
      </c>
      <c r="F30" s="1020" t="s">
        <v>120</v>
      </c>
      <c r="G30" s="153"/>
      <c r="H30" s="973">
        <v>636000</v>
      </c>
      <c r="I30" s="973">
        <f>H30</f>
        <v>636000</v>
      </c>
      <c r="J30" s="974"/>
      <c r="K30" s="1001">
        <v>636000</v>
      </c>
      <c r="L30" s="1129">
        <f>K30-I30</f>
        <v>0</v>
      </c>
      <c r="M30" s="75"/>
      <c r="N30" s="88"/>
      <c r="O30" s="77"/>
      <c r="P30" s="77"/>
      <c r="Q30" s="78"/>
    </row>
    <row r="31" spans="1:17" ht="12.75" customHeight="1" thickBot="1">
      <c r="A31" s="1066"/>
      <c r="B31" s="976"/>
      <c r="C31" s="904"/>
      <c r="D31" s="658"/>
      <c r="E31" s="865"/>
      <c r="F31" s="865"/>
      <c r="G31" s="152"/>
      <c r="H31" s="905"/>
      <c r="I31" s="906"/>
      <c r="J31" s="910"/>
      <c r="K31" s="920"/>
      <c r="L31" s="1130"/>
      <c r="M31" s="74"/>
      <c r="N31" s="88"/>
      <c r="O31" s="77"/>
      <c r="P31" s="77"/>
      <c r="Q31" s="78"/>
    </row>
    <row r="32" spans="1:17" ht="21" customHeight="1" thickBot="1">
      <c r="A32" s="1066">
        <v>15</v>
      </c>
      <c r="B32" s="980"/>
      <c r="C32" s="904"/>
      <c r="D32" s="658"/>
      <c r="E32" s="865"/>
      <c r="F32" s="940"/>
      <c r="G32" s="91"/>
      <c r="H32" s="905"/>
      <c r="I32" s="905"/>
      <c r="J32" s="909"/>
      <c r="K32" s="919"/>
      <c r="L32" s="1130"/>
      <c r="M32" s="72">
        <f>I30/9800</f>
        <v>64.897959183673464</v>
      </c>
      <c r="N32" s="88"/>
      <c r="O32" s="77"/>
      <c r="P32" s="77"/>
      <c r="Q32" s="78"/>
    </row>
    <row r="33" spans="1:17" ht="12.75" hidden="1" customHeight="1">
      <c r="A33" s="1066"/>
      <c r="B33" s="1143"/>
      <c r="C33" s="938"/>
      <c r="D33" s="939"/>
      <c r="E33" s="937"/>
      <c r="F33" s="937"/>
      <c r="G33" s="94"/>
      <c r="H33" s="942"/>
      <c r="I33" s="943"/>
      <c r="J33" s="944"/>
      <c r="K33" s="1041"/>
      <c r="L33" s="1138"/>
      <c r="M33" s="80"/>
      <c r="N33" s="88"/>
      <c r="O33" s="77"/>
      <c r="P33" s="77"/>
      <c r="Q33" s="78"/>
    </row>
    <row r="34" spans="1:17" ht="12.75" customHeight="1">
      <c r="A34" s="1066">
        <v>16</v>
      </c>
      <c r="B34" s="975" t="s">
        <v>1094</v>
      </c>
      <c r="C34" s="969" t="s">
        <v>54</v>
      </c>
      <c r="D34" s="970" t="s">
        <v>1097</v>
      </c>
      <c r="E34" s="968" t="s">
        <v>1110</v>
      </c>
      <c r="F34" s="1020"/>
      <c r="G34" s="163"/>
      <c r="H34" s="973">
        <v>1156000</v>
      </c>
      <c r="I34" s="973">
        <f>H34</f>
        <v>1156000</v>
      </c>
      <c r="J34" s="974"/>
      <c r="K34" s="1001">
        <v>1156000</v>
      </c>
      <c r="L34" s="1129">
        <f>K34-I34</f>
        <v>0</v>
      </c>
      <c r="M34" s="75"/>
      <c r="N34" s="88"/>
      <c r="O34" s="77"/>
      <c r="P34" s="77"/>
      <c r="Q34" s="78"/>
    </row>
    <row r="35" spans="1:17" ht="13.5" customHeight="1">
      <c r="A35" s="1066"/>
      <c r="B35" s="976"/>
      <c r="C35" s="904"/>
      <c r="D35" s="658"/>
      <c r="E35" s="865"/>
      <c r="F35" s="865"/>
      <c r="G35" s="162"/>
      <c r="H35" s="905"/>
      <c r="I35" s="906"/>
      <c r="J35" s="910"/>
      <c r="K35" s="920"/>
      <c r="L35" s="1130"/>
      <c r="M35" s="74"/>
      <c r="N35" s="88"/>
      <c r="O35" s="77"/>
      <c r="P35" s="77"/>
      <c r="Q35" s="78"/>
    </row>
    <row r="36" spans="1:17" ht="12.75" hidden="1" customHeight="1">
      <c r="A36" s="1066">
        <v>17</v>
      </c>
      <c r="B36" s="1231"/>
      <c r="C36" s="1232"/>
      <c r="D36" s="1233"/>
      <c r="E36" s="1239"/>
      <c r="F36" s="1239"/>
      <c r="G36" s="71"/>
      <c r="H36" s="1240"/>
      <c r="I36" s="1240">
        <f>H36</f>
        <v>0</v>
      </c>
      <c r="J36" s="1245"/>
      <c r="K36" s="1242"/>
      <c r="L36" s="1238">
        <f>K36-I36</f>
        <v>0</v>
      </c>
      <c r="M36" s="74"/>
      <c r="N36" s="88"/>
      <c r="O36" s="77"/>
      <c r="P36" s="77"/>
      <c r="Q36" s="78"/>
    </row>
    <row r="37" spans="1:17" ht="12.75" hidden="1" customHeight="1">
      <c r="A37" s="1066"/>
      <c r="B37" s="1231"/>
      <c r="C37" s="1232"/>
      <c r="D37" s="1233"/>
      <c r="E37" s="1239"/>
      <c r="F37" s="1239"/>
      <c r="G37" s="71"/>
      <c r="H37" s="1240"/>
      <c r="I37" s="1244"/>
      <c r="J37" s="1246"/>
      <c r="K37" s="1243"/>
      <c r="L37" s="1238"/>
      <c r="M37" s="74"/>
      <c r="N37" s="88"/>
      <c r="O37" s="77"/>
      <c r="P37" s="77"/>
      <c r="Q37" s="78"/>
    </row>
    <row r="38" spans="1:17" ht="12.75" customHeight="1" thickBot="1">
      <c r="A38" s="1066">
        <v>18</v>
      </c>
      <c r="B38" s="980"/>
      <c r="C38" s="904" t="s">
        <v>56</v>
      </c>
      <c r="D38" s="658" t="s">
        <v>1097</v>
      </c>
      <c r="E38" s="865" t="s">
        <v>244</v>
      </c>
      <c r="F38" s="865"/>
      <c r="G38" s="150"/>
      <c r="H38" s="905">
        <v>2170</v>
      </c>
      <c r="I38" s="905">
        <f>H38*J38</f>
        <v>620620</v>
      </c>
      <c r="J38" s="909">
        <v>286</v>
      </c>
      <c r="K38" s="919">
        <v>620620</v>
      </c>
      <c r="L38" s="1130">
        <f>K38-I38</f>
        <v>0</v>
      </c>
      <c r="M38" s="74"/>
      <c r="N38" s="88"/>
      <c r="O38" s="77"/>
      <c r="P38" s="77"/>
      <c r="Q38" s="78"/>
    </row>
    <row r="39" spans="1:17" ht="12.75" customHeight="1" thickBot="1">
      <c r="A39" s="1066"/>
      <c r="B39" s="1143"/>
      <c r="C39" s="938"/>
      <c r="D39" s="939"/>
      <c r="E39" s="937"/>
      <c r="F39" s="937"/>
      <c r="G39" s="151"/>
      <c r="H39" s="942"/>
      <c r="I39" s="943"/>
      <c r="J39" s="944"/>
      <c r="K39" s="1041"/>
      <c r="L39" s="1138"/>
      <c r="M39" s="72">
        <f>(I34+I38)/9800</f>
        <v>181.28775510204082</v>
      </c>
      <c r="N39" s="88"/>
      <c r="O39" s="77"/>
      <c r="P39" s="77"/>
      <c r="Q39" s="78"/>
    </row>
    <row r="40" spans="1:17" ht="12.75" customHeight="1">
      <c r="A40" s="1066">
        <v>19</v>
      </c>
      <c r="B40" s="975" t="s">
        <v>1103</v>
      </c>
      <c r="C40" s="969" t="s">
        <v>1168</v>
      </c>
      <c r="D40" s="970" t="s">
        <v>1109</v>
      </c>
      <c r="E40" s="968" t="str">
        <f>E12</f>
        <v>ООО "Громин"</v>
      </c>
      <c r="F40" s="968" t="s">
        <v>120</v>
      </c>
      <c r="G40" s="126"/>
      <c r="H40" s="973">
        <v>10700000</v>
      </c>
      <c r="I40" s="973">
        <f>H40</f>
        <v>10700000</v>
      </c>
      <c r="J40" s="974"/>
      <c r="K40" s="1001">
        <v>10700000</v>
      </c>
      <c r="L40" s="1129">
        <f>K40-I40</f>
        <v>0</v>
      </c>
      <c r="M40" s="75"/>
      <c r="N40" s="88"/>
      <c r="O40" s="77"/>
      <c r="P40" s="77"/>
      <c r="Q40" s="78"/>
    </row>
    <row r="41" spans="1:17" ht="12.75" customHeight="1">
      <c r="A41" s="1066"/>
      <c r="B41" s="976"/>
      <c r="C41" s="904"/>
      <c r="D41" s="658"/>
      <c r="E41" s="865"/>
      <c r="F41" s="865"/>
      <c r="G41" s="124"/>
      <c r="H41" s="905"/>
      <c r="I41" s="906"/>
      <c r="J41" s="910"/>
      <c r="K41" s="920"/>
      <c r="L41" s="1130"/>
      <c r="M41" s="74"/>
      <c r="N41" s="88"/>
      <c r="O41" s="77"/>
      <c r="P41" s="77"/>
      <c r="Q41" s="78"/>
    </row>
    <row r="42" spans="1:17" ht="12.75" customHeight="1">
      <c r="A42" s="1066">
        <v>20</v>
      </c>
      <c r="B42" s="980"/>
      <c r="C42" s="904" t="s">
        <v>71</v>
      </c>
      <c r="D42" s="658" t="s">
        <v>1120</v>
      </c>
      <c r="E42" s="865" t="s">
        <v>1121</v>
      </c>
      <c r="F42" s="940"/>
      <c r="G42" s="135"/>
      <c r="H42" s="905">
        <v>2000000</v>
      </c>
      <c r="I42" s="905">
        <f>H42</f>
        <v>2000000</v>
      </c>
      <c r="J42" s="909"/>
      <c r="K42" s="919">
        <v>2000000</v>
      </c>
      <c r="L42" s="1130">
        <f>K42-I42</f>
        <v>0</v>
      </c>
      <c r="M42" s="74"/>
      <c r="N42" s="88"/>
      <c r="O42" s="77"/>
      <c r="P42" s="77"/>
      <c r="Q42" s="78"/>
    </row>
    <row r="43" spans="1:17" ht="12.75" customHeight="1">
      <c r="A43" s="1066"/>
      <c r="B43" s="980"/>
      <c r="C43" s="904"/>
      <c r="D43" s="658"/>
      <c r="E43" s="865"/>
      <c r="F43" s="865"/>
      <c r="G43" s="136"/>
      <c r="H43" s="905"/>
      <c r="I43" s="906"/>
      <c r="J43" s="910"/>
      <c r="K43" s="920"/>
      <c r="L43" s="1130"/>
      <c r="M43" s="74"/>
      <c r="N43" s="88"/>
      <c r="O43" s="77"/>
      <c r="P43" s="77"/>
      <c r="Q43" s="78"/>
    </row>
    <row r="44" spans="1:17" ht="12.75" customHeight="1" thickBot="1">
      <c r="A44" s="1066">
        <v>21</v>
      </c>
      <c r="B44" s="1227">
        <f>(I40+I42+I44)/9800</f>
        <v>1602.0408163265306</v>
      </c>
      <c r="C44" s="904" t="s">
        <v>75</v>
      </c>
      <c r="D44" s="658" t="s">
        <v>1120</v>
      </c>
      <c r="E44" s="865" t="s">
        <v>1141</v>
      </c>
      <c r="F44" s="940"/>
      <c r="G44" s="127"/>
      <c r="H44" s="905">
        <v>3000000</v>
      </c>
      <c r="I44" s="905">
        <f>H44</f>
        <v>3000000</v>
      </c>
      <c r="J44" s="909"/>
      <c r="K44" s="919">
        <v>3000000</v>
      </c>
      <c r="L44" s="1130">
        <f>K44-I44</f>
        <v>0</v>
      </c>
      <c r="M44" s="74"/>
      <c r="N44" s="88"/>
      <c r="O44" s="77"/>
      <c r="P44" s="77"/>
      <c r="Q44" s="78"/>
    </row>
    <row r="45" spans="1:17" ht="12.75" customHeight="1" thickBot="1">
      <c r="A45" s="1066"/>
      <c r="B45" s="1228"/>
      <c r="C45" s="938"/>
      <c r="D45" s="939"/>
      <c r="E45" s="937"/>
      <c r="F45" s="937"/>
      <c r="G45" s="128"/>
      <c r="H45" s="942"/>
      <c r="I45" s="943"/>
      <c r="J45" s="944"/>
      <c r="K45" s="1041"/>
      <c r="L45" s="1138"/>
      <c r="M45" s="72">
        <f>B44</f>
        <v>1602.0408163265306</v>
      </c>
      <c r="N45" s="88"/>
      <c r="O45" s="77"/>
      <c r="P45" s="77"/>
      <c r="Q45" s="78"/>
    </row>
    <row r="46" spans="1:17" ht="12.75" customHeight="1">
      <c r="A46" s="1066">
        <v>22</v>
      </c>
      <c r="B46" s="975" t="s">
        <v>1105</v>
      </c>
      <c r="C46" s="969" t="s">
        <v>1169</v>
      </c>
      <c r="D46" s="970" t="s">
        <v>1109</v>
      </c>
      <c r="E46" s="968" t="str">
        <f>E40</f>
        <v>ООО "Громин"</v>
      </c>
      <c r="F46" s="968"/>
      <c r="G46" s="126"/>
      <c r="H46" s="973">
        <v>10700000</v>
      </c>
      <c r="I46" s="973">
        <f>H46</f>
        <v>10700000</v>
      </c>
      <c r="J46" s="974"/>
      <c r="K46" s="1139">
        <v>10700000</v>
      </c>
      <c r="L46" s="1129">
        <f>K46-I46</f>
        <v>0</v>
      </c>
      <c r="M46" s="75"/>
      <c r="N46" s="88"/>
      <c r="O46" s="77"/>
      <c r="P46" s="77"/>
      <c r="Q46" s="78"/>
    </row>
    <row r="47" spans="1:17" ht="12.75" customHeight="1">
      <c r="A47" s="1066"/>
      <c r="B47" s="976"/>
      <c r="C47" s="904"/>
      <c r="D47" s="658"/>
      <c r="E47" s="865"/>
      <c r="F47" s="865"/>
      <c r="G47" s="124"/>
      <c r="H47" s="905"/>
      <c r="I47" s="906"/>
      <c r="J47" s="910"/>
      <c r="K47" s="1118"/>
      <c r="L47" s="1130"/>
      <c r="M47" s="74"/>
      <c r="N47" s="88"/>
      <c r="O47" s="77"/>
      <c r="P47" s="77"/>
      <c r="Q47" s="78"/>
    </row>
    <row r="48" spans="1:17" ht="12.75" customHeight="1">
      <c r="A48" s="1066">
        <v>23</v>
      </c>
      <c r="B48" s="980"/>
      <c r="C48" s="904" t="s">
        <v>67</v>
      </c>
      <c r="D48" s="658" t="s">
        <v>1120</v>
      </c>
      <c r="E48" s="865" t="s">
        <v>14</v>
      </c>
      <c r="F48" s="865"/>
      <c r="G48" s="106"/>
      <c r="H48" s="905">
        <v>8000000</v>
      </c>
      <c r="I48" s="905">
        <f>H48</f>
        <v>8000000</v>
      </c>
      <c r="J48" s="909"/>
      <c r="K48" s="1236">
        <v>8000000</v>
      </c>
      <c r="L48" s="1130">
        <f>K48-I48</f>
        <v>0</v>
      </c>
      <c r="M48" s="74"/>
      <c r="N48" s="88"/>
      <c r="O48" s="77"/>
      <c r="P48" s="77"/>
      <c r="Q48" s="78"/>
    </row>
    <row r="49" spans="1:17" ht="12.75" customHeight="1">
      <c r="A49" s="1066"/>
      <c r="B49" s="980"/>
      <c r="C49" s="904"/>
      <c r="D49" s="658"/>
      <c r="E49" s="865"/>
      <c r="F49" s="865"/>
      <c r="G49" s="106"/>
      <c r="H49" s="905"/>
      <c r="I49" s="906"/>
      <c r="J49" s="910"/>
      <c r="K49" s="1237"/>
      <c r="L49" s="1130"/>
      <c r="M49" s="74"/>
      <c r="N49" s="88"/>
      <c r="O49" s="77"/>
      <c r="P49" s="77"/>
      <c r="Q49" s="78"/>
    </row>
    <row r="50" spans="1:17" ht="12.75" customHeight="1" thickBot="1">
      <c r="A50" s="1066">
        <v>24</v>
      </c>
      <c r="B50" s="1225"/>
      <c r="C50" s="904" t="s">
        <v>70</v>
      </c>
      <c r="D50" s="658" t="s">
        <v>1120</v>
      </c>
      <c r="E50" s="865" t="s">
        <v>497</v>
      </c>
      <c r="F50" s="940"/>
      <c r="G50" s="124"/>
      <c r="H50" s="905">
        <v>3000000</v>
      </c>
      <c r="I50" s="905">
        <f>H50</f>
        <v>3000000</v>
      </c>
      <c r="J50" s="909"/>
      <c r="K50" s="1117">
        <v>3000000</v>
      </c>
      <c r="L50" s="1130">
        <f>K50-I50</f>
        <v>0</v>
      </c>
      <c r="M50" s="74"/>
      <c r="N50" s="88"/>
      <c r="O50" s="77"/>
      <c r="P50" s="77"/>
      <c r="Q50" s="78"/>
    </row>
    <row r="51" spans="1:17" ht="12.75" customHeight="1" thickBot="1">
      <c r="A51" s="1066"/>
      <c r="B51" s="1226"/>
      <c r="C51" s="938"/>
      <c r="D51" s="939"/>
      <c r="E51" s="937"/>
      <c r="F51" s="937"/>
      <c r="G51" s="125"/>
      <c r="H51" s="942"/>
      <c r="I51" s="943"/>
      <c r="J51" s="944"/>
      <c r="K51" s="1241"/>
      <c r="L51" s="1138"/>
      <c r="M51" s="72">
        <f>(I46+I48+I50)/9800</f>
        <v>2214.2857142857142</v>
      </c>
      <c r="N51" s="88"/>
      <c r="O51" s="77"/>
      <c r="P51" s="77"/>
      <c r="Q51" s="78"/>
    </row>
    <row r="52" spans="1:17" ht="12.75" customHeight="1">
      <c r="A52" s="1066">
        <v>25</v>
      </c>
      <c r="B52" s="975" t="s">
        <v>1107</v>
      </c>
      <c r="C52" s="969" t="s">
        <v>1131</v>
      </c>
      <c r="D52" s="970" t="s">
        <v>1128</v>
      </c>
      <c r="E52" s="968" t="str">
        <f>E46</f>
        <v>ООО "Громин"</v>
      </c>
      <c r="F52" s="1020"/>
      <c r="G52" s="129"/>
      <c r="H52" s="973">
        <v>10700000</v>
      </c>
      <c r="I52" s="973">
        <f>H52</f>
        <v>10700000</v>
      </c>
      <c r="J52" s="974"/>
      <c r="K52" s="1001">
        <v>10700000</v>
      </c>
      <c r="L52" s="1129">
        <f>K52-I52</f>
        <v>0</v>
      </c>
      <c r="M52" s="75"/>
      <c r="N52" s="88"/>
      <c r="O52" s="77"/>
      <c r="P52" s="77"/>
      <c r="Q52" s="78"/>
    </row>
    <row r="53" spans="1:17" ht="12.75" customHeight="1">
      <c r="A53" s="1066"/>
      <c r="B53" s="976"/>
      <c r="C53" s="904"/>
      <c r="D53" s="658"/>
      <c r="E53" s="865"/>
      <c r="F53" s="865"/>
      <c r="G53" s="127"/>
      <c r="H53" s="905"/>
      <c r="I53" s="906"/>
      <c r="J53" s="910"/>
      <c r="K53" s="920"/>
      <c r="L53" s="1130"/>
      <c r="M53" s="74"/>
      <c r="N53" s="88"/>
      <c r="O53" s="77"/>
      <c r="P53" s="77"/>
      <c r="Q53" s="78"/>
    </row>
    <row r="54" spans="1:17" ht="12.75" customHeight="1" thickBot="1">
      <c r="A54" s="1066">
        <v>26</v>
      </c>
      <c r="B54" s="980"/>
      <c r="C54" s="904"/>
      <c r="D54" s="658"/>
      <c r="E54" s="865"/>
      <c r="F54" s="940"/>
      <c r="G54" s="91"/>
      <c r="H54" s="905"/>
      <c r="I54" s="905"/>
      <c r="J54" s="909"/>
      <c r="K54" s="915"/>
      <c r="L54" s="1130"/>
      <c r="M54" s="74"/>
      <c r="N54" s="88"/>
      <c r="O54" s="77"/>
      <c r="P54" s="77"/>
      <c r="Q54" s="78"/>
    </row>
    <row r="55" spans="1:17" ht="12.75" customHeight="1" thickBot="1">
      <c r="A55" s="1066"/>
      <c r="B55" s="1143"/>
      <c r="C55" s="938"/>
      <c r="D55" s="939"/>
      <c r="E55" s="937"/>
      <c r="F55" s="937"/>
      <c r="G55" s="94"/>
      <c r="H55" s="942"/>
      <c r="I55" s="943"/>
      <c r="J55" s="944"/>
      <c r="K55" s="1091"/>
      <c r="L55" s="1138"/>
      <c r="M55" s="72">
        <f>600+I52/9800</f>
        <v>1691.8367346938776</v>
      </c>
      <c r="N55" s="88"/>
      <c r="O55" s="77"/>
      <c r="P55" s="77"/>
      <c r="Q55" s="78"/>
    </row>
    <row r="56" spans="1:17" ht="12.75" customHeight="1">
      <c r="A56" s="1066">
        <v>27</v>
      </c>
      <c r="B56" s="975" t="s">
        <v>1108</v>
      </c>
      <c r="C56" s="969" t="s">
        <v>1129</v>
      </c>
      <c r="D56" s="970" t="s">
        <v>1128</v>
      </c>
      <c r="E56" s="968" t="str">
        <f>E52</f>
        <v>ООО "Громин"</v>
      </c>
      <c r="F56" s="1020"/>
      <c r="G56" s="131"/>
      <c r="H56" s="973">
        <v>11100000</v>
      </c>
      <c r="I56" s="973">
        <f>H56</f>
        <v>11100000</v>
      </c>
      <c r="J56" s="974"/>
      <c r="K56" s="1001">
        <v>11100000</v>
      </c>
      <c r="L56" s="1129">
        <f>K56-I56</f>
        <v>0</v>
      </c>
      <c r="M56" s="75"/>
      <c r="N56" s="88"/>
      <c r="O56" s="77"/>
      <c r="P56" s="77"/>
      <c r="Q56" s="78"/>
    </row>
    <row r="57" spans="1:17" ht="12.75" customHeight="1">
      <c r="A57" s="1066"/>
      <c r="B57" s="976"/>
      <c r="C57" s="904"/>
      <c r="D57" s="658"/>
      <c r="E57" s="865"/>
      <c r="F57" s="865"/>
      <c r="G57" s="130"/>
      <c r="H57" s="905"/>
      <c r="I57" s="906"/>
      <c r="J57" s="910"/>
      <c r="K57" s="920"/>
      <c r="L57" s="1130"/>
      <c r="M57" s="74"/>
      <c r="N57" s="88"/>
      <c r="O57" s="77"/>
      <c r="P57" s="77"/>
      <c r="Q57" s="78"/>
    </row>
    <row r="58" spans="1:17" ht="12.75" customHeight="1">
      <c r="A58" s="1066">
        <v>28</v>
      </c>
      <c r="B58" s="980"/>
      <c r="C58" s="904" t="s">
        <v>77</v>
      </c>
      <c r="D58" s="658" t="s">
        <v>1124</v>
      </c>
      <c r="E58" s="865" t="s">
        <v>1121</v>
      </c>
      <c r="F58" s="865"/>
      <c r="G58" s="135"/>
      <c r="H58" s="905">
        <v>2000000</v>
      </c>
      <c r="I58" s="905">
        <f>H58</f>
        <v>2000000</v>
      </c>
      <c r="J58" s="909"/>
      <c r="K58" s="919">
        <v>2000000</v>
      </c>
      <c r="L58" s="1130">
        <f>K58-I58</f>
        <v>0</v>
      </c>
      <c r="M58" s="74"/>
      <c r="N58" s="88"/>
      <c r="O58" s="77"/>
      <c r="P58" s="77"/>
      <c r="Q58" s="78"/>
    </row>
    <row r="59" spans="1:17" ht="12.75" customHeight="1">
      <c r="A59" s="1066"/>
      <c r="B59" s="980"/>
      <c r="C59" s="904"/>
      <c r="D59" s="658"/>
      <c r="E59" s="865"/>
      <c r="F59" s="865"/>
      <c r="G59" s="135"/>
      <c r="H59" s="905"/>
      <c r="I59" s="906"/>
      <c r="J59" s="910"/>
      <c r="K59" s="920"/>
      <c r="L59" s="1130"/>
      <c r="M59" s="74"/>
      <c r="N59" s="88"/>
      <c r="O59" s="77"/>
      <c r="P59" s="77"/>
      <c r="Q59" s="78"/>
    </row>
    <row r="60" spans="1:17" ht="12.75" customHeight="1">
      <c r="A60" s="1066">
        <v>29</v>
      </c>
      <c r="B60" s="976"/>
      <c r="C60" s="904" t="s">
        <v>78</v>
      </c>
      <c r="D60" s="658" t="s">
        <v>1124</v>
      </c>
      <c r="E60" s="865" t="s">
        <v>1130</v>
      </c>
      <c r="F60" s="865"/>
      <c r="G60" s="132"/>
      <c r="H60" s="905">
        <v>3000000</v>
      </c>
      <c r="I60" s="905">
        <f>H60</f>
        <v>3000000</v>
      </c>
      <c r="J60" s="909"/>
      <c r="K60" s="919">
        <v>3000000</v>
      </c>
      <c r="L60" s="1130">
        <f>K60-I60</f>
        <v>0</v>
      </c>
      <c r="M60" s="74"/>
      <c r="N60" s="88"/>
      <c r="O60" s="77"/>
      <c r="P60" s="77"/>
      <c r="Q60" s="78"/>
    </row>
    <row r="61" spans="1:17" ht="12.75" customHeight="1">
      <c r="A61" s="1066"/>
      <c r="B61" s="976"/>
      <c r="C61" s="904"/>
      <c r="D61" s="658"/>
      <c r="E61" s="865"/>
      <c r="F61" s="865"/>
      <c r="G61" s="132"/>
      <c r="H61" s="905"/>
      <c r="I61" s="906"/>
      <c r="J61" s="910"/>
      <c r="K61" s="920"/>
      <c r="L61" s="1130"/>
      <c r="M61" s="74"/>
      <c r="N61" s="88"/>
      <c r="O61" s="77"/>
      <c r="P61" s="77"/>
      <c r="Q61" s="78"/>
    </row>
    <row r="62" spans="1:17" ht="12.75" customHeight="1" thickBot="1">
      <c r="A62" s="1066">
        <v>30</v>
      </c>
      <c r="B62" s="976"/>
      <c r="C62" s="904" t="s">
        <v>76</v>
      </c>
      <c r="D62" s="658" t="s">
        <v>1124</v>
      </c>
      <c r="E62" s="865" t="str">
        <f>E20</f>
        <v>ООО "Вильва"</v>
      </c>
      <c r="F62" s="865"/>
      <c r="G62" s="193"/>
      <c r="H62" s="905">
        <v>495000</v>
      </c>
      <c r="I62" s="905">
        <f>H62</f>
        <v>495000</v>
      </c>
      <c r="J62" s="909"/>
      <c r="K62" s="919">
        <v>495000</v>
      </c>
      <c r="L62" s="1130">
        <f>K62-I62</f>
        <v>0</v>
      </c>
      <c r="M62" s="74"/>
      <c r="N62" s="88"/>
      <c r="O62" s="77"/>
      <c r="P62" s="77"/>
      <c r="Q62" s="78"/>
    </row>
    <row r="63" spans="1:17" ht="12.75" customHeight="1" thickBot="1">
      <c r="A63" s="1066"/>
      <c r="B63" s="977"/>
      <c r="C63" s="938"/>
      <c r="D63" s="939"/>
      <c r="E63" s="937"/>
      <c r="F63" s="937"/>
      <c r="G63" s="195"/>
      <c r="H63" s="942"/>
      <c r="I63" s="943"/>
      <c r="J63" s="944"/>
      <c r="K63" s="1041"/>
      <c r="L63" s="1138"/>
      <c r="M63" s="72">
        <f>650+(I56+I58+I60+I62)/9800</f>
        <v>2343.3673469387754</v>
      </c>
      <c r="N63" s="88"/>
      <c r="O63" s="77"/>
      <c r="P63" s="77"/>
      <c r="Q63" s="78"/>
    </row>
    <row r="64" spans="1:17" ht="12.75" customHeight="1">
      <c r="A64" s="1066">
        <v>31</v>
      </c>
      <c r="B64" s="975" t="s">
        <v>1127</v>
      </c>
      <c r="C64" s="969"/>
      <c r="D64" s="970"/>
      <c r="E64" s="968"/>
      <c r="F64" s="968"/>
      <c r="G64" s="93"/>
      <c r="H64" s="973"/>
      <c r="I64" s="973"/>
      <c r="J64" s="974"/>
      <c r="K64" s="1001"/>
      <c r="L64" s="1129"/>
      <c r="M64" s="80"/>
      <c r="N64" s="88"/>
      <c r="O64" s="77"/>
      <c r="P64" s="77"/>
      <c r="Q64" s="78"/>
    </row>
    <row r="65" spans="1:17" ht="12.75" customHeight="1" thickBot="1">
      <c r="A65" s="1066"/>
      <c r="B65" s="977"/>
      <c r="C65" s="938"/>
      <c r="D65" s="939"/>
      <c r="E65" s="937"/>
      <c r="F65" s="937"/>
      <c r="G65" s="94"/>
      <c r="H65" s="942"/>
      <c r="I65" s="943"/>
      <c r="J65" s="944"/>
      <c r="K65" s="1041"/>
      <c r="L65" s="1138"/>
      <c r="M65" s="80"/>
      <c r="N65" s="88"/>
      <c r="O65" s="77"/>
      <c r="P65" s="77"/>
      <c r="Q65" s="78"/>
    </row>
    <row r="66" spans="1:17" ht="12.75" customHeight="1">
      <c r="A66" s="1066">
        <v>32</v>
      </c>
      <c r="B66" s="975" t="s">
        <v>1122</v>
      </c>
      <c r="C66" s="969" t="s">
        <v>1143</v>
      </c>
      <c r="D66" s="970" t="s">
        <v>1124</v>
      </c>
      <c r="E66" s="968" t="str">
        <f>E56</f>
        <v>ООО "Громин"</v>
      </c>
      <c r="F66" s="968"/>
      <c r="G66" s="137"/>
      <c r="H66" s="973">
        <v>12000000</v>
      </c>
      <c r="I66" s="973">
        <f>H66</f>
        <v>12000000</v>
      </c>
      <c r="J66" s="974"/>
      <c r="K66" s="1001">
        <v>12000000</v>
      </c>
      <c r="L66" s="1129">
        <f>K66-I66</f>
        <v>0</v>
      </c>
      <c r="M66" s="75"/>
      <c r="N66" s="88"/>
      <c r="O66" s="77"/>
      <c r="P66" s="77"/>
      <c r="Q66" s="78"/>
    </row>
    <row r="67" spans="1:17" ht="12.75" customHeight="1">
      <c r="A67" s="1066"/>
      <c r="B67" s="976"/>
      <c r="C67" s="904"/>
      <c r="D67" s="658"/>
      <c r="E67" s="865"/>
      <c r="F67" s="865"/>
      <c r="G67" s="138"/>
      <c r="H67" s="905"/>
      <c r="I67" s="906"/>
      <c r="J67" s="910"/>
      <c r="K67" s="920"/>
      <c r="L67" s="1130"/>
      <c r="M67" s="74"/>
      <c r="N67" s="88"/>
      <c r="O67" s="77"/>
      <c r="P67" s="77"/>
      <c r="Q67" s="78"/>
    </row>
    <row r="68" spans="1:17" ht="12.75" customHeight="1" thickBot="1">
      <c r="A68" s="1066">
        <v>33</v>
      </c>
      <c r="B68" s="980"/>
      <c r="C68" s="904" t="s">
        <v>80</v>
      </c>
      <c r="D68" s="658" t="s">
        <v>1139</v>
      </c>
      <c r="E68" s="865" t="s">
        <v>1138</v>
      </c>
      <c r="F68" s="865"/>
      <c r="G68" s="152"/>
      <c r="H68" s="905">
        <v>5300000</v>
      </c>
      <c r="I68" s="905">
        <f>H68</f>
        <v>5300000</v>
      </c>
      <c r="J68" s="909"/>
      <c r="K68" s="919">
        <v>5300000</v>
      </c>
      <c r="L68" s="1130">
        <f>K68-I68</f>
        <v>0</v>
      </c>
      <c r="M68" s="74"/>
      <c r="N68" s="88"/>
      <c r="O68" s="77"/>
      <c r="P68" s="77"/>
      <c r="Q68" s="78"/>
    </row>
    <row r="69" spans="1:17" ht="12.75" customHeight="1" thickBot="1">
      <c r="A69" s="1066"/>
      <c r="B69" s="1143"/>
      <c r="C69" s="904"/>
      <c r="D69" s="658"/>
      <c r="E69" s="865"/>
      <c r="F69" s="865"/>
      <c r="G69" s="152"/>
      <c r="H69" s="905"/>
      <c r="I69" s="906"/>
      <c r="J69" s="910"/>
      <c r="K69" s="920"/>
      <c r="L69" s="1130"/>
      <c r="M69" s="72">
        <f>400+(I66+I68)/9800</f>
        <v>2165.3061224489793</v>
      </c>
      <c r="N69" s="88"/>
      <c r="O69" s="77"/>
      <c r="P69" s="77"/>
      <c r="Q69" s="78"/>
    </row>
    <row r="70" spans="1:17" ht="12.75" customHeight="1">
      <c r="A70" s="1066">
        <v>34</v>
      </c>
      <c r="B70" s="975" t="s">
        <v>1123</v>
      </c>
      <c r="C70" s="969" t="s">
        <v>1137</v>
      </c>
      <c r="D70" s="970" t="s">
        <v>1124</v>
      </c>
      <c r="E70" s="968" t="str">
        <f>E66</f>
        <v>ООО "Громин"</v>
      </c>
      <c r="F70" s="968"/>
      <c r="G70" s="137"/>
      <c r="H70" s="973">
        <v>10700000</v>
      </c>
      <c r="I70" s="973">
        <f>H70</f>
        <v>10700000</v>
      </c>
      <c r="J70" s="974"/>
      <c r="K70" s="1001">
        <v>10700000</v>
      </c>
      <c r="L70" s="1129">
        <f>K70-I70</f>
        <v>0</v>
      </c>
      <c r="M70" s="75"/>
      <c r="N70" s="88"/>
      <c r="O70" s="77"/>
      <c r="P70" s="77"/>
      <c r="Q70" s="78"/>
    </row>
    <row r="71" spans="1:17" ht="12.75" customHeight="1">
      <c r="A71" s="1066"/>
      <c r="B71" s="976"/>
      <c r="C71" s="904"/>
      <c r="D71" s="658"/>
      <c r="E71" s="865"/>
      <c r="F71" s="865"/>
      <c r="G71" s="138"/>
      <c r="H71" s="905"/>
      <c r="I71" s="906"/>
      <c r="J71" s="910"/>
      <c r="K71" s="920"/>
      <c r="L71" s="1130"/>
      <c r="M71" s="74"/>
      <c r="N71" s="88"/>
      <c r="O71" s="77"/>
      <c r="P71" s="77"/>
      <c r="Q71" s="78"/>
    </row>
    <row r="72" spans="1:17" ht="12.75" customHeight="1" thickBot="1">
      <c r="A72" s="1066">
        <v>35</v>
      </c>
      <c r="B72" s="980"/>
      <c r="C72" s="904" t="s">
        <v>79</v>
      </c>
      <c r="D72" s="658" t="s">
        <v>1133</v>
      </c>
      <c r="E72" s="865" t="str">
        <f>E24</f>
        <v>ООО "Брандтрейд"</v>
      </c>
      <c r="F72" s="865"/>
      <c r="G72" s="91"/>
      <c r="H72" s="905">
        <v>3000000</v>
      </c>
      <c r="I72" s="905">
        <f>H72</f>
        <v>3000000</v>
      </c>
      <c r="J72" s="909"/>
      <c r="K72" s="919">
        <v>3000000</v>
      </c>
      <c r="L72" s="1130">
        <f>K72-I72</f>
        <v>0</v>
      </c>
      <c r="M72" s="74"/>
      <c r="N72" s="88"/>
      <c r="O72" s="77"/>
      <c r="P72" s="77"/>
      <c r="Q72" s="78"/>
    </row>
    <row r="73" spans="1:17" ht="12.75" customHeight="1" thickBot="1">
      <c r="A73" s="1066"/>
      <c r="B73" s="1143"/>
      <c r="C73" s="938"/>
      <c r="D73" s="939"/>
      <c r="E73" s="937"/>
      <c r="F73" s="937"/>
      <c r="G73" s="94"/>
      <c r="H73" s="942"/>
      <c r="I73" s="943"/>
      <c r="J73" s="944"/>
      <c r="K73" s="1041"/>
      <c r="L73" s="1138"/>
      <c r="M73" s="72">
        <f>280+250+160+(3000000+10700000)/9800</f>
        <v>2087.9591836734694</v>
      </c>
      <c r="N73" s="88"/>
      <c r="O73" s="77"/>
      <c r="P73" s="77"/>
      <c r="Q73" s="78"/>
    </row>
    <row r="74" spans="1:17" ht="12.75" customHeight="1">
      <c r="A74" s="1066">
        <v>36</v>
      </c>
      <c r="B74" s="865" t="s">
        <v>1125</v>
      </c>
      <c r="C74" s="658" t="s">
        <v>1152</v>
      </c>
      <c r="D74" s="658" t="s">
        <v>1133</v>
      </c>
      <c r="E74" s="865" t="str">
        <f>E70</f>
        <v>ООО "Громин"</v>
      </c>
      <c r="F74" s="865"/>
      <c r="G74" s="152"/>
      <c r="H74" s="905">
        <v>11100000</v>
      </c>
      <c r="I74" s="905">
        <f>H74</f>
        <v>11100000</v>
      </c>
      <c r="J74" s="909"/>
      <c r="K74" s="919">
        <v>11100000</v>
      </c>
      <c r="L74" s="1130">
        <f>K74-I74</f>
        <v>0</v>
      </c>
      <c r="M74" s="75"/>
      <c r="N74" s="88"/>
      <c r="O74" s="77"/>
      <c r="P74" s="77"/>
      <c r="Q74" s="78"/>
    </row>
    <row r="75" spans="1:17" ht="12.75" customHeight="1">
      <c r="A75" s="1066"/>
      <c r="B75" s="865"/>
      <c r="C75" s="658"/>
      <c r="D75" s="658"/>
      <c r="E75" s="865"/>
      <c r="F75" s="865"/>
      <c r="G75" s="152"/>
      <c r="H75" s="905"/>
      <c r="I75" s="906"/>
      <c r="J75" s="910"/>
      <c r="K75" s="920"/>
      <c r="L75" s="1130"/>
      <c r="M75" s="74"/>
      <c r="N75" s="88"/>
      <c r="O75" s="77"/>
      <c r="P75" s="77"/>
      <c r="Q75" s="78"/>
    </row>
    <row r="76" spans="1:17" ht="12.75" customHeight="1">
      <c r="A76" s="1066">
        <v>37</v>
      </c>
      <c r="B76" s="980"/>
      <c r="C76" s="904" t="s">
        <v>82</v>
      </c>
      <c r="D76" s="674" t="s">
        <v>1146</v>
      </c>
      <c r="E76" s="865" t="s">
        <v>260</v>
      </c>
      <c r="F76" s="865"/>
      <c r="G76" s="134"/>
      <c r="H76" s="905">
        <v>495000</v>
      </c>
      <c r="I76" s="905">
        <f>H76</f>
        <v>495000</v>
      </c>
      <c r="J76" s="909"/>
      <c r="K76" s="919">
        <v>495000</v>
      </c>
      <c r="L76" s="1130">
        <f>K76-I76</f>
        <v>0</v>
      </c>
      <c r="M76" s="74"/>
      <c r="N76" s="88"/>
      <c r="O76" s="77"/>
      <c r="P76" s="77"/>
      <c r="Q76" s="78"/>
    </row>
    <row r="77" spans="1:17" ht="12.75" customHeight="1">
      <c r="A77" s="1066"/>
      <c r="B77" s="980"/>
      <c r="C77" s="904"/>
      <c r="D77" s="674"/>
      <c r="E77" s="865"/>
      <c r="F77" s="865"/>
      <c r="G77" s="134"/>
      <c r="H77" s="905"/>
      <c r="I77" s="906"/>
      <c r="J77" s="910"/>
      <c r="K77" s="920"/>
      <c r="L77" s="1130"/>
      <c r="M77" s="74"/>
      <c r="N77" s="88"/>
      <c r="O77" s="77"/>
      <c r="P77" s="77"/>
      <c r="Q77" s="78"/>
    </row>
    <row r="78" spans="1:17" ht="12.75" customHeight="1">
      <c r="A78" s="1066">
        <v>38</v>
      </c>
      <c r="B78" s="980"/>
      <c r="C78" s="904" t="s">
        <v>86</v>
      </c>
      <c r="D78" s="674" t="s">
        <v>1146</v>
      </c>
      <c r="E78" s="865" t="s">
        <v>1153</v>
      </c>
      <c r="F78" s="865"/>
      <c r="G78" s="110"/>
      <c r="H78" s="905">
        <v>495000</v>
      </c>
      <c r="I78" s="905">
        <f>H78</f>
        <v>495000</v>
      </c>
      <c r="J78" s="909"/>
      <c r="K78" s="905">
        <v>495000</v>
      </c>
      <c r="L78" s="1130">
        <f>K78-I78</f>
        <v>0</v>
      </c>
      <c r="M78" s="74"/>
      <c r="N78" s="88"/>
      <c r="O78" s="77"/>
      <c r="P78" s="77"/>
      <c r="Q78" s="78"/>
    </row>
    <row r="79" spans="1:17" ht="12.75" customHeight="1">
      <c r="A79" s="1066"/>
      <c r="B79" s="980"/>
      <c r="C79" s="904"/>
      <c r="D79" s="674"/>
      <c r="E79" s="865"/>
      <c r="F79" s="865"/>
      <c r="G79" s="110"/>
      <c r="H79" s="905"/>
      <c r="I79" s="906"/>
      <c r="J79" s="910"/>
      <c r="K79" s="906"/>
      <c r="L79" s="1130"/>
      <c r="M79" s="74"/>
      <c r="N79" s="88"/>
      <c r="O79" s="77"/>
      <c r="P79" s="77"/>
      <c r="Q79" s="78"/>
    </row>
    <row r="80" spans="1:17" ht="12.75" customHeight="1">
      <c r="A80" s="1066">
        <v>39</v>
      </c>
      <c r="B80" s="865"/>
      <c r="C80" s="904" t="s">
        <v>84</v>
      </c>
      <c r="D80" s="674" t="s">
        <v>1146</v>
      </c>
      <c r="E80" s="865" t="s">
        <v>1140</v>
      </c>
      <c r="F80" s="865"/>
      <c r="G80" s="110"/>
      <c r="H80" s="905">
        <v>3000000</v>
      </c>
      <c r="I80" s="905">
        <f>H80</f>
        <v>3000000</v>
      </c>
      <c r="J80" s="909"/>
      <c r="K80" s="919">
        <v>3000000</v>
      </c>
      <c r="L80" s="1130">
        <f>K80-I80</f>
        <v>0</v>
      </c>
      <c r="M80" s="74"/>
      <c r="N80" s="88"/>
      <c r="O80" s="77"/>
      <c r="P80" s="77"/>
      <c r="Q80" s="78"/>
    </row>
    <row r="81" spans="1:17" ht="12.75" customHeight="1">
      <c r="A81" s="1066"/>
      <c r="B81" s="865"/>
      <c r="C81" s="904"/>
      <c r="D81" s="674"/>
      <c r="E81" s="865"/>
      <c r="F81" s="865"/>
      <c r="G81" s="110"/>
      <c r="H81" s="905"/>
      <c r="I81" s="906"/>
      <c r="J81" s="910"/>
      <c r="K81" s="920"/>
      <c r="L81" s="1130"/>
      <c r="M81" s="74"/>
      <c r="N81" s="88"/>
      <c r="O81" s="77"/>
      <c r="P81" s="77"/>
      <c r="Q81" s="78"/>
    </row>
    <row r="82" spans="1:17" ht="12.75" customHeight="1" thickBot="1">
      <c r="A82" s="1066">
        <v>40</v>
      </c>
      <c r="B82" s="980"/>
      <c r="C82" s="904" t="s">
        <v>85</v>
      </c>
      <c r="D82" s="674" t="s">
        <v>1146</v>
      </c>
      <c r="E82" s="865" t="s">
        <v>117</v>
      </c>
      <c r="F82" s="865"/>
      <c r="G82" s="193"/>
      <c r="H82" s="905">
        <v>495000</v>
      </c>
      <c r="I82" s="905">
        <f>H82</f>
        <v>495000</v>
      </c>
      <c r="J82" s="909"/>
      <c r="K82" s="919">
        <v>495000</v>
      </c>
      <c r="L82" s="1130">
        <f>K82-I82</f>
        <v>0</v>
      </c>
      <c r="M82" s="74">
        <f>530+350</f>
        <v>880</v>
      </c>
      <c r="N82" s="88"/>
      <c r="O82" s="77"/>
      <c r="P82" s="77"/>
      <c r="Q82" s="78"/>
    </row>
    <row r="83" spans="1:17" ht="12.75" customHeight="1" thickBot="1">
      <c r="A83" s="1066"/>
      <c r="B83" s="981"/>
      <c r="C83" s="913"/>
      <c r="D83" s="731"/>
      <c r="E83" s="878"/>
      <c r="F83" s="878"/>
      <c r="G83" s="194"/>
      <c r="H83" s="915"/>
      <c r="I83" s="982"/>
      <c r="J83" s="917"/>
      <c r="K83" s="984"/>
      <c r="L83" s="1137"/>
      <c r="M83" s="72">
        <f>350+530+(I74+I76+I80+I82)/9800</f>
        <v>2419.795918367347</v>
      </c>
      <c r="N83" s="88"/>
      <c r="O83" s="77"/>
      <c r="P83" s="77"/>
      <c r="Q83" s="78"/>
    </row>
    <row r="84" spans="1:17" ht="12.75" customHeight="1">
      <c r="A84" s="1066">
        <v>41</v>
      </c>
      <c r="B84" s="975" t="s">
        <v>1126</v>
      </c>
      <c r="C84" s="969" t="s">
        <v>1147</v>
      </c>
      <c r="D84" s="970" t="s">
        <v>1133</v>
      </c>
      <c r="E84" s="968" t="str">
        <f>E74</f>
        <v>ООО "Громин"</v>
      </c>
      <c r="F84" s="968"/>
      <c r="G84" s="157"/>
      <c r="H84" s="973">
        <v>11100000</v>
      </c>
      <c r="I84" s="973">
        <f>H84</f>
        <v>11100000</v>
      </c>
      <c r="J84" s="974"/>
      <c r="K84" s="1001">
        <v>11100000</v>
      </c>
      <c r="L84" s="967">
        <f>K84-I84</f>
        <v>0</v>
      </c>
      <c r="M84" s="75"/>
      <c r="N84" s="88"/>
      <c r="O84" s="77"/>
      <c r="P84" s="77"/>
      <c r="Q84" s="78"/>
    </row>
    <row r="85" spans="1:17" ht="12.75" customHeight="1">
      <c r="A85" s="1066"/>
      <c r="B85" s="976"/>
      <c r="C85" s="904"/>
      <c r="D85" s="658"/>
      <c r="E85" s="865"/>
      <c r="F85" s="865"/>
      <c r="G85" s="155"/>
      <c r="H85" s="905"/>
      <c r="I85" s="906"/>
      <c r="J85" s="910"/>
      <c r="K85" s="920"/>
      <c r="L85" s="946"/>
      <c r="M85" s="74"/>
      <c r="N85" s="88"/>
      <c r="O85" s="77"/>
      <c r="P85" s="77"/>
      <c r="Q85" s="78"/>
    </row>
    <row r="86" spans="1:17" ht="12.75" customHeight="1" thickBot="1">
      <c r="A86" s="1066">
        <v>42</v>
      </c>
      <c r="B86" s="980"/>
      <c r="C86" s="904" t="s">
        <v>81</v>
      </c>
      <c r="D86" s="658" t="s">
        <v>1145</v>
      </c>
      <c r="E86" s="865" t="s">
        <v>1144</v>
      </c>
      <c r="F86" s="865"/>
      <c r="G86" s="132"/>
      <c r="H86" s="905">
        <v>2880000</v>
      </c>
      <c r="I86" s="905">
        <f>H86</f>
        <v>2880000</v>
      </c>
      <c r="J86" s="909"/>
      <c r="K86" s="919">
        <v>2880000</v>
      </c>
      <c r="L86" s="946">
        <f>K86-I86</f>
        <v>0</v>
      </c>
      <c r="M86" s="74"/>
      <c r="N86" s="88"/>
      <c r="O86" s="77"/>
      <c r="P86" s="77"/>
      <c r="Q86" s="78"/>
    </row>
    <row r="87" spans="1:17" ht="12.75" customHeight="1" thickBot="1">
      <c r="A87" s="1066"/>
      <c r="B87" s="1143"/>
      <c r="C87" s="938"/>
      <c r="D87" s="939"/>
      <c r="E87" s="937"/>
      <c r="F87" s="937"/>
      <c r="G87" s="133"/>
      <c r="H87" s="942"/>
      <c r="I87" s="943"/>
      <c r="J87" s="944"/>
      <c r="K87" s="1041"/>
      <c r="L87" s="947"/>
      <c r="M87" s="72">
        <f>(I84+I86)/9800</f>
        <v>1426.5306122448981</v>
      </c>
      <c r="N87" s="72"/>
      <c r="O87" s="73">
        <f>SUM(M9:M87)</f>
        <v>24880.675510204081</v>
      </c>
      <c r="P87" s="77"/>
      <c r="Q87" s="78"/>
    </row>
    <row r="88" spans="1:17" ht="12.75" customHeight="1">
      <c r="A88" s="1066">
        <v>43</v>
      </c>
      <c r="B88" s="1253" t="s">
        <v>1142</v>
      </c>
      <c r="C88" s="914"/>
      <c r="D88" s="660"/>
      <c r="E88" s="879" t="s">
        <v>1136</v>
      </c>
      <c r="F88" s="879">
        <f>20*11</f>
        <v>220</v>
      </c>
      <c r="G88" s="161"/>
      <c r="H88" s="916"/>
      <c r="I88" s="916"/>
      <c r="J88" s="949"/>
      <c r="K88" s="984"/>
      <c r="L88" s="1142"/>
      <c r="M88" s="81"/>
      <c r="N88" s="77"/>
      <c r="O88" s="77"/>
      <c r="P88" s="77"/>
      <c r="Q88" s="78"/>
    </row>
    <row r="89" spans="1:17" ht="17.25" customHeight="1" thickBot="1">
      <c r="A89" s="1066"/>
      <c r="B89" s="1254"/>
      <c r="C89" s="904"/>
      <c r="D89" s="658"/>
      <c r="E89" s="865"/>
      <c r="F89" s="865"/>
      <c r="G89" s="162"/>
      <c r="H89" s="905"/>
      <c r="I89" s="906"/>
      <c r="J89" s="910"/>
      <c r="K89" s="920"/>
      <c r="L89" s="1130"/>
      <c r="M89" s="82"/>
      <c r="N89" s="83"/>
      <c r="O89" s="83"/>
      <c r="P89" s="83"/>
      <c r="Q89" s="84"/>
    </row>
    <row r="90" spans="1:17" ht="19.5" thickBot="1">
      <c r="A90" s="69"/>
      <c r="B90" s="1140" t="s">
        <v>90</v>
      </c>
      <c r="C90" s="1141"/>
      <c r="D90" s="1141"/>
      <c r="E90" s="1141"/>
      <c r="F90" s="1141"/>
      <c r="G90" s="1141"/>
      <c r="H90" s="1141"/>
      <c r="I90" s="1141"/>
      <c r="J90" s="1141"/>
      <c r="K90" s="1141"/>
      <c r="L90" s="1141"/>
      <c r="M90" s="76">
        <f>SUM(I76:I83,I91:I156,I159,I163:I166)</f>
        <v>151541330</v>
      </c>
      <c r="N90" s="112"/>
      <c r="O90" s="111">
        <f>M90/9800</f>
        <v>15463.401020408162</v>
      </c>
      <c r="P90" s="111">
        <f>O90-M163</f>
        <v>15463.401020408162</v>
      </c>
    </row>
    <row r="91" spans="1:17" ht="12.75" customHeight="1">
      <c r="A91" s="1119">
        <v>44</v>
      </c>
      <c r="B91" s="1133" t="s">
        <v>1164</v>
      </c>
      <c r="C91" s="1135" t="s">
        <v>1159</v>
      </c>
      <c r="D91" s="1224" t="s">
        <v>1146</v>
      </c>
      <c r="E91" s="1210" t="str">
        <f>E84</f>
        <v>ООО "Громин"</v>
      </c>
      <c r="F91" s="1210"/>
      <c r="G91" s="171"/>
      <c r="H91" s="1212">
        <v>11500000</v>
      </c>
      <c r="I91" s="1212">
        <f>H91</f>
        <v>11500000</v>
      </c>
      <c r="J91" s="1214"/>
      <c r="K91" s="1216">
        <v>11500000</v>
      </c>
      <c r="L91" s="1198">
        <f>K91-I91</f>
        <v>0</v>
      </c>
      <c r="M91" s="5">
        <f>SUM(L91:L166)</f>
        <v>0</v>
      </c>
      <c r="N91" s="111"/>
      <c r="O91" s="111"/>
      <c r="P91" s="111"/>
    </row>
    <row r="92" spans="1:17" ht="12.75" customHeight="1">
      <c r="A92" s="1120"/>
      <c r="B92" s="1134"/>
      <c r="C92" s="1136"/>
      <c r="D92" s="825"/>
      <c r="E92" s="1211"/>
      <c r="F92" s="1211"/>
      <c r="G92" s="168"/>
      <c r="H92" s="1213"/>
      <c r="I92" s="1213"/>
      <c r="J92" s="1215"/>
      <c r="K92" s="1217"/>
      <c r="L92" s="1199"/>
      <c r="M92" s="154">
        <f>M91/9800</f>
        <v>0</v>
      </c>
      <c r="N92" s="111"/>
      <c r="O92" s="111"/>
      <c r="P92" s="111"/>
    </row>
    <row r="93" spans="1:17" ht="11.25" customHeight="1" thickBot="1">
      <c r="A93" s="1119">
        <v>45</v>
      </c>
      <c r="B93" s="1222"/>
      <c r="C93" s="1202" t="s">
        <v>102</v>
      </c>
      <c r="D93" s="1204" t="s">
        <v>1156</v>
      </c>
      <c r="E93" s="1206" t="s">
        <v>241</v>
      </c>
      <c r="F93" s="1206"/>
      <c r="G93" s="168"/>
      <c r="H93" s="1131">
        <v>2970000</v>
      </c>
      <c r="I93" s="1131">
        <f>H93</f>
        <v>2970000</v>
      </c>
      <c r="J93" s="1208"/>
      <c r="K93" s="1218">
        <v>2970000</v>
      </c>
      <c r="L93" s="1200">
        <f>K93-I93</f>
        <v>0</v>
      </c>
      <c r="M93" s="111"/>
      <c r="N93" s="111"/>
      <c r="O93" s="111"/>
      <c r="P93" s="111"/>
    </row>
    <row r="94" spans="1:17" ht="21.75" customHeight="1" thickBot="1">
      <c r="A94" s="1120"/>
      <c r="B94" s="1223"/>
      <c r="C94" s="1203"/>
      <c r="D94" s="1205"/>
      <c r="E94" s="1207"/>
      <c r="F94" s="1207"/>
      <c r="G94" s="169"/>
      <c r="H94" s="1132"/>
      <c r="I94" s="1132"/>
      <c r="J94" s="1209"/>
      <c r="K94" s="1219"/>
      <c r="L94" s="1201"/>
      <c r="M94" s="113">
        <f>450+(I91+I93)/9800</f>
        <v>1926.5306122448981</v>
      </c>
      <c r="N94" s="114"/>
      <c r="O94" s="111"/>
      <c r="P94" s="111"/>
    </row>
    <row r="95" spans="1:17" ht="12.75" customHeight="1">
      <c r="A95" s="1119">
        <v>46</v>
      </c>
      <c r="B95" s="1133" t="s">
        <v>1150</v>
      </c>
      <c r="C95" s="1135" t="s">
        <v>1181</v>
      </c>
      <c r="D95" s="1224" t="s">
        <v>1182</v>
      </c>
      <c r="E95" s="1210" t="str">
        <f>E91</f>
        <v>ООО "Громин"</v>
      </c>
      <c r="F95" s="1210"/>
      <c r="G95" s="171"/>
      <c r="H95" s="1212">
        <v>11100000</v>
      </c>
      <c r="I95" s="1212">
        <f>H95</f>
        <v>11100000</v>
      </c>
      <c r="J95" s="1214"/>
      <c r="K95" s="1212">
        <v>11100000</v>
      </c>
      <c r="L95" s="1198">
        <f>K95-I95</f>
        <v>0</v>
      </c>
      <c r="M95" s="111"/>
      <c r="N95" s="111"/>
      <c r="O95" s="111"/>
      <c r="P95" s="111"/>
    </row>
    <row r="96" spans="1:17" ht="12.75" customHeight="1">
      <c r="A96" s="1120"/>
      <c r="B96" s="1134"/>
      <c r="C96" s="1136"/>
      <c r="D96" s="825"/>
      <c r="E96" s="1211"/>
      <c r="F96" s="1211"/>
      <c r="G96" s="168"/>
      <c r="H96" s="1213"/>
      <c r="I96" s="1213"/>
      <c r="J96" s="1215"/>
      <c r="K96" s="1213"/>
      <c r="L96" s="1199"/>
      <c r="M96" s="115"/>
      <c r="N96" s="115"/>
      <c r="O96" s="111"/>
      <c r="P96" s="111"/>
    </row>
    <row r="97" spans="1:16" ht="12.75" customHeight="1">
      <c r="A97" s="1119">
        <v>47</v>
      </c>
      <c r="B97" s="1114"/>
      <c r="C97" s="913" t="s">
        <v>137</v>
      </c>
      <c r="D97" s="659" t="s">
        <v>1171</v>
      </c>
      <c r="E97" s="878" t="s">
        <v>1172</v>
      </c>
      <c r="F97" s="878"/>
      <c r="G97" s="166"/>
      <c r="H97" s="915">
        <v>2500000</v>
      </c>
      <c r="I97" s="915">
        <f>H97</f>
        <v>2500000</v>
      </c>
      <c r="J97" s="948"/>
      <c r="K97" s="919">
        <v>2500000</v>
      </c>
      <c r="L97" s="950">
        <f>K97-I97</f>
        <v>0</v>
      </c>
      <c r="M97" s="111"/>
      <c r="N97" s="111"/>
      <c r="O97" s="111"/>
      <c r="P97" s="111"/>
    </row>
    <row r="98" spans="1:16" ht="12.75" customHeight="1">
      <c r="A98" s="1120"/>
      <c r="B98" s="1116"/>
      <c r="C98" s="914"/>
      <c r="D98" s="660"/>
      <c r="E98" s="879"/>
      <c r="F98" s="879"/>
      <c r="G98" s="166"/>
      <c r="H98" s="916"/>
      <c r="I98" s="916"/>
      <c r="J98" s="949"/>
      <c r="K98" s="920"/>
      <c r="L98" s="951"/>
      <c r="M98" s="111"/>
      <c r="N98" s="111"/>
      <c r="O98" s="111"/>
      <c r="P98" s="111"/>
    </row>
    <row r="99" spans="1:16" ht="12.75" customHeight="1" thickBot="1">
      <c r="A99" s="1119">
        <v>48</v>
      </c>
      <c r="B99" s="1114"/>
      <c r="C99" s="913" t="s">
        <v>140</v>
      </c>
      <c r="D99" s="659" t="s">
        <v>1170</v>
      </c>
      <c r="E99" s="878" t="s">
        <v>288</v>
      </c>
      <c r="F99" s="878" t="s">
        <v>1028</v>
      </c>
      <c r="G99" s="155"/>
      <c r="H99" s="915">
        <v>4000000</v>
      </c>
      <c r="I99" s="915">
        <f>H99</f>
        <v>4000000</v>
      </c>
      <c r="J99" s="948"/>
      <c r="K99" s="919">
        <v>4000000</v>
      </c>
      <c r="L99" s="950">
        <f>K99-I99</f>
        <v>0</v>
      </c>
      <c r="M99" s="111"/>
      <c r="N99" s="111"/>
      <c r="O99" s="111"/>
      <c r="P99" s="111"/>
    </row>
    <row r="100" spans="1:16" ht="12.75" customHeight="1" thickBot="1">
      <c r="A100" s="1120"/>
      <c r="B100" s="1115"/>
      <c r="C100" s="1249"/>
      <c r="D100" s="1196"/>
      <c r="E100" s="1197"/>
      <c r="F100" s="1197"/>
      <c r="G100" s="158"/>
      <c r="H100" s="1091"/>
      <c r="I100" s="1091"/>
      <c r="J100" s="1148"/>
      <c r="K100" s="1041"/>
      <c r="L100" s="1149"/>
      <c r="M100" s="107">
        <f>(I95+I97+I99)/9800</f>
        <v>1795.9183673469388</v>
      </c>
      <c r="N100" s="111"/>
      <c r="O100" s="111"/>
      <c r="P100" s="111"/>
    </row>
    <row r="101" spans="1:16" ht="12.75" customHeight="1">
      <c r="A101" s="1119">
        <v>49</v>
      </c>
      <c r="B101" s="1121" t="s">
        <v>1149</v>
      </c>
      <c r="C101" s="1018" t="s">
        <v>87</v>
      </c>
      <c r="D101" s="1019" t="s">
        <v>1157</v>
      </c>
      <c r="E101" s="1017" t="str">
        <f>E34</f>
        <v>СООО "Лама-мебель"</v>
      </c>
      <c r="F101" s="1017"/>
      <c r="G101" s="342"/>
      <c r="H101" s="999">
        <v>1127000</v>
      </c>
      <c r="I101" s="999">
        <f>H101</f>
        <v>1127000</v>
      </c>
      <c r="J101" s="1000"/>
      <c r="K101" s="1001">
        <v>1127000</v>
      </c>
      <c r="L101" s="1002">
        <f>K101-I101</f>
        <v>0</v>
      </c>
      <c r="M101" s="111"/>
      <c r="N101" s="111"/>
      <c r="O101" s="111"/>
      <c r="P101" s="111"/>
    </row>
    <row r="102" spans="1:16" ht="12.75" customHeight="1">
      <c r="A102" s="1120"/>
      <c r="B102" s="1122"/>
      <c r="C102" s="914"/>
      <c r="D102" s="660"/>
      <c r="E102" s="879"/>
      <c r="F102" s="879"/>
      <c r="G102" s="339"/>
      <c r="H102" s="916"/>
      <c r="I102" s="916"/>
      <c r="J102" s="949"/>
      <c r="K102" s="920"/>
      <c r="L102" s="951"/>
      <c r="M102" s="111"/>
      <c r="N102" s="111"/>
      <c r="O102" s="111"/>
      <c r="P102" s="111"/>
    </row>
    <row r="103" spans="1:16" ht="12.75" customHeight="1" thickBot="1">
      <c r="A103" s="1119">
        <v>50</v>
      </c>
      <c r="B103" s="981"/>
      <c r="C103" s="913" t="s">
        <v>95</v>
      </c>
      <c r="D103" s="659" t="s">
        <v>1157</v>
      </c>
      <c r="E103" s="878" t="str">
        <f>E38</f>
        <v>ООО "Ласпар"</v>
      </c>
      <c r="F103" s="878"/>
      <c r="G103" s="267"/>
      <c r="H103" s="915">
        <v>1960</v>
      </c>
      <c r="I103" s="915">
        <f>H103*J103</f>
        <v>535080</v>
      </c>
      <c r="J103" s="948">
        <v>273</v>
      </c>
      <c r="K103" s="919">
        <v>535080</v>
      </c>
      <c r="L103" s="950">
        <f>K103-I103</f>
        <v>0</v>
      </c>
      <c r="M103" s="111"/>
      <c r="N103" s="111"/>
      <c r="O103" s="111"/>
      <c r="P103" s="111"/>
    </row>
    <row r="104" spans="1:16" ht="12.75" customHeight="1" thickBot="1">
      <c r="A104" s="1120"/>
      <c r="B104" s="1082"/>
      <c r="C104" s="1249"/>
      <c r="D104" s="1196"/>
      <c r="E104" s="1197"/>
      <c r="F104" s="1197"/>
      <c r="G104" s="268"/>
      <c r="H104" s="1091"/>
      <c r="I104" s="1091"/>
      <c r="J104" s="1148"/>
      <c r="K104" s="1041"/>
      <c r="L104" s="1149"/>
      <c r="M104" s="107">
        <f>(I101+I103)/9800</f>
        <v>169.6</v>
      </c>
      <c r="N104" s="111"/>
      <c r="O104" s="111"/>
      <c r="P104" s="111"/>
    </row>
    <row r="105" spans="1:16" ht="12.75" customHeight="1">
      <c r="A105" s="1119">
        <v>51</v>
      </c>
      <c r="B105" s="1121" t="s">
        <v>1148</v>
      </c>
      <c r="C105" s="1018" t="s">
        <v>6</v>
      </c>
      <c r="D105" s="1019" t="s">
        <v>1157</v>
      </c>
      <c r="E105" s="1017" t="str">
        <f>E26</f>
        <v>ООО "Анпласт"</v>
      </c>
      <c r="F105" s="1017"/>
      <c r="G105" s="456"/>
      <c r="H105" s="999">
        <v>3300</v>
      </c>
      <c r="I105" s="999">
        <f>H105*J105</f>
        <v>900900</v>
      </c>
      <c r="J105" s="1000">
        <v>273</v>
      </c>
      <c r="K105" s="1001">
        <v>900900</v>
      </c>
      <c r="L105" s="1002">
        <f>K105-I105</f>
        <v>0</v>
      </c>
      <c r="M105" s="111"/>
      <c r="N105" s="111"/>
      <c r="O105" s="111"/>
      <c r="P105" s="111"/>
    </row>
    <row r="106" spans="1:16" ht="12.75" customHeight="1">
      <c r="A106" s="1120"/>
      <c r="B106" s="1122"/>
      <c r="C106" s="914"/>
      <c r="D106" s="660"/>
      <c r="E106" s="879"/>
      <c r="F106" s="879"/>
      <c r="G106" s="457"/>
      <c r="H106" s="916"/>
      <c r="I106" s="916"/>
      <c r="J106" s="949"/>
      <c r="K106" s="920"/>
      <c r="L106" s="951"/>
      <c r="M106" s="111"/>
      <c r="N106" s="111"/>
      <c r="O106" s="111"/>
      <c r="P106" s="111"/>
    </row>
    <row r="107" spans="1:16" ht="12.75" customHeight="1">
      <c r="A107" s="1119">
        <v>52</v>
      </c>
      <c r="B107" s="981"/>
      <c r="C107" s="913" t="s">
        <v>119</v>
      </c>
      <c r="D107" s="659" t="s">
        <v>1166</v>
      </c>
      <c r="E107" s="878" t="s">
        <v>1165</v>
      </c>
      <c r="F107" s="878"/>
      <c r="G107" s="335"/>
      <c r="H107" s="915">
        <v>5300000</v>
      </c>
      <c r="I107" s="915">
        <f>H107</f>
        <v>5300000</v>
      </c>
      <c r="J107" s="948"/>
      <c r="K107" s="919">
        <f>1700000+3000000+600000</f>
        <v>5300000</v>
      </c>
      <c r="L107" s="950">
        <f>K107-I107</f>
        <v>0</v>
      </c>
      <c r="M107" s="111"/>
      <c r="N107" s="111"/>
      <c r="O107" s="111"/>
      <c r="P107" s="111"/>
    </row>
    <row r="108" spans="1:16" ht="12.75" customHeight="1">
      <c r="A108" s="1120"/>
      <c r="B108" s="1092"/>
      <c r="C108" s="914"/>
      <c r="D108" s="660"/>
      <c r="E108" s="879"/>
      <c r="F108" s="879"/>
      <c r="G108" s="335"/>
      <c r="H108" s="916"/>
      <c r="I108" s="916"/>
      <c r="J108" s="949"/>
      <c r="K108" s="920"/>
      <c r="L108" s="951"/>
      <c r="M108" s="111"/>
      <c r="N108" s="111"/>
      <c r="O108" s="111"/>
      <c r="P108" s="111"/>
    </row>
    <row r="109" spans="1:16" ht="12.75" customHeight="1" thickBot="1">
      <c r="A109" s="1119">
        <v>53</v>
      </c>
      <c r="B109" s="1159"/>
      <c r="C109" s="913" t="s">
        <v>118</v>
      </c>
      <c r="D109" s="659" t="s">
        <v>1166</v>
      </c>
      <c r="E109" s="878" t="s">
        <v>242</v>
      </c>
      <c r="F109" s="1123" t="s">
        <v>1167</v>
      </c>
      <c r="G109" s="155"/>
      <c r="H109" s="915">
        <v>990000</v>
      </c>
      <c r="I109" s="915">
        <f>H109</f>
        <v>990000</v>
      </c>
      <c r="J109" s="948"/>
      <c r="K109" s="919">
        <v>990000</v>
      </c>
      <c r="L109" s="950">
        <f>K109-I109</f>
        <v>0</v>
      </c>
      <c r="M109" s="111"/>
      <c r="N109" s="111"/>
      <c r="O109" s="111"/>
      <c r="P109" s="111"/>
    </row>
    <row r="110" spans="1:16" ht="12.75" customHeight="1" thickBot="1">
      <c r="A110" s="1120"/>
      <c r="B110" s="1230"/>
      <c r="C110" s="1249"/>
      <c r="D110" s="1196"/>
      <c r="E110" s="1197"/>
      <c r="F110" s="1124"/>
      <c r="G110" s="158"/>
      <c r="H110" s="1091"/>
      <c r="I110" s="1091"/>
      <c r="J110" s="1148"/>
      <c r="K110" s="1041"/>
      <c r="L110" s="1149"/>
      <c r="M110" s="107">
        <f>1414+200+(I107)/9800</f>
        <v>2154.8163265306121</v>
      </c>
      <c r="N110" s="111"/>
      <c r="O110" s="111"/>
      <c r="P110" s="111"/>
    </row>
    <row r="111" spans="1:16" ht="12.75" customHeight="1">
      <c r="A111" s="1119">
        <v>54</v>
      </c>
      <c r="B111" s="1121" t="s">
        <v>1151</v>
      </c>
      <c r="C111" s="1018" t="s">
        <v>103</v>
      </c>
      <c r="D111" s="1019" t="s">
        <v>1156</v>
      </c>
      <c r="E111" s="1017" t="s">
        <v>262</v>
      </c>
      <c r="F111" s="1017"/>
      <c r="G111" s="157"/>
      <c r="H111" s="999">
        <v>707000</v>
      </c>
      <c r="I111" s="999">
        <f>H111</f>
        <v>707000</v>
      </c>
      <c r="J111" s="1000"/>
      <c r="K111" s="1001">
        <v>707000</v>
      </c>
      <c r="L111" s="1002">
        <f>K111-I111</f>
        <v>0</v>
      </c>
      <c r="M111" s="111"/>
      <c r="N111" s="111"/>
      <c r="O111" s="111"/>
      <c r="P111" s="111"/>
    </row>
    <row r="112" spans="1:16" ht="12.75" customHeight="1">
      <c r="A112" s="1120"/>
      <c r="B112" s="1122"/>
      <c r="C112" s="914"/>
      <c r="D112" s="660"/>
      <c r="E112" s="879"/>
      <c r="F112" s="879"/>
      <c r="G112" s="155"/>
      <c r="H112" s="916"/>
      <c r="I112" s="916"/>
      <c r="J112" s="949"/>
      <c r="K112" s="920"/>
      <c r="L112" s="951"/>
      <c r="M112" s="111"/>
      <c r="N112" s="111"/>
      <c r="O112" s="111"/>
      <c r="P112" s="111"/>
    </row>
    <row r="113" spans="1:16" ht="12.75" customHeight="1" thickBot="1">
      <c r="A113" s="1119">
        <v>55</v>
      </c>
      <c r="B113" s="981"/>
      <c r="C113" s="913"/>
      <c r="D113" s="659"/>
      <c r="E113" s="878"/>
      <c r="F113" s="878"/>
      <c r="G113" s="155"/>
      <c r="H113" s="915"/>
      <c r="I113" s="915"/>
      <c r="J113" s="948"/>
      <c r="K113" s="919"/>
      <c r="L113" s="950"/>
      <c r="M113" s="111"/>
      <c r="N113" s="111"/>
      <c r="O113" s="111"/>
      <c r="P113" s="111"/>
    </row>
    <row r="114" spans="1:16" ht="12.75" customHeight="1" thickBot="1">
      <c r="A114" s="1120"/>
      <c r="B114" s="1082"/>
      <c r="C114" s="1249"/>
      <c r="D114" s="1196"/>
      <c r="E114" s="1197"/>
      <c r="F114" s="1197"/>
      <c r="G114" s="158"/>
      <c r="H114" s="1091"/>
      <c r="I114" s="1091"/>
      <c r="J114" s="1148"/>
      <c r="K114" s="1041"/>
      <c r="L114" s="1149"/>
      <c r="M114" s="107">
        <f>I111/9800</f>
        <v>72.142857142857139</v>
      </c>
      <c r="N114" s="111"/>
      <c r="O114" s="111"/>
      <c r="P114" s="111"/>
    </row>
    <row r="115" spans="1:16" ht="12.75" customHeight="1">
      <c r="A115" s="1119">
        <v>56</v>
      </c>
      <c r="B115" s="1017" t="s">
        <v>1155</v>
      </c>
      <c r="C115" s="1018" t="s">
        <v>1186</v>
      </c>
      <c r="D115" s="1019" t="s">
        <v>1183</v>
      </c>
      <c r="E115" s="1017" t="str">
        <f>E95</f>
        <v>ООО "Громин"</v>
      </c>
      <c r="F115" s="1017"/>
      <c r="G115" s="166"/>
      <c r="H115" s="999">
        <v>10700000</v>
      </c>
      <c r="I115" s="999">
        <f>H115</f>
        <v>10700000</v>
      </c>
      <c r="J115" s="1000"/>
      <c r="K115" s="1001">
        <v>10700000</v>
      </c>
      <c r="L115" s="1195">
        <f>K115-I115</f>
        <v>0</v>
      </c>
      <c r="M115" s="111"/>
      <c r="N115" s="111"/>
      <c r="O115" s="111"/>
      <c r="P115" s="111"/>
    </row>
    <row r="116" spans="1:16" ht="12.75" customHeight="1">
      <c r="A116" s="1120"/>
      <c r="B116" s="879"/>
      <c r="C116" s="914"/>
      <c r="D116" s="660"/>
      <c r="E116" s="879"/>
      <c r="F116" s="879"/>
      <c r="G116" s="166"/>
      <c r="H116" s="916"/>
      <c r="I116" s="916"/>
      <c r="J116" s="949"/>
      <c r="K116" s="920"/>
      <c r="L116" s="901"/>
      <c r="M116" s="111"/>
      <c r="N116" s="111"/>
      <c r="O116" s="111"/>
      <c r="P116" s="111"/>
    </row>
    <row r="117" spans="1:16" ht="12.75" customHeight="1">
      <c r="A117" s="1119">
        <v>57</v>
      </c>
      <c r="B117" s="981"/>
      <c r="C117" s="913" t="s">
        <v>145</v>
      </c>
      <c r="D117" s="659" t="s">
        <v>1174</v>
      </c>
      <c r="E117" s="878" t="s">
        <v>117</v>
      </c>
      <c r="F117" s="878" t="s">
        <v>1175</v>
      </c>
      <c r="G117" s="193"/>
      <c r="H117" s="915">
        <v>495000</v>
      </c>
      <c r="I117" s="915">
        <f>H117</f>
        <v>495000</v>
      </c>
      <c r="J117" s="948"/>
      <c r="K117" s="919">
        <v>495000</v>
      </c>
      <c r="L117" s="900">
        <f>K117-I117</f>
        <v>0</v>
      </c>
      <c r="M117" s="111"/>
      <c r="N117" s="111"/>
      <c r="O117" s="111"/>
      <c r="P117" s="111"/>
    </row>
    <row r="118" spans="1:16" ht="12.75" customHeight="1">
      <c r="A118" s="1120"/>
      <c r="B118" s="1092"/>
      <c r="C118" s="914"/>
      <c r="D118" s="660"/>
      <c r="E118" s="879"/>
      <c r="F118" s="879"/>
      <c r="G118" s="193"/>
      <c r="H118" s="916"/>
      <c r="I118" s="916"/>
      <c r="J118" s="949"/>
      <c r="K118" s="920"/>
      <c r="L118" s="901"/>
      <c r="M118" s="111"/>
      <c r="N118" s="111"/>
      <c r="O118" s="111"/>
      <c r="P118" s="111"/>
    </row>
    <row r="119" spans="1:16" ht="12.75" customHeight="1">
      <c r="A119" s="1119">
        <v>58</v>
      </c>
      <c r="B119" s="878"/>
      <c r="C119" s="913" t="s">
        <v>146</v>
      </c>
      <c r="D119" s="659" t="s">
        <v>1174</v>
      </c>
      <c r="E119" s="878" t="s">
        <v>1180</v>
      </c>
      <c r="F119" s="878"/>
      <c r="G119" s="155"/>
      <c r="H119" s="915">
        <v>1220000</v>
      </c>
      <c r="I119" s="915">
        <f>H119</f>
        <v>1220000</v>
      </c>
      <c r="J119" s="948"/>
      <c r="K119" s="919">
        <v>1220000</v>
      </c>
      <c r="L119" s="900">
        <f>K119-I119</f>
        <v>0</v>
      </c>
      <c r="M119" s="111"/>
      <c r="N119" s="111"/>
      <c r="O119" s="111"/>
      <c r="P119" s="111"/>
    </row>
    <row r="120" spans="1:16" ht="12.75" customHeight="1">
      <c r="A120" s="1120"/>
      <c r="B120" s="879"/>
      <c r="C120" s="914"/>
      <c r="D120" s="660"/>
      <c r="E120" s="879"/>
      <c r="F120" s="879"/>
      <c r="G120" s="155"/>
      <c r="H120" s="916"/>
      <c r="I120" s="916"/>
      <c r="J120" s="949"/>
      <c r="K120" s="920"/>
      <c r="L120" s="901"/>
      <c r="M120" s="111"/>
      <c r="N120" s="111"/>
      <c r="O120" s="111"/>
      <c r="P120" s="111"/>
    </row>
    <row r="121" spans="1:16" ht="12.75" customHeight="1" thickBot="1">
      <c r="A121" s="1119">
        <v>59</v>
      </c>
      <c r="B121" s="1042"/>
      <c r="C121" s="913" t="s">
        <v>158</v>
      </c>
      <c r="D121" s="659" t="s">
        <v>1174</v>
      </c>
      <c r="E121" s="878" t="s">
        <v>1187</v>
      </c>
      <c r="F121" s="878"/>
      <c r="G121" s="155"/>
      <c r="H121" s="915">
        <v>3000000</v>
      </c>
      <c r="I121" s="915">
        <f>H121</f>
        <v>3000000</v>
      </c>
      <c r="J121" s="948"/>
      <c r="K121" s="919">
        <v>3000000</v>
      </c>
      <c r="L121" s="1137">
        <f>K121-I121</f>
        <v>0</v>
      </c>
      <c r="M121" s="111"/>
      <c r="N121" s="111"/>
      <c r="O121" s="111"/>
      <c r="P121" s="111"/>
    </row>
    <row r="122" spans="1:16" ht="12.75" customHeight="1" thickBot="1">
      <c r="A122" s="1120"/>
      <c r="B122" s="1250"/>
      <c r="C122" s="1249"/>
      <c r="D122" s="1196"/>
      <c r="E122" s="1197"/>
      <c r="F122" s="1197"/>
      <c r="G122" s="156"/>
      <c r="H122" s="1091"/>
      <c r="I122" s="1091"/>
      <c r="J122" s="1148"/>
      <c r="K122" s="1041"/>
      <c r="L122" s="1269"/>
      <c r="M122" s="107">
        <f>(I115+I117+I119+I121)/9800+490</f>
        <v>2062.9591836734694</v>
      </c>
      <c r="N122" s="111"/>
      <c r="O122" s="111"/>
      <c r="P122" s="111"/>
    </row>
    <row r="123" spans="1:16" ht="12.75" customHeight="1">
      <c r="A123" s="1119">
        <v>60</v>
      </c>
      <c r="B123" s="1121" t="s">
        <v>1158</v>
      </c>
      <c r="C123" s="1018" t="s">
        <v>6</v>
      </c>
      <c r="D123" s="1019" t="s">
        <v>1166</v>
      </c>
      <c r="E123" s="1017" t="s">
        <v>13</v>
      </c>
      <c r="F123" s="1017"/>
      <c r="G123" s="456"/>
      <c r="H123" s="999">
        <v>3300</v>
      </c>
      <c r="I123" s="999">
        <f>H123*J123</f>
        <v>922350</v>
      </c>
      <c r="J123" s="1000">
        <v>279.5</v>
      </c>
      <c r="K123" s="1001">
        <v>922350</v>
      </c>
      <c r="L123" s="1002">
        <f>K123-I123</f>
        <v>0</v>
      </c>
      <c r="M123" s="111"/>
      <c r="N123" s="111"/>
      <c r="O123" s="111"/>
      <c r="P123" s="111"/>
    </row>
    <row r="124" spans="1:16" ht="12.75" customHeight="1">
      <c r="A124" s="1120"/>
      <c r="B124" s="1122"/>
      <c r="C124" s="914"/>
      <c r="D124" s="660"/>
      <c r="E124" s="879"/>
      <c r="F124" s="879"/>
      <c r="G124" s="457"/>
      <c r="H124" s="916"/>
      <c r="I124" s="916"/>
      <c r="J124" s="949"/>
      <c r="K124" s="920"/>
      <c r="L124" s="951"/>
      <c r="M124" s="111"/>
      <c r="N124" s="111"/>
      <c r="O124" s="111"/>
      <c r="P124" s="111"/>
    </row>
    <row r="125" spans="1:16" ht="12.75" customHeight="1">
      <c r="A125" s="1119">
        <v>61</v>
      </c>
      <c r="B125" s="1114"/>
      <c r="C125" s="913" t="s">
        <v>141</v>
      </c>
      <c r="D125" s="659" t="s">
        <v>1178</v>
      </c>
      <c r="E125" s="878" t="s">
        <v>1173</v>
      </c>
      <c r="F125" s="878"/>
      <c r="G125" s="162"/>
      <c r="H125" s="915">
        <v>3000000</v>
      </c>
      <c r="I125" s="915">
        <f>H125</f>
        <v>3000000</v>
      </c>
      <c r="J125" s="948"/>
      <c r="K125" s="919">
        <v>3000000</v>
      </c>
      <c r="L125" s="950">
        <f>K125-I125</f>
        <v>0</v>
      </c>
      <c r="M125" s="111"/>
      <c r="N125" s="111"/>
      <c r="O125" s="111"/>
      <c r="P125" s="111"/>
    </row>
    <row r="126" spans="1:16" ht="12.75" customHeight="1">
      <c r="A126" s="1120"/>
      <c r="B126" s="1116"/>
      <c r="C126" s="914"/>
      <c r="D126" s="660"/>
      <c r="E126" s="879"/>
      <c r="F126" s="879"/>
      <c r="G126" s="162"/>
      <c r="H126" s="916"/>
      <c r="I126" s="916"/>
      <c r="J126" s="949"/>
      <c r="K126" s="920"/>
      <c r="L126" s="951"/>
      <c r="M126" s="111"/>
      <c r="N126" s="111"/>
      <c r="O126" s="111"/>
      <c r="P126" s="111"/>
    </row>
    <row r="127" spans="1:16" ht="12.75" customHeight="1" thickBot="1">
      <c r="A127" s="1119">
        <v>62</v>
      </c>
      <c r="B127" s="1159"/>
      <c r="C127" s="913" t="s">
        <v>144</v>
      </c>
      <c r="D127" s="659" t="s">
        <v>1177</v>
      </c>
      <c r="E127" s="878" t="s">
        <v>1176</v>
      </c>
      <c r="F127" s="878"/>
      <c r="G127" s="192"/>
      <c r="H127" s="915">
        <v>3000000</v>
      </c>
      <c r="I127" s="915">
        <f>H127</f>
        <v>3000000</v>
      </c>
      <c r="J127" s="948"/>
      <c r="K127" s="919">
        <v>3000000</v>
      </c>
      <c r="L127" s="950">
        <f>K127-I127</f>
        <v>0</v>
      </c>
      <c r="M127" s="111"/>
      <c r="N127" s="111"/>
      <c r="O127" s="111"/>
      <c r="P127" s="111"/>
    </row>
    <row r="128" spans="1:16" ht="12.75" customHeight="1" thickBot="1">
      <c r="A128" s="1120"/>
      <c r="B128" s="1230"/>
      <c r="C128" s="1249"/>
      <c r="D128" s="1196"/>
      <c r="E128" s="1197"/>
      <c r="F128" s="1197"/>
      <c r="G128" s="191"/>
      <c r="H128" s="1091"/>
      <c r="I128" s="1091"/>
      <c r="J128" s="1148"/>
      <c r="K128" s="1041"/>
      <c r="L128" s="1149"/>
      <c r="M128" s="107">
        <f>(I123+I125+I127)/9800+1000+314</f>
        <v>2020.362244897959</v>
      </c>
      <c r="N128" s="111"/>
      <c r="O128" s="111"/>
      <c r="P128" s="111"/>
    </row>
    <row r="129" spans="1:16" ht="12.75" customHeight="1">
      <c r="A129" s="1119">
        <v>63</v>
      </c>
      <c r="B129" s="1251" t="s">
        <v>1163</v>
      </c>
      <c r="C129" s="1018"/>
      <c r="D129" s="1019"/>
      <c r="E129" s="1017">
        <v>11</v>
      </c>
      <c r="F129" s="1017"/>
      <c r="G129" s="157"/>
      <c r="H129" s="999"/>
      <c r="I129" s="999"/>
      <c r="J129" s="1000"/>
      <c r="K129" s="1001"/>
      <c r="L129" s="1002"/>
      <c r="M129" s="111"/>
      <c r="N129" s="111"/>
      <c r="O129" s="111"/>
      <c r="P129" s="111"/>
    </row>
    <row r="130" spans="1:16" ht="17.25" customHeight="1" thickBot="1">
      <c r="A130" s="1120"/>
      <c r="B130" s="1252"/>
      <c r="C130" s="1249"/>
      <c r="D130" s="1196"/>
      <c r="E130" s="1197"/>
      <c r="F130" s="1197"/>
      <c r="G130" s="158"/>
      <c r="H130" s="1091"/>
      <c r="I130" s="1091"/>
      <c r="J130" s="1148"/>
      <c r="K130" s="1041"/>
      <c r="L130" s="1149"/>
      <c r="M130" s="111"/>
      <c r="N130" s="111"/>
      <c r="O130" s="111"/>
      <c r="P130" s="111"/>
    </row>
    <row r="131" spans="1:16" ht="12.75" customHeight="1">
      <c r="A131" s="1119">
        <v>64</v>
      </c>
      <c r="B131" s="1121" t="s">
        <v>1160</v>
      </c>
      <c r="C131" s="1018" t="s">
        <v>1185</v>
      </c>
      <c r="D131" s="1019" t="s">
        <v>1183</v>
      </c>
      <c r="E131" s="1017" t="str">
        <f>E115</f>
        <v>ООО "Громин"</v>
      </c>
      <c r="F131" s="1017"/>
      <c r="G131" s="167"/>
      <c r="H131" s="999">
        <v>11500000</v>
      </c>
      <c r="I131" s="999">
        <f>H131</f>
        <v>11500000</v>
      </c>
      <c r="J131" s="1000"/>
      <c r="K131" s="1001">
        <v>11500000</v>
      </c>
      <c r="L131" s="1002">
        <f>K131-I131</f>
        <v>0</v>
      </c>
      <c r="M131" s="111"/>
      <c r="N131" s="111"/>
      <c r="O131" s="111"/>
      <c r="P131" s="111"/>
    </row>
    <row r="132" spans="1:16" ht="12.75" customHeight="1">
      <c r="A132" s="1120"/>
      <c r="B132" s="1122"/>
      <c r="C132" s="914"/>
      <c r="D132" s="660"/>
      <c r="E132" s="879"/>
      <c r="F132" s="879"/>
      <c r="G132" s="166"/>
      <c r="H132" s="916"/>
      <c r="I132" s="916"/>
      <c r="J132" s="949"/>
      <c r="K132" s="920"/>
      <c r="L132" s="951"/>
      <c r="M132" s="111"/>
      <c r="N132" s="111"/>
      <c r="O132" s="111"/>
      <c r="P132" s="111"/>
    </row>
    <row r="133" spans="1:16" ht="12.75" customHeight="1" thickBot="1">
      <c r="A133" s="1119">
        <v>65</v>
      </c>
      <c r="B133" s="1114"/>
      <c r="C133" s="913" t="s">
        <v>159</v>
      </c>
      <c r="D133" s="659" t="s">
        <v>1174</v>
      </c>
      <c r="E133" s="878" t="s">
        <v>1188</v>
      </c>
      <c r="F133" s="878"/>
      <c r="G133" s="175"/>
      <c r="H133" s="915">
        <v>693000</v>
      </c>
      <c r="I133" s="915">
        <f>H133</f>
        <v>693000</v>
      </c>
      <c r="J133" s="948"/>
      <c r="K133" s="919">
        <v>693000</v>
      </c>
      <c r="L133" s="950">
        <f>K133-I133</f>
        <v>0</v>
      </c>
      <c r="M133" s="111"/>
      <c r="N133" s="111"/>
      <c r="O133" s="111"/>
      <c r="P133" s="111"/>
    </row>
    <row r="134" spans="1:16" ht="24.75" customHeight="1" thickBot="1">
      <c r="A134" s="1120"/>
      <c r="B134" s="1115"/>
      <c r="C134" s="1249"/>
      <c r="D134" s="1196"/>
      <c r="E134" s="1197"/>
      <c r="F134" s="1197"/>
      <c r="G134" s="176"/>
      <c r="H134" s="1091"/>
      <c r="I134" s="1091"/>
      <c r="J134" s="1148"/>
      <c r="K134" s="1041"/>
      <c r="L134" s="1149"/>
      <c r="M134" s="107">
        <f>(I131+I133)/9800+400+200</f>
        <v>1844.1836734693877</v>
      </c>
      <c r="N134" s="111"/>
      <c r="O134" s="111"/>
      <c r="P134" s="111"/>
    </row>
    <row r="135" spans="1:16" ht="12.75" customHeight="1">
      <c r="A135" s="1119">
        <v>66</v>
      </c>
      <c r="B135" s="1121" t="s">
        <v>1161</v>
      </c>
      <c r="C135" s="1018" t="s">
        <v>1184</v>
      </c>
      <c r="D135" s="1019" t="s">
        <v>1183</v>
      </c>
      <c r="E135" s="1017" t="str">
        <f>E131</f>
        <v>ООО "Громин"</v>
      </c>
      <c r="F135" s="1017"/>
      <c r="G135" s="167"/>
      <c r="H135" s="999">
        <v>10700000</v>
      </c>
      <c r="I135" s="999">
        <f>H135</f>
        <v>10700000</v>
      </c>
      <c r="J135" s="1000"/>
      <c r="K135" s="1001">
        <v>10700000</v>
      </c>
      <c r="L135" s="1002">
        <f>K135-I135</f>
        <v>0</v>
      </c>
      <c r="M135" s="111"/>
      <c r="N135" s="111"/>
      <c r="O135" s="111"/>
      <c r="P135" s="111"/>
    </row>
    <row r="136" spans="1:16" ht="12.75" customHeight="1">
      <c r="A136" s="1120"/>
      <c r="B136" s="1122"/>
      <c r="C136" s="914"/>
      <c r="D136" s="660"/>
      <c r="E136" s="879"/>
      <c r="F136" s="879"/>
      <c r="G136" s="166"/>
      <c r="H136" s="916"/>
      <c r="I136" s="916"/>
      <c r="J136" s="949"/>
      <c r="K136" s="920"/>
      <c r="L136" s="951"/>
      <c r="M136" s="111"/>
      <c r="N136" s="111"/>
      <c r="O136" s="111"/>
      <c r="P136" s="111"/>
    </row>
    <row r="137" spans="1:16" ht="12.75" customHeight="1">
      <c r="A137" s="1119">
        <v>67</v>
      </c>
      <c r="B137" s="981"/>
      <c r="C137" s="913" t="s">
        <v>162</v>
      </c>
      <c r="D137" s="659" t="s">
        <v>1174</v>
      </c>
      <c r="E137" s="878" t="s">
        <v>250</v>
      </c>
      <c r="F137" s="878"/>
      <c r="G137" s="155"/>
      <c r="H137" s="915">
        <v>5300000</v>
      </c>
      <c r="I137" s="915">
        <f>H137</f>
        <v>5300000</v>
      </c>
      <c r="J137" s="948"/>
      <c r="K137" s="919">
        <v>5300000</v>
      </c>
      <c r="L137" s="950">
        <f>K137-I137</f>
        <v>0</v>
      </c>
      <c r="M137" s="111"/>
      <c r="N137" s="111"/>
      <c r="O137" s="111"/>
      <c r="P137" s="111"/>
    </row>
    <row r="138" spans="1:16" ht="12.75" customHeight="1">
      <c r="A138" s="1120"/>
      <c r="B138" s="1092"/>
      <c r="C138" s="914"/>
      <c r="D138" s="660"/>
      <c r="E138" s="879"/>
      <c r="F138" s="879"/>
      <c r="G138" s="155"/>
      <c r="H138" s="916"/>
      <c r="I138" s="916"/>
      <c r="J138" s="949"/>
      <c r="K138" s="920"/>
      <c r="L138" s="951"/>
      <c r="M138" s="111"/>
      <c r="N138" s="111"/>
      <c r="O138" s="111"/>
      <c r="P138" s="111"/>
    </row>
    <row r="139" spans="1:16" ht="12.75" customHeight="1" thickBot="1">
      <c r="A139" s="1119">
        <v>68</v>
      </c>
      <c r="B139" s="1159"/>
      <c r="C139" s="913" t="s">
        <v>163</v>
      </c>
      <c r="D139" s="659" t="s">
        <v>1174</v>
      </c>
      <c r="E139" s="878" t="s">
        <v>1007</v>
      </c>
      <c r="F139" s="1123"/>
      <c r="G139" s="230"/>
      <c r="H139" s="915">
        <v>4500000</v>
      </c>
      <c r="I139" s="915">
        <f>H139</f>
        <v>4500000</v>
      </c>
      <c r="J139" s="948"/>
      <c r="K139" s="919">
        <v>4500000</v>
      </c>
      <c r="L139" s="950">
        <f>K139-I139</f>
        <v>0</v>
      </c>
      <c r="M139" s="111"/>
      <c r="N139" s="111"/>
      <c r="O139" s="111"/>
      <c r="P139" s="111"/>
    </row>
    <row r="140" spans="1:16" ht="12.75" customHeight="1" thickBot="1">
      <c r="A140" s="1120"/>
      <c r="B140" s="1230"/>
      <c r="C140" s="1249"/>
      <c r="D140" s="1196"/>
      <c r="E140" s="1197"/>
      <c r="F140" s="1124"/>
      <c r="G140" s="229"/>
      <c r="H140" s="1091"/>
      <c r="I140" s="1091"/>
      <c r="J140" s="1148"/>
      <c r="K140" s="1041"/>
      <c r="L140" s="1149"/>
      <c r="M140" s="107">
        <f>(I135+I137+I139)/9800</f>
        <v>2091.8367346938776</v>
      </c>
      <c r="N140" s="111"/>
      <c r="O140" s="111"/>
      <c r="P140" s="111"/>
    </row>
    <row r="141" spans="1:16" ht="12.75" customHeight="1">
      <c r="A141" s="1119">
        <v>69</v>
      </c>
      <c r="B141" s="1121" t="s">
        <v>1197</v>
      </c>
      <c r="C141" s="1018"/>
      <c r="D141" s="1019"/>
      <c r="E141" s="1017" t="s">
        <v>298</v>
      </c>
      <c r="F141" s="1193"/>
      <c r="G141" s="159"/>
      <c r="H141" s="999"/>
      <c r="I141" s="999"/>
      <c r="J141" s="1000"/>
      <c r="K141" s="1001"/>
      <c r="L141" s="1002"/>
      <c r="M141" s="111"/>
      <c r="N141" s="111"/>
      <c r="O141" s="111"/>
      <c r="P141" s="111"/>
    </row>
    <row r="142" spans="1:16" ht="12.75" customHeight="1" thickBot="1">
      <c r="A142" s="1120"/>
      <c r="B142" s="1230"/>
      <c r="C142" s="1249"/>
      <c r="D142" s="1196"/>
      <c r="E142" s="1197"/>
      <c r="F142" s="1124"/>
      <c r="G142" s="158"/>
      <c r="H142" s="1091"/>
      <c r="I142" s="1091"/>
      <c r="J142" s="1148"/>
      <c r="K142" s="1041"/>
      <c r="L142" s="1149"/>
      <c r="M142" s="111"/>
      <c r="N142" s="111"/>
      <c r="O142" s="111"/>
      <c r="P142" s="111"/>
    </row>
    <row r="143" spans="1:16" ht="12.75" customHeight="1">
      <c r="A143" s="1119">
        <v>70</v>
      </c>
      <c r="B143" s="1121" t="s">
        <v>1194</v>
      </c>
      <c r="C143" s="1018" t="s">
        <v>1195</v>
      </c>
      <c r="D143" s="1019" t="s">
        <v>1189</v>
      </c>
      <c r="E143" s="1017" t="str">
        <f>E131</f>
        <v>ООО "Громин"</v>
      </c>
      <c r="F143" s="1193"/>
      <c r="G143" s="180"/>
      <c r="H143" s="999">
        <v>11100000</v>
      </c>
      <c r="I143" s="999">
        <f>H143</f>
        <v>11100000</v>
      </c>
      <c r="J143" s="1000"/>
      <c r="K143" s="1001">
        <v>11100000</v>
      </c>
      <c r="L143" s="1002">
        <f>K143-I143</f>
        <v>0</v>
      </c>
      <c r="M143" s="111"/>
      <c r="N143" s="111"/>
      <c r="O143" s="111"/>
      <c r="P143" s="111"/>
    </row>
    <row r="144" spans="1:16" ht="12.75" customHeight="1">
      <c r="A144" s="1120"/>
      <c r="B144" s="1122"/>
      <c r="C144" s="914"/>
      <c r="D144" s="660"/>
      <c r="E144" s="879"/>
      <c r="F144" s="1194"/>
      <c r="G144" s="179"/>
      <c r="H144" s="916"/>
      <c r="I144" s="916"/>
      <c r="J144" s="949"/>
      <c r="K144" s="920"/>
      <c r="L144" s="951"/>
      <c r="M144" s="111"/>
      <c r="N144" s="111"/>
      <c r="O144" s="111"/>
      <c r="P144" s="111"/>
    </row>
    <row r="145" spans="1:16" ht="12.75" customHeight="1">
      <c r="A145" s="1119">
        <v>71</v>
      </c>
      <c r="B145" s="981"/>
      <c r="C145" s="913" t="s">
        <v>164</v>
      </c>
      <c r="D145" s="659" t="s">
        <v>1192</v>
      </c>
      <c r="E145" s="878" t="str">
        <f>E117</f>
        <v>ООО "Вильва"</v>
      </c>
      <c r="F145" s="1123" t="s">
        <v>1198</v>
      </c>
      <c r="G145" s="196"/>
      <c r="H145" s="915">
        <v>495000</v>
      </c>
      <c r="I145" s="915">
        <f>H145</f>
        <v>495000</v>
      </c>
      <c r="J145" s="948"/>
      <c r="K145" s="919">
        <v>495000</v>
      </c>
      <c r="L145" s="950">
        <f>K145-I145</f>
        <v>0</v>
      </c>
      <c r="M145" s="111"/>
      <c r="N145" s="111"/>
      <c r="O145" s="111"/>
      <c r="P145" s="111"/>
    </row>
    <row r="146" spans="1:16" ht="12.75" customHeight="1">
      <c r="A146" s="1120"/>
      <c r="B146" s="1092"/>
      <c r="C146" s="914"/>
      <c r="D146" s="660"/>
      <c r="E146" s="879"/>
      <c r="F146" s="1194"/>
      <c r="G146" s="193"/>
      <c r="H146" s="916"/>
      <c r="I146" s="916"/>
      <c r="J146" s="949"/>
      <c r="K146" s="920"/>
      <c r="L146" s="951"/>
      <c r="M146" s="111"/>
      <c r="N146" s="111"/>
      <c r="O146" s="111"/>
      <c r="P146" s="111"/>
    </row>
    <row r="147" spans="1:16" ht="12.75" customHeight="1">
      <c r="A147" s="1119">
        <v>72</v>
      </c>
      <c r="B147" s="1159"/>
      <c r="C147" s="913" t="s">
        <v>165</v>
      </c>
      <c r="D147" s="659" t="s">
        <v>1192</v>
      </c>
      <c r="E147" s="878" t="s">
        <v>260</v>
      </c>
      <c r="F147" s="1123"/>
      <c r="G147" s="160"/>
      <c r="H147" s="915">
        <v>495000</v>
      </c>
      <c r="I147" s="915">
        <f>H147</f>
        <v>495000</v>
      </c>
      <c r="J147" s="948"/>
      <c r="K147" s="919">
        <v>495000</v>
      </c>
      <c r="L147" s="950">
        <f>K147-I147</f>
        <v>0</v>
      </c>
      <c r="M147" s="111"/>
      <c r="N147" s="111"/>
      <c r="O147" s="111"/>
      <c r="P147" s="111"/>
    </row>
    <row r="148" spans="1:16" ht="12.75" customHeight="1">
      <c r="A148" s="1120"/>
      <c r="B148" s="1122"/>
      <c r="C148" s="914"/>
      <c r="D148" s="660"/>
      <c r="E148" s="879"/>
      <c r="F148" s="1194"/>
      <c r="G148" s="155"/>
      <c r="H148" s="916"/>
      <c r="I148" s="916"/>
      <c r="J148" s="949"/>
      <c r="K148" s="920"/>
      <c r="L148" s="951"/>
      <c r="M148" s="111"/>
      <c r="N148" s="111"/>
      <c r="O148" s="111"/>
      <c r="P148" s="111"/>
    </row>
    <row r="149" spans="1:16" ht="12.75" customHeight="1" thickBot="1">
      <c r="A149" s="1119">
        <v>73</v>
      </c>
      <c r="B149" s="1159"/>
      <c r="C149" s="913" t="s">
        <v>166</v>
      </c>
      <c r="D149" s="659" t="s">
        <v>1192</v>
      </c>
      <c r="E149" s="878" t="s">
        <v>1140</v>
      </c>
      <c r="F149" s="1123"/>
      <c r="G149" s="160"/>
      <c r="H149" s="915">
        <v>1750000</v>
      </c>
      <c r="I149" s="915">
        <f>H149</f>
        <v>1750000</v>
      </c>
      <c r="J149" s="948"/>
      <c r="K149" s="919">
        <v>1750000</v>
      </c>
      <c r="L149" s="950">
        <f>K149-I149</f>
        <v>0</v>
      </c>
      <c r="M149" s="111"/>
      <c r="N149" s="111"/>
      <c r="O149" s="111"/>
      <c r="P149" s="111"/>
    </row>
    <row r="150" spans="1:16" ht="12.75" customHeight="1" thickBot="1">
      <c r="A150" s="1120"/>
      <c r="B150" s="1230"/>
      <c r="C150" s="1249"/>
      <c r="D150" s="1196"/>
      <c r="E150" s="1197"/>
      <c r="F150" s="1124"/>
      <c r="G150" s="158"/>
      <c r="H150" s="1091"/>
      <c r="I150" s="1091"/>
      <c r="J150" s="1148"/>
      <c r="K150" s="1041"/>
      <c r="L150" s="1149"/>
      <c r="M150" s="107">
        <f>(I143+I145+I147+I149)/9800+255+490</f>
        <v>2157.2448979591836</v>
      </c>
      <c r="N150" s="111"/>
      <c r="O150" s="111"/>
      <c r="P150" s="111"/>
    </row>
    <row r="151" spans="1:16" ht="12.75" customHeight="1">
      <c r="A151" s="1119">
        <v>74</v>
      </c>
      <c r="B151" s="1121" t="s">
        <v>1179</v>
      </c>
      <c r="C151" s="1018" t="s">
        <v>23</v>
      </c>
      <c r="D151" s="1019" t="s">
        <v>1189</v>
      </c>
      <c r="E151" s="1017" t="s">
        <v>1110</v>
      </c>
      <c r="F151" s="1193"/>
      <c r="G151" s="164"/>
      <c r="H151" s="999">
        <v>1156000</v>
      </c>
      <c r="I151" s="999">
        <f>H151</f>
        <v>1156000</v>
      </c>
      <c r="J151" s="1000"/>
      <c r="K151" s="1001">
        <v>1156000</v>
      </c>
      <c r="L151" s="1002">
        <f>K151-I151</f>
        <v>0</v>
      </c>
      <c r="M151" s="111"/>
      <c r="N151" s="111"/>
      <c r="O151" s="111"/>
      <c r="P151" s="111"/>
    </row>
    <row r="152" spans="1:16" ht="12.75" customHeight="1">
      <c r="A152" s="1120"/>
      <c r="B152" s="1122"/>
      <c r="C152" s="914"/>
      <c r="D152" s="660"/>
      <c r="E152" s="879"/>
      <c r="F152" s="1194"/>
      <c r="G152" s="162"/>
      <c r="H152" s="916"/>
      <c r="I152" s="916"/>
      <c r="J152" s="949"/>
      <c r="K152" s="920"/>
      <c r="L152" s="951"/>
      <c r="M152" s="111"/>
      <c r="N152" s="111"/>
      <c r="O152" s="111"/>
      <c r="P152" s="111"/>
    </row>
    <row r="153" spans="1:16" ht="12.75" customHeight="1" thickBot="1">
      <c r="A153" s="1119">
        <v>75</v>
      </c>
      <c r="B153" s="981"/>
      <c r="C153" s="1202"/>
      <c r="D153" s="1204"/>
      <c r="E153" s="1206"/>
      <c r="F153" s="1270"/>
      <c r="G153" s="170"/>
      <c r="H153" s="1131"/>
      <c r="I153" s="1131">
        <f>H153</f>
        <v>0</v>
      </c>
      <c r="J153" s="1208"/>
      <c r="K153" s="1218"/>
      <c r="L153" s="1200">
        <f>K153-I153</f>
        <v>0</v>
      </c>
      <c r="M153" s="111"/>
      <c r="N153" s="111"/>
      <c r="O153" s="111"/>
      <c r="P153" s="111"/>
    </row>
    <row r="154" spans="1:16" ht="12.75" customHeight="1" thickBot="1">
      <c r="A154" s="1120"/>
      <c r="B154" s="1082"/>
      <c r="C154" s="1203"/>
      <c r="D154" s="1205"/>
      <c r="E154" s="1207"/>
      <c r="F154" s="1271"/>
      <c r="G154" s="169"/>
      <c r="H154" s="1132"/>
      <c r="I154" s="1132"/>
      <c r="J154" s="1209"/>
      <c r="K154" s="1219"/>
      <c r="L154" s="1201"/>
      <c r="M154" s="107">
        <f>I151/9800</f>
        <v>117.95918367346938</v>
      </c>
      <c r="N154" s="111"/>
      <c r="O154" s="111"/>
      <c r="P154" s="111"/>
    </row>
    <row r="155" spans="1:16" ht="12.75" customHeight="1">
      <c r="A155" s="1119">
        <v>76</v>
      </c>
      <c r="B155" s="1121" t="s">
        <v>1190</v>
      </c>
      <c r="C155" s="1018" t="s">
        <v>1212</v>
      </c>
      <c r="D155" s="1019" t="s">
        <v>1204</v>
      </c>
      <c r="E155" s="1017" t="str">
        <f>E159</f>
        <v>ООО "Громин"</v>
      </c>
      <c r="F155" s="1193"/>
      <c r="G155" s="190"/>
      <c r="H155" s="999">
        <v>10700000</v>
      </c>
      <c r="I155" s="999">
        <f>H155</f>
        <v>10700000</v>
      </c>
      <c r="J155" s="1000"/>
      <c r="K155" s="1001">
        <v>10700000</v>
      </c>
      <c r="L155" s="1002">
        <f>K155-I155</f>
        <v>0</v>
      </c>
      <c r="M155" s="111"/>
      <c r="N155" s="111"/>
      <c r="O155" s="111"/>
      <c r="P155" s="111"/>
    </row>
    <row r="156" spans="1:16" ht="12.75" customHeight="1">
      <c r="A156" s="1120"/>
      <c r="B156" s="1122"/>
      <c r="C156" s="914"/>
      <c r="D156" s="660"/>
      <c r="E156" s="879"/>
      <c r="F156" s="1194"/>
      <c r="G156" s="187"/>
      <c r="H156" s="916"/>
      <c r="I156" s="916"/>
      <c r="J156" s="949"/>
      <c r="K156" s="920"/>
      <c r="L156" s="951"/>
      <c r="M156" s="111"/>
      <c r="N156" s="111"/>
      <c r="O156" s="111"/>
      <c r="P156" s="111"/>
    </row>
    <row r="157" spans="1:16" ht="12.75" customHeight="1" thickBot="1">
      <c r="A157" s="1119">
        <v>77</v>
      </c>
      <c r="B157" s="1114"/>
      <c r="C157" s="913" t="s">
        <v>188</v>
      </c>
      <c r="D157" s="731" t="s">
        <v>1202</v>
      </c>
      <c r="E157" s="878" t="s">
        <v>117</v>
      </c>
      <c r="F157" s="1123" t="s">
        <v>1205</v>
      </c>
      <c r="G157" s="196"/>
      <c r="H157" s="915">
        <v>495000</v>
      </c>
      <c r="I157" s="915">
        <f>H157</f>
        <v>495000</v>
      </c>
      <c r="J157" s="948"/>
      <c r="K157" s="919">
        <v>495000</v>
      </c>
      <c r="L157" s="950">
        <f>K157-I157</f>
        <v>0</v>
      </c>
      <c r="M157" s="111"/>
      <c r="N157" s="111"/>
      <c r="O157" s="111"/>
      <c r="P157" s="111"/>
    </row>
    <row r="158" spans="1:16" ht="12.75" customHeight="1" thickBot="1">
      <c r="A158" s="1120"/>
      <c r="B158" s="1115"/>
      <c r="C158" s="1249"/>
      <c r="D158" s="1126"/>
      <c r="E158" s="1197"/>
      <c r="F158" s="1124"/>
      <c r="G158" s="195"/>
      <c r="H158" s="1091"/>
      <c r="I158" s="1091"/>
      <c r="J158" s="1148"/>
      <c r="K158" s="1041"/>
      <c r="L158" s="1149"/>
      <c r="M158" s="107">
        <f>(I155+I157)/9800+450+350</f>
        <v>1942.3469387755101</v>
      </c>
      <c r="N158" s="111"/>
      <c r="O158" s="111"/>
      <c r="P158" s="111"/>
    </row>
    <row r="159" spans="1:16" ht="18.75" customHeight="1">
      <c r="A159" s="1119">
        <v>78</v>
      </c>
      <c r="B159" s="1121" t="s">
        <v>1191</v>
      </c>
      <c r="C159" s="1018" t="s">
        <v>1213</v>
      </c>
      <c r="D159" s="1019" t="s">
        <v>1204</v>
      </c>
      <c r="E159" s="1017" t="str">
        <f>E143</f>
        <v>ООО "Громин"</v>
      </c>
      <c r="F159" s="1193"/>
      <c r="G159" s="190"/>
      <c r="H159" s="999">
        <v>11100000</v>
      </c>
      <c r="I159" s="999">
        <f>H159</f>
        <v>11100000</v>
      </c>
      <c r="J159" s="1000"/>
      <c r="K159" s="1001">
        <v>11100000</v>
      </c>
      <c r="L159" s="1002">
        <f>K159-I159</f>
        <v>0</v>
      </c>
      <c r="M159" s="111"/>
      <c r="N159" s="111"/>
      <c r="O159" s="111"/>
      <c r="P159" s="111"/>
    </row>
    <row r="160" spans="1:16" ht="12.75" customHeight="1">
      <c r="A160" s="1120"/>
      <c r="B160" s="1122"/>
      <c r="C160" s="914"/>
      <c r="D160" s="660"/>
      <c r="E160" s="879"/>
      <c r="F160" s="1194"/>
      <c r="G160" s="187"/>
      <c r="H160" s="916"/>
      <c r="I160" s="916"/>
      <c r="J160" s="949"/>
      <c r="K160" s="920"/>
      <c r="L160" s="951"/>
      <c r="M160" s="111"/>
      <c r="N160" s="111"/>
      <c r="O160" s="111"/>
      <c r="P160" s="111"/>
    </row>
    <row r="161" spans="1:31" ht="12.75" customHeight="1">
      <c r="A161" s="1119">
        <v>79</v>
      </c>
      <c r="B161" s="1114"/>
      <c r="C161" s="913" t="s">
        <v>184</v>
      </c>
      <c r="D161" s="731" t="s">
        <v>1206</v>
      </c>
      <c r="E161" s="878" t="s">
        <v>1180</v>
      </c>
      <c r="F161" s="1123"/>
      <c r="G161" s="196"/>
      <c r="H161" s="915">
        <v>2700000</v>
      </c>
      <c r="I161" s="915">
        <f>H161</f>
        <v>2700000</v>
      </c>
      <c r="J161" s="948"/>
      <c r="K161" s="919">
        <v>2700000</v>
      </c>
      <c r="L161" s="950">
        <f>K161-I161</f>
        <v>0</v>
      </c>
      <c r="M161" s="111"/>
      <c r="N161" s="111"/>
      <c r="O161" s="111"/>
      <c r="P161" s="111"/>
    </row>
    <row r="162" spans="1:31" ht="12.75" customHeight="1" thickBot="1">
      <c r="A162" s="1120"/>
      <c r="B162" s="1116"/>
      <c r="C162" s="914"/>
      <c r="D162" s="1126"/>
      <c r="E162" s="879"/>
      <c r="F162" s="1194"/>
      <c r="G162" s="193"/>
      <c r="H162" s="916"/>
      <c r="I162" s="916"/>
      <c r="J162" s="949"/>
      <c r="K162" s="920"/>
      <c r="L162" s="951"/>
      <c r="M162" s="111"/>
      <c r="N162" s="111"/>
      <c r="O162" s="111"/>
      <c r="P162" s="111"/>
    </row>
    <row r="163" spans="1:31" ht="12.75" customHeight="1" thickBot="1">
      <c r="A163" s="1119">
        <v>80</v>
      </c>
      <c r="B163" s="1114"/>
      <c r="C163" s="913" t="s">
        <v>183</v>
      </c>
      <c r="D163" s="1019" t="s">
        <v>1207</v>
      </c>
      <c r="E163" s="878" t="s">
        <v>1208</v>
      </c>
      <c r="F163" s="878"/>
      <c r="G163" s="199"/>
      <c r="H163" s="915">
        <v>2500000</v>
      </c>
      <c r="I163" s="915">
        <f>H163</f>
        <v>2500000</v>
      </c>
      <c r="J163" s="948"/>
      <c r="K163" s="919">
        <v>2500000</v>
      </c>
      <c r="L163" s="950">
        <f>K163-I163</f>
        <v>0</v>
      </c>
      <c r="M163" s="111"/>
      <c r="N163" s="111"/>
      <c r="O163" s="111"/>
      <c r="P163" s="111"/>
    </row>
    <row r="164" spans="1:31" ht="12.75" customHeight="1" thickBot="1">
      <c r="A164" s="1120"/>
      <c r="B164" s="1115"/>
      <c r="C164" s="1249"/>
      <c r="D164" s="1196"/>
      <c r="E164" s="1197"/>
      <c r="F164" s="1197"/>
      <c r="G164" s="201"/>
      <c r="H164" s="1091"/>
      <c r="I164" s="1091"/>
      <c r="J164" s="1148"/>
      <c r="K164" s="1041"/>
      <c r="L164" s="1149"/>
      <c r="M164" s="107">
        <f>(I159+I161+I163)/9800</f>
        <v>1663.2653061224489</v>
      </c>
      <c r="N164" s="111"/>
      <c r="O164" s="111"/>
      <c r="P164" s="111"/>
    </row>
    <row r="165" spans="1:31" s="11" customFormat="1" ht="13.5" customHeight="1" thickBot="1">
      <c r="A165" s="1119">
        <v>81</v>
      </c>
      <c r="B165" s="1121" t="s">
        <v>1193</v>
      </c>
      <c r="C165" s="1018" t="s">
        <v>1214</v>
      </c>
      <c r="D165" s="1019" t="s">
        <v>1203</v>
      </c>
      <c r="E165" s="1017" t="str">
        <f>E159</f>
        <v>ООО "Громин"</v>
      </c>
      <c r="F165" s="1017"/>
      <c r="G165" s="206"/>
      <c r="H165" s="999">
        <v>11100000</v>
      </c>
      <c r="I165" s="999">
        <f>H165</f>
        <v>11100000</v>
      </c>
      <c r="J165" s="1000"/>
      <c r="K165" s="1001">
        <v>11100000</v>
      </c>
      <c r="L165" s="1002">
        <f>K165-I165</f>
        <v>0</v>
      </c>
      <c r="M165" s="116"/>
      <c r="N165" s="116"/>
      <c r="O165" s="116"/>
      <c r="P165" s="116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</row>
    <row r="166" spans="1:31" s="11" customFormat="1" ht="13.5" customHeight="1" thickBot="1">
      <c r="A166" s="1120"/>
      <c r="B166" s="1122"/>
      <c r="C166" s="914"/>
      <c r="D166" s="660"/>
      <c r="E166" s="879"/>
      <c r="F166" s="879"/>
      <c r="G166" s="205"/>
      <c r="H166" s="916"/>
      <c r="I166" s="916"/>
      <c r="J166" s="949"/>
      <c r="K166" s="920"/>
      <c r="L166" s="951"/>
      <c r="M166" s="116"/>
      <c r="N166" s="116"/>
      <c r="O166" s="117">
        <f>SUM(M92:M160)</f>
        <v>18355.901020408161</v>
      </c>
      <c r="P166" s="116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</row>
    <row r="167" spans="1:31" ht="16.5" customHeight="1" thickBot="1">
      <c r="A167" s="1119">
        <v>82</v>
      </c>
      <c r="B167" s="1114"/>
      <c r="C167" s="913"/>
      <c r="D167" s="659"/>
      <c r="E167" s="878"/>
      <c r="F167" s="1123"/>
      <c r="G167" s="173"/>
      <c r="H167" s="915"/>
      <c r="I167" s="915"/>
      <c r="J167" s="948"/>
      <c r="K167" s="919"/>
      <c r="L167" s="1137"/>
      <c r="M167" s="120"/>
      <c r="N167" s="120"/>
      <c r="O167" s="111"/>
      <c r="P167" s="111"/>
    </row>
    <row r="168" spans="1:31" ht="12.75" customHeight="1" thickBot="1">
      <c r="A168" s="1120"/>
      <c r="B168" s="1115"/>
      <c r="C168" s="1249"/>
      <c r="D168" s="1196"/>
      <c r="E168" s="1197"/>
      <c r="F168" s="1124"/>
      <c r="G168" s="174"/>
      <c r="H168" s="1091"/>
      <c r="I168" s="1091"/>
      <c r="J168" s="1148"/>
      <c r="K168" s="1041"/>
      <c r="L168" s="1269"/>
      <c r="M168" s="107">
        <f>600+(I165/9800)</f>
        <v>1732.6530612244899</v>
      </c>
      <c r="N168" s="111"/>
      <c r="O168" s="111"/>
      <c r="P168" s="111"/>
    </row>
    <row r="169" spans="1:31" ht="12.75" customHeight="1">
      <c r="A169" s="1119">
        <v>83</v>
      </c>
      <c r="B169" s="1017" t="s">
        <v>1199</v>
      </c>
      <c r="C169" s="1018"/>
      <c r="D169" s="1019"/>
      <c r="E169" s="1017" t="s">
        <v>1200</v>
      </c>
      <c r="F169" s="1017"/>
      <c r="G169" s="172"/>
      <c r="H169" s="999"/>
      <c r="I169" s="999"/>
      <c r="J169" s="1000"/>
      <c r="K169" s="1001"/>
      <c r="L169" s="1195"/>
      <c r="M169" s="111"/>
      <c r="N169" s="111"/>
      <c r="O169" s="111"/>
      <c r="P169" s="111"/>
    </row>
    <row r="170" spans="1:31" ht="12.75" customHeight="1">
      <c r="A170" s="1120"/>
      <c r="B170" s="879"/>
      <c r="C170" s="914"/>
      <c r="D170" s="660"/>
      <c r="E170" s="879"/>
      <c r="F170" s="879"/>
      <c r="G170" s="173"/>
      <c r="H170" s="916"/>
      <c r="I170" s="916"/>
      <c r="J170" s="949"/>
      <c r="K170" s="920"/>
      <c r="L170" s="901"/>
      <c r="M170" s="111"/>
      <c r="N170" s="111"/>
      <c r="O170" s="111"/>
      <c r="P170" s="111"/>
    </row>
    <row r="171" spans="1:31" ht="12.75" customHeight="1">
      <c r="A171" s="1119">
        <v>84</v>
      </c>
      <c r="B171" s="878"/>
      <c r="C171" s="913"/>
      <c r="D171" s="659"/>
      <c r="E171" s="878" t="s">
        <v>1196</v>
      </c>
      <c r="F171" s="878" t="s">
        <v>1247</v>
      </c>
      <c r="G171" s="173"/>
      <c r="H171" s="1220" t="s">
        <v>1256</v>
      </c>
      <c r="I171" s="915"/>
      <c r="J171" s="948"/>
      <c r="K171" s="919"/>
      <c r="L171" s="900"/>
      <c r="M171" s="111"/>
      <c r="N171" s="111"/>
      <c r="O171" s="111"/>
      <c r="P171" s="111"/>
    </row>
    <row r="172" spans="1:31" ht="12.75" customHeight="1">
      <c r="A172" s="1120"/>
      <c r="B172" s="879"/>
      <c r="C172" s="914"/>
      <c r="D172" s="660"/>
      <c r="E172" s="879"/>
      <c r="F172" s="879"/>
      <c r="G172" s="173"/>
      <c r="H172" s="1221"/>
      <c r="I172" s="916"/>
      <c r="J172" s="949"/>
      <c r="K172" s="920"/>
      <c r="L172" s="901"/>
      <c r="M172" s="111"/>
      <c r="N172" s="111"/>
      <c r="O172" s="111"/>
      <c r="P172" s="111"/>
    </row>
    <row r="173" spans="1:31" ht="19.5" thickBot="1">
      <c r="A173" s="69"/>
      <c r="B173" s="1140" t="s">
        <v>150</v>
      </c>
      <c r="C173" s="1141"/>
      <c r="D173" s="1141"/>
      <c r="E173" s="1141"/>
      <c r="F173" s="1141"/>
      <c r="G173" s="1141"/>
      <c r="H173" s="1141"/>
      <c r="I173" s="1141"/>
      <c r="J173" s="1141"/>
      <c r="K173" s="1141"/>
      <c r="L173" s="1141"/>
      <c r="M173" s="7">
        <f>SUM(I157,I161,I174:I257)</f>
        <v>156150100</v>
      </c>
      <c r="N173" s="112"/>
      <c r="O173" s="111"/>
      <c r="P173" s="111">
        <f>SUM(M158,M179:M257)</f>
        <v>22099.428571428569</v>
      </c>
    </row>
    <row r="174" spans="1:31">
      <c r="A174" s="1066">
        <v>85</v>
      </c>
      <c r="B174" s="975" t="s">
        <v>1201</v>
      </c>
      <c r="C174" s="969" t="s">
        <v>1235</v>
      </c>
      <c r="D174" s="970" t="s">
        <v>1219</v>
      </c>
      <c r="E174" s="1017" t="s">
        <v>239</v>
      </c>
      <c r="F174" s="968"/>
      <c r="G174" s="206"/>
      <c r="H174" s="973">
        <v>11100000</v>
      </c>
      <c r="I174" s="973">
        <f>H174</f>
        <v>11100000</v>
      </c>
      <c r="J174" s="974"/>
      <c r="K174" s="1001">
        <v>11100000</v>
      </c>
      <c r="L174" s="967">
        <f>K174-I174</f>
        <v>0</v>
      </c>
      <c r="M174" s="111">
        <f>M173/9800</f>
        <v>15933.683673469388</v>
      </c>
      <c r="N174" s="111"/>
      <c r="O174" s="111"/>
      <c r="P174" s="111"/>
    </row>
    <row r="175" spans="1:31" ht="13.5" thickBot="1">
      <c r="A175" s="1066"/>
      <c r="B175" s="976"/>
      <c r="C175" s="904"/>
      <c r="D175" s="658"/>
      <c r="E175" s="879"/>
      <c r="F175" s="865"/>
      <c r="G175" s="205"/>
      <c r="H175" s="905"/>
      <c r="I175" s="906"/>
      <c r="J175" s="910"/>
      <c r="K175" s="920"/>
      <c r="L175" s="946"/>
      <c r="M175" s="111">
        <f>SUM(L174:L257)</f>
        <v>0</v>
      </c>
      <c r="N175" s="111"/>
      <c r="O175" s="111">
        <f>P4</f>
        <v>6615.7448979591809</v>
      </c>
      <c r="P175" s="111"/>
    </row>
    <row r="176" spans="1:31" ht="16.5" customHeight="1" thickBot="1">
      <c r="A176" s="1066">
        <v>86</v>
      </c>
      <c r="B176" s="1114"/>
      <c r="C176" s="904" t="s">
        <v>192</v>
      </c>
      <c r="D176" s="658" t="s">
        <v>1222</v>
      </c>
      <c r="E176" s="865" t="s">
        <v>1228</v>
      </c>
      <c r="F176" s="940"/>
      <c r="G176" s="175"/>
      <c r="H176" s="905">
        <v>1000000</v>
      </c>
      <c r="I176" s="905">
        <f>H176</f>
        <v>1000000</v>
      </c>
      <c r="J176" s="909"/>
      <c r="K176" s="919">
        <v>1000000</v>
      </c>
      <c r="L176" s="946">
        <f>K176-I176</f>
        <v>0</v>
      </c>
      <c r="M176" s="119">
        <f>M175/9800</f>
        <v>0</v>
      </c>
      <c r="N176" s="120"/>
      <c r="O176" s="111"/>
      <c r="P176" s="111"/>
    </row>
    <row r="177" spans="1:16" ht="12.75" customHeight="1" thickBot="1">
      <c r="A177" s="1066"/>
      <c r="B177" s="1115"/>
      <c r="C177" s="904"/>
      <c r="D177" s="658"/>
      <c r="E177" s="865"/>
      <c r="F177" s="865"/>
      <c r="G177" s="175"/>
      <c r="H177" s="905"/>
      <c r="I177" s="906"/>
      <c r="J177" s="910"/>
      <c r="K177" s="920"/>
      <c r="L177" s="946"/>
      <c r="M177" s="111"/>
      <c r="N177" s="111"/>
      <c r="O177" s="111"/>
      <c r="P177" s="111"/>
    </row>
    <row r="178" spans="1:16" ht="16.5" customHeight="1" thickBot="1">
      <c r="A178" s="1066">
        <v>87</v>
      </c>
      <c r="B178" s="1114"/>
      <c r="C178" s="904" t="s">
        <v>194</v>
      </c>
      <c r="D178" s="658" t="s">
        <v>1222</v>
      </c>
      <c r="E178" s="865" t="s">
        <v>1224</v>
      </c>
      <c r="F178" s="940"/>
      <c r="G178" s="181"/>
      <c r="H178" s="905">
        <v>2300000</v>
      </c>
      <c r="I178" s="905">
        <f>H178</f>
        <v>2300000</v>
      </c>
      <c r="J178" s="909"/>
      <c r="K178" s="919">
        <v>2300000</v>
      </c>
      <c r="L178" s="946">
        <f>K178-I178</f>
        <v>0</v>
      </c>
      <c r="M178" s="119"/>
      <c r="N178" s="120"/>
      <c r="O178" s="111"/>
      <c r="P178" s="111"/>
    </row>
    <row r="179" spans="1:16" ht="12.75" customHeight="1" thickBot="1">
      <c r="A179" s="1066"/>
      <c r="B179" s="1115"/>
      <c r="C179" s="938"/>
      <c r="D179" s="939"/>
      <c r="E179" s="937"/>
      <c r="F179" s="937"/>
      <c r="G179" s="184"/>
      <c r="H179" s="942"/>
      <c r="I179" s="943"/>
      <c r="J179" s="944"/>
      <c r="K179" s="1041"/>
      <c r="L179" s="947"/>
      <c r="M179" s="111">
        <f>(I174+I176+I178)/9800+400</f>
        <v>1869.3877551020407</v>
      </c>
      <c r="N179" s="111"/>
      <c r="O179" s="111"/>
      <c r="P179" s="111"/>
    </row>
    <row r="180" spans="1:16" ht="12.75" customHeight="1">
      <c r="A180" s="1066">
        <v>88</v>
      </c>
      <c r="B180" s="975" t="s">
        <v>1209</v>
      </c>
      <c r="C180" s="969" t="s">
        <v>190</v>
      </c>
      <c r="D180" s="970" t="s">
        <v>1215</v>
      </c>
      <c r="E180" s="1017" t="s">
        <v>262</v>
      </c>
      <c r="F180" s="968"/>
      <c r="G180" s="342"/>
      <c r="H180" s="973">
        <v>756000</v>
      </c>
      <c r="I180" s="973">
        <f>H180</f>
        <v>756000</v>
      </c>
      <c r="J180" s="974"/>
      <c r="K180" s="1001">
        <v>756000</v>
      </c>
      <c r="L180" s="967">
        <f>K180-I180</f>
        <v>0</v>
      </c>
      <c r="M180" s="121"/>
      <c r="N180" s="121"/>
      <c r="O180" s="111"/>
      <c r="P180" s="111"/>
    </row>
    <row r="181" spans="1:16" ht="12.75" customHeight="1">
      <c r="A181" s="1066"/>
      <c r="B181" s="976"/>
      <c r="C181" s="904"/>
      <c r="D181" s="658"/>
      <c r="E181" s="879"/>
      <c r="F181" s="865"/>
      <c r="G181" s="339"/>
      <c r="H181" s="905"/>
      <c r="I181" s="906"/>
      <c r="J181" s="910"/>
      <c r="K181" s="920"/>
      <c r="L181" s="946"/>
      <c r="M181" s="111"/>
      <c r="N181" s="111"/>
      <c r="O181" s="111"/>
      <c r="P181" s="111"/>
    </row>
    <row r="182" spans="1:16" ht="12.75" customHeight="1">
      <c r="A182" s="1066">
        <v>89</v>
      </c>
      <c r="B182" s="981"/>
      <c r="C182" s="904"/>
      <c r="D182" s="658"/>
      <c r="E182" s="865"/>
      <c r="F182" s="940"/>
      <c r="G182" s="173"/>
      <c r="H182" s="905"/>
      <c r="I182" s="905">
        <f>H182</f>
        <v>0</v>
      </c>
      <c r="J182" s="909"/>
      <c r="K182" s="919"/>
      <c r="L182" s="946">
        <f>K182-I182</f>
        <v>0</v>
      </c>
      <c r="M182" s="121"/>
      <c r="N182" s="121"/>
      <c r="O182" s="111"/>
      <c r="P182" s="111"/>
    </row>
    <row r="183" spans="1:16" ht="12.75" customHeight="1" thickBot="1">
      <c r="A183" s="1066"/>
      <c r="B183" s="1082"/>
      <c r="C183" s="938"/>
      <c r="D183" s="939"/>
      <c r="E183" s="937"/>
      <c r="F183" s="937"/>
      <c r="G183" s="174"/>
      <c r="H183" s="942"/>
      <c r="I183" s="943"/>
      <c r="J183" s="944"/>
      <c r="K183" s="1041"/>
      <c r="L183" s="947"/>
      <c r="M183" s="111">
        <f>I180/9800</f>
        <v>77.142857142857139</v>
      </c>
      <c r="N183" s="111"/>
      <c r="O183" s="111"/>
      <c r="P183" s="111"/>
    </row>
    <row r="184" spans="1:16" ht="12.75" customHeight="1">
      <c r="A184" s="1066">
        <v>90</v>
      </c>
      <c r="B184" s="975" t="s">
        <v>1210</v>
      </c>
      <c r="C184" s="969" t="s">
        <v>1236</v>
      </c>
      <c r="D184" s="970" t="s">
        <v>1215</v>
      </c>
      <c r="E184" s="968" t="str">
        <f>E174</f>
        <v>ООО "Громин"</v>
      </c>
      <c r="F184" s="1020"/>
      <c r="G184" s="211"/>
      <c r="H184" s="973">
        <v>11100000</v>
      </c>
      <c r="I184" s="973">
        <f>H184</f>
        <v>11100000</v>
      </c>
      <c r="J184" s="974"/>
      <c r="K184" s="1001">
        <v>11100000</v>
      </c>
      <c r="L184" s="967">
        <f>K184-I184</f>
        <v>0</v>
      </c>
      <c r="M184" s="111"/>
      <c r="N184" s="111"/>
      <c r="O184" s="111"/>
      <c r="P184" s="111"/>
    </row>
    <row r="185" spans="1:16" ht="12.75" customHeight="1">
      <c r="A185" s="1066"/>
      <c r="B185" s="976"/>
      <c r="C185" s="904"/>
      <c r="D185" s="658"/>
      <c r="E185" s="865"/>
      <c r="F185" s="865"/>
      <c r="G185" s="210"/>
      <c r="H185" s="905"/>
      <c r="I185" s="906"/>
      <c r="J185" s="910"/>
      <c r="K185" s="920"/>
      <c r="L185" s="946"/>
      <c r="M185" s="111"/>
      <c r="N185" s="111"/>
      <c r="O185" s="111"/>
      <c r="P185" s="111"/>
    </row>
    <row r="186" spans="1:16" ht="12.75" customHeight="1">
      <c r="A186" s="1066">
        <v>91</v>
      </c>
      <c r="B186" s="1114"/>
      <c r="C186" s="904" t="s">
        <v>201</v>
      </c>
      <c r="D186" s="658" t="s">
        <v>1223</v>
      </c>
      <c r="E186" s="878" t="s">
        <v>117</v>
      </c>
      <c r="F186" s="940" t="s">
        <v>1220</v>
      </c>
      <c r="G186" s="193"/>
      <c r="H186" s="905">
        <v>495000</v>
      </c>
      <c r="I186" s="905">
        <f>H186</f>
        <v>495000</v>
      </c>
      <c r="J186" s="909"/>
      <c r="K186" s="919">
        <v>495000</v>
      </c>
      <c r="L186" s="946">
        <f>K186-I186</f>
        <v>0</v>
      </c>
      <c r="M186" s="111"/>
      <c r="N186" s="111"/>
      <c r="O186" s="111"/>
      <c r="P186" s="111"/>
    </row>
    <row r="187" spans="1:16" ht="12.75" customHeight="1" thickBot="1">
      <c r="A187" s="1066"/>
      <c r="B187" s="1115"/>
      <c r="C187" s="938"/>
      <c r="D187" s="939"/>
      <c r="E187" s="1197"/>
      <c r="F187" s="937"/>
      <c r="G187" s="195"/>
      <c r="H187" s="942"/>
      <c r="I187" s="943"/>
      <c r="J187" s="944"/>
      <c r="K187" s="1041"/>
      <c r="L187" s="947"/>
      <c r="M187" s="111">
        <f>(I184+I186)/9800+400+300</f>
        <v>1883.1632653061224</v>
      </c>
      <c r="N187" s="111"/>
      <c r="O187" s="111"/>
      <c r="P187" s="111"/>
    </row>
    <row r="188" spans="1:16" ht="12.75" customHeight="1">
      <c r="A188" s="1066">
        <v>92</v>
      </c>
      <c r="B188" s="975" t="s">
        <v>1211</v>
      </c>
      <c r="C188" s="969" t="s">
        <v>1237</v>
      </c>
      <c r="D188" s="970" t="s">
        <v>1218</v>
      </c>
      <c r="E188" s="968" t="str">
        <f>E184</f>
        <v>ООО "Громин"</v>
      </c>
      <c r="F188" s="968"/>
      <c r="G188" s="206"/>
      <c r="H188" s="973">
        <v>10700000</v>
      </c>
      <c r="I188" s="973">
        <f>H188</f>
        <v>10700000</v>
      </c>
      <c r="J188" s="974"/>
      <c r="K188" s="1001">
        <v>10700000</v>
      </c>
      <c r="L188" s="967">
        <f>K188-I188</f>
        <v>0</v>
      </c>
      <c r="M188" s="111"/>
      <c r="N188" s="111"/>
      <c r="O188" s="111"/>
      <c r="P188" s="111"/>
    </row>
    <row r="189" spans="1:16" ht="12.75" customHeight="1">
      <c r="A189" s="1066"/>
      <c r="B189" s="976"/>
      <c r="C189" s="904"/>
      <c r="D189" s="658"/>
      <c r="E189" s="865"/>
      <c r="F189" s="865"/>
      <c r="G189" s="205"/>
      <c r="H189" s="905"/>
      <c r="I189" s="906"/>
      <c r="J189" s="910"/>
      <c r="K189" s="920"/>
      <c r="L189" s="946"/>
      <c r="M189" s="111"/>
      <c r="N189" s="111"/>
      <c r="O189" s="111"/>
      <c r="P189" s="111"/>
    </row>
    <row r="190" spans="1:16" ht="12.75" customHeight="1">
      <c r="A190" s="1066">
        <v>93</v>
      </c>
      <c r="B190" s="1114"/>
      <c r="C190" s="904"/>
      <c r="D190" s="658"/>
      <c r="E190" s="865"/>
      <c r="F190" s="865"/>
      <c r="G190" s="173"/>
      <c r="H190" s="905"/>
      <c r="I190" s="905"/>
      <c r="J190" s="909"/>
      <c r="K190" s="919"/>
      <c r="L190" s="946">
        <f>K190-I190</f>
        <v>0</v>
      </c>
      <c r="M190" s="111"/>
      <c r="N190" s="111"/>
      <c r="O190" s="111"/>
      <c r="P190" s="111"/>
    </row>
    <row r="191" spans="1:16" ht="12.75" customHeight="1" thickBot="1">
      <c r="A191" s="1066"/>
      <c r="B191" s="1115"/>
      <c r="C191" s="938"/>
      <c r="D191" s="939"/>
      <c r="E191" s="937"/>
      <c r="F191" s="937"/>
      <c r="G191" s="174"/>
      <c r="H191" s="942"/>
      <c r="I191" s="943"/>
      <c r="J191" s="944"/>
      <c r="K191" s="1041"/>
      <c r="L191" s="947"/>
      <c r="M191" s="111">
        <f>I188/9800+450</f>
        <v>1541.8367346938776</v>
      </c>
      <c r="N191" s="111"/>
      <c r="O191" s="111"/>
      <c r="P191" s="111"/>
    </row>
    <row r="192" spans="1:16" ht="12.75" customHeight="1">
      <c r="A192" s="1066">
        <v>94</v>
      </c>
      <c r="B192" s="975" t="s">
        <v>1216</v>
      </c>
      <c r="C192" s="969" t="s">
        <v>1238</v>
      </c>
      <c r="D192" s="970" t="s">
        <v>1230</v>
      </c>
      <c r="E192" s="968" t="str">
        <f>E188</f>
        <v>ООО "Громин"</v>
      </c>
      <c r="F192" s="968" t="s">
        <v>1217</v>
      </c>
      <c r="G192" s="220"/>
      <c r="H192" s="973">
        <v>10700000</v>
      </c>
      <c r="I192" s="973">
        <f>H192</f>
        <v>10700000</v>
      </c>
      <c r="J192" s="974"/>
      <c r="K192" s="1001">
        <v>10700000</v>
      </c>
      <c r="L192" s="967">
        <f>K192-I192</f>
        <v>0</v>
      </c>
      <c r="M192" s="111"/>
      <c r="N192" s="111"/>
      <c r="O192" s="111"/>
      <c r="P192" s="111"/>
    </row>
    <row r="193" spans="1:16" ht="12.75" customHeight="1">
      <c r="A193" s="1066"/>
      <c r="B193" s="976"/>
      <c r="C193" s="904"/>
      <c r="D193" s="658"/>
      <c r="E193" s="865"/>
      <c r="F193" s="865"/>
      <c r="G193" s="219"/>
      <c r="H193" s="905"/>
      <c r="I193" s="906"/>
      <c r="J193" s="910"/>
      <c r="K193" s="920"/>
      <c r="L193" s="946"/>
      <c r="M193" s="111"/>
      <c r="N193" s="111"/>
      <c r="O193" s="111"/>
      <c r="P193" s="111"/>
    </row>
    <row r="194" spans="1:16" ht="12.75" customHeight="1">
      <c r="A194" s="1066">
        <v>95</v>
      </c>
      <c r="B194" s="1114"/>
      <c r="C194" s="904" t="s">
        <v>212</v>
      </c>
      <c r="D194" s="658" t="s">
        <v>1231</v>
      </c>
      <c r="E194" s="865" t="s">
        <v>1232</v>
      </c>
      <c r="F194" s="865"/>
      <c r="G194" s="187"/>
      <c r="H194" s="905">
        <v>5500000</v>
      </c>
      <c r="I194" s="905">
        <f>H194</f>
        <v>5500000</v>
      </c>
      <c r="J194" s="909"/>
      <c r="K194" s="919">
        <v>5500000</v>
      </c>
      <c r="L194" s="946">
        <f>K194-I194</f>
        <v>0</v>
      </c>
      <c r="M194" s="111"/>
      <c r="N194" s="111"/>
      <c r="O194" s="111"/>
      <c r="P194" s="111"/>
    </row>
    <row r="195" spans="1:16" ht="12.75" customHeight="1" thickBot="1">
      <c r="A195" s="1066"/>
      <c r="B195" s="1115"/>
      <c r="C195" s="938"/>
      <c r="D195" s="939"/>
      <c r="E195" s="937"/>
      <c r="F195" s="937"/>
      <c r="G195" s="188"/>
      <c r="H195" s="942"/>
      <c r="I195" s="943"/>
      <c r="J195" s="944"/>
      <c r="K195" s="1041"/>
      <c r="L195" s="947"/>
      <c r="M195" s="111">
        <f>(I192+I194)/9800</f>
        <v>1653.0612244897959</v>
      </c>
      <c r="N195" s="111"/>
      <c r="O195" s="111"/>
      <c r="P195" s="111"/>
    </row>
    <row r="196" spans="1:16" ht="12.75" customHeight="1">
      <c r="A196" s="1066">
        <v>96</v>
      </c>
      <c r="B196" s="865" t="s">
        <v>1221</v>
      </c>
      <c r="C196" s="904" t="s">
        <v>1242</v>
      </c>
      <c r="D196" s="658" t="s">
        <v>1234</v>
      </c>
      <c r="E196" s="865" t="str">
        <f>E192</f>
        <v>ООО "Громин"</v>
      </c>
      <c r="F196" s="865"/>
      <c r="G196" s="219"/>
      <c r="H196" s="905">
        <v>10700000</v>
      </c>
      <c r="I196" s="905">
        <f>H196</f>
        <v>10700000</v>
      </c>
      <c r="J196" s="909"/>
      <c r="K196" s="919">
        <v>10700000</v>
      </c>
      <c r="L196" s="903">
        <f>K196-I196</f>
        <v>0</v>
      </c>
      <c r="M196" s="111"/>
      <c r="N196" s="111"/>
      <c r="O196" s="111"/>
      <c r="P196" s="111"/>
    </row>
    <row r="197" spans="1:16" ht="12.75" customHeight="1">
      <c r="A197" s="1066"/>
      <c r="B197" s="865"/>
      <c r="C197" s="904"/>
      <c r="D197" s="658"/>
      <c r="E197" s="865"/>
      <c r="F197" s="865"/>
      <c r="G197" s="219"/>
      <c r="H197" s="905"/>
      <c r="I197" s="906"/>
      <c r="J197" s="910"/>
      <c r="K197" s="920"/>
      <c r="L197" s="903"/>
      <c r="M197" s="111"/>
      <c r="N197" s="111"/>
      <c r="O197" s="111"/>
      <c r="P197" s="111"/>
    </row>
    <row r="198" spans="1:16" ht="12.75" customHeight="1">
      <c r="A198" s="1066">
        <v>97</v>
      </c>
      <c r="B198" s="981"/>
      <c r="C198" s="904" t="s">
        <v>215</v>
      </c>
      <c r="D198" s="658" t="s">
        <v>1239</v>
      </c>
      <c r="E198" s="865" t="s">
        <v>1244</v>
      </c>
      <c r="F198" s="865"/>
      <c r="G198" s="193"/>
      <c r="H198" s="905">
        <v>3800000</v>
      </c>
      <c r="I198" s="905">
        <f>H198</f>
        <v>3800000</v>
      </c>
      <c r="J198" s="909"/>
      <c r="K198" s="919">
        <v>3800000</v>
      </c>
      <c r="L198" s="903">
        <f>K198-I198</f>
        <v>0</v>
      </c>
      <c r="M198" s="111"/>
      <c r="N198" s="111"/>
      <c r="O198" s="111"/>
      <c r="P198" s="111"/>
    </row>
    <row r="199" spans="1:16" ht="12.75" customHeight="1">
      <c r="A199" s="1066"/>
      <c r="B199" s="1092"/>
      <c r="C199" s="904"/>
      <c r="D199" s="658"/>
      <c r="E199" s="865"/>
      <c r="F199" s="865"/>
      <c r="G199" s="193"/>
      <c r="H199" s="905"/>
      <c r="I199" s="906"/>
      <c r="J199" s="910"/>
      <c r="K199" s="920"/>
      <c r="L199" s="903"/>
      <c r="M199" s="111"/>
      <c r="N199" s="111"/>
      <c r="O199" s="111"/>
      <c r="P199" s="111"/>
    </row>
    <row r="200" spans="1:16" ht="12.75" customHeight="1">
      <c r="A200" s="1066">
        <v>98</v>
      </c>
      <c r="B200" s="865"/>
      <c r="C200" s="904" t="s">
        <v>221</v>
      </c>
      <c r="D200" s="658" t="s">
        <v>1239</v>
      </c>
      <c r="E200" s="865" t="s">
        <v>324</v>
      </c>
      <c r="F200" s="865"/>
      <c r="G200" s="181"/>
      <c r="H200" s="905">
        <v>6900000</v>
      </c>
      <c r="I200" s="905">
        <f>H200</f>
        <v>6900000</v>
      </c>
      <c r="J200" s="909"/>
      <c r="K200" s="919">
        <v>6900000</v>
      </c>
      <c r="L200" s="903">
        <f>K200-I200</f>
        <v>0</v>
      </c>
      <c r="M200" s="111"/>
      <c r="N200" s="111"/>
      <c r="O200" s="111"/>
      <c r="P200" s="111"/>
    </row>
    <row r="201" spans="1:16" ht="12.75" customHeight="1">
      <c r="A201" s="1066"/>
      <c r="B201" s="878"/>
      <c r="C201" s="913"/>
      <c r="D201" s="659"/>
      <c r="E201" s="878"/>
      <c r="F201" s="878"/>
      <c r="G201" s="182"/>
      <c r="H201" s="915"/>
      <c r="I201" s="982"/>
      <c r="J201" s="917"/>
      <c r="K201" s="984"/>
      <c r="L201" s="900"/>
      <c r="M201" s="111"/>
      <c r="N201" s="111"/>
      <c r="O201" s="111"/>
      <c r="P201" s="111"/>
    </row>
    <row r="202" spans="1:16" ht="12.75" customHeight="1">
      <c r="A202" s="1066">
        <v>99</v>
      </c>
      <c r="B202" s="865"/>
      <c r="C202" s="904" t="s">
        <v>212</v>
      </c>
      <c r="D202" s="658" t="s">
        <v>1239</v>
      </c>
      <c r="E202" s="865" t="s">
        <v>260</v>
      </c>
      <c r="F202" s="865"/>
      <c r="G202" s="187"/>
      <c r="H202" s="905">
        <v>495000</v>
      </c>
      <c r="I202" s="905">
        <f>H202</f>
        <v>495000</v>
      </c>
      <c r="J202" s="909"/>
      <c r="K202" s="919">
        <v>495000</v>
      </c>
      <c r="L202" s="903">
        <f>K202-I202</f>
        <v>0</v>
      </c>
      <c r="M202" s="111"/>
      <c r="N202" s="111"/>
      <c r="O202" s="111"/>
      <c r="P202" s="111"/>
    </row>
    <row r="203" spans="1:16" ht="12.75" customHeight="1">
      <c r="A203" s="1066"/>
      <c r="B203" s="878"/>
      <c r="C203" s="913"/>
      <c r="D203" s="659"/>
      <c r="E203" s="878"/>
      <c r="F203" s="878"/>
      <c r="G203" s="189"/>
      <c r="H203" s="915"/>
      <c r="I203" s="982"/>
      <c r="J203" s="917"/>
      <c r="K203" s="984"/>
      <c r="L203" s="900"/>
      <c r="M203" s="111"/>
      <c r="N203" s="111"/>
      <c r="O203" s="111"/>
      <c r="P203" s="111"/>
    </row>
    <row r="204" spans="1:16" ht="12.75" customHeight="1">
      <c r="A204" s="1066">
        <v>100</v>
      </c>
      <c r="B204" s="865"/>
      <c r="C204" s="904" t="s">
        <v>222</v>
      </c>
      <c r="D204" s="658" t="s">
        <v>1239</v>
      </c>
      <c r="E204" s="865" t="s">
        <v>846</v>
      </c>
      <c r="F204" s="865"/>
      <c r="G204" s="179"/>
      <c r="H204" s="905">
        <v>7000000</v>
      </c>
      <c r="I204" s="905">
        <f>H204</f>
        <v>7000000</v>
      </c>
      <c r="J204" s="909"/>
      <c r="K204" s="919">
        <v>7000000</v>
      </c>
      <c r="L204" s="903">
        <f>K204-I204</f>
        <v>0</v>
      </c>
      <c r="M204" s="111"/>
      <c r="N204" s="111"/>
      <c r="O204" s="111"/>
      <c r="P204" s="111"/>
    </row>
    <row r="205" spans="1:16" ht="12.75" customHeight="1" thickBot="1">
      <c r="A205" s="1066"/>
      <c r="B205" s="878"/>
      <c r="C205" s="913"/>
      <c r="D205" s="659"/>
      <c r="E205" s="878"/>
      <c r="F205" s="878"/>
      <c r="G205" s="178"/>
      <c r="H205" s="915"/>
      <c r="I205" s="982"/>
      <c r="J205" s="917"/>
      <c r="K205" s="984"/>
      <c r="L205" s="900"/>
      <c r="M205" s="111">
        <f>(I196+I198+2000000+I202+I204)/9800+250</f>
        <v>2698.4693877551022</v>
      </c>
      <c r="N205" s="111"/>
      <c r="O205" s="111"/>
      <c r="P205" s="111"/>
    </row>
    <row r="206" spans="1:16" ht="12.75" customHeight="1">
      <c r="A206" s="1066">
        <v>101</v>
      </c>
      <c r="B206" s="975" t="s">
        <v>1225</v>
      </c>
      <c r="C206" s="969" t="s">
        <v>6</v>
      </c>
      <c r="D206" s="970" t="s">
        <v>1234</v>
      </c>
      <c r="E206" s="968" t="s">
        <v>1226</v>
      </c>
      <c r="F206" s="968"/>
      <c r="G206" s="456"/>
      <c r="H206" s="973">
        <v>3300</v>
      </c>
      <c r="I206" s="973">
        <f>H206*J206</f>
        <v>887700</v>
      </c>
      <c r="J206" s="974">
        <v>269</v>
      </c>
      <c r="K206" s="1001">
        <v>887700</v>
      </c>
      <c r="L206" s="967">
        <f>K206-I206</f>
        <v>0</v>
      </c>
      <c r="M206" s="111"/>
      <c r="N206" s="111"/>
      <c r="O206" s="111"/>
      <c r="P206" s="111"/>
    </row>
    <row r="207" spans="1:16" ht="12.75" customHeight="1">
      <c r="A207" s="1066"/>
      <c r="B207" s="976"/>
      <c r="C207" s="904"/>
      <c r="D207" s="658"/>
      <c r="E207" s="865"/>
      <c r="F207" s="865"/>
      <c r="G207" s="457"/>
      <c r="H207" s="905"/>
      <c r="I207" s="906"/>
      <c r="J207" s="910"/>
      <c r="K207" s="920"/>
      <c r="L207" s="946"/>
      <c r="M207" s="111"/>
      <c r="N207" s="111"/>
      <c r="O207" s="111"/>
      <c r="P207" s="111"/>
    </row>
    <row r="208" spans="1:16" ht="12.75" customHeight="1">
      <c r="A208" s="1066">
        <v>102</v>
      </c>
      <c r="B208" s="1114"/>
      <c r="C208" s="904" t="s">
        <v>231</v>
      </c>
      <c r="D208" s="658" t="s">
        <v>1243</v>
      </c>
      <c r="E208" s="865" t="s">
        <v>1245</v>
      </c>
      <c r="F208" s="865"/>
      <c r="G208" s="193"/>
      <c r="H208" s="905">
        <v>1000000</v>
      </c>
      <c r="I208" s="905">
        <f>H208</f>
        <v>1000000</v>
      </c>
      <c r="J208" s="909"/>
      <c r="K208" s="919">
        <v>1000000</v>
      </c>
      <c r="L208" s="946">
        <f>K208-I208</f>
        <v>0</v>
      </c>
      <c r="M208" s="111"/>
      <c r="N208" s="111"/>
      <c r="O208" s="111"/>
      <c r="P208" s="111"/>
    </row>
    <row r="209" spans="1:16" ht="12.75" customHeight="1">
      <c r="A209" s="1066"/>
      <c r="B209" s="1116"/>
      <c r="C209" s="904"/>
      <c r="D209" s="658"/>
      <c r="E209" s="865"/>
      <c r="F209" s="865"/>
      <c r="G209" s="193"/>
      <c r="H209" s="905"/>
      <c r="I209" s="906"/>
      <c r="J209" s="910"/>
      <c r="K209" s="920"/>
      <c r="L209" s="946"/>
      <c r="M209" s="111"/>
      <c r="N209" s="111"/>
      <c r="O209" s="111"/>
      <c r="P209" s="111"/>
    </row>
    <row r="210" spans="1:16" ht="12.75" customHeight="1">
      <c r="A210" s="1066">
        <v>103</v>
      </c>
      <c r="B210" s="1256"/>
      <c r="C210" s="1258" t="s">
        <v>214</v>
      </c>
      <c r="D210" s="1127" t="s">
        <v>1240</v>
      </c>
      <c r="E210" s="879" t="s">
        <v>324</v>
      </c>
      <c r="F210" s="879"/>
      <c r="G210" s="183"/>
      <c r="H210" s="1155">
        <v>7800000</v>
      </c>
      <c r="I210" s="916">
        <f>H210</f>
        <v>7800000</v>
      </c>
      <c r="J210" s="1157"/>
      <c r="K210" s="1125">
        <v>7800000</v>
      </c>
      <c r="L210" s="901">
        <f>K210-I210</f>
        <v>0</v>
      </c>
      <c r="M210" s="111"/>
      <c r="N210" s="111"/>
      <c r="O210" s="111"/>
      <c r="P210" s="111"/>
    </row>
    <row r="211" spans="1:16" ht="12.75" customHeight="1" thickBot="1">
      <c r="A211" s="1066"/>
      <c r="B211" s="1257"/>
      <c r="C211" s="1259"/>
      <c r="D211" s="1128"/>
      <c r="E211" s="878"/>
      <c r="F211" s="878"/>
      <c r="G211" s="182"/>
      <c r="H211" s="1156"/>
      <c r="I211" s="982"/>
      <c r="J211" s="1158"/>
      <c r="K211" s="1125"/>
      <c r="L211" s="900"/>
      <c r="M211" s="111">
        <f>(I208+2500000)/9800+350+1030</f>
        <v>1737.1428571428571</v>
      </c>
      <c r="N211" s="111"/>
      <c r="O211" s="111"/>
      <c r="P211" s="111"/>
    </row>
    <row r="212" spans="1:16" ht="12.75" customHeight="1">
      <c r="A212" s="1066">
        <v>104</v>
      </c>
      <c r="B212" s="975" t="s">
        <v>1227</v>
      </c>
      <c r="C212" s="969" t="s">
        <v>202</v>
      </c>
      <c r="D212" s="970" t="s">
        <v>1234</v>
      </c>
      <c r="E212" s="968" t="s">
        <v>524</v>
      </c>
      <c r="F212" s="968"/>
      <c r="G212" s="200"/>
      <c r="H212" s="973">
        <v>1256000</v>
      </c>
      <c r="I212" s="973">
        <f>H212</f>
        <v>1256000</v>
      </c>
      <c r="J212" s="974"/>
      <c r="K212" s="1001">
        <v>1256000</v>
      </c>
      <c r="L212" s="967">
        <f>K212-I212</f>
        <v>0</v>
      </c>
      <c r="M212" s="111"/>
      <c r="N212" s="111"/>
      <c r="O212" s="111"/>
      <c r="P212" s="111"/>
    </row>
    <row r="213" spans="1:16" ht="12.75" customHeight="1">
      <c r="A213" s="1066"/>
      <c r="B213" s="976"/>
      <c r="C213" s="904"/>
      <c r="D213" s="658"/>
      <c r="E213" s="865"/>
      <c r="F213" s="865"/>
      <c r="G213" s="199"/>
      <c r="H213" s="905"/>
      <c r="I213" s="906"/>
      <c r="J213" s="910"/>
      <c r="K213" s="920"/>
      <c r="L213" s="946"/>
      <c r="M213" s="111"/>
      <c r="N213" s="111"/>
      <c r="O213" s="111"/>
      <c r="P213" s="111"/>
    </row>
    <row r="214" spans="1:16" ht="12.75" customHeight="1">
      <c r="A214" s="1066">
        <v>105</v>
      </c>
      <c r="B214" s="981"/>
      <c r="C214" s="904"/>
      <c r="D214" s="658"/>
      <c r="E214" s="865"/>
      <c r="F214" s="865"/>
      <c r="G214" s="175"/>
      <c r="H214" s="905"/>
      <c r="I214" s="905"/>
      <c r="J214" s="909"/>
      <c r="K214" s="919"/>
      <c r="L214" s="946"/>
      <c r="M214" s="111"/>
      <c r="N214" s="111"/>
      <c r="O214" s="111"/>
      <c r="P214" s="111"/>
    </row>
    <row r="215" spans="1:16" ht="12.75" customHeight="1" thickBot="1">
      <c r="A215" s="1066"/>
      <c r="B215" s="1082"/>
      <c r="C215" s="938"/>
      <c r="D215" s="939"/>
      <c r="E215" s="937"/>
      <c r="F215" s="937"/>
      <c r="G215" s="176"/>
      <c r="H215" s="942"/>
      <c r="I215" s="943"/>
      <c r="J215" s="944"/>
      <c r="K215" s="1041"/>
      <c r="L215" s="947"/>
      <c r="M215" s="111">
        <f>I212/9800</f>
        <v>128.16326530612244</v>
      </c>
      <c r="N215" s="111"/>
      <c r="O215" s="111"/>
      <c r="P215" s="111"/>
    </row>
    <row r="216" spans="1:16" ht="12.75" customHeight="1">
      <c r="A216" s="1066">
        <v>106</v>
      </c>
      <c r="B216" s="975" t="s">
        <v>1229</v>
      </c>
      <c r="C216" s="969"/>
      <c r="D216" s="970"/>
      <c r="E216" s="968"/>
      <c r="F216" s="968"/>
      <c r="G216" s="177"/>
      <c r="H216" s="973"/>
      <c r="I216" s="973"/>
      <c r="J216" s="974"/>
      <c r="K216" s="1001"/>
      <c r="L216" s="967"/>
      <c r="M216" s="111"/>
      <c r="N216" s="111"/>
      <c r="O216" s="111"/>
      <c r="P216" s="111"/>
    </row>
    <row r="217" spans="1:16" ht="12.75" customHeight="1">
      <c r="A217" s="1066"/>
      <c r="B217" s="976"/>
      <c r="C217" s="904"/>
      <c r="D217" s="658"/>
      <c r="E217" s="865"/>
      <c r="F217" s="865"/>
      <c r="G217" s="175"/>
      <c r="H217" s="905"/>
      <c r="I217" s="906"/>
      <c r="J217" s="910"/>
      <c r="K217" s="920"/>
      <c r="L217" s="946"/>
      <c r="M217" s="111"/>
      <c r="N217" s="111"/>
      <c r="O217" s="111"/>
      <c r="P217" s="111"/>
    </row>
    <row r="218" spans="1:16" ht="12.75" customHeight="1">
      <c r="A218" s="1066">
        <v>107</v>
      </c>
      <c r="B218" s="1114"/>
      <c r="C218" s="904" t="s">
        <v>230</v>
      </c>
      <c r="D218" s="658" t="s">
        <v>1239</v>
      </c>
      <c r="E218" s="865" t="s">
        <v>142</v>
      </c>
      <c r="F218" s="865"/>
      <c r="G218" s="193"/>
      <c r="H218" s="905">
        <v>495000</v>
      </c>
      <c r="I218" s="905">
        <f>H218</f>
        <v>495000</v>
      </c>
      <c r="J218" s="909"/>
      <c r="K218" s="919">
        <v>495000</v>
      </c>
      <c r="L218" s="946">
        <f>K218-I218</f>
        <v>0</v>
      </c>
      <c r="M218" s="111"/>
      <c r="N218" s="111"/>
      <c r="O218" s="111"/>
      <c r="P218" s="111"/>
    </row>
    <row r="219" spans="1:16" ht="12.75" customHeight="1" thickBot="1">
      <c r="A219" s="1066"/>
      <c r="B219" s="1115"/>
      <c r="C219" s="938"/>
      <c r="D219" s="939"/>
      <c r="E219" s="937"/>
      <c r="F219" s="937"/>
      <c r="G219" s="195"/>
      <c r="H219" s="942"/>
      <c r="I219" s="943"/>
      <c r="J219" s="944"/>
      <c r="K219" s="1041"/>
      <c r="L219" s="947"/>
      <c r="M219" s="111">
        <f>(10200000+I218)/9800+490</f>
        <v>1581.3265306122448</v>
      </c>
      <c r="N219" s="111"/>
      <c r="O219" s="111"/>
      <c r="P219" s="111"/>
    </row>
    <row r="220" spans="1:16" ht="12.75" customHeight="1">
      <c r="A220" s="1066">
        <v>108</v>
      </c>
      <c r="B220" s="865" t="s">
        <v>1233</v>
      </c>
      <c r="C220" s="914"/>
      <c r="D220" s="660" t="s">
        <v>1239</v>
      </c>
      <c r="E220" s="879" t="s">
        <v>20</v>
      </c>
      <c r="F220" s="879"/>
      <c r="G220" s="233"/>
      <c r="H220" s="916">
        <v>11100000</v>
      </c>
      <c r="I220" s="916">
        <f>H220</f>
        <v>11100000</v>
      </c>
      <c r="J220" s="949"/>
      <c r="K220" s="984">
        <v>11100000</v>
      </c>
      <c r="L220" s="901">
        <f>K220-I220</f>
        <v>0</v>
      </c>
      <c r="M220" s="111"/>
      <c r="N220" s="111"/>
      <c r="O220" s="111"/>
      <c r="P220" s="111"/>
    </row>
    <row r="221" spans="1:16" ht="12.75" customHeight="1">
      <c r="A221" s="1066"/>
      <c r="B221" s="865"/>
      <c r="C221" s="904"/>
      <c r="D221" s="658"/>
      <c r="E221" s="865"/>
      <c r="F221" s="865"/>
      <c r="G221" s="231"/>
      <c r="H221" s="905"/>
      <c r="I221" s="906"/>
      <c r="J221" s="910"/>
      <c r="K221" s="920"/>
      <c r="L221" s="903"/>
      <c r="M221" s="111"/>
      <c r="N221" s="111"/>
      <c r="O221" s="111"/>
      <c r="P221" s="111"/>
    </row>
    <row r="222" spans="1:16" ht="12.75" customHeight="1">
      <c r="A222" s="1066">
        <v>109</v>
      </c>
      <c r="B222" s="981"/>
      <c r="C222" s="904" t="s">
        <v>232</v>
      </c>
      <c r="D222" s="658" t="s">
        <v>1248</v>
      </c>
      <c r="E222" s="865" t="s">
        <v>15</v>
      </c>
      <c r="F222" s="865"/>
      <c r="G222" s="205"/>
      <c r="H222" s="905">
        <v>2500000</v>
      </c>
      <c r="I222" s="905">
        <f>H222</f>
        <v>2500000</v>
      </c>
      <c r="J222" s="909"/>
      <c r="K222" s="919">
        <v>2500000</v>
      </c>
      <c r="L222" s="903">
        <f>K222-I222</f>
        <v>0</v>
      </c>
      <c r="M222" s="111"/>
      <c r="N222" s="111"/>
      <c r="O222" s="111"/>
      <c r="P222" s="111"/>
    </row>
    <row r="223" spans="1:16" ht="12.75" customHeight="1">
      <c r="A223" s="1066"/>
      <c r="B223" s="1092"/>
      <c r="C223" s="904"/>
      <c r="D223" s="658"/>
      <c r="E223" s="865"/>
      <c r="F223" s="865"/>
      <c r="G223" s="205"/>
      <c r="H223" s="905"/>
      <c r="I223" s="906"/>
      <c r="J223" s="910"/>
      <c r="K223" s="920"/>
      <c r="L223" s="903"/>
      <c r="M223" s="111"/>
      <c r="N223" s="111"/>
      <c r="O223" s="111"/>
      <c r="P223" s="111"/>
    </row>
    <row r="224" spans="1:16" ht="12.75" customHeight="1">
      <c r="A224" s="1066">
        <v>110</v>
      </c>
      <c r="B224" s="1114"/>
      <c r="C224" s="904" t="s">
        <v>233</v>
      </c>
      <c r="D224" s="658" t="s">
        <v>1252</v>
      </c>
      <c r="E224" s="865" t="s">
        <v>324</v>
      </c>
      <c r="F224" s="865"/>
      <c r="G224" s="207"/>
      <c r="H224" s="905">
        <v>2600000</v>
      </c>
      <c r="I224" s="905">
        <f>H224</f>
        <v>2600000</v>
      </c>
      <c r="J224" s="909"/>
      <c r="K224" s="919">
        <v>2600000</v>
      </c>
      <c r="L224" s="903">
        <f>K224-I224</f>
        <v>0</v>
      </c>
      <c r="M224" s="111"/>
      <c r="N224" s="111"/>
      <c r="O224" s="111"/>
      <c r="P224" s="111"/>
    </row>
    <row r="225" spans="1:16" ht="12.75" customHeight="1">
      <c r="A225" s="1066"/>
      <c r="B225" s="1255"/>
      <c r="C225" s="913"/>
      <c r="D225" s="659"/>
      <c r="E225" s="878"/>
      <c r="F225" s="878"/>
      <c r="G225" s="208"/>
      <c r="H225" s="915"/>
      <c r="I225" s="982"/>
      <c r="J225" s="917"/>
      <c r="K225" s="984"/>
      <c r="L225" s="900"/>
      <c r="M225" s="111"/>
      <c r="N225" s="111"/>
      <c r="O225" s="111"/>
      <c r="P225" s="111"/>
    </row>
    <row r="226" spans="1:16" ht="12.75" customHeight="1">
      <c r="A226" s="1066">
        <v>111</v>
      </c>
      <c r="B226" s="865"/>
      <c r="C226" s="904" t="s">
        <v>234</v>
      </c>
      <c r="D226" s="658" t="s">
        <v>1252</v>
      </c>
      <c r="E226" s="865" t="s">
        <v>11</v>
      </c>
      <c r="F226" s="865"/>
      <c r="G226" s="199"/>
      <c r="H226" s="905">
        <f>170*9900</f>
        <v>1683000</v>
      </c>
      <c r="I226" s="905">
        <f>H226</f>
        <v>1683000</v>
      </c>
      <c r="J226" s="909"/>
      <c r="K226" s="919">
        <v>1683000</v>
      </c>
      <c r="L226" s="903">
        <f>K226-I226</f>
        <v>0</v>
      </c>
      <c r="M226" s="111"/>
      <c r="N226" s="111"/>
      <c r="O226" s="111"/>
      <c r="P226" s="111"/>
    </row>
    <row r="227" spans="1:16" ht="12.75" customHeight="1">
      <c r="A227" s="1066"/>
      <c r="B227" s="865"/>
      <c r="C227" s="904"/>
      <c r="D227" s="658"/>
      <c r="E227" s="865"/>
      <c r="F227" s="865"/>
      <c r="G227" s="199"/>
      <c r="H227" s="905"/>
      <c r="I227" s="906"/>
      <c r="J227" s="910"/>
      <c r="K227" s="920"/>
      <c r="L227" s="903"/>
      <c r="M227" s="111"/>
      <c r="N227" s="111"/>
      <c r="O227" s="111"/>
      <c r="P227" s="111"/>
    </row>
    <row r="228" spans="1:16" ht="12.75" customHeight="1">
      <c r="A228" s="1066">
        <v>112</v>
      </c>
      <c r="B228" s="1114"/>
      <c r="C228" s="904" t="s">
        <v>254</v>
      </c>
      <c r="D228" s="658" t="s">
        <v>1252</v>
      </c>
      <c r="E228" s="865" t="s">
        <v>1244</v>
      </c>
      <c r="F228" s="865"/>
      <c r="G228" s="254"/>
      <c r="H228" s="905">
        <f>190*10000</f>
        <v>1900000</v>
      </c>
      <c r="I228" s="905">
        <f>H228</f>
        <v>1900000</v>
      </c>
      <c r="J228" s="909"/>
      <c r="K228" s="919">
        <v>1900000</v>
      </c>
      <c r="L228" s="903">
        <f>K228-I228</f>
        <v>0</v>
      </c>
      <c r="M228" s="111"/>
      <c r="N228" s="111"/>
      <c r="O228" s="111"/>
      <c r="P228" s="111"/>
    </row>
    <row r="229" spans="1:16" ht="12.75" customHeight="1" thickBot="1">
      <c r="A229" s="1066"/>
      <c r="B229" s="1255"/>
      <c r="C229" s="913"/>
      <c r="D229" s="659"/>
      <c r="E229" s="865"/>
      <c r="F229" s="878"/>
      <c r="G229" s="257"/>
      <c r="H229" s="915"/>
      <c r="I229" s="982"/>
      <c r="J229" s="917"/>
      <c r="K229" s="984"/>
      <c r="L229" s="900"/>
      <c r="M229" s="111">
        <f>(I220+I222+I224+I226+I228)/9800+100+100</f>
        <v>2218.6734693877552</v>
      </c>
      <c r="N229" s="111"/>
      <c r="O229" s="111"/>
      <c r="P229" s="111"/>
    </row>
    <row r="230" spans="1:16" ht="12.75" customHeight="1">
      <c r="A230" s="1066">
        <v>113</v>
      </c>
      <c r="B230" s="975" t="s">
        <v>1246</v>
      </c>
      <c r="C230" s="969" t="s">
        <v>1253</v>
      </c>
      <c r="D230" s="970" t="s">
        <v>1251</v>
      </c>
      <c r="E230" s="1017" t="s">
        <v>1110</v>
      </c>
      <c r="F230" s="968"/>
      <c r="G230" s="200"/>
      <c r="H230" s="973">
        <v>1133000</v>
      </c>
      <c r="I230" s="973">
        <f>H230</f>
        <v>1133000</v>
      </c>
      <c r="J230" s="974"/>
      <c r="K230" s="1001">
        <v>1133000</v>
      </c>
      <c r="L230" s="967">
        <f>K230-I230</f>
        <v>0</v>
      </c>
      <c r="M230" s="111"/>
      <c r="N230" s="111"/>
      <c r="O230" s="111"/>
      <c r="P230" s="111"/>
    </row>
    <row r="231" spans="1:16" ht="12.75" customHeight="1">
      <c r="A231" s="1066"/>
      <c r="B231" s="976"/>
      <c r="C231" s="904"/>
      <c r="D231" s="658"/>
      <c r="E231" s="879"/>
      <c r="F231" s="865"/>
      <c r="G231" s="199"/>
      <c r="H231" s="905"/>
      <c r="I231" s="906"/>
      <c r="J231" s="910"/>
      <c r="K231" s="920"/>
      <c r="L231" s="946"/>
      <c r="M231" s="111"/>
      <c r="N231" s="111"/>
      <c r="O231" s="111"/>
      <c r="P231" s="111"/>
    </row>
    <row r="232" spans="1:16" ht="12.75" customHeight="1">
      <c r="A232" s="1066">
        <v>114</v>
      </c>
      <c r="B232" s="981"/>
      <c r="C232" s="904" t="s">
        <v>1254</v>
      </c>
      <c r="D232" s="658" t="s">
        <v>1251</v>
      </c>
      <c r="E232" s="878" t="s">
        <v>244</v>
      </c>
      <c r="F232" s="865"/>
      <c r="G232" s="267"/>
      <c r="H232" s="905">
        <v>1920</v>
      </c>
      <c r="I232" s="905">
        <f>H232*J232</f>
        <v>518400</v>
      </c>
      <c r="J232" s="909">
        <v>270</v>
      </c>
      <c r="K232" s="919">
        <v>518400</v>
      </c>
      <c r="L232" s="946">
        <f>K232-I232</f>
        <v>0</v>
      </c>
      <c r="M232" s="111"/>
      <c r="N232" s="111"/>
      <c r="O232" s="111"/>
      <c r="P232" s="111"/>
    </row>
    <row r="233" spans="1:16" ht="12.75" customHeight="1" thickBot="1">
      <c r="A233" s="1066"/>
      <c r="B233" s="1082"/>
      <c r="C233" s="938"/>
      <c r="D233" s="939"/>
      <c r="E233" s="1197"/>
      <c r="F233" s="937"/>
      <c r="G233" s="268"/>
      <c r="H233" s="942"/>
      <c r="I233" s="943"/>
      <c r="J233" s="944"/>
      <c r="K233" s="1041"/>
      <c r="L233" s="947"/>
      <c r="M233" s="111">
        <f>(I230+I232)/9800</f>
        <v>168.51020408163265</v>
      </c>
      <c r="N233" s="111"/>
      <c r="O233" s="111"/>
      <c r="P233" s="111"/>
    </row>
    <row r="234" spans="1:16" ht="12.75" customHeight="1">
      <c r="A234" s="1066">
        <v>115</v>
      </c>
      <c r="B234" s="879" t="s">
        <v>1241</v>
      </c>
      <c r="C234" s="914"/>
      <c r="D234" s="660" t="s">
        <v>1251</v>
      </c>
      <c r="E234" s="1017" t="s">
        <v>20</v>
      </c>
      <c r="F234" s="879"/>
      <c r="G234" s="226"/>
      <c r="H234" s="916">
        <v>10700000</v>
      </c>
      <c r="I234" s="916">
        <f>H234</f>
        <v>10700000</v>
      </c>
      <c r="J234" s="949"/>
      <c r="K234" s="984">
        <v>10700000</v>
      </c>
      <c r="L234" s="901">
        <f>K234-I234</f>
        <v>0</v>
      </c>
      <c r="M234" s="111"/>
      <c r="N234" s="111"/>
      <c r="O234" s="111"/>
      <c r="P234" s="111"/>
    </row>
    <row r="235" spans="1:16" ht="12.75" customHeight="1">
      <c r="A235" s="1066"/>
      <c r="B235" s="865"/>
      <c r="C235" s="904"/>
      <c r="D235" s="658"/>
      <c r="E235" s="879"/>
      <c r="F235" s="865"/>
      <c r="G235" s="225"/>
      <c r="H235" s="905"/>
      <c r="I235" s="906"/>
      <c r="J235" s="910"/>
      <c r="K235" s="920"/>
      <c r="L235" s="903"/>
      <c r="M235" s="111"/>
      <c r="N235" s="111"/>
      <c r="O235" s="111"/>
      <c r="P235" s="111"/>
    </row>
    <row r="236" spans="1:16" ht="12.75" customHeight="1">
      <c r="A236" s="1066">
        <v>116</v>
      </c>
      <c r="B236" s="981"/>
      <c r="C236" s="904" t="s">
        <v>255</v>
      </c>
      <c r="D236" s="658" t="s">
        <v>1250</v>
      </c>
      <c r="E236" s="865" t="s">
        <v>280</v>
      </c>
      <c r="F236" s="865"/>
      <c r="G236" s="193"/>
      <c r="H236" s="905">
        <v>495000</v>
      </c>
      <c r="I236" s="905">
        <f>H236</f>
        <v>495000</v>
      </c>
      <c r="J236" s="909"/>
      <c r="K236" s="919">
        <v>495000</v>
      </c>
      <c r="L236" s="903">
        <f>K236-I236</f>
        <v>0</v>
      </c>
      <c r="M236" s="111"/>
      <c r="N236" s="111"/>
      <c r="O236" s="111"/>
      <c r="P236" s="111"/>
    </row>
    <row r="237" spans="1:16" ht="12.75" customHeight="1">
      <c r="A237" s="1066"/>
      <c r="B237" s="1092"/>
      <c r="C237" s="904"/>
      <c r="D237" s="658"/>
      <c r="E237" s="865"/>
      <c r="F237" s="865"/>
      <c r="G237" s="193"/>
      <c r="H237" s="905"/>
      <c r="I237" s="906"/>
      <c r="J237" s="910"/>
      <c r="K237" s="920"/>
      <c r="L237" s="903"/>
      <c r="M237" s="111"/>
      <c r="N237" s="111"/>
      <c r="O237" s="111"/>
      <c r="P237" s="111"/>
    </row>
    <row r="238" spans="1:16" ht="12.75" customHeight="1">
      <c r="A238" s="1066">
        <v>117</v>
      </c>
      <c r="B238" s="865"/>
      <c r="C238" s="904" t="s">
        <v>272</v>
      </c>
      <c r="D238" s="658" t="s">
        <v>1255</v>
      </c>
      <c r="E238" s="865" t="s">
        <v>908</v>
      </c>
      <c r="F238" s="865"/>
      <c r="G238" s="187"/>
      <c r="H238" s="905">
        <v>990000</v>
      </c>
      <c r="I238" s="905">
        <f>H238</f>
        <v>990000</v>
      </c>
      <c r="J238" s="909"/>
      <c r="K238" s="919">
        <v>990000</v>
      </c>
      <c r="L238" s="903">
        <f>K238-I238</f>
        <v>0</v>
      </c>
      <c r="M238" s="111"/>
      <c r="N238" s="111"/>
      <c r="O238" s="111"/>
      <c r="P238" s="111"/>
    </row>
    <row r="239" spans="1:16" ht="12.75" customHeight="1">
      <c r="A239" s="1066"/>
      <c r="B239" s="865"/>
      <c r="C239" s="904"/>
      <c r="D239" s="658"/>
      <c r="E239" s="865"/>
      <c r="F239" s="865"/>
      <c r="G239" s="187"/>
      <c r="H239" s="905"/>
      <c r="I239" s="906"/>
      <c r="J239" s="910"/>
      <c r="K239" s="920"/>
      <c r="L239" s="903"/>
      <c r="M239" s="111"/>
      <c r="N239" s="111"/>
      <c r="O239" s="111"/>
      <c r="P239" s="111"/>
    </row>
    <row r="240" spans="1:16" ht="12.75" customHeight="1">
      <c r="A240" s="1066">
        <v>118</v>
      </c>
      <c r="B240" s="1039"/>
      <c r="C240" s="904" t="s">
        <v>273</v>
      </c>
      <c r="D240" s="658" t="s">
        <v>1255</v>
      </c>
      <c r="E240" s="865" t="s">
        <v>1266</v>
      </c>
      <c r="F240" s="865"/>
      <c r="G240" s="231"/>
      <c r="H240" s="905">
        <v>2600000</v>
      </c>
      <c r="I240" s="905">
        <f>H240</f>
        <v>2600000</v>
      </c>
      <c r="J240" s="909"/>
      <c r="K240" s="919">
        <v>2600000</v>
      </c>
      <c r="L240" s="903">
        <f>K240-I240</f>
        <v>0</v>
      </c>
      <c r="M240" s="111"/>
      <c r="N240" s="111"/>
      <c r="O240" s="111"/>
      <c r="P240" s="111"/>
    </row>
    <row r="241" spans="1:16" ht="12.75" customHeight="1" thickBot="1">
      <c r="A241" s="1066"/>
      <c r="B241" s="1186"/>
      <c r="C241" s="913"/>
      <c r="D241" s="659"/>
      <c r="E241" s="878"/>
      <c r="F241" s="878"/>
      <c r="G241" s="232"/>
      <c r="H241" s="915"/>
      <c r="I241" s="982"/>
      <c r="J241" s="917"/>
      <c r="K241" s="984"/>
      <c r="L241" s="900"/>
      <c r="M241" s="111">
        <f>(I234+I236+I238+I240)/9800</f>
        <v>1508.6734693877552</v>
      </c>
      <c r="N241" s="111"/>
      <c r="O241" s="111"/>
      <c r="P241" s="111"/>
    </row>
    <row r="242" spans="1:16" ht="12.75" customHeight="1">
      <c r="A242" s="1066">
        <v>119</v>
      </c>
      <c r="B242" s="975" t="s">
        <v>1258</v>
      </c>
      <c r="C242" s="969" t="s">
        <v>274</v>
      </c>
      <c r="D242" s="970" t="s">
        <v>1250</v>
      </c>
      <c r="E242" s="968" t="s">
        <v>130</v>
      </c>
      <c r="F242" s="968"/>
      <c r="G242" s="213"/>
      <c r="H242" s="973">
        <v>456000</v>
      </c>
      <c r="I242" s="973">
        <f>H242</f>
        <v>456000</v>
      </c>
      <c r="J242" s="974"/>
      <c r="K242" s="1001">
        <v>456000</v>
      </c>
      <c r="L242" s="967">
        <f>K242-I242</f>
        <v>0</v>
      </c>
      <c r="M242" s="111"/>
      <c r="N242" s="111"/>
      <c r="O242" s="111"/>
      <c r="P242" s="111"/>
    </row>
    <row r="243" spans="1:16" ht="12.75" customHeight="1">
      <c r="A243" s="1066"/>
      <c r="B243" s="976"/>
      <c r="C243" s="904"/>
      <c r="D243" s="658"/>
      <c r="E243" s="865"/>
      <c r="F243" s="865"/>
      <c r="G243" s="212"/>
      <c r="H243" s="905"/>
      <c r="I243" s="906"/>
      <c r="J243" s="910"/>
      <c r="K243" s="920"/>
      <c r="L243" s="946"/>
      <c r="M243" s="111"/>
      <c r="N243" s="111"/>
      <c r="O243" s="111"/>
      <c r="P243" s="111"/>
    </row>
    <row r="244" spans="1:16" ht="12.75" customHeight="1">
      <c r="A244" s="1066">
        <v>120</v>
      </c>
      <c r="B244" s="981"/>
      <c r="C244" s="904"/>
      <c r="D244" s="658"/>
      <c r="E244" s="865"/>
      <c r="F244" s="865"/>
      <c r="G244" s="185"/>
      <c r="H244" s="905"/>
      <c r="I244" s="905">
        <f>H244</f>
        <v>0</v>
      </c>
      <c r="J244" s="909"/>
      <c r="K244" s="919"/>
      <c r="L244" s="946">
        <f>K244-I244</f>
        <v>0</v>
      </c>
      <c r="M244" s="111"/>
      <c r="N244" s="111"/>
      <c r="O244" s="111"/>
      <c r="P244" s="111"/>
    </row>
    <row r="245" spans="1:16" ht="12.75" customHeight="1" thickBot="1">
      <c r="A245" s="1066"/>
      <c r="B245" s="1082"/>
      <c r="C245" s="938"/>
      <c r="D245" s="939"/>
      <c r="E245" s="937"/>
      <c r="F245" s="937"/>
      <c r="G245" s="186"/>
      <c r="H245" s="942"/>
      <c r="I245" s="943"/>
      <c r="J245" s="944"/>
      <c r="K245" s="1041"/>
      <c r="L245" s="947"/>
      <c r="M245" s="111">
        <f>I242/9800</f>
        <v>46.530612244897959</v>
      </c>
      <c r="N245" s="111"/>
      <c r="O245" s="111"/>
      <c r="P245" s="111"/>
    </row>
    <row r="246" spans="1:16" ht="12.75" customHeight="1">
      <c r="A246" s="1066">
        <v>121</v>
      </c>
      <c r="B246" s="879" t="s">
        <v>1249</v>
      </c>
      <c r="C246" s="914"/>
      <c r="D246" s="660" t="s">
        <v>1269</v>
      </c>
      <c r="E246" s="879" t="s">
        <v>20</v>
      </c>
      <c r="F246" s="879"/>
      <c r="G246" s="233"/>
      <c r="H246" s="916">
        <v>10700000</v>
      </c>
      <c r="I246" s="916">
        <f>H246</f>
        <v>10700000</v>
      </c>
      <c r="J246" s="949"/>
      <c r="K246" s="984">
        <v>10700000</v>
      </c>
      <c r="L246" s="901">
        <f>K246-I246</f>
        <v>0</v>
      </c>
      <c r="M246" s="111"/>
      <c r="N246" s="111"/>
      <c r="O246" s="111"/>
      <c r="P246" s="111"/>
    </row>
    <row r="247" spans="1:16" ht="12.75" customHeight="1">
      <c r="A247" s="1066"/>
      <c r="B247" s="865"/>
      <c r="C247" s="904"/>
      <c r="D247" s="658"/>
      <c r="E247" s="865"/>
      <c r="F247" s="865"/>
      <c r="G247" s="231"/>
      <c r="H247" s="905"/>
      <c r="I247" s="906"/>
      <c r="J247" s="910"/>
      <c r="K247" s="920"/>
      <c r="L247" s="903"/>
      <c r="M247" s="111"/>
      <c r="N247" s="111"/>
      <c r="O247" s="111"/>
      <c r="P247" s="111"/>
    </row>
    <row r="248" spans="1:16" ht="12.75" customHeight="1">
      <c r="A248" s="1066">
        <v>122</v>
      </c>
      <c r="B248" s="981"/>
      <c r="C248" s="904" t="s">
        <v>287</v>
      </c>
      <c r="D248" s="658" t="s">
        <v>1265</v>
      </c>
      <c r="E248" s="865" t="s">
        <v>20</v>
      </c>
      <c r="F248" s="865"/>
      <c r="G248" s="234"/>
      <c r="H248" s="905">
        <v>1300000</v>
      </c>
      <c r="I248" s="905">
        <f>H248</f>
        <v>1300000</v>
      </c>
      <c r="J248" s="909"/>
      <c r="K248" s="919">
        <v>1300000</v>
      </c>
      <c r="L248" s="903">
        <f>K248-I248</f>
        <v>0</v>
      </c>
      <c r="M248" s="111"/>
      <c r="N248" s="111"/>
      <c r="O248" s="111"/>
      <c r="P248" s="111"/>
    </row>
    <row r="249" spans="1:16" ht="12.75" customHeight="1">
      <c r="A249" s="1066"/>
      <c r="B249" s="1092"/>
      <c r="C249" s="904"/>
      <c r="D249" s="658"/>
      <c r="E249" s="865"/>
      <c r="F249" s="865"/>
      <c r="G249" s="234"/>
      <c r="H249" s="905"/>
      <c r="I249" s="906"/>
      <c r="J249" s="910"/>
      <c r="K249" s="920"/>
      <c r="L249" s="903"/>
      <c r="M249" s="111"/>
      <c r="N249" s="111"/>
      <c r="O249" s="111"/>
      <c r="P249" s="111"/>
    </row>
    <row r="250" spans="1:16" ht="12.75" customHeight="1">
      <c r="A250" s="1066">
        <v>123</v>
      </c>
      <c r="B250" s="981"/>
      <c r="C250" s="904" t="s">
        <v>276</v>
      </c>
      <c r="D250" s="658" t="s">
        <v>1265</v>
      </c>
      <c r="E250" s="865" t="s">
        <v>1140</v>
      </c>
      <c r="F250" s="865"/>
      <c r="G250" s="214"/>
      <c r="H250" s="905">
        <v>1700000</v>
      </c>
      <c r="I250" s="905">
        <f>H250</f>
        <v>1700000</v>
      </c>
      <c r="J250" s="909"/>
      <c r="K250" s="919">
        <v>1700000</v>
      </c>
      <c r="L250" s="903">
        <f>K250-I250</f>
        <v>0</v>
      </c>
      <c r="M250" s="111"/>
      <c r="N250" s="111"/>
      <c r="O250" s="111"/>
      <c r="P250" s="111"/>
    </row>
    <row r="251" spans="1:16" ht="12.75" customHeight="1">
      <c r="A251" s="1066"/>
      <c r="B251" s="1092"/>
      <c r="C251" s="904"/>
      <c r="D251" s="658"/>
      <c r="E251" s="865"/>
      <c r="F251" s="865"/>
      <c r="G251" s="214"/>
      <c r="H251" s="905"/>
      <c r="I251" s="906"/>
      <c r="J251" s="910"/>
      <c r="K251" s="920"/>
      <c r="L251" s="903"/>
      <c r="M251" s="111"/>
      <c r="N251" s="111"/>
      <c r="O251" s="111"/>
      <c r="P251" s="111"/>
    </row>
    <row r="252" spans="1:16" ht="12.75" customHeight="1">
      <c r="A252" s="1066">
        <v>124</v>
      </c>
      <c r="B252" s="865"/>
      <c r="C252" s="904" t="s">
        <v>278</v>
      </c>
      <c r="D252" s="658" t="s">
        <v>1265</v>
      </c>
      <c r="E252" s="865" t="s">
        <v>250</v>
      </c>
      <c r="F252" s="865"/>
      <c r="G252" s="216"/>
      <c r="H252" s="905">
        <v>4300000</v>
      </c>
      <c r="I252" s="905">
        <f>H252</f>
        <v>4300000</v>
      </c>
      <c r="J252" s="909"/>
      <c r="K252" s="919">
        <v>4300000</v>
      </c>
      <c r="L252" s="903">
        <f>K252-I252</f>
        <v>0</v>
      </c>
      <c r="M252" s="111"/>
      <c r="N252" s="111"/>
      <c r="O252" s="111"/>
      <c r="P252" s="111"/>
    </row>
    <row r="253" spans="1:16" ht="12.75" customHeight="1">
      <c r="A253" s="1066"/>
      <c r="B253" s="865"/>
      <c r="C253" s="904"/>
      <c r="D253" s="658"/>
      <c r="E253" s="865"/>
      <c r="F253" s="865"/>
      <c r="G253" s="216"/>
      <c r="H253" s="905"/>
      <c r="I253" s="906"/>
      <c r="J253" s="910"/>
      <c r="K253" s="920"/>
      <c r="L253" s="903"/>
      <c r="M253" s="111"/>
      <c r="N253" s="111"/>
      <c r="O253" s="111"/>
      <c r="P253" s="111"/>
    </row>
    <row r="254" spans="1:16" ht="12.75" customHeight="1">
      <c r="A254" s="1066">
        <v>125</v>
      </c>
      <c r="B254" s="981"/>
      <c r="C254" s="904" t="s">
        <v>286</v>
      </c>
      <c r="D254" s="658" t="s">
        <v>1265</v>
      </c>
      <c r="E254" s="865" t="s">
        <v>1267</v>
      </c>
      <c r="F254" s="865"/>
      <c r="G254" s="267"/>
      <c r="H254" s="905">
        <v>3800000</v>
      </c>
      <c r="I254" s="905">
        <f>H254</f>
        <v>3800000</v>
      </c>
      <c r="J254" s="909"/>
      <c r="K254" s="919">
        <v>3800000</v>
      </c>
      <c r="L254" s="903">
        <f>K254-I254</f>
        <v>0</v>
      </c>
      <c r="M254" s="111"/>
      <c r="N254" s="111"/>
      <c r="O254" s="111"/>
      <c r="P254" s="111"/>
    </row>
    <row r="255" spans="1:16" ht="12.75" customHeight="1">
      <c r="A255" s="1066"/>
      <c r="B255" s="1092"/>
      <c r="C255" s="904"/>
      <c r="D255" s="658"/>
      <c r="E255" s="865"/>
      <c r="F255" s="865"/>
      <c r="G255" s="267"/>
      <c r="H255" s="905"/>
      <c r="I255" s="906"/>
      <c r="J255" s="910"/>
      <c r="K255" s="920"/>
      <c r="L255" s="903"/>
      <c r="M255" s="111"/>
      <c r="N255" s="111"/>
      <c r="O255" s="111"/>
      <c r="P255" s="111"/>
    </row>
    <row r="256" spans="1:16" ht="12.75" customHeight="1">
      <c r="A256" s="1066">
        <v>126</v>
      </c>
      <c r="B256" s="865"/>
      <c r="C256" s="904" t="s">
        <v>279</v>
      </c>
      <c r="D256" s="658" t="s">
        <v>1265</v>
      </c>
      <c r="E256" s="865" t="s">
        <v>117</v>
      </c>
      <c r="F256" s="865"/>
      <c r="G256" s="223"/>
      <c r="H256" s="905">
        <v>495000</v>
      </c>
      <c r="I256" s="905">
        <f>H256</f>
        <v>495000</v>
      </c>
      <c r="J256" s="909"/>
      <c r="K256" s="919">
        <v>495000</v>
      </c>
      <c r="L256" s="903">
        <f>K256-I256</f>
        <v>0</v>
      </c>
      <c r="M256" s="111"/>
      <c r="N256" s="111"/>
      <c r="O256" s="111"/>
      <c r="P256" s="111"/>
    </row>
    <row r="257" spans="1:16" ht="12.75" customHeight="1">
      <c r="A257" s="1066"/>
      <c r="B257" s="865"/>
      <c r="C257" s="904"/>
      <c r="D257" s="658"/>
      <c r="E257" s="865"/>
      <c r="F257" s="865"/>
      <c r="G257" s="223"/>
      <c r="H257" s="905"/>
      <c r="I257" s="906"/>
      <c r="J257" s="910"/>
      <c r="K257" s="920"/>
      <c r="L257" s="903"/>
      <c r="M257" s="111">
        <f>(I246+I248+I250+I252+I254+I256)/9800+300+470</f>
        <v>3045</v>
      </c>
      <c r="N257" s="111"/>
      <c r="O257" s="111"/>
      <c r="P257" s="111"/>
    </row>
    <row r="258" spans="1:16">
      <c r="A258" s="1066">
        <v>127</v>
      </c>
      <c r="B258" s="1171" t="s">
        <v>1261</v>
      </c>
      <c r="C258" s="904"/>
      <c r="D258" s="658"/>
      <c r="E258" s="1260" t="s">
        <v>1263</v>
      </c>
      <c r="F258" s="1260" t="s">
        <v>1264</v>
      </c>
      <c r="G258" s="202"/>
      <c r="H258" s="1048"/>
      <c r="I258" s="1048"/>
      <c r="J258" s="1052"/>
      <c r="K258" s="1054"/>
      <c r="L258" s="1084"/>
      <c r="M258" s="111"/>
      <c r="N258" s="111"/>
      <c r="O258" s="111"/>
      <c r="P258" s="111"/>
    </row>
    <row r="259" spans="1:16">
      <c r="A259" s="1066"/>
      <c r="B259" s="1171"/>
      <c r="C259" s="904"/>
      <c r="D259" s="658"/>
      <c r="E259" s="1260"/>
      <c r="F259" s="1260"/>
      <c r="G259" s="202"/>
      <c r="H259" s="1048"/>
      <c r="I259" s="1088"/>
      <c r="J259" s="1089"/>
      <c r="K259" s="1090"/>
      <c r="L259" s="1084"/>
      <c r="M259" s="111"/>
      <c r="N259" s="111"/>
      <c r="O259" s="111"/>
      <c r="P259" s="111"/>
    </row>
    <row r="260" spans="1:16" ht="18.75">
      <c r="A260" s="69"/>
      <c r="B260" s="1191" t="s">
        <v>210</v>
      </c>
      <c r="C260" s="1192"/>
      <c r="D260" s="1192"/>
      <c r="E260" s="1192"/>
      <c r="F260" s="1192"/>
      <c r="G260" s="1192"/>
      <c r="H260" s="1192"/>
      <c r="I260" s="1192"/>
      <c r="J260" s="1192"/>
      <c r="K260" s="1192"/>
      <c r="L260" s="1192"/>
      <c r="M260" s="7">
        <f>SUM(I262:I355)</f>
        <v>204336880</v>
      </c>
      <c r="N260" s="112"/>
      <c r="O260" s="111">
        <f>SUM(M267:M355)</f>
        <v>11395.993</v>
      </c>
      <c r="P260" s="111" t="s">
        <v>1270</v>
      </c>
    </row>
    <row r="261" spans="1:16" ht="19.5" thickBot="1">
      <c r="A261" s="203"/>
      <c r="B261" s="1146" t="s">
        <v>860</v>
      </c>
      <c r="C261" s="1147"/>
      <c r="D261" s="1147"/>
      <c r="E261" s="1147"/>
      <c r="F261" s="1147"/>
      <c r="G261" s="1147"/>
      <c r="H261" s="1147"/>
      <c r="I261" s="1147"/>
      <c r="J261" s="1147"/>
      <c r="K261" s="1147"/>
      <c r="L261" s="1147"/>
      <c r="M261" s="118">
        <f>M260/10000</f>
        <v>20433.687999999998</v>
      </c>
      <c r="N261" s="112"/>
      <c r="O261" s="111"/>
      <c r="P261" s="111"/>
    </row>
    <row r="262" spans="1:16">
      <c r="A262" s="991">
        <v>128</v>
      </c>
      <c r="B262" s="968" t="s">
        <v>1257</v>
      </c>
      <c r="C262" s="969"/>
      <c r="D262" s="970" t="s">
        <v>1268</v>
      </c>
      <c r="E262" s="968" t="s">
        <v>20</v>
      </c>
      <c r="F262" s="968"/>
      <c r="G262" s="235"/>
      <c r="H262" s="973">
        <v>11100000</v>
      </c>
      <c r="I262" s="973">
        <f>H262</f>
        <v>11100000</v>
      </c>
      <c r="J262" s="974"/>
      <c r="K262" s="1001">
        <v>11100000</v>
      </c>
      <c r="L262" s="903">
        <f>K262-H262</f>
        <v>0</v>
      </c>
      <c r="M262" s="111"/>
      <c r="N262" s="111"/>
      <c r="O262" s="111"/>
      <c r="P262" s="111"/>
    </row>
    <row r="263" spans="1:16">
      <c r="A263" s="992"/>
      <c r="B263" s="865"/>
      <c r="C263" s="904"/>
      <c r="D263" s="658"/>
      <c r="E263" s="865"/>
      <c r="F263" s="865"/>
      <c r="G263" s="234"/>
      <c r="H263" s="905"/>
      <c r="I263" s="906"/>
      <c r="J263" s="910"/>
      <c r="K263" s="920"/>
      <c r="L263" s="903"/>
      <c r="M263" s="5">
        <f>SUM(L262:L355)</f>
        <v>0</v>
      </c>
      <c r="N263" s="111"/>
      <c r="O263" s="111"/>
      <c r="P263" s="111"/>
    </row>
    <row r="264" spans="1:16" ht="12.75" customHeight="1">
      <c r="A264" s="992">
        <v>129</v>
      </c>
      <c r="B264" s="981"/>
      <c r="C264" s="904" t="s">
        <v>290</v>
      </c>
      <c r="D264" s="658" t="s">
        <v>1272</v>
      </c>
      <c r="E264" s="865" t="s">
        <v>410</v>
      </c>
      <c r="F264" s="865"/>
      <c r="G264" s="425"/>
      <c r="H264" s="905">
        <v>5800000</v>
      </c>
      <c r="I264" s="905">
        <f>H264</f>
        <v>5800000</v>
      </c>
      <c r="J264" s="909"/>
      <c r="K264" s="919">
        <f>1300000+1000000+1000000+1300000+1000000+200000</f>
        <v>5800000</v>
      </c>
      <c r="L264" s="903">
        <f>K264-H264</f>
        <v>0</v>
      </c>
      <c r="M264" s="122"/>
      <c r="N264" s="122"/>
      <c r="O264" s="111"/>
      <c r="P264" s="111"/>
    </row>
    <row r="265" spans="1:16" ht="12.75" customHeight="1" thickBot="1">
      <c r="A265" s="992"/>
      <c r="B265" s="1092"/>
      <c r="C265" s="904"/>
      <c r="D265" s="658"/>
      <c r="E265" s="865"/>
      <c r="F265" s="865"/>
      <c r="G265" s="425"/>
      <c r="H265" s="905"/>
      <c r="I265" s="906"/>
      <c r="J265" s="910"/>
      <c r="K265" s="920"/>
      <c r="L265" s="903"/>
      <c r="M265" s="111"/>
      <c r="N265" s="111"/>
      <c r="O265" s="111"/>
      <c r="P265" s="111"/>
    </row>
    <row r="266" spans="1:16" ht="12.75" customHeight="1">
      <c r="A266" s="991">
        <v>130</v>
      </c>
      <c r="B266" s="879"/>
      <c r="C266" s="904" t="s">
        <v>292</v>
      </c>
      <c r="D266" s="658" t="s">
        <v>1272</v>
      </c>
      <c r="E266" s="865" t="s">
        <v>1290</v>
      </c>
      <c r="F266" s="865"/>
      <c r="G266" s="299"/>
      <c r="H266" s="905">
        <v>3000000</v>
      </c>
      <c r="I266" s="905">
        <f>H266</f>
        <v>3000000</v>
      </c>
      <c r="J266" s="909"/>
      <c r="K266" s="919">
        <v>3000000</v>
      </c>
      <c r="L266" s="903">
        <f t="shared" ref="L266:L320" si="1">K266-H266</f>
        <v>0</v>
      </c>
      <c r="M266" s="111"/>
      <c r="N266" s="111"/>
      <c r="O266" s="111"/>
      <c r="P266" s="111"/>
    </row>
    <row r="267" spans="1:16" ht="13.5" customHeight="1" thickBot="1">
      <c r="A267" s="992"/>
      <c r="B267" s="937"/>
      <c r="C267" s="938"/>
      <c r="D267" s="939"/>
      <c r="E267" s="937"/>
      <c r="F267" s="937"/>
      <c r="G267" s="300"/>
      <c r="H267" s="942"/>
      <c r="I267" s="943"/>
      <c r="J267" s="944"/>
      <c r="K267" s="1041"/>
      <c r="L267" s="1178"/>
      <c r="M267" s="111">
        <f>SUM(I262:I267)/10000</f>
        <v>1990</v>
      </c>
      <c r="N267" s="111"/>
      <c r="O267" s="111"/>
      <c r="P267" s="111"/>
    </row>
    <row r="268" spans="1:16" ht="12.75" customHeight="1">
      <c r="A268" s="992">
        <v>131</v>
      </c>
      <c r="B268" s="975" t="s">
        <v>1259</v>
      </c>
      <c r="C268" s="969"/>
      <c r="D268" s="970" t="s">
        <v>1276</v>
      </c>
      <c r="E268" s="968" t="s">
        <v>13</v>
      </c>
      <c r="F268" s="968" t="s">
        <v>1260</v>
      </c>
      <c r="G268" s="456"/>
      <c r="H268" s="973">
        <v>3600</v>
      </c>
      <c r="I268" s="973">
        <f>H268*J268</f>
        <v>1017000</v>
      </c>
      <c r="J268" s="974">
        <v>282.5</v>
      </c>
      <c r="K268" s="1001">
        <v>3600</v>
      </c>
      <c r="L268" s="901">
        <f t="shared" si="1"/>
        <v>0</v>
      </c>
      <c r="M268" s="111"/>
      <c r="N268" s="111"/>
      <c r="O268" s="111"/>
      <c r="P268" s="111"/>
    </row>
    <row r="269" spans="1:16" ht="13.5" customHeight="1" thickBot="1">
      <c r="A269" s="992"/>
      <c r="B269" s="976"/>
      <c r="C269" s="904"/>
      <c r="D269" s="658"/>
      <c r="E269" s="865"/>
      <c r="F269" s="865"/>
      <c r="G269" s="457"/>
      <c r="H269" s="905"/>
      <c r="I269" s="906"/>
      <c r="J269" s="910"/>
      <c r="K269" s="920"/>
      <c r="L269" s="903"/>
      <c r="M269" s="111"/>
      <c r="N269" s="111"/>
      <c r="O269" s="111"/>
      <c r="P269" s="111"/>
    </row>
    <row r="270" spans="1:16" ht="15" customHeight="1">
      <c r="A270" s="991">
        <v>132</v>
      </c>
      <c r="B270" s="1114"/>
      <c r="C270" s="904" t="s">
        <v>293</v>
      </c>
      <c r="D270" s="658" t="s">
        <v>1289</v>
      </c>
      <c r="E270" s="865" t="s">
        <v>410</v>
      </c>
      <c r="F270" s="865"/>
      <c r="G270" s="507"/>
      <c r="H270" s="905">
        <v>2200000</v>
      </c>
      <c r="I270" s="905">
        <f>H270</f>
        <v>2200000</v>
      </c>
      <c r="J270" s="909"/>
      <c r="K270" s="919">
        <f>300000+500000+500000+500000+400000</f>
        <v>2200000</v>
      </c>
      <c r="L270" s="903">
        <f t="shared" si="1"/>
        <v>0</v>
      </c>
      <c r="M270" s="111"/>
      <c r="N270" s="111"/>
      <c r="O270" s="111"/>
      <c r="P270" s="111"/>
    </row>
    <row r="271" spans="1:16" ht="12.75" customHeight="1">
      <c r="A271" s="992"/>
      <c r="B271" s="1116"/>
      <c r="C271" s="904"/>
      <c r="D271" s="658"/>
      <c r="E271" s="865"/>
      <c r="F271" s="865"/>
      <c r="G271" s="507"/>
      <c r="H271" s="905"/>
      <c r="I271" s="906"/>
      <c r="J271" s="910"/>
      <c r="K271" s="920"/>
      <c r="L271" s="903"/>
      <c r="M271" s="111"/>
      <c r="N271" s="111"/>
      <c r="O271" s="111"/>
      <c r="P271" s="111"/>
    </row>
    <row r="272" spans="1:16" ht="12.75" customHeight="1">
      <c r="A272" s="992">
        <v>133</v>
      </c>
      <c r="B272" s="1122"/>
      <c r="C272" s="904" t="s">
        <v>294</v>
      </c>
      <c r="D272" s="658" t="s">
        <v>1280</v>
      </c>
      <c r="E272" s="865" t="s">
        <v>1291</v>
      </c>
      <c r="F272" s="865"/>
      <c r="G272" s="247"/>
      <c r="H272" s="905">
        <v>4100000</v>
      </c>
      <c r="I272" s="905">
        <f>H272</f>
        <v>4100000</v>
      </c>
      <c r="J272" s="909"/>
      <c r="K272" s="919">
        <v>4100000</v>
      </c>
      <c r="L272" s="903">
        <f t="shared" si="1"/>
        <v>0</v>
      </c>
      <c r="M272" s="111"/>
      <c r="N272" s="111"/>
      <c r="O272" s="111"/>
      <c r="P272" s="111"/>
    </row>
    <row r="273" spans="1:16" ht="13.5" customHeight="1" thickBot="1">
      <c r="A273" s="992"/>
      <c r="B273" s="1159"/>
      <c r="C273" s="913"/>
      <c r="D273" s="659"/>
      <c r="E273" s="878"/>
      <c r="F273" s="878"/>
      <c r="G273" s="249"/>
      <c r="H273" s="915"/>
      <c r="I273" s="982"/>
      <c r="J273" s="917"/>
      <c r="K273" s="984"/>
      <c r="L273" s="1178"/>
      <c r="M273" s="111">
        <f>(50+SUM(I268:I273))/10000+1055</f>
        <v>1786.7049999999999</v>
      </c>
      <c r="N273" s="111"/>
      <c r="O273" s="111"/>
      <c r="P273" s="111"/>
    </row>
    <row r="274" spans="1:16" ht="12.75" customHeight="1">
      <c r="A274" s="991">
        <v>134</v>
      </c>
      <c r="B274" s="968" t="s">
        <v>1271</v>
      </c>
      <c r="C274" s="969" t="s">
        <v>1278</v>
      </c>
      <c r="D274" s="970" t="s">
        <v>1276</v>
      </c>
      <c r="E274" s="968" t="s">
        <v>20</v>
      </c>
      <c r="F274" s="968"/>
      <c r="G274" s="241"/>
      <c r="H274" s="973">
        <v>10700000</v>
      </c>
      <c r="I274" s="973">
        <f>H274</f>
        <v>10700000</v>
      </c>
      <c r="J274" s="974"/>
      <c r="K274" s="1001">
        <v>10700000</v>
      </c>
      <c r="L274" s="901">
        <f t="shared" si="1"/>
        <v>0</v>
      </c>
      <c r="M274" s="111"/>
      <c r="N274" s="111"/>
      <c r="O274" s="111"/>
      <c r="P274" s="111"/>
    </row>
    <row r="275" spans="1:16" ht="12.75" customHeight="1">
      <c r="A275" s="992"/>
      <c r="B275" s="865"/>
      <c r="C275" s="904"/>
      <c r="D275" s="658"/>
      <c r="E275" s="865"/>
      <c r="F275" s="865"/>
      <c r="G275" s="240"/>
      <c r="H275" s="905"/>
      <c r="I275" s="906"/>
      <c r="J275" s="910"/>
      <c r="K275" s="920"/>
      <c r="L275" s="903"/>
      <c r="M275" s="111"/>
      <c r="N275" s="111"/>
      <c r="O275" s="111"/>
      <c r="P275" s="111"/>
    </row>
    <row r="276" spans="1:16" ht="12.75" customHeight="1">
      <c r="A276" s="992">
        <v>135</v>
      </c>
      <c r="B276" s="981"/>
      <c r="C276" s="904" t="s">
        <v>295</v>
      </c>
      <c r="D276" s="658" t="s">
        <v>1280</v>
      </c>
      <c r="E276" s="865" t="s">
        <v>142</v>
      </c>
      <c r="F276" s="865"/>
      <c r="G276" s="223"/>
      <c r="H276" s="905">
        <v>495000</v>
      </c>
      <c r="I276" s="905">
        <f>H276</f>
        <v>495000</v>
      </c>
      <c r="J276" s="909"/>
      <c r="K276" s="919">
        <v>495000</v>
      </c>
      <c r="L276" s="903">
        <f t="shared" si="1"/>
        <v>0</v>
      </c>
      <c r="M276" s="111"/>
      <c r="N276" s="111"/>
      <c r="O276" s="111"/>
      <c r="P276" s="111"/>
    </row>
    <row r="277" spans="1:16" ht="13.5" customHeight="1" thickBot="1">
      <c r="A277" s="992"/>
      <c r="B277" s="1092"/>
      <c r="C277" s="904"/>
      <c r="D277" s="658"/>
      <c r="E277" s="865"/>
      <c r="F277" s="865"/>
      <c r="G277" s="223"/>
      <c r="H277" s="905"/>
      <c r="I277" s="906"/>
      <c r="J277" s="910"/>
      <c r="K277" s="920"/>
      <c r="L277" s="903"/>
      <c r="M277" s="111"/>
      <c r="N277" s="111"/>
      <c r="O277" s="111"/>
      <c r="P277" s="111"/>
    </row>
    <row r="278" spans="1:16" ht="12.75" customHeight="1">
      <c r="A278" s="991">
        <v>136</v>
      </c>
      <c r="B278" s="879"/>
      <c r="C278" s="904" t="s">
        <v>296</v>
      </c>
      <c r="D278" s="658" t="s">
        <v>1280</v>
      </c>
      <c r="E278" s="865" t="s">
        <v>260</v>
      </c>
      <c r="F278" s="865"/>
      <c r="G278" s="209"/>
      <c r="H278" s="905">
        <v>495000</v>
      </c>
      <c r="I278" s="905">
        <f>H278</f>
        <v>495000</v>
      </c>
      <c r="J278" s="909"/>
      <c r="K278" s="919">
        <v>495000</v>
      </c>
      <c r="L278" s="903">
        <f t="shared" si="1"/>
        <v>0</v>
      </c>
      <c r="M278" s="111"/>
      <c r="N278" s="111"/>
      <c r="O278" s="111"/>
      <c r="P278" s="111"/>
    </row>
    <row r="279" spans="1:16" ht="12.75" customHeight="1">
      <c r="A279" s="992"/>
      <c r="B279" s="865"/>
      <c r="C279" s="904"/>
      <c r="D279" s="658"/>
      <c r="E279" s="865"/>
      <c r="F279" s="865"/>
      <c r="G279" s="209"/>
      <c r="H279" s="905"/>
      <c r="I279" s="906"/>
      <c r="J279" s="910"/>
      <c r="K279" s="920"/>
      <c r="L279" s="903"/>
      <c r="M279" s="111"/>
      <c r="N279" s="111"/>
      <c r="O279" s="111"/>
      <c r="P279" s="111"/>
    </row>
    <row r="280" spans="1:16" ht="12.75" customHeight="1">
      <c r="A280" s="992">
        <v>137</v>
      </c>
      <c r="B280" s="1039"/>
      <c r="C280" s="904" t="s">
        <v>311</v>
      </c>
      <c r="D280" s="658" t="s">
        <v>1280</v>
      </c>
      <c r="E280" s="865" t="s">
        <v>1281</v>
      </c>
      <c r="F280" s="940"/>
      <c r="G280" s="214"/>
      <c r="H280" s="905">
        <v>495000</v>
      </c>
      <c r="I280" s="905">
        <f>H280</f>
        <v>495000</v>
      </c>
      <c r="J280" s="909"/>
      <c r="K280" s="919">
        <v>495000</v>
      </c>
      <c r="L280" s="903">
        <f>K280-H280</f>
        <v>0</v>
      </c>
      <c r="M280" s="111"/>
      <c r="N280" s="111"/>
      <c r="O280" s="111"/>
      <c r="P280" s="111"/>
    </row>
    <row r="281" spans="1:16" ht="13.5" customHeight="1" thickBot="1">
      <c r="A281" s="992"/>
      <c r="B281" s="1190"/>
      <c r="C281" s="938"/>
      <c r="D281" s="939"/>
      <c r="E281" s="937"/>
      <c r="F281" s="937"/>
      <c r="G281" s="215"/>
      <c r="H281" s="942"/>
      <c r="I281" s="943"/>
      <c r="J281" s="944"/>
      <c r="K281" s="1041"/>
      <c r="L281" s="1178"/>
      <c r="M281" s="111">
        <f>SUM(I274:I281)/10000+470</f>
        <v>1688.5</v>
      </c>
      <c r="N281" s="111"/>
      <c r="O281" s="111"/>
      <c r="P281" s="111"/>
    </row>
    <row r="282" spans="1:16" ht="12.75" customHeight="1">
      <c r="A282" s="991">
        <v>138</v>
      </c>
      <c r="B282" s="968" t="s">
        <v>1262</v>
      </c>
      <c r="C282" s="969" t="s">
        <v>1277</v>
      </c>
      <c r="D282" s="970" t="s">
        <v>1276</v>
      </c>
      <c r="E282" s="968" t="s">
        <v>20</v>
      </c>
      <c r="F282" s="968"/>
      <c r="G282" s="241"/>
      <c r="H282" s="973">
        <v>10700000</v>
      </c>
      <c r="I282" s="973">
        <f>H282</f>
        <v>10700000</v>
      </c>
      <c r="J282" s="974"/>
      <c r="K282" s="1001">
        <v>10700000</v>
      </c>
      <c r="L282" s="901">
        <f t="shared" si="1"/>
        <v>0</v>
      </c>
      <c r="M282" s="111"/>
      <c r="N282" s="111"/>
      <c r="O282" s="111"/>
      <c r="P282" s="111"/>
    </row>
    <row r="283" spans="1:16" ht="12.75" customHeight="1">
      <c r="A283" s="992"/>
      <c r="B283" s="865"/>
      <c r="C283" s="904"/>
      <c r="D283" s="658"/>
      <c r="E283" s="865"/>
      <c r="F283" s="865"/>
      <c r="G283" s="240"/>
      <c r="H283" s="905"/>
      <c r="I283" s="906"/>
      <c r="J283" s="910"/>
      <c r="K283" s="920"/>
      <c r="L283" s="903"/>
      <c r="M283" s="111"/>
      <c r="N283" s="111"/>
      <c r="O283" s="111"/>
      <c r="P283" s="111"/>
    </row>
    <row r="284" spans="1:16" ht="12.75" customHeight="1">
      <c r="A284" s="992">
        <v>139</v>
      </c>
      <c r="B284" s="1114"/>
      <c r="C284" s="904" t="s">
        <v>312</v>
      </c>
      <c r="D284" s="658" t="s">
        <v>1280</v>
      </c>
      <c r="E284" s="865" t="s">
        <v>245</v>
      </c>
      <c r="F284" s="865"/>
      <c r="G284" s="216"/>
      <c r="H284" s="905">
        <v>3800000</v>
      </c>
      <c r="I284" s="905">
        <f>H284</f>
        <v>3800000</v>
      </c>
      <c r="J284" s="909"/>
      <c r="K284" s="919">
        <v>3800000</v>
      </c>
      <c r="L284" s="903">
        <f t="shared" si="1"/>
        <v>0</v>
      </c>
      <c r="M284" s="111"/>
      <c r="N284" s="111"/>
      <c r="O284" s="111"/>
      <c r="P284" s="111"/>
    </row>
    <row r="285" spans="1:16" ht="13.5" customHeight="1" thickBot="1">
      <c r="A285" s="992"/>
      <c r="B285" s="1115"/>
      <c r="C285" s="938"/>
      <c r="D285" s="939"/>
      <c r="E285" s="937"/>
      <c r="F285" s="937"/>
      <c r="G285" s="218"/>
      <c r="H285" s="942"/>
      <c r="I285" s="943"/>
      <c r="J285" s="944"/>
      <c r="K285" s="1041"/>
      <c r="L285" s="1178"/>
      <c r="M285" s="111">
        <f>SUM(I282:I285)/10000+330</f>
        <v>1780</v>
      </c>
      <c r="N285" s="111"/>
      <c r="O285" s="111"/>
      <c r="P285" s="111"/>
    </row>
    <row r="286" spans="1:16" ht="12.75" customHeight="1">
      <c r="A286" s="991">
        <v>140</v>
      </c>
      <c r="B286" s="1187" t="s">
        <v>1273</v>
      </c>
      <c r="C286" s="969"/>
      <c r="D286" s="970"/>
      <c r="E286" s="968"/>
      <c r="F286" s="968"/>
      <c r="G286" s="217"/>
      <c r="H286" s="973"/>
      <c r="I286" s="973"/>
      <c r="J286" s="974"/>
      <c r="K286" s="1001"/>
      <c r="L286" s="1189">
        <f t="shared" si="1"/>
        <v>0</v>
      </c>
      <c r="M286" s="111"/>
      <c r="N286" s="111"/>
      <c r="O286" s="111"/>
      <c r="P286" s="111"/>
    </row>
    <row r="287" spans="1:16" ht="13.5" customHeight="1" thickBot="1">
      <c r="A287" s="992"/>
      <c r="B287" s="1188"/>
      <c r="C287" s="938"/>
      <c r="D287" s="939"/>
      <c r="E287" s="937"/>
      <c r="F287" s="937"/>
      <c r="G287" s="218"/>
      <c r="H287" s="942"/>
      <c r="I287" s="943"/>
      <c r="J287" s="944"/>
      <c r="K287" s="1041"/>
      <c r="L287" s="1178"/>
      <c r="M287" s="111"/>
      <c r="N287" s="111"/>
      <c r="O287" s="111"/>
      <c r="P287" s="111"/>
    </row>
    <row r="288" spans="1:16" ht="12.75" customHeight="1">
      <c r="A288" s="992">
        <v>141</v>
      </c>
      <c r="B288" s="975" t="s">
        <v>1279</v>
      </c>
      <c r="C288" s="969"/>
      <c r="D288" s="970" t="s">
        <v>1287</v>
      </c>
      <c r="E288" s="968" t="s">
        <v>20</v>
      </c>
      <c r="F288" s="968"/>
      <c r="G288" s="241"/>
      <c r="H288" s="973">
        <v>11500000</v>
      </c>
      <c r="I288" s="973">
        <f>H288</f>
        <v>11500000</v>
      </c>
      <c r="J288" s="974"/>
      <c r="K288" s="1001">
        <v>11500000</v>
      </c>
      <c r="L288" s="967">
        <f t="shared" si="1"/>
        <v>0</v>
      </c>
      <c r="M288" s="111"/>
      <c r="N288" s="111"/>
      <c r="O288" s="111"/>
      <c r="P288" s="111"/>
    </row>
    <row r="289" spans="1:16" ht="12.75" customHeight="1" thickBot="1">
      <c r="A289" s="992"/>
      <c r="B289" s="976"/>
      <c r="C289" s="904"/>
      <c r="D289" s="658"/>
      <c r="E289" s="865"/>
      <c r="F289" s="865"/>
      <c r="G289" s="240"/>
      <c r="H289" s="905"/>
      <c r="I289" s="906"/>
      <c r="J289" s="910"/>
      <c r="K289" s="920"/>
      <c r="L289" s="946"/>
      <c r="M289" s="111"/>
      <c r="N289" s="111"/>
      <c r="O289" s="111"/>
      <c r="P289" s="111"/>
    </row>
    <row r="290" spans="1:16" ht="12.75" customHeight="1">
      <c r="A290" s="991">
        <v>142</v>
      </c>
      <c r="B290" s="1114"/>
      <c r="C290" s="904" t="s">
        <v>315</v>
      </c>
      <c r="D290" s="658" t="s">
        <v>1282</v>
      </c>
      <c r="E290" s="865" t="s">
        <v>1284</v>
      </c>
      <c r="F290" s="865"/>
      <c r="G290" s="221"/>
      <c r="H290" s="905">
        <v>4000000</v>
      </c>
      <c r="I290" s="905">
        <f>H290</f>
        <v>4000000</v>
      </c>
      <c r="J290" s="909"/>
      <c r="K290" s="919">
        <v>4000000</v>
      </c>
      <c r="L290" s="946">
        <f t="shared" si="1"/>
        <v>0</v>
      </c>
      <c r="M290" s="111"/>
      <c r="N290" s="111"/>
      <c r="O290" s="111"/>
      <c r="P290" s="111"/>
    </row>
    <row r="291" spans="1:16" ht="12.75" customHeight="1" thickBot="1">
      <c r="A291" s="992"/>
      <c r="B291" s="1115"/>
      <c r="C291" s="938"/>
      <c r="D291" s="939"/>
      <c r="E291" s="937"/>
      <c r="F291" s="937"/>
      <c r="G291" s="222"/>
      <c r="H291" s="942"/>
      <c r="I291" s="943"/>
      <c r="J291" s="944"/>
      <c r="K291" s="1041"/>
      <c r="L291" s="947"/>
      <c r="M291" s="111">
        <f>SUM(I288:I291)/10000</f>
        <v>1550</v>
      </c>
      <c r="N291" s="111"/>
      <c r="O291" s="111"/>
      <c r="P291" s="111"/>
    </row>
    <row r="292" spans="1:16" ht="12.75" customHeight="1">
      <c r="A292" s="992">
        <v>143</v>
      </c>
      <c r="B292" s="865" t="s">
        <v>1274</v>
      </c>
      <c r="C292" s="904"/>
      <c r="D292" s="658" t="s">
        <v>1282</v>
      </c>
      <c r="E292" s="865" t="s">
        <v>20</v>
      </c>
      <c r="F292" s="865"/>
      <c r="G292" s="242"/>
      <c r="H292" s="905">
        <v>11500000</v>
      </c>
      <c r="I292" s="905">
        <f>H292</f>
        <v>11500000</v>
      </c>
      <c r="J292" s="909"/>
      <c r="K292" s="919">
        <v>11500000</v>
      </c>
      <c r="L292" s="903">
        <f t="shared" si="1"/>
        <v>0</v>
      </c>
      <c r="M292" s="111"/>
      <c r="N292" s="111"/>
      <c r="O292" s="111"/>
      <c r="P292" s="111"/>
    </row>
    <row r="293" spans="1:16" ht="13.5" customHeight="1" thickBot="1">
      <c r="A293" s="992"/>
      <c r="B293" s="865"/>
      <c r="C293" s="904"/>
      <c r="D293" s="658"/>
      <c r="E293" s="865"/>
      <c r="F293" s="865"/>
      <c r="G293" s="242"/>
      <c r="H293" s="905"/>
      <c r="I293" s="906"/>
      <c r="J293" s="910"/>
      <c r="K293" s="920"/>
      <c r="L293" s="903"/>
      <c r="M293" s="111"/>
      <c r="N293" s="111"/>
      <c r="O293" s="111"/>
      <c r="P293" s="111"/>
    </row>
    <row r="294" spans="1:16" ht="12.75" customHeight="1">
      <c r="A294" s="991">
        <v>144</v>
      </c>
      <c r="B294" s="981"/>
      <c r="C294" s="904" t="s">
        <v>318</v>
      </c>
      <c r="D294" s="658" t="s">
        <v>1292</v>
      </c>
      <c r="E294" s="865" t="s">
        <v>117</v>
      </c>
      <c r="F294" s="865">
        <v>420</v>
      </c>
      <c r="G294" s="223"/>
      <c r="H294" s="905">
        <v>495000</v>
      </c>
      <c r="I294" s="905">
        <f>H294</f>
        <v>495000</v>
      </c>
      <c r="J294" s="909"/>
      <c r="K294" s="919">
        <v>495000</v>
      </c>
      <c r="L294" s="903">
        <f t="shared" si="1"/>
        <v>0</v>
      </c>
      <c r="M294" s="111"/>
      <c r="N294" s="111"/>
      <c r="O294" s="111"/>
      <c r="P294" s="111"/>
    </row>
    <row r="295" spans="1:16" ht="12.75" customHeight="1">
      <c r="A295" s="992"/>
      <c r="B295" s="1092"/>
      <c r="C295" s="904"/>
      <c r="D295" s="658"/>
      <c r="E295" s="865"/>
      <c r="F295" s="865"/>
      <c r="G295" s="223"/>
      <c r="H295" s="905"/>
      <c r="I295" s="906"/>
      <c r="J295" s="910"/>
      <c r="K295" s="920"/>
      <c r="L295" s="903"/>
      <c r="M295" s="111"/>
      <c r="N295" s="111"/>
      <c r="O295" s="111"/>
      <c r="P295" s="111"/>
    </row>
    <row r="296" spans="1:16" ht="12.75" customHeight="1">
      <c r="A296" s="992">
        <v>145</v>
      </c>
      <c r="B296" s="1039"/>
      <c r="C296" s="904" t="s">
        <v>332</v>
      </c>
      <c r="D296" s="658" t="s">
        <v>1297</v>
      </c>
      <c r="E296" s="865" t="s">
        <v>738</v>
      </c>
      <c r="F296" s="865" t="s">
        <v>1296</v>
      </c>
      <c r="G296" s="223"/>
      <c r="H296" s="905">
        <v>8300000</v>
      </c>
      <c r="I296" s="905">
        <f>H296</f>
        <v>8300000</v>
      </c>
      <c r="J296" s="909"/>
      <c r="K296" s="919">
        <v>8300000</v>
      </c>
      <c r="L296" s="903">
        <f t="shared" si="1"/>
        <v>0</v>
      </c>
      <c r="M296" s="111"/>
      <c r="N296" s="111"/>
      <c r="O296" s="111"/>
      <c r="P296" s="111"/>
    </row>
    <row r="297" spans="1:16" ht="12.75" customHeight="1" thickBot="1">
      <c r="A297" s="992"/>
      <c r="B297" s="1186"/>
      <c r="C297" s="913"/>
      <c r="D297" s="659"/>
      <c r="E297" s="878"/>
      <c r="F297" s="878"/>
      <c r="G297" s="224"/>
      <c r="H297" s="915"/>
      <c r="I297" s="982"/>
      <c r="J297" s="917"/>
      <c r="K297" s="984"/>
      <c r="L297" s="900"/>
      <c r="M297" s="111">
        <f>SUM(I292:I297)/10000+370</f>
        <v>2399.5</v>
      </c>
      <c r="N297" s="111"/>
      <c r="O297" s="111"/>
      <c r="P297" s="111"/>
    </row>
    <row r="298" spans="1:16" ht="12.75" customHeight="1">
      <c r="A298" s="991">
        <v>146</v>
      </c>
      <c r="B298" s="968" t="s">
        <v>1285</v>
      </c>
      <c r="C298" s="969" t="s">
        <v>316</v>
      </c>
      <c r="D298" s="970" t="s">
        <v>1282</v>
      </c>
      <c r="E298" s="968" t="s">
        <v>1275</v>
      </c>
      <c r="F298" s="968"/>
      <c r="G298" s="342"/>
      <c r="H298" s="973">
        <v>1533000</v>
      </c>
      <c r="I298" s="973">
        <f>H298</f>
        <v>1533000</v>
      </c>
      <c r="J298" s="974"/>
      <c r="K298" s="1001">
        <v>1533000</v>
      </c>
      <c r="L298" s="967">
        <f t="shared" si="1"/>
        <v>0</v>
      </c>
      <c r="M298" s="111"/>
      <c r="N298" s="111"/>
      <c r="O298" s="111"/>
      <c r="P298" s="111"/>
    </row>
    <row r="299" spans="1:16" ht="12.75" customHeight="1">
      <c r="A299" s="992"/>
      <c r="B299" s="865"/>
      <c r="C299" s="904"/>
      <c r="D299" s="658"/>
      <c r="E299" s="865"/>
      <c r="F299" s="865"/>
      <c r="G299" s="339"/>
      <c r="H299" s="905"/>
      <c r="I299" s="906"/>
      <c r="J299" s="910"/>
      <c r="K299" s="920"/>
      <c r="L299" s="946"/>
      <c r="M299" s="111"/>
      <c r="N299" s="111"/>
      <c r="O299" s="111"/>
      <c r="P299" s="111"/>
    </row>
    <row r="300" spans="1:16" ht="12.75" customHeight="1">
      <c r="A300" s="992">
        <v>147</v>
      </c>
      <c r="B300" s="981"/>
      <c r="C300" s="904" t="s">
        <v>317</v>
      </c>
      <c r="D300" s="658" t="s">
        <v>1282</v>
      </c>
      <c r="E300" s="865" t="s">
        <v>1283</v>
      </c>
      <c r="F300" s="865"/>
      <c r="G300" s="267"/>
      <c r="H300" s="905">
        <v>1720</v>
      </c>
      <c r="I300" s="905">
        <f>H300*J300</f>
        <v>479880</v>
      </c>
      <c r="J300" s="909">
        <v>279</v>
      </c>
      <c r="K300" s="919">
        <v>1720</v>
      </c>
      <c r="L300" s="946">
        <f t="shared" si="1"/>
        <v>0</v>
      </c>
      <c r="M300" s="111"/>
      <c r="N300" s="111"/>
      <c r="O300" s="111"/>
      <c r="P300" s="111"/>
    </row>
    <row r="301" spans="1:16" ht="12.75" customHeight="1" thickBot="1">
      <c r="A301" s="992"/>
      <c r="B301" s="1082"/>
      <c r="C301" s="938"/>
      <c r="D301" s="939"/>
      <c r="E301" s="937"/>
      <c r="F301" s="937"/>
      <c r="G301" s="268"/>
      <c r="H301" s="942"/>
      <c r="I301" s="943"/>
      <c r="J301" s="944"/>
      <c r="K301" s="1041"/>
      <c r="L301" s="947"/>
      <c r="M301" s="111">
        <f>SUM(I298:I301)/10000</f>
        <v>201.28800000000001</v>
      </c>
      <c r="N301" s="111"/>
      <c r="O301" s="111"/>
      <c r="P301" s="111"/>
    </row>
    <row r="302" spans="1:16" ht="12.75" customHeight="1">
      <c r="A302" s="991">
        <v>148</v>
      </c>
      <c r="B302" s="968" t="s">
        <v>1286</v>
      </c>
      <c r="C302" s="969"/>
      <c r="D302" s="970" t="s">
        <v>1297</v>
      </c>
      <c r="E302" s="968" t="s">
        <v>20</v>
      </c>
      <c r="F302" s="968"/>
      <c r="G302" s="243"/>
      <c r="H302" s="973">
        <v>10700000</v>
      </c>
      <c r="I302" s="973">
        <f>H302</f>
        <v>10700000</v>
      </c>
      <c r="J302" s="974"/>
      <c r="K302" s="1001">
        <v>10700000</v>
      </c>
      <c r="L302" s="967">
        <f t="shared" si="1"/>
        <v>0</v>
      </c>
      <c r="M302" s="111"/>
      <c r="N302" s="111"/>
      <c r="O302" s="111"/>
      <c r="P302" s="111"/>
    </row>
    <row r="303" spans="1:16" ht="12.75" customHeight="1">
      <c r="A303" s="992"/>
      <c r="B303" s="865"/>
      <c r="C303" s="904"/>
      <c r="D303" s="658"/>
      <c r="E303" s="865"/>
      <c r="F303" s="865"/>
      <c r="G303" s="242"/>
      <c r="H303" s="905"/>
      <c r="I303" s="906"/>
      <c r="J303" s="910"/>
      <c r="K303" s="920"/>
      <c r="L303" s="946"/>
      <c r="M303" s="111"/>
      <c r="N303" s="111"/>
      <c r="O303" s="111"/>
      <c r="P303" s="111"/>
    </row>
    <row r="304" spans="1:16" ht="12.75" customHeight="1">
      <c r="A304" s="992">
        <v>149</v>
      </c>
      <c r="B304" s="981"/>
      <c r="C304" s="904" t="s">
        <v>318</v>
      </c>
      <c r="D304" s="658" t="s">
        <v>1298</v>
      </c>
      <c r="E304" s="865" t="s">
        <v>497</v>
      </c>
      <c r="F304" s="865"/>
      <c r="G304" s="236"/>
      <c r="H304" s="905">
        <v>3000000</v>
      </c>
      <c r="I304" s="905">
        <f>H304</f>
        <v>3000000</v>
      </c>
      <c r="J304" s="909"/>
      <c r="K304" s="919">
        <v>3000000</v>
      </c>
      <c r="L304" s="946">
        <f t="shared" si="1"/>
        <v>0</v>
      </c>
      <c r="M304" s="111"/>
      <c r="N304" s="111"/>
      <c r="O304" s="111"/>
      <c r="P304" s="111"/>
    </row>
    <row r="305" spans="1:16" ht="13.5" customHeight="1" thickBot="1">
      <c r="A305" s="992"/>
      <c r="B305" s="1092"/>
      <c r="C305" s="904"/>
      <c r="D305" s="658"/>
      <c r="E305" s="865"/>
      <c r="F305" s="865"/>
      <c r="G305" s="236"/>
      <c r="H305" s="905"/>
      <c r="I305" s="906"/>
      <c r="J305" s="910"/>
      <c r="K305" s="920"/>
      <c r="L305" s="946"/>
      <c r="M305" s="111"/>
      <c r="N305" s="111"/>
      <c r="O305" s="111"/>
      <c r="P305" s="111"/>
    </row>
    <row r="306" spans="1:16" ht="12.75" customHeight="1">
      <c r="A306" s="991">
        <v>150</v>
      </c>
      <c r="B306" s="981"/>
      <c r="C306" s="904" t="s">
        <v>332</v>
      </c>
      <c r="D306" s="658" t="s">
        <v>1298</v>
      </c>
      <c r="E306" s="865" t="s">
        <v>283</v>
      </c>
      <c r="F306" s="865"/>
      <c r="G306" s="221"/>
      <c r="H306" s="905">
        <v>6600000</v>
      </c>
      <c r="I306" s="905">
        <f>H306</f>
        <v>6600000</v>
      </c>
      <c r="J306" s="909"/>
      <c r="K306" s="919">
        <v>6600000</v>
      </c>
      <c r="L306" s="946">
        <f t="shared" si="1"/>
        <v>0</v>
      </c>
      <c r="M306" s="111"/>
      <c r="N306" s="111"/>
      <c r="O306" s="111"/>
      <c r="P306" s="111"/>
    </row>
    <row r="307" spans="1:16" ht="12.75" customHeight="1" thickBot="1">
      <c r="A307" s="992"/>
      <c r="B307" s="1082"/>
      <c r="C307" s="938"/>
      <c r="D307" s="939"/>
      <c r="E307" s="937"/>
      <c r="F307" s="937"/>
      <c r="G307" s="222"/>
      <c r="H307" s="942"/>
      <c r="I307" s="943"/>
      <c r="J307" s="944"/>
      <c r="K307" s="1041"/>
      <c r="L307" s="947"/>
      <c r="M307" s="111"/>
      <c r="N307" s="111"/>
      <c r="O307" s="111"/>
      <c r="P307" s="111"/>
    </row>
    <row r="308" spans="1:16" ht="12.75" customHeight="1">
      <c r="A308" s="992">
        <v>151</v>
      </c>
      <c r="B308" s="865" t="s">
        <v>1288</v>
      </c>
      <c r="C308" s="904"/>
      <c r="D308" s="658" t="s">
        <v>1297</v>
      </c>
      <c r="E308" s="865" t="s">
        <v>20</v>
      </c>
      <c r="F308" s="865"/>
      <c r="G308" s="251"/>
      <c r="H308" s="905">
        <v>11500000</v>
      </c>
      <c r="I308" s="905">
        <f>H308</f>
        <v>11500000</v>
      </c>
      <c r="J308" s="909"/>
      <c r="K308" s="915">
        <v>11500000</v>
      </c>
      <c r="L308" s="903">
        <f t="shared" si="1"/>
        <v>0</v>
      </c>
      <c r="M308" s="111"/>
      <c r="N308" s="111"/>
      <c r="O308" s="111"/>
      <c r="P308" s="111"/>
    </row>
    <row r="309" spans="1:16" ht="12.75" customHeight="1" thickBot="1">
      <c r="A309" s="992"/>
      <c r="B309" s="865"/>
      <c r="C309" s="904"/>
      <c r="D309" s="658"/>
      <c r="E309" s="865"/>
      <c r="F309" s="865"/>
      <c r="G309" s="251"/>
      <c r="H309" s="905"/>
      <c r="I309" s="906"/>
      <c r="J309" s="910"/>
      <c r="K309" s="916"/>
      <c r="L309" s="903"/>
      <c r="M309" s="111"/>
      <c r="N309" s="111"/>
      <c r="O309" s="111"/>
      <c r="P309" s="111"/>
    </row>
    <row r="310" spans="1:16" ht="12.75" customHeight="1">
      <c r="A310" s="991">
        <v>152</v>
      </c>
      <c r="B310" s="1114"/>
      <c r="C310" s="904"/>
      <c r="D310" s="658"/>
      <c r="E310" s="865"/>
      <c r="F310" s="865"/>
      <c r="G310" s="236"/>
      <c r="H310" s="905"/>
      <c r="I310" s="905"/>
      <c r="J310" s="909"/>
      <c r="K310" s="919"/>
      <c r="L310" s="903">
        <f t="shared" si="1"/>
        <v>0</v>
      </c>
      <c r="M310" s="111"/>
      <c r="N310" s="111"/>
      <c r="O310" s="111"/>
      <c r="P310" s="111"/>
    </row>
    <row r="311" spans="1:16" ht="12.75" customHeight="1" thickBot="1">
      <c r="A311" s="992"/>
      <c r="B311" s="1115"/>
      <c r="C311" s="913"/>
      <c r="D311" s="659"/>
      <c r="E311" s="878"/>
      <c r="F311" s="878"/>
      <c r="G311" s="238"/>
      <c r="H311" s="915"/>
      <c r="I311" s="982"/>
      <c r="J311" s="917"/>
      <c r="K311" s="984"/>
      <c r="L311" s="900"/>
      <c r="M311" s="111"/>
      <c r="N311" s="111"/>
      <c r="O311" s="111"/>
      <c r="P311" s="111"/>
    </row>
    <row r="312" spans="1:16" ht="12.75" customHeight="1">
      <c r="A312" s="992">
        <v>153</v>
      </c>
      <c r="B312" s="975" t="s">
        <v>1305</v>
      </c>
      <c r="C312" s="969" t="s">
        <v>333</v>
      </c>
      <c r="D312" s="970" t="s">
        <v>1298</v>
      </c>
      <c r="E312" s="968" t="s">
        <v>1293</v>
      </c>
      <c r="F312" s="968"/>
      <c r="G312" s="342"/>
      <c r="H312" s="973">
        <v>686000</v>
      </c>
      <c r="I312" s="973">
        <f>H312</f>
        <v>686000</v>
      </c>
      <c r="J312" s="974"/>
      <c r="K312" s="1001">
        <v>686000</v>
      </c>
      <c r="L312" s="967">
        <f t="shared" si="1"/>
        <v>0</v>
      </c>
      <c r="M312" s="111"/>
      <c r="N312" s="111"/>
      <c r="O312" s="111"/>
      <c r="P312" s="111"/>
    </row>
    <row r="313" spans="1:16" ht="12.75" customHeight="1" thickBot="1">
      <c r="A313" s="992"/>
      <c r="B313" s="976"/>
      <c r="C313" s="904"/>
      <c r="D313" s="658"/>
      <c r="E313" s="865"/>
      <c r="F313" s="865"/>
      <c r="G313" s="339"/>
      <c r="H313" s="905"/>
      <c r="I313" s="906"/>
      <c r="J313" s="910"/>
      <c r="K313" s="920"/>
      <c r="L313" s="946"/>
      <c r="M313" s="111"/>
      <c r="N313" s="111"/>
      <c r="O313" s="111"/>
      <c r="P313" s="111"/>
    </row>
    <row r="314" spans="1:16" ht="12.75" customHeight="1">
      <c r="A314" s="991">
        <v>154</v>
      </c>
      <c r="B314" s="981"/>
      <c r="C314" s="904"/>
      <c r="D314" s="658"/>
      <c r="E314" s="865"/>
      <c r="F314" s="865"/>
      <c r="G314" s="236"/>
      <c r="H314" s="905"/>
      <c r="I314" s="905"/>
      <c r="J314" s="909"/>
      <c r="K314" s="919"/>
      <c r="L314" s="946">
        <f t="shared" si="1"/>
        <v>0</v>
      </c>
      <c r="M314" s="111"/>
      <c r="N314" s="111"/>
      <c r="O314" s="111"/>
      <c r="P314" s="111"/>
    </row>
    <row r="315" spans="1:16" ht="12.75" customHeight="1" thickBot="1">
      <c r="A315" s="992"/>
      <c r="B315" s="1082"/>
      <c r="C315" s="938"/>
      <c r="D315" s="939"/>
      <c r="E315" s="937"/>
      <c r="F315" s="937"/>
      <c r="G315" s="237"/>
      <c r="H315" s="942"/>
      <c r="I315" s="943"/>
      <c r="J315" s="944"/>
      <c r="K315" s="1041"/>
      <c r="L315" s="947"/>
      <c r="M315" s="111"/>
      <c r="N315" s="111"/>
      <c r="O315" s="111"/>
      <c r="P315" s="111"/>
    </row>
    <row r="316" spans="1:16" ht="12.75" customHeight="1">
      <c r="A316" s="992">
        <v>155</v>
      </c>
      <c r="B316" s="975" t="s">
        <v>1294</v>
      </c>
      <c r="C316" s="969"/>
      <c r="D316" s="970" t="s">
        <v>1298</v>
      </c>
      <c r="E316" s="968" t="s">
        <v>20</v>
      </c>
      <c r="F316" s="968"/>
      <c r="G316" s="262"/>
      <c r="H316" s="973">
        <v>11100000</v>
      </c>
      <c r="I316" s="973">
        <f>H316</f>
        <v>11100000</v>
      </c>
      <c r="J316" s="974"/>
      <c r="K316" s="1001">
        <v>11100000</v>
      </c>
      <c r="L316" s="967">
        <f t="shared" si="1"/>
        <v>0</v>
      </c>
      <c r="M316" s="111"/>
      <c r="N316" s="111"/>
      <c r="O316" s="111"/>
      <c r="P316" s="111"/>
    </row>
    <row r="317" spans="1:16" ht="12.75" customHeight="1" thickBot="1">
      <c r="A317" s="992"/>
      <c r="B317" s="976"/>
      <c r="C317" s="904"/>
      <c r="D317" s="658"/>
      <c r="E317" s="865"/>
      <c r="F317" s="865"/>
      <c r="G317" s="261"/>
      <c r="H317" s="905"/>
      <c r="I317" s="906"/>
      <c r="J317" s="910"/>
      <c r="K317" s="920"/>
      <c r="L317" s="946"/>
      <c r="M317" s="111"/>
      <c r="N317" s="111"/>
      <c r="O317" s="111"/>
      <c r="P317" s="111"/>
    </row>
    <row r="318" spans="1:16" ht="12.75" customHeight="1">
      <c r="A318" s="991">
        <v>156</v>
      </c>
      <c r="B318" s="1114"/>
      <c r="C318" s="904" t="s">
        <v>334</v>
      </c>
      <c r="D318" s="658" t="s">
        <v>1302</v>
      </c>
      <c r="E318" s="865" t="s">
        <v>142</v>
      </c>
      <c r="F318" s="865"/>
      <c r="G318" s="223"/>
      <c r="H318" s="905">
        <v>495000</v>
      </c>
      <c r="I318" s="905">
        <f>H318</f>
        <v>495000</v>
      </c>
      <c r="J318" s="909"/>
      <c r="K318" s="919">
        <v>495000</v>
      </c>
      <c r="L318" s="946">
        <f t="shared" si="1"/>
        <v>0</v>
      </c>
      <c r="M318" s="111"/>
      <c r="N318" s="111"/>
      <c r="O318" s="111"/>
      <c r="P318" s="111"/>
    </row>
    <row r="319" spans="1:16" ht="12.75" customHeight="1" thickBot="1">
      <c r="A319" s="992"/>
      <c r="B319" s="1116"/>
      <c r="C319" s="904"/>
      <c r="D319" s="658"/>
      <c r="E319" s="865"/>
      <c r="F319" s="865"/>
      <c r="G319" s="223"/>
      <c r="H319" s="905"/>
      <c r="I319" s="906"/>
      <c r="J319" s="910"/>
      <c r="K319" s="920"/>
      <c r="L319" s="946"/>
      <c r="M319" s="111"/>
      <c r="N319" s="111"/>
      <c r="O319" s="111"/>
      <c r="P319" s="111"/>
    </row>
    <row r="320" spans="1:16" ht="12.75" customHeight="1">
      <c r="A320" s="992">
        <v>157</v>
      </c>
      <c r="B320" s="975" t="s">
        <v>1295</v>
      </c>
      <c r="C320" s="969" t="s">
        <v>1304</v>
      </c>
      <c r="D320" s="970" t="s">
        <v>1298</v>
      </c>
      <c r="E320" s="968" t="s">
        <v>20</v>
      </c>
      <c r="F320" s="968"/>
      <c r="G320" s="252"/>
      <c r="H320" s="973">
        <v>11500000</v>
      </c>
      <c r="I320" s="973">
        <f>H320</f>
        <v>11500000</v>
      </c>
      <c r="J320" s="974"/>
      <c r="K320" s="1001">
        <v>11500000</v>
      </c>
      <c r="L320" s="967">
        <f t="shared" si="1"/>
        <v>0</v>
      </c>
      <c r="M320" s="111"/>
      <c r="N320" s="111"/>
      <c r="O320" s="111"/>
      <c r="P320" s="111"/>
    </row>
    <row r="321" spans="1:16" ht="12.75" customHeight="1" thickBot="1">
      <c r="A321" s="992"/>
      <c r="B321" s="976"/>
      <c r="C321" s="904"/>
      <c r="D321" s="658"/>
      <c r="E321" s="865"/>
      <c r="F321" s="865"/>
      <c r="G321" s="251"/>
      <c r="H321" s="905"/>
      <c r="I321" s="906"/>
      <c r="J321" s="910"/>
      <c r="K321" s="920"/>
      <c r="L321" s="946"/>
      <c r="M321" s="111"/>
      <c r="N321" s="111"/>
      <c r="O321" s="111"/>
      <c r="P321" s="111"/>
    </row>
    <row r="322" spans="1:16" ht="12.75" customHeight="1">
      <c r="A322" s="991">
        <v>158</v>
      </c>
      <c r="B322" s="1114"/>
      <c r="C322" s="904" t="s">
        <v>335</v>
      </c>
      <c r="D322" s="658" t="s">
        <v>1302</v>
      </c>
      <c r="E322" s="865" t="s">
        <v>260</v>
      </c>
      <c r="F322" s="865"/>
      <c r="G322" s="231"/>
      <c r="H322" s="905">
        <v>1000000</v>
      </c>
      <c r="I322" s="905">
        <f>H322</f>
        <v>1000000</v>
      </c>
      <c r="J322" s="909"/>
      <c r="K322" s="919">
        <v>1000000</v>
      </c>
      <c r="L322" s="946">
        <f t="shared" ref="L322:L354" si="2">K322-H322</f>
        <v>0</v>
      </c>
      <c r="M322" s="111"/>
      <c r="N322" s="111"/>
      <c r="O322" s="111"/>
      <c r="P322" s="111"/>
    </row>
    <row r="323" spans="1:16" ht="12.75" customHeight="1">
      <c r="A323" s="992"/>
      <c r="B323" s="1116"/>
      <c r="C323" s="904"/>
      <c r="D323" s="658"/>
      <c r="E323" s="865"/>
      <c r="F323" s="865"/>
      <c r="G323" s="231"/>
      <c r="H323" s="905"/>
      <c r="I323" s="906"/>
      <c r="J323" s="910"/>
      <c r="K323" s="920"/>
      <c r="L323" s="946"/>
      <c r="M323" s="111"/>
      <c r="N323" s="111"/>
      <c r="O323" s="111"/>
      <c r="P323" s="111"/>
    </row>
    <row r="324" spans="1:16" ht="12.75" customHeight="1">
      <c r="A324" s="992">
        <v>159</v>
      </c>
      <c r="B324" s="1122"/>
      <c r="C324" s="904" t="s">
        <v>336</v>
      </c>
      <c r="D324" s="658" t="s">
        <v>1302</v>
      </c>
      <c r="E324" s="865" t="s">
        <v>1153</v>
      </c>
      <c r="F324" s="865"/>
      <c r="G324" s="282"/>
      <c r="H324" s="905">
        <v>500000</v>
      </c>
      <c r="I324" s="905">
        <f>H324</f>
        <v>500000</v>
      </c>
      <c r="J324" s="909"/>
      <c r="K324" s="919">
        <v>500000</v>
      </c>
      <c r="L324" s="946">
        <f t="shared" si="2"/>
        <v>0</v>
      </c>
      <c r="M324" s="111"/>
      <c r="N324" s="111"/>
      <c r="O324" s="111"/>
      <c r="P324" s="111"/>
    </row>
    <row r="325" spans="1:16" ht="12.75" customHeight="1" thickBot="1">
      <c r="A325" s="992"/>
      <c r="B325" s="976"/>
      <c r="C325" s="904"/>
      <c r="D325" s="658"/>
      <c r="E325" s="865"/>
      <c r="F325" s="865"/>
      <c r="G325" s="282"/>
      <c r="H325" s="905"/>
      <c r="I325" s="906"/>
      <c r="J325" s="910"/>
      <c r="K325" s="920"/>
      <c r="L325" s="946"/>
      <c r="M325" s="111"/>
      <c r="N325" s="111"/>
      <c r="O325" s="111"/>
      <c r="P325" s="111"/>
    </row>
    <row r="326" spans="1:16" ht="12.75" customHeight="1">
      <c r="A326" s="991">
        <v>160</v>
      </c>
      <c r="B326" s="1079"/>
      <c r="C326" s="904" t="s">
        <v>337</v>
      </c>
      <c r="D326" s="658" t="s">
        <v>1302</v>
      </c>
      <c r="E326" s="865" t="s">
        <v>889</v>
      </c>
      <c r="F326" s="865"/>
      <c r="G326" s="227"/>
      <c r="H326" s="905">
        <v>2400000</v>
      </c>
      <c r="I326" s="905">
        <f>H326</f>
        <v>2400000</v>
      </c>
      <c r="J326" s="909"/>
      <c r="K326" s="919">
        <v>2400000</v>
      </c>
      <c r="L326" s="946">
        <f t="shared" si="2"/>
        <v>0</v>
      </c>
      <c r="M326" s="123"/>
      <c r="N326" s="123"/>
      <c r="O326" s="111"/>
      <c r="P326" s="111"/>
    </row>
    <row r="327" spans="1:16" ht="12.75" customHeight="1" thickBot="1">
      <c r="A327" s="992"/>
      <c r="B327" s="1185"/>
      <c r="C327" s="938"/>
      <c r="D327" s="658"/>
      <c r="E327" s="937"/>
      <c r="F327" s="937"/>
      <c r="G327" s="228"/>
      <c r="H327" s="942"/>
      <c r="I327" s="943"/>
      <c r="J327" s="944"/>
      <c r="K327" s="1041"/>
      <c r="L327" s="947"/>
      <c r="M327" s="111"/>
      <c r="N327" s="111"/>
      <c r="O327" s="111"/>
      <c r="P327" s="111"/>
    </row>
    <row r="328" spans="1:16" ht="12.75" customHeight="1">
      <c r="A328" s="992">
        <v>161</v>
      </c>
      <c r="B328" s="968" t="s">
        <v>1301</v>
      </c>
      <c r="C328" s="969" t="s">
        <v>348</v>
      </c>
      <c r="D328" s="970" t="s">
        <v>1302</v>
      </c>
      <c r="E328" s="968" t="s">
        <v>1275</v>
      </c>
      <c r="F328" s="1261"/>
      <c r="G328" s="258"/>
      <c r="H328" s="973">
        <v>1146000</v>
      </c>
      <c r="I328" s="973">
        <f>H328</f>
        <v>1146000</v>
      </c>
      <c r="J328" s="974"/>
      <c r="K328" s="1001">
        <v>1146000</v>
      </c>
      <c r="L328" s="967">
        <f t="shared" si="2"/>
        <v>0</v>
      </c>
      <c r="M328" s="111"/>
      <c r="N328" s="111"/>
      <c r="O328" s="111"/>
      <c r="P328" s="111"/>
    </row>
    <row r="329" spans="1:16" ht="12.75" customHeight="1" thickBot="1">
      <c r="A329" s="992"/>
      <c r="B329" s="865"/>
      <c r="C329" s="904"/>
      <c r="D329" s="658"/>
      <c r="E329" s="865"/>
      <c r="F329" s="1152"/>
      <c r="G329" s="253"/>
      <c r="H329" s="905"/>
      <c r="I329" s="906"/>
      <c r="J329" s="910"/>
      <c r="K329" s="920"/>
      <c r="L329" s="946"/>
      <c r="M329" s="111"/>
      <c r="N329" s="111"/>
      <c r="O329" s="111"/>
      <c r="P329" s="111"/>
    </row>
    <row r="330" spans="1:16" ht="12.75" customHeight="1">
      <c r="A330" s="991">
        <v>162</v>
      </c>
      <c r="B330" s="981"/>
      <c r="C330" s="904"/>
      <c r="D330" s="658"/>
      <c r="E330" s="865"/>
      <c r="F330" s="865"/>
      <c r="G330" s="236"/>
      <c r="H330" s="905"/>
      <c r="I330" s="905"/>
      <c r="J330" s="909"/>
      <c r="K330" s="919"/>
      <c r="L330" s="946">
        <f t="shared" si="2"/>
        <v>0</v>
      </c>
      <c r="M330" s="111"/>
      <c r="N330" s="111"/>
      <c r="O330" s="111"/>
      <c r="P330" s="111"/>
    </row>
    <row r="331" spans="1:16" ht="12.75" customHeight="1" thickBot="1">
      <c r="A331" s="992"/>
      <c r="B331" s="1082"/>
      <c r="C331" s="938"/>
      <c r="D331" s="939"/>
      <c r="E331" s="937"/>
      <c r="F331" s="937"/>
      <c r="G331" s="237"/>
      <c r="H331" s="942"/>
      <c r="I331" s="943"/>
      <c r="J331" s="944"/>
      <c r="K331" s="1041"/>
      <c r="L331" s="947"/>
      <c r="M331" s="111"/>
      <c r="N331" s="111"/>
      <c r="O331" s="111"/>
      <c r="P331" s="111"/>
    </row>
    <row r="332" spans="1:16" ht="12.75" customHeight="1">
      <c r="A332" s="992">
        <v>163</v>
      </c>
      <c r="B332" s="879" t="s">
        <v>1299</v>
      </c>
      <c r="C332" s="914"/>
      <c r="D332" s="660" t="s">
        <v>1308</v>
      </c>
      <c r="E332" s="879" t="s">
        <v>20</v>
      </c>
      <c r="F332" s="916"/>
      <c r="G332" s="275"/>
      <c r="H332" s="916">
        <v>11100000</v>
      </c>
      <c r="I332" s="916">
        <f>H332</f>
        <v>11100000</v>
      </c>
      <c r="J332" s="949"/>
      <c r="K332" s="984">
        <v>11100000</v>
      </c>
      <c r="L332" s="901">
        <f t="shared" si="2"/>
        <v>0</v>
      </c>
      <c r="M332" s="111"/>
      <c r="N332" s="111"/>
      <c r="O332" s="111"/>
      <c r="P332" s="111"/>
    </row>
    <row r="333" spans="1:16" ht="12.75" customHeight="1" thickBot="1">
      <c r="A333" s="992"/>
      <c r="B333" s="865"/>
      <c r="C333" s="904"/>
      <c r="D333" s="658"/>
      <c r="E333" s="865"/>
      <c r="F333" s="911"/>
      <c r="G333" s="270"/>
      <c r="H333" s="905"/>
      <c r="I333" s="906"/>
      <c r="J333" s="910"/>
      <c r="K333" s="920"/>
      <c r="L333" s="903"/>
      <c r="M333" s="111"/>
      <c r="N333" s="111"/>
      <c r="O333" s="111"/>
      <c r="P333" s="111"/>
    </row>
    <row r="334" spans="1:16" ht="12.75" customHeight="1">
      <c r="A334" s="991">
        <v>164</v>
      </c>
      <c r="B334" s="1114"/>
      <c r="C334" s="904" t="s">
        <v>350</v>
      </c>
      <c r="D334" s="658" t="s">
        <v>1306</v>
      </c>
      <c r="E334" s="865" t="s">
        <v>117</v>
      </c>
      <c r="F334" s="915"/>
      <c r="G334" s="285"/>
      <c r="H334" s="905">
        <v>510000</v>
      </c>
      <c r="I334" s="905">
        <f>H334</f>
        <v>510000</v>
      </c>
      <c r="J334" s="909"/>
      <c r="K334" s="919">
        <v>510000</v>
      </c>
      <c r="L334" s="903">
        <f t="shared" si="2"/>
        <v>0</v>
      </c>
      <c r="M334" s="111"/>
      <c r="N334" s="111"/>
      <c r="O334" s="111"/>
      <c r="P334" s="111"/>
    </row>
    <row r="335" spans="1:16" ht="12.75" customHeight="1">
      <c r="A335" s="992"/>
      <c r="B335" s="1116"/>
      <c r="C335" s="904"/>
      <c r="D335" s="658"/>
      <c r="E335" s="865"/>
      <c r="F335" s="916"/>
      <c r="G335" s="285"/>
      <c r="H335" s="905"/>
      <c r="I335" s="906"/>
      <c r="J335" s="910"/>
      <c r="K335" s="920"/>
      <c r="L335" s="903"/>
      <c r="M335" s="123"/>
      <c r="N335" s="123"/>
      <c r="O335" s="111"/>
      <c r="P335" s="111"/>
    </row>
    <row r="336" spans="1:16" ht="12.75" customHeight="1">
      <c r="A336" s="992">
        <v>165</v>
      </c>
      <c r="B336" s="865"/>
      <c r="C336" s="904" t="s">
        <v>358</v>
      </c>
      <c r="D336" s="658" t="s">
        <v>1306</v>
      </c>
      <c r="E336" s="865" t="s">
        <v>40</v>
      </c>
      <c r="F336" s="915"/>
      <c r="G336" s="254"/>
      <c r="H336" s="905">
        <v>2100000</v>
      </c>
      <c r="I336" s="905">
        <f>H336</f>
        <v>2100000</v>
      </c>
      <c r="J336" s="909"/>
      <c r="K336" s="919">
        <v>2100000</v>
      </c>
      <c r="L336" s="903">
        <f t="shared" si="2"/>
        <v>0</v>
      </c>
      <c r="M336" s="111"/>
      <c r="N336" s="111"/>
      <c r="O336" s="111"/>
      <c r="P336" s="111"/>
    </row>
    <row r="337" spans="1:16" ht="12.75" customHeight="1" thickBot="1">
      <c r="A337" s="992"/>
      <c r="B337" s="865"/>
      <c r="C337" s="904"/>
      <c r="D337" s="658"/>
      <c r="E337" s="865"/>
      <c r="F337" s="916"/>
      <c r="G337" s="254"/>
      <c r="H337" s="905"/>
      <c r="I337" s="906"/>
      <c r="J337" s="910"/>
      <c r="K337" s="920"/>
      <c r="L337" s="903"/>
      <c r="M337" s="111"/>
      <c r="N337" s="111"/>
      <c r="O337" s="111"/>
      <c r="P337" s="111"/>
    </row>
    <row r="338" spans="1:16" ht="12.75" customHeight="1">
      <c r="A338" s="991">
        <v>166</v>
      </c>
      <c r="B338" s="865" t="s">
        <v>1300</v>
      </c>
      <c r="C338" s="904"/>
      <c r="D338" s="658"/>
      <c r="E338" s="865" t="s">
        <v>20</v>
      </c>
      <c r="F338" s="915"/>
      <c r="G338" s="267"/>
      <c r="H338" s="905">
        <v>11100000</v>
      </c>
      <c r="I338" s="905">
        <f>H338</f>
        <v>11100000</v>
      </c>
      <c r="J338" s="909"/>
      <c r="K338" s="919">
        <v>11100000</v>
      </c>
      <c r="L338" s="903">
        <f t="shared" si="2"/>
        <v>0</v>
      </c>
      <c r="M338" s="111"/>
      <c r="N338" s="111"/>
      <c r="O338" s="111"/>
      <c r="P338" s="111"/>
    </row>
    <row r="339" spans="1:16" ht="12.75" customHeight="1">
      <c r="A339" s="992"/>
      <c r="B339" s="865"/>
      <c r="C339" s="904"/>
      <c r="D339" s="658"/>
      <c r="E339" s="865"/>
      <c r="F339" s="920"/>
      <c r="G339" s="267"/>
      <c r="H339" s="905"/>
      <c r="I339" s="906"/>
      <c r="J339" s="910"/>
      <c r="K339" s="920"/>
      <c r="L339" s="903"/>
      <c r="M339" s="111"/>
      <c r="N339" s="111"/>
      <c r="O339" s="111"/>
      <c r="P339" s="111"/>
    </row>
    <row r="340" spans="1:16" ht="12.75" customHeight="1">
      <c r="A340" s="992">
        <v>167</v>
      </c>
      <c r="B340" s="1114"/>
      <c r="C340" s="904" t="s">
        <v>1310</v>
      </c>
      <c r="D340" s="658" t="s">
        <v>1306</v>
      </c>
      <c r="E340" s="865" t="s">
        <v>282</v>
      </c>
      <c r="F340" s="1117"/>
      <c r="G340" s="356"/>
      <c r="H340" s="905">
        <v>2400000</v>
      </c>
      <c r="I340" s="905">
        <f>H340</f>
        <v>2400000</v>
      </c>
      <c r="J340" s="909"/>
      <c r="K340" s="919">
        <v>2400000</v>
      </c>
      <c r="L340" s="903">
        <f t="shared" si="2"/>
        <v>0</v>
      </c>
      <c r="M340" s="111"/>
      <c r="N340" s="111"/>
      <c r="O340" s="111"/>
      <c r="P340" s="111"/>
    </row>
    <row r="341" spans="1:16" ht="12.75" customHeight="1" thickBot="1">
      <c r="A341" s="992"/>
      <c r="B341" s="1116"/>
      <c r="C341" s="904"/>
      <c r="D341" s="658"/>
      <c r="E341" s="865"/>
      <c r="F341" s="1118"/>
      <c r="G341" s="356"/>
      <c r="H341" s="905"/>
      <c r="I341" s="906"/>
      <c r="J341" s="910"/>
      <c r="K341" s="920"/>
      <c r="L341" s="903"/>
      <c r="M341" s="111"/>
      <c r="N341" s="111"/>
      <c r="O341" s="111"/>
      <c r="P341" s="111"/>
    </row>
    <row r="342" spans="1:16" ht="12.75" customHeight="1">
      <c r="A342" s="991">
        <v>168</v>
      </c>
      <c r="B342" s="865"/>
      <c r="C342" s="904" t="s">
        <v>359</v>
      </c>
      <c r="D342" s="658" t="s">
        <v>1309</v>
      </c>
      <c r="E342" s="865" t="s">
        <v>260</v>
      </c>
      <c r="F342" s="1152"/>
      <c r="G342" s="337"/>
      <c r="H342" s="905">
        <v>500000</v>
      </c>
      <c r="I342" s="905">
        <f>H342</f>
        <v>500000</v>
      </c>
      <c r="J342" s="909"/>
      <c r="K342" s="919">
        <v>500000</v>
      </c>
      <c r="L342" s="903">
        <f t="shared" si="2"/>
        <v>0</v>
      </c>
      <c r="M342" s="111"/>
      <c r="N342" s="111"/>
      <c r="O342" s="111"/>
      <c r="P342" s="111"/>
    </row>
    <row r="343" spans="1:16" ht="12.75" customHeight="1">
      <c r="A343" s="992"/>
      <c r="B343" s="865"/>
      <c r="C343" s="904"/>
      <c r="D343" s="658"/>
      <c r="E343" s="865"/>
      <c r="F343" s="1152"/>
      <c r="G343" s="337"/>
      <c r="H343" s="905"/>
      <c r="I343" s="906"/>
      <c r="J343" s="910"/>
      <c r="K343" s="920"/>
      <c r="L343" s="903"/>
      <c r="M343" s="111"/>
      <c r="N343" s="111"/>
      <c r="O343" s="111"/>
      <c r="P343" s="111"/>
    </row>
    <row r="344" spans="1:16" ht="12.75" customHeight="1">
      <c r="A344" s="992">
        <v>169</v>
      </c>
      <c r="B344" s="865" t="s">
        <v>1318</v>
      </c>
      <c r="C344" s="904" t="s">
        <v>6</v>
      </c>
      <c r="D344" s="658" t="s">
        <v>1315</v>
      </c>
      <c r="E344" s="865" t="s">
        <v>13</v>
      </c>
      <c r="F344" s="1152"/>
      <c r="G344" s="301"/>
      <c r="H344" s="905">
        <v>20000</v>
      </c>
      <c r="I344" s="905">
        <f>H344*J344</f>
        <v>5590000</v>
      </c>
      <c r="J344" s="909">
        <v>279.5</v>
      </c>
      <c r="K344" s="919">
        <v>20000</v>
      </c>
      <c r="L344" s="903">
        <f t="shared" si="2"/>
        <v>0</v>
      </c>
      <c r="M344" s="111"/>
      <c r="N344" s="111"/>
      <c r="O344" s="111"/>
      <c r="P344" s="111"/>
    </row>
    <row r="345" spans="1:16" ht="12.75" customHeight="1" thickBot="1">
      <c r="A345" s="992"/>
      <c r="B345" s="865"/>
      <c r="C345" s="904"/>
      <c r="D345" s="658"/>
      <c r="E345" s="865"/>
      <c r="F345" s="1152"/>
      <c r="G345" s="301"/>
      <c r="H345" s="905"/>
      <c r="I345" s="906"/>
      <c r="J345" s="910"/>
      <c r="K345" s="920"/>
      <c r="L345" s="903"/>
      <c r="M345" s="111"/>
      <c r="N345" s="111"/>
      <c r="O345" s="111"/>
      <c r="P345" s="111"/>
    </row>
    <row r="346" spans="1:16" ht="12.75" customHeight="1">
      <c r="A346" s="991">
        <v>170</v>
      </c>
      <c r="B346" s="1114"/>
      <c r="C346" s="904" t="s">
        <v>360</v>
      </c>
      <c r="D346" s="658" t="s">
        <v>1309</v>
      </c>
      <c r="E346" s="865" t="s">
        <v>1312</v>
      </c>
      <c r="F346" s="1152"/>
      <c r="G346" s="270"/>
      <c r="H346" s="905">
        <v>1900000</v>
      </c>
      <c r="I346" s="905">
        <f>H346</f>
        <v>1900000</v>
      </c>
      <c r="J346" s="909"/>
      <c r="K346" s="919">
        <v>1900000</v>
      </c>
      <c r="L346" s="903">
        <f t="shared" si="2"/>
        <v>0</v>
      </c>
      <c r="M346" s="111"/>
      <c r="N346" s="111"/>
      <c r="O346" s="111"/>
      <c r="P346" s="111"/>
    </row>
    <row r="347" spans="1:16" ht="12.75" customHeight="1">
      <c r="A347" s="992"/>
      <c r="B347" s="1116"/>
      <c r="C347" s="904"/>
      <c r="D347" s="658"/>
      <c r="E347" s="865"/>
      <c r="F347" s="1152"/>
      <c r="G347" s="270"/>
      <c r="H347" s="905"/>
      <c r="I347" s="906"/>
      <c r="J347" s="910"/>
      <c r="K347" s="920"/>
      <c r="L347" s="903"/>
      <c r="M347" s="123"/>
      <c r="N347" s="123"/>
      <c r="O347" s="111"/>
      <c r="P347" s="111"/>
    </row>
    <row r="348" spans="1:16" ht="12.75" customHeight="1">
      <c r="A348" s="992">
        <v>171</v>
      </c>
      <c r="B348" s="865" t="s">
        <v>1303</v>
      </c>
      <c r="C348" s="904"/>
      <c r="D348" s="658"/>
      <c r="E348" s="865" t="s">
        <v>20</v>
      </c>
      <c r="F348" s="1150"/>
      <c r="G348" s="279"/>
      <c r="H348" s="905">
        <v>11100000</v>
      </c>
      <c r="I348" s="905">
        <f>H348</f>
        <v>11100000</v>
      </c>
      <c r="J348" s="909"/>
      <c r="K348" s="919">
        <v>11100000</v>
      </c>
      <c r="L348" s="903">
        <f t="shared" si="2"/>
        <v>0</v>
      </c>
      <c r="M348" s="111"/>
      <c r="N348" s="111"/>
      <c r="O348" s="111"/>
      <c r="P348" s="111"/>
    </row>
    <row r="349" spans="1:16" ht="12.75" customHeight="1" thickBot="1">
      <c r="A349" s="992"/>
      <c r="B349" s="865"/>
      <c r="C349" s="904"/>
      <c r="D349" s="658"/>
      <c r="E349" s="865"/>
      <c r="F349" s="1151"/>
      <c r="G349" s="279"/>
      <c r="H349" s="905"/>
      <c r="I349" s="906"/>
      <c r="J349" s="910"/>
      <c r="K349" s="920"/>
      <c r="L349" s="903"/>
      <c r="M349" s="111"/>
      <c r="N349" s="111"/>
      <c r="O349" s="111"/>
      <c r="P349" s="111"/>
    </row>
    <row r="350" spans="1:16" ht="12.75" customHeight="1">
      <c r="A350" s="991">
        <v>172</v>
      </c>
      <c r="B350" s="1114"/>
      <c r="C350" s="904" t="s">
        <v>361</v>
      </c>
      <c r="D350" s="658" t="s">
        <v>1309</v>
      </c>
      <c r="E350" s="865" t="s">
        <v>1311</v>
      </c>
      <c r="F350" s="1152"/>
      <c r="G350" s="239"/>
      <c r="H350" s="905">
        <v>3300000</v>
      </c>
      <c r="I350" s="905">
        <f>H350</f>
        <v>3300000</v>
      </c>
      <c r="J350" s="909"/>
      <c r="K350" s="915">
        <v>3300000</v>
      </c>
      <c r="L350" s="903">
        <f t="shared" si="2"/>
        <v>0</v>
      </c>
      <c r="M350" s="111"/>
      <c r="N350" s="111"/>
      <c r="O350" s="111"/>
      <c r="P350" s="111"/>
    </row>
    <row r="351" spans="1:16" ht="12.75" customHeight="1">
      <c r="A351" s="992"/>
      <c r="B351" s="1116"/>
      <c r="C351" s="904"/>
      <c r="D351" s="658"/>
      <c r="E351" s="865"/>
      <c r="F351" s="1152"/>
      <c r="G351" s="239"/>
      <c r="H351" s="905"/>
      <c r="I351" s="906"/>
      <c r="J351" s="910"/>
      <c r="K351" s="916"/>
      <c r="L351" s="903"/>
      <c r="M351" s="111"/>
      <c r="N351" s="111"/>
      <c r="O351" s="111"/>
      <c r="P351" s="111"/>
    </row>
    <row r="352" spans="1:16" ht="12.75" customHeight="1">
      <c r="A352" s="992">
        <v>173</v>
      </c>
      <c r="B352" s="865"/>
      <c r="C352" s="904" t="s">
        <v>363</v>
      </c>
      <c r="D352" s="658" t="s">
        <v>1309</v>
      </c>
      <c r="E352" s="865" t="s">
        <v>245</v>
      </c>
      <c r="F352" s="1152"/>
      <c r="G352" s="250"/>
      <c r="H352" s="905">
        <v>2400000</v>
      </c>
      <c r="I352" s="905">
        <f>H352</f>
        <v>2400000</v>
      </c>
      <c r="J352" s="909"/>
      <c r="K352" s="919">
        <v>2400000</v>
      </c>
      <c r="L352" s="903">
        <f t="shared" si="2"/>
        <v>0</v>
      </c>
      <c r="M352" s="111"/>
      <c r="N352" s="111"/>
      <c r="O352" s="111"/>
      <c r="P352" s="111"/>
    </row>
    <row r="353" spans="1:16" ht="12.75" customHeight="1" thickBot="1">
      <c r="A353" s="992"/>
      <c r="B353" s="865"/>
      <c r="C353" s="904"/>
      <c r="D353" s="658"/>
      <c r="E353" s="865"/>
      <c r="F353" s="1152"/>
      <c r="G353" s="250"/>
      <c r="H353" s="905"/>
      <c r="I353" s="906"/>
      <c r="J353" s="910"/>
      <c r="K353" s="920"/>
      <c r="L353" s="903"/>
      <c r="M353" s="111"/>
      <c r="N353" s="111"/>
      <c r="O353" s="111"/>
      <c r="P353" s="111"/>
    </row>
    <row r="354" spans="1:16" ht="12.75" customHeight="1">
      <c r="A354" s="991">
        <v>174</v>
      </c>
      <c r="B354" s="865"/>
      <c r="C354" s="904"/>
      <c r="D354" s="658"/>
      <c r="E354" s="865" t="s">
        <v>1314</v>
      </c>
      <c r="F354" s="1152" t="s">
        <v>1339</v>
      </c>
      <c r="G354" s="239"/>
      <c r="H354" s="905"/>
      <c r="I354" s="905"/>
      <c r="J354" s="909"/>
      <c r="K354" s="919"/>
      <c r="L354" s="903">
        <f t="shared" si="2"/>
        <v>0</v>
      </c>
      <c r="M354" s="111"/>
      <c r="N354" s="111"/>
      <c r="O354" s="111"/>
      <c r="P354" s="111"/>
    </row>
    <row r="355" spans="1:16" ht="12.75" customHeight="1" thickBot="1">
      <c r="A355" s="992"/>
      <c r="B355" s="878"/>
      <c r="C355" s="913"/>
      <c r="D355" s="659"/>
      <c r="E355" s="878"/>
      <c r="F355" s="1150"/>
      <c r="G355" s="245"/>
      <c r="H355" s="915"/>
      <c r="I355" s="982"/>
      <c r="J355" s="917"/>
      <c r="K355" s="984"/>
      <c r="L355" s="900"/>
      <c r="M355" s="111"/>
      <c r="N355" s="111"/>
      <c r="O355" s="111"/>
      <c r="P355" s="111"/>
    </row>
    <row r="356" spans="1:16" ht="19.5" thickBot="1">
      <c r="A356" s="246"/>
      <c r="B356" s="1175" t="s">
        <v>329</v>
      </c>
      <c r="C356" s="1176"/>
      <c r="D356" s="1176"/>
      <c r="E356" s="1176"/>
      <c r="F356" s="1176"/>
      <c r="G356" s="1176"/>
      <c r="H356" s="1176"/>
      <c r="I356" s="1176"/>
      <c r="J356" s="1176"/>
      <c r="K356" s="1176"/>
      <c r="L356" s="1177"/>
      <c r="M356" s="7">
        <f>SUM(I357:I427)+I436</f>
        <v>168454340</v>
      </c>
      <c r="N356" s="112"/>
      <c r="O356" s="111"/>
      <c r="P356" s="111"/>
    </row>
    <row r="357" spans="1:16" ht="12.75" customHeight="1">
      <c r="A357" s="991">
        <v>175</v>
      </c>
      <c r="B357" s="879" t="s">
        <v>120</v>
      </c>
      <c r="C357" s="914" t="s">
        <v>1327</v>
      </c>
      <c r="D357" s="660" t="s">
        <v>1324</v>
      </c>
      <c r="E357" s="879" t="s">
        <v>20</v>
      </c>
      <c r="F357" s="879"/>
      <c r="G357" s="281"/>
      <c r="H357" s="916">
        <v>10700000</v>
      </c>
      <c r="I357" s="916">
        <f>H357</f>
        <v>10700000</v>
      </c>
      <c r="J357" s="949"/>
      <c r="K357" s="920">
        <v>10700000</v>
      </c>
      <c r="L357" s="901">
        <f>K357-I357</f>
        <v>0</v>
      </c>
      <c r="M357" s="111"/>
      <c r="N357" s="111"/>
      <c r="O357" s="111"/>
      <c r="P357" s="111"/>
    </row>
    <row r="358" spans="1:16" ht="12.75" customHeight="1">
      <c r="A358" s="992"/>
      <c r="B358" s="865"/>
      <c r="C358" s="904"/>
      <c r="D358" s="658"/>
      <c r="E358" s="865"/>
      <c r="F358" s="865"/>
      <c r="G358" s="280"/>
      <c r="H358" s="905"/>
      <c r="I358" s="906"/>
      <c r="J358" s="910"/>
      <c r="K358" s="911"/>
      <c r="L358" s="903"/>
      <c r="M358" s="111"/>
      <c r="N358" s="111"/>
      <c r="O358" s="111"/>
      <c r="P358" s="111"/>
    </row>
    <row r="359" spans="1:16" ht="12.75" customHeight="1">
      <c r="A359" s="992">
        <v>176</v>
      </c>
      <c r="B359" s="981"/>
      <c r="C359" s="904" t="s">
        <v>382</v>
      </c>
      <c r="D359" s="658" t="s">
        <v>1319</v>
      </c>
      <c r="E359" s="865" t="s">
        <v>1323</v>
      </c>
      <c r="F359" s="865" t="s">
        <v>24</v>
      </c>
      <c r="G359" s="267"/>
      <c r="H359" s="905">
        <f>170*10250</f>
        <v>1742500</v>
      </c>
      <c r="I359" s="905">
        <f>H359</f>
        <v>1742500</v>
      </c>
      <c r="J359" s="909"/>
      <c r="K359" s="911">
        <v>1742500</v>
      </c>
      <c r="L359" s="903">
        <f>K359-I359</f>
        <v>0</v>
      </c>
      <c r="M359" s="111" t="e">
        <f>SUM(#REF!,#REF!,L357:L509)</f>
        <v>#REF!</v>
      </c>
      <c r="N359" s="111"/>
      <c r="O359" s="111"/>
      <c r="P359" s="111"/>
    </row>
    <row r="360" spans="1:16" ht="12.75" customHeight="1" thickBot="1">
      <c r="A360" s="992"/>
      <c r="B360" s="1092"/>
      <c r="C360" s="904"/>
      <c r="D360" s="658"/>
      <c r="E360" s="865"/>
      <c r="F360" s="865"/>
      <c r="G360" s="267"/>
      <c r="H360" s="905"/>
      <c r="I360" s="906"/>
      <c r="J360" s="910"/>
      <c r="K360" s="911"/>
      <c r="L360" s="903"/>
      <c r="M360" s="111"/>
      <c r="N360" s="111"/>
      <c r="O360" s="111"/>
      <c r="P360" s="111"/>
    </row>
    <row r="361" spans="1:16" ht="12.75" customHeight="1">
      <c r="A361" s="991">
        <v>177</v>
      </c>
      <c r="B361" s="865"/>
      <c r="C361" s="904" t="s">
        <v>366</v>
      </c>
      <c r="D361" s="658" t="s">
        <v>1319</v>
      </c>
      <c r="E361" s="865" t="s">
        <v>14</v>
      </c>
      <c r="F361" s="865"/>
      <c r="G361" s="259"/>
      <c r="H361" s="905">
        <v>5300000</v>
      </c>
      <c r="I361" s="905">
        <f>H361</f>
        <v>5300000</v>
      </c>
      <c r="J361" s="909"/>
      <c r="K361" s="911">
        <v>5300000</v>
      </c>
      <c r="L361" s="903">
        <f>K361-I361</f>
        <v>0</v>
      </c>
      <c r="M361" s="111"/>
      <c r="N361" s="111"/>
      <c r="O361" s="111"/>
      <c r="P361" s="111"/>
    </row>
    <row r="362" spans="1:16" ht="12.75" customHeight="1" thickBot="1">
      <c r="A362" s="992"/>
      <c r="B362" s="937"/>
      <c r="C362" s="938"/>
      <c r="D362" s="939"/>
      <c r="E362" s="937"/>
      <c r="F362" s="937"/>
      <c r="G362" s="260"/>
      <c r="H362" s="942"/>
      <c r="I362" s="943"/>
      <c r="J362" s="944"/>
      <c r="K362" s="945"/>
      <c r="L362" s="1178"/>
      <c r="M362" s="111"/>
      <c r="N362" s="111"/>
      <c r="O362" s="111"/>
      <c r="P362" s="111"/>
    </row>
    <row r="363" spans="1:16" ht="12.75" customHeight="1">
      <c r="A363" s="992">
        <v>178</v>
      </c>
      <c r="B363" s="968" t="s">
        <v>1307</v>
      </c>
      <c r="C363" s="969" t="s">
        <v>1326</v>
      </c>
      <c r="D363" s="970" t="s">
        <v>1324</v>
      </c>
      <c r="E363" s="968" t="s">
        <v>20</v>
      </c>
      <c r="F363" s="968"/>
      <c r="G363" s="287"/>
      <c r="H363" s="916">
        <v>10700000</v>
      </c>
      <c r="I363" s="916">
        <f>H363</f>
        <v>10700000</v>
      </c>
      <c r="J363" s="949"/>
      <c r="K363" s="920">
        <v>10700000</v>
      </c>
      <c r="L363" s="901">
        <f>K363-I363</f>
        <v>0</v>
      </c>
      <c r="M363" s="111"/>
      <c r="N363" s="111"/>
      <c r="O363" s="111"/>
      <c r="P363" s="111"/>
    </row>
    <row r="364" spans="1:16" ht="12.75" customHeight="1" thickBot="1">
      <c r="A364" s="992"/>
      <c r="B364" s="865"/>
      <c r="C364" s="904"/>
      <c r="D364" s="658"/>
      <c r="E364" s="865"/>
      <c r="F364" s="865"/>
      <c r="G364" s="285"/>
      <c r="H364" s="905"/>
      <c r="I364" s="906"/>
      <c r="J364" s="910"/>
      <c r="K364" s="911"/>
      <c r="L364" s="903"/>
      <c r="M364" s="111"/>
      <c r="N364" s="111"/>
      <c r="O364" s="111"/>
      <c r="P364" s="111"/>
    </row>
    <row r="365" spans="1:16" ht="12.75" customHeight="1">
      <c r="A365" s="991">
        <v>179</v>
      </c>
      <c r="B365" s="1114"/>
      <c r="C365" s="904" t="s">
        <v>368</v>
      </c>
      <c r="D365" s="658" t="s">
        <v>1320</v>
      </c>
      <c r="E365" s="865" t="s">
        <v>1180</v>
      </c>
      <c r="F365" s="865"/>
      <c r="G365" s="276"/>
      <c r="H365" s="905">
        <v>4000000</v>
      </c>
      <c r="I365" s="905">
        <f>H365</f>
        <v>4000000</v>
      </c>
      <c r="J365" s="909"/>
      <c r="K365" s="911">
        <v>4000000</v>
      </c>
      <c r="L365" s="903">
        <f>K365-I365</f>
        <v>0</v>
      </c>
      <c r="M365" s="111"/>
      <c r="N365" s="111"/>
      <c r="O365" s="111"/>
      <c r="P365" s="111"/>
    </row>
    <row r="366" spans="1:16" ht="13.5" customHeight="1" thickBot="1">
      <c r="A366" s="992"/>
      <c r="B366" s="1115"/>
      <c r="C366" s="938"/>
      <c r="D366" s="939"/>
      <c r="E366" s="937"/>
      <c r="F366" s="937"/>
      <c r="G366" s="277"/>
      <c r="H366" s="942"/>
      <c r="I366" s="943"/>
      <c r="J366" s="944"/>
      <c r="K366" s="945"/>
      <c r="L366" s="1178"/>
      <c r="M366" s="111"/>
      <c r="N366" s="111"/>
      <c r="O366" s="111"/>
      <c r="P366" s="111"/>
    </row>
    <row r="367" spans="1:16" ht="12.75" customHeight="1">
      <c r="A367" s="992">
        <v>180</v>
      </c>
      <c r="B367" s="968" t="s">
        <v>1313</v>
      </c>
      <c r="C367" s="969" t="s">
        <v>1325</v>
      </c>
      <c r="D367" s="970" t="s">
        <v>1334</v>
      </c>
      <c r="E367" s="968" t="s">
        <v>20</v>
      </c>
      <c r="F367" s="968"/>
      <c r="G367" s="287"/>
      <c r="H367" s="973">
        <v>11100000</v>
      </c>
      <c r="I367" s="916">
        <f>H367</f>
        <v>11100000</v>
      </c>
      <c r="J367" s="949"/>
      <c r="K367" s="920">
        <v>11100000</v>
      </c>
      <c r="L367" s="901">
        <f>K367-I367</f>
        <v>0</v>
      </c>
      <c r="M367" s="111"/>
      <c r="N367" s="111"/>
      <c r="O367" s="111"/>
      <c r="P367" s="111"/>
    </row>
    <row r="368" spans="1:16" ht="13.5" customHeight="1" thickBot="1">
      <c r="A368" s="992"/>
      <c r="B368" s="865"/>
      <c r="C368" s="904"/>
      <c r="D368" s="658"/>
      <c r="E368" s="865"/>
      <c r="F368" s="865"/>
      <c r="G368" s="285"/>
      <c r="H368" s="905"/>
      <c r="I368" s="906"/>
      <c r="J368" s="910"/>
      <c r="K368" s="911"/>
      <c r="L368" s="903"/>
      <c r="M368" s="111"/>
      <c r="N368" s="111"/>
      <c r="O368" s="111"/>
      <c r="P368" s="111"/>
    </row>
    <row r="369" spans="1:16" ht="12.75" customHeight="1">
      <c r="A369" s="991">
        <v>181</v>
      </c>
      <c r="B369" s="1114"/>
      <c r="C369" s="904" t="s">
        <v>1321</v>
      </c>
      <c r="D369" s="658" t="s">
        <v>1329</v>
      </c>
      <c r="E369" s="865" t="s">
        <v>1328</v>
      </c>
      <c r="F369" s="865"/>
      <c r="G369" s="504"/>
      <c r="H369" s="905">
        <v>1050000</v>
      </c>
      <c r="I369" s="905">
        <f>H369</f>
        <v>1050000</v>
      </c>
      <c r="J369" s="909"/>
      <c r="K369" s="911">
        <v>1050000</v>
      </c>
      <c r="L369" s="903">
        <f>K369-I369</f>
        <v>0</v>
      </c>
      <c r="M369" s="111"/>
      <c r="N369" s="111"/>
      <c r="O369" s="111"/>
      <c r="P369" s="111"/>
    </row>
    <row r="370" spans="1:16" ht="13.5" customHeight="1" thickBot="1">
      <c r="A370" s="992"/>
      <c r="B370" s="1115"/>
      <c r="C370" s="938"/>
      <c r="D370" s="939"/>
      <c r="E370" s="937"/>
      <c r="F370" s="937"/>
      <c r="G370" s="505"/>
      <c r="H370" s="942"/>
      <c r="I370" s="943"/>
      <c r="J370" s="944"/>
      <c r="K370" s="945"/>
      <c r="L370" s="1178"/>
      <c r="M370" s="111"/>
      <c r="N370" s="111"/>
      <c r="O370" s="111"/>
      <c r="P370" s="111"/>
    </row>
    <row r="371" spans="1:16" ht="12.75" customHeight="1">
      <c r="A371" s="992">
        <v>182</v>
      </c>
      <c r="B371" s="968" t="s">
        <v>1316</v>
      </c>
      <c r="C371" s="969"/>
      <c r="D371" s="970" t="s">
        <v>1319</v>
      </c>
      <c r="E371" s="968" t="s">
        <v>20</v>
      </c>
      <c r="F371" s="968"/>
      <c r="G371" s="302"/>
      <c r="H371" s="973">
        <v>11100000</v>
      </c>
      <c r="I371" s="916">
        <f>H371</f>
        <v>11100000</v>
      </c>
      <c r="J371" s="949"/>
      <c r="K371" s="920">
        <v>11100000</v>
      </c>
      <c r="L371" s="901">
        <f>K371-I371</f>
        <v>0</v>
      </c>
      <c r="M371" s="111"/>
      <c r="N371" s="111"/>
      <c r="O371" s="111"/>
      <c r="P371" s="111"/>
    </row>
    <row r="372" spans="1:16" ht="13.5" customHeight="1" thickBot="1">
      <c r="A372" s="992"/>
      <c r="B372" s="865"/>
      <c r="C372" s="904"/>
      <c r="D372" s="658"/>
      <c r="E372" s="865"/>
      <c r="F372" s="865"/>
      <c r="G372" s="299"/>
      <c r="H372" s="905"/>
      <c r="I372" s="906"/>
      <c r="J372" s="910"/>
      <c r="K372" s="911"/>
      <c r="L372" s="903"/>
      <c r="M372" s="111"/>
      <c r="N372" s="111"/>
      <c r="O372" s="111"/>
      <c r="P372" s="111"/>
    </row>
    <row r="373" spans="1:16" ht="12.75" customHeight="1">
      <c r="A373" s="991">
        <v>183</v>
      </c>
      <c r="B373" s="1114"/>
      <c r="C373" s="904" t="s">
        <v>369</v>
      </c>
      <c r="D373" s="658" t="s">
        <v>1330</v>
      </c>
      <c r="E373" s="865" t="s">
        <v>1331</v>
      </c>
      <c r="F373" s="865"/>
      <c r="G373" s="276"/>
      <c r="H373" s="905">
        <v>2150000</v>
      </c>
      <c r="I373" s="905">
        <f>H373</f>
        <v>2150000</v>
      </c>
      <c r="J373" s="909"/>
      <c r="K373" s="911">
        <v>2150000</v>
      </c>
      <c r="L373" s="903">
        <f>K373-I373</f>
        <v>0</v>
      </c>
      <c r="M373" s="111"/>
      <c r="N373" s="111"/>
      <c r="O373" s="111"/>
      <c r="P373" s="111"/>
    </row>
    <row r="374" spans="1:16" ht="13.5" customHeight="1">
      <c r="A374" s="992"/>
      <c r="B374" s="1116"/>
      <c r="C374" s="904"/>
      <c r="D374" s="658"/>
      <c r="E374" s="865"/>
      <c r="F374" s="865"/>
      <c r="G374" s="276"/>
      <c r="H374" s="905"/>
      <c r="I374" s="906"/>
      <c r="J374" s="910"/>
      <c r="K374" s="911"/>
      <c r="L374" s="903"/>
      <c r="M374" s="111"/>
      <c r="N374" s="111"/>
      <c r="O374" s="111"/>
      <c r="P374" s="111"/>
    </row>
    <row r="375" spans="1:16" ht="12.75" customHeight="1">
      <c r="A375" s="992">
        <v>184</v>
      </c>
      <c r="B375" s="865"/>
      <c r="C375" s="904" t="s">
        <v>371</v>
      </c>
      <c r="D375" s="658" t="s">
        <v>1330</v>
      </c>
      <c r="E375" s="865" t="s">
        <v>1332</v>
      </c>
      <c r="F375" s="865" t="s">
        <v>24</v>
      </c>
      <c r="G375" s="370"/>
      <c r="H375" s="905">
        <v>2200000</v>
      </c>
      <c r="I375" s="905">
        <f>H375</f>
        <v>2200000</v>
      </c>
      <c r="J375" s="909"/>
      <c r="K375" s="911">
        <v>2200000</v>
      </c>
      <c r="L375" s="903">
        <f>K375-I375</f>
        <v>0</v>
      </c>
      <c r="M375" s="111"/>
      <c r="N375" s="111"/>
      <c r="O375" s="111"/>
      <c r="P375" s="111"/>
    </row>
    <row r="376" spans="1:16" ht="13.5" customHeight="1" thickBot="1">
      <c r="A376" s="992"/>
      <c r="B376" s="937"/>
      <c r="C376" s="938"/>
      <c r="D376" s="939"/>
      <c r="E376" s="937"/>
      <c r="F376" s="937"/>
      <c r="G376" s="371"/>
      <c r="H376" s="942"/>
      <c r="I376" s="943"/>
      <c r="J376" s="944"/>
      <c r="K376" s="945"/>
      <c r="L376" s="1178"/>
      <c r="M376" s="111"/>
      <c r="N376" s="111"/>
      <c r="O376" s="111"/>
      <c r="P376" s="111"/>
    </row>
    <row r="377" spans="1:16" ht="12.75" customHeight="1">
      <c r="A377" s="991">
        <v>185</v>
      </c>
      <c r="B377" s="968" t="s">
        <v>1317</v>
      </c>
      <c r="C377" s="969" t="s">
        <v>367</v>
      </c>
      <c r="D377" s="970" t="s">
        <v>1319</v>
      </c>
      <c r="E377" s="968" t="s">
        <v>1110</v>
      </c>
      <c r="F377" s="968"/>
      <c r="G377" s="302"/>
      <c r="H377" s="973">
        <v>1377000</v>
      </c>
      <c r="I377" s="916">
        <f>H377</f>
        <v>1377000</v>
      </c>
      <c r="J377" s="949"/>
      <c r="K377" s="920">
        <v>1377000</v>
      </c>
      <c r="L377" s="901">
        <f>K377-I377</f>
        <v>0</v>
      </c>
      <c r="M377" s="111"/>
      <c r="N377" s="111"/>
      <c r="O377" s="111"/>
      <c r="P377" s="111"/>
    </row>
    <row r="378" spans="1:16" ht="13.5" customHeight="1">
      <c r="A378" s="992"/>
      <c r="B378" s="865"/>
      <c r="C378" s="904"/>
      <c r="D378" s="658"/>
      <c r="E378" s="865"/>
      <c r="F378" s="865"/>
      <c r="G378" s="299"/>
      <c r="H378" s="905"/>
      <c r="I378" s="906"/>
      <c r="J378" s="910"/>
      <c r="K378" s="911"/>
      <c r="L378" s="903"/>
      <c r="M378" s="111"/>
      <c r="N378" s="111"/>
      <c r="O378" s="111"/>
      <c r="P378" s="111"/>
    </row>
    <row r="379" spans="1:16" ht="12.75" customHeight="1">
      <c r="A379" s="992">
        <v>186</v>
      </c>
      <c r="B379" s="981"/>
      <c r="C379" s="904"/>
      <c r="D379" s="658"/>
      <c r="E379" s="865"/>
      <c r="F379" s="865"/>
      <c r="G379" s="247"/>
      <c r="H379" s="905"/>
      <c r="I379" s="905"/>
      <c r="J379" s="909"/>
      <c r="K379" s="911"/>
      <c r="L379" s="903"/>
      <c r="M379" s="111"/>
      <c r="N379" s="111"/>
      <c r="O379" s="111"/>
      <c r="P379" s="111"/>
    </row>
    <row r="380" spans="1:16" ht="12.75" customHeight="1" thickBot="1">
      <c r="A380" s="992"/>
      <c r="B380" s="1082"/>
      <c r="C380" s="938"/>
      <c r="D380" s="939"/>
      <c r="E380" s="937"/>
      <c r="F380" s="937"/>
      <c r="G380" s="248"/>
      <c r="H380" s="942"/>
      <c r="I380" s="943"/>
      <c r="J380" s="944"/>
      <c r="K380" s="945"/>
      <c r="L380" s="1178"/>
      <c r="M380" s="111"/>
      <c r="N380" s="111"/>
      <c r="O380" s="111"/>
      <c r="P380" s="111"/>
    </row>
    <row r="381" spans="1:16" ht="12.75" hidden="1" customHeight="1">
      <c r="A381" s="991">
        <v>187</v>
      </c>
      <c r="B381" s="1183"/>
      <c r="C381" s="1262"/>
      <c r="D381" s="1264"/>
      <c r="E381" s="1183"/>
      <c r="F381" s="1183"/>
      <c r="G381" s="244"/>
      <c r="H381" s="1050"/>
      <c r="I381" s="1050">
        <f>H381</f>
        <v>0</v>
      </c>
      <c r="J381" s="1184"/>
      <c r="K381" s="1090"/>
      <c r="L381" s="1083">
        <f>K381-I381</f>
        <v>0</v>
      </c>
      <c r="M381" s="111"/>
      <c r="N381" s="111"/>
      <c r="O381" s="111"/>
      <c r="P381" s="111"/>
    </row>
    <row r="382" spans="1:16" ht="13.5" hidden="1" customHeight="1" thickBot="1">
      <c r="A382" s="992"/>
      <c r="B382" s="1046"/>
      <c r="C382" s="1263"/>
      <c r="D382" s="1265"/>
      <c r="E382" s="1046"/>
      <c r="F382" s="1046"/>
      <c r="G382" s="197"/>
      <c r="H382" s="1048"/>
      <c r="I382" s="1088"/>
      <c r="J382" s="1089"/>
      <c r="K382" s="1272"/>
      <c r="L382" s="1084"/>
      <c r="M382" s="111"/>
      <c r="N382" s="111"/>
      <c r="O382" s="111"/>
      <c r="P382" s="111"/>
    </row>
    <row r="383" spans="1:16" ht="12.75" customHeight="1">
      <c r="A383" s="992">
        <v>188</v>
      </c>
      <c r="B383" s="865" t="s">
        <v>1322</v>
      </c>
      <c r="C383" s="904" t="s">
        <v>1337</v>
      </c>
      <c r="D383" s="658" t="s">
        <v>1336</v>
      </c>
      <c r="E383" s="865" t="s">
        <v>20</v>
      </c>
      <c r="F383" s="865"/>
      <c r="G383" s="299"/>
      <c r="H383" s="905">
        <v>11100000</v>
      </c>
      <c r="I383" s="905">
        <f>H383</f>
        <v>11100000</v>
      </c>
      <c r="J383" s="909"/>
      <c r="K383" s="911">
        <v>11100000</v>
      </c>
      <c r="L383" s="903">
        <f>K383-I383</f>
        <v>0</v>
      </c>
      <c r="M383" s="111"/>
      <c r="N383" s="111"/>
      <c r="O383" s="111"/>
      <c r="P383" s="111"/>
    </row>
    <row r="384" spans="1:16" ht="13.5" customHeight="1" thickBot="1">
      <c r="A384" s="992"/>
      <c r="B384" s="865"/>
      <c r="C384" s="904"/>
      <c r="D384" s="658"/>
      <c r="E384" s="865"/>
      <c r="F384" s="865"/>
      <c r="G384" s="299"/>
      <c r="H384" s="905"/>
      <c r="I384" s="906"/>
      <c r="J384" s="910"/>
      <c r="K384" s="911"/>
      <c r="L384" s="903"/>
      <c r="M384" s="111"/>
      <c r="N384" s="111"/>
      <c r="O384" s="111"/>
      <c r="P384" s="111"/>
    </row>
    <row r="385" spans="1:16" ht="12.75" customHeight="1">
      <c r="A385" s="991">
        <v>189</v>
      </c>
      <c r="B385" s="981"/>
      <c r="C385" s="904" t="s">
        <v>1321</v>
      </c>
      <c r="D385" s="658" t="s">
        <v>1335</v>
      </c>
      <c r="E385" s="865" t="s">
        <v>117</v>
      </c>
      <c r="F385" s="865"/>
      <c r="G385" s="285"/>
      <c r="H385" s="905">
        <v>525000</v>
      </c>
      <c r="I385" s="905">
        <f>H385</f>
        <v>525000</v>
      </c>
      <c r="J385" s="909"/>
      <c r="K385" s="911">
        <v>525000</v>
      </c>
      <c r="L385" s="903">
        <f>K385-I385</f>
        <v>0</v>
      </c>
      <c r="M385" s="111"/>
      <c r="N385" s="111"/>
      <c r="O385" s="111"/>
      <c r="P385" s="111"/>
    </row>
    <row r="386" spans="1:16" ht="12.75" customHeight="1">
      <c r="A386" s="992"/>
      <c r="B386" s="1092"/>
      <c r="C386" s="904"/>
      <c r="D386" s="658"/>
      <c r="E386" s="865"/>
      <c r="F386" s="865"/>
      <c r="G386" s="285"/>
      <c r="H386" s="905"/>
      <c r="I386" s="906"/>
      <c r="J386" s="910"/>
      <c r="K386" s="911"/>
      <c r="L386" s="903"/>
      <c r="M386" s="111"/>
      <c r="N386" s="111"/>
      <c r="O386" s="111"/>
      <c r="P386" s="111"/>
    </row>
    <row r="387" spans="1:16" ht="12.75" customHeight="1">
      <c r="A387" s="992">
        <v>190</v>
      </c>
      <c r="B387" s="1039"/>
      <c r="C387" s="904" t="s">
        <v>369</v>
      </c>
      <c r="D387" s="658" t="s">
        <v>1335</v>
      </c>
      <c r="E387" s="865" t="s">
        <v>250</v>
      </c>
      <c r="F387" s="865"/>
      <c r="G387" s="267"/>
      <c r="H387" s="905">
        <v>5800000</v>
      </c>
      <c r="I387" s="905">
        <f>H387</f>
        <v>5800000</v>
      </c>
      <c r="J387" s="909"/>
      <c r="K387" s="911">
        <v>5800000</v>
      </c>
      <c r="L387" s="903">
        <f>K387-I387</f>
        <v>0</v>
      </c>
      <c r="M387" s="111"/>
      <c r="N387" s="111"/>
      <c r="O387" s="111"/>
      <c r="P387" s="111"/>
    </row>
    <row r="388" spans="1:16" ht="13.5" customHeight="1" thickBot="1">
      <c r="A388" s="992"/>
      <c r="B388" s="1186"/>
      <c r="C388" s="913"/>
      <c r="D388" s="659"/>
      <c r="E388" s="878"/>
      <c r="F388" s="878"/>
      <c r="G388" s="269"/>
      <c r="H388" s="915"/>
      <c r="I388" s="982"/>
      <c r="J388" s="917"/>
      <c r="K388" s="919"/>
      <c r="L388" s="900"/>
      <c r="M388" s="111"/>
      <c r="N388" s="111"/>
      <c r="O388" s="111"/>
      <c r="P388" s="111"/>
    </row>
    <row r="389" spans="1:16" ht="12.75" customHeight="1">
      <c r="A389" s="991">
        <v>191</v>
      </c>
      <c r="B389" s="981"/>
      <c r="C389" s="1179" t="s">
        <v>371</v>
      </c>
      <c r="D389" s="658" t="s">
        <v>1338</v>
      </c>
      <c r="E389" s="865" t="s">
        <v>283</v>
      </c>
      <c r="F389" s="865"/>
      <c r="G389" s="273"/>
      <c r="H389" s="905">
        <v>7600000</v>
      </c>
      <c r="I389" s="905">
        <f>H389</f>
        <v>7600000</v>
      </c>
      <c r="J389" s="909"/>
      <c r="K389" s="911">
        <v>7600000</v>
      </c>
      <c r="L389" s="946">
        <f>K389-I389</f>
        <v>0</v>
      </c>
      <c r="M389" s="111"/>
      <c r="N389" s="111"/>
      <c r="O389" s="111"/>
      <c r="P389" s="111"/>
    </row>
    <row r="390" spans="1:16" ht="13.5" customHeight="1" thickBot="1">
      <c r="A390" s="992"/>
      <c r="B390" s="1082"/>
      <c r="C390" s="1180"/>
      <c r="D390" s="939"/>
      <c r="E390" s="937"/>
      <c r="F390" s="937"/>
      <c r="G390" s="272"/>
      <c r="H390" s="942"/>
      <c r="I390" s="943"/>
      <c r="J390" s="944"/>
      <c r="K390" s="945"/>
      <c r="L390" s="947"/>
      <c r="M390" s="111"/>
      <c r="N390" s="111"/>
      <c r="O390" s="111"/>
      <c r="P390" s="111"/>
    </row>
    <row r="391" spans="1:16" ht="12.75" customHeight="1">
      <c r="A391" s="992">
        <v>192</v>
      </c>
      <c r="B391" s="975" t="s">
        <v>1333</v>
      </c>
      <c r="C391" s="1153" t="s">
        <v>368</v>
      </c>
      <c r="D391" s="970" t="s">
        <v>1386</v>
      </c>
      <c r="E391" s="968" t="s">
        <v>308</v>
      </c>
      <c r="F391" s="968"/>
      <c r="G391" s="256"/>
      <c r="H391" s="973">
        <v>1840</v>
      </c>
      <c r="I391" s="973">
        <f>H391*J391</f>
        <v>530840</v>
      </c>
      <c r="J391" s="974">
        <v>288.5</v>
      </c>
      <c r="K391" s="966">
        <v>530840</v>
      </c>
      <c r="L391" s="967">
        <f>K391-I391</f>
        <v>0</v>
      </c>
      <c r="M391" s="111"/>
      <c r="N391" s="111"/>
      <c r="O391" s="111"/>
      <c r="P391" s="111"/>
    </row>
    <row r="392" spans="1:16" ht="13.5" customHeight="1" thickBot="1">
      <c r="A392" s="992"/>
      <c r="B392" s="977"/>
      <c r="C392" s="1154"/>
      <c r="D392" s="939"/>
      <c r="E392" s="937"/>
      <c r="F392" s="937"/>
      <c r="G392" s="255"/>
      <c r="H392" s="942"/>
      <c r="I392" s="943"/>
      <c r="J392" s="944"/>
      <c r="K392" s="945"/>
      <c r="L392" s="947"/>
      <c r="M392" s="111"/>
      <c r="N392" s="111"/>
      <c r="O392" s="111"/>
      <c r="P392" s="111"/>
    </row>
    <row r="393" spans="1:16" ht="12.75" customHeight="1">
      <c r="A393" s="991"/>
      <c r="B393" s="1101"/>
      <c r="C393" s="1103"/>
      <c r="D393" s="1181"/>
      <c r="E393" s="1110"/>
      <c r="F393" s="1110"/>
      <c r="G393" s="266"/>
      <c r="H393" s="1105"/>
      <c r="I393" s="1105"/>
      <c r="J393" s="1097"/>
      <c r="K393" s="1099"/>
      <c r="L393" s="1108"/>
      <c r="M393" s="111"/>
      <c r="N393" s="111"/>
      <c r="O393" s="111"/>
      <c r="P393" s="111"/>
    </row>
    <row r="394" spans="1:16" ht="13.5" customHeight="1" thickBot="1">
      <c r="A394" s="992"/>
      <c r="B394" s="1102"/>
      <c r="C394" s="1104"/>
      <c r="D394" s="1182"/>
      <c r="E394" s="1111"/>
      <c r="F394" s="1111"/>
      <c r="G394" s="271"/>
      <c r="H394" s="1106"/>
      <c r="I394" s="1107"/>
      <c r="J394" s="1098"/>
      <c r="K394" s="1100"/>
      <c r="L394" s="1109"/>
      <c r="M394" s="111"/>
      <c r="N394" s="111"/>
      <c r="O394" s="111"/>
      <c r="P394" s="111"/>
    </row>
    <row r="395" spans="1:16">
      <c r="A395" s="992">
        <v>193</v>
      </c>
      <c r="B395" s="865" t="s">
        <v>1341</v>
      </c>
      <c r="C395" s="904" t="s">
        <v>1396</v>
      </c>
      <c r="D395" s="658" t="s">
        <v>1395</v>
      </c>
      <c r="E395" s="865" t="s">
        <v>20</v>
      </c>
      <c r="F395" s="865"/>
      <c r="G395" s="299"/>
      <c r="H395" s="905">
        <v>11100000</v>
      </c>
      <c r="I395" s="905">
        <f>H395</f>
        <v>11100000</v>
      </c>
      <c r="J395" s="909"/>
      <c r="K395" s="919">
        <v>11100000</v>
      </c>
      <c r="L395" s="903">
        <f>K395-I395</f>
        <v>0</v>
      </c>
      <c r="M395" s="111"/>
      <c r="N395" s="111"/>
      <c r="O395" s="111"/>
      <c r="P395" s="111"/>
    </row>
    <row r="396" spans="1:16" ht="13.5" thickBot="1">
      <c r="A396" s="992"/>
      <c r="B396" s="865"/>
      <c r="C396" s="904"/>
      <c r="D396" s="658"/>
      <c r="E396" s="865"/>
      <c r="F396" s="865"/>
      <c r="G396" s="299"/>
      <c r="H396" s="905"/>
      <c r="I396" s="906"/>
      <c r="J396" s="910"/>
      <c r="K396" s="920"/>
      <c r="L396" s="903"/>
      <c r="M396" s="111"/>
      <c r="N396" s="111"/>
      <c r="O396" s="111"/>
      <c r="P396" s="111"/>
    </row>
    <row r="397" spans="1:16" ht="12.75" customHeight="1">
      <c r="A397" s="991">
        <v>194</v>
      </c>
      <c r="B397" s="1112"/>
      <c r="C397" s="904" t="s">
        <v>405</v>
      </c>
      <c r="D397" s="658" t="s">
        <v>1356</v>
      </c>
      <c r="E397" s="865" t="s">
        <v>117</v>
      </c>
      <c r="F397" s="865"/>
      <c r="G397" s="285"/>
      <c r="H397" s="905">
        <v>550000</v>
      </c>
      <c r="I397" s="905">
        <f>H397</f>
        <v>550000</v>
      </c>
      <c r="J397" s="909"/>
      <c r="K397" s="919">
        <v>550000</v>
      </c>
      <c r="L397" s="903">
        <f>K397-I397</f>
        <v>0</v>
      </c>
      <c r="M397" s="111"/>
      <c r="N397" s="111"/>
      <c r="O397" s="111"/>
      <c r="P397" s="111"/>
    </row>
    <row r="398" spans="1:16" ht="12.75" customHeight="1" thickBot="1">
      <c r="A398" s="992"/>
      <c r="B398" s="1113"/>
      <c r="C398" s="904"/>
      <c r="D398" s="658"/>
      <c r="E398" s="865"/>
      <c r="F398" s="865"/>
      <c r="G398" s="285"/>
      <c r="H398" s="905"/>
      <c r="I398" s="906"/>
      <c r="J398" s="910"/>
      <c r="K398" s="920"/>
      <c r="L398" s="903"/>
      <c r="M398" s="111"/>
      <c r="N398" s="111"/>
      <c r="O398" s="111"/>
      <c r="P398" s="111"/>
    </row>
    <row r="399" spans="1:16" ht="12.75" customHeight="1">
      <c r="A399" s="992">
        <v>195</v>
      </c>
      <c r="B399" s="865"/>
      <c r="C399" s="904" t="s">
        <v>406</v>
      </c>
      <c r="D399" s="658" t="s">
        <v>1356</v>
      </c>
      <c r="E399" s="865" t="s">
        <v>1140</v>
      </c>
      <c r="F399" s="865"/>
      <c r="G399" s="267"/>
      <c r="H399" s="905">
        <v>2500000</v>
      </c>
      <c r="I399" s="905">
        <f>H399</f>
        <v>2500000</v>
      </c>
      <c r="J399" s="909"/>
      <c r="K399" s="919">
        <v>2500000</v>
      </c>
      <c r="L399" s="903">
        <f>K399-I399</f>
        <v>0</v>
      </c>
      <c r="M399" s="111"/>
      <c r="N399" s="111"/>
      <c r="O399" s="111"/>
      <c r="P399" s="111"/>
    </row>
    <row r="400" spans="1:16" ht="12.75" customHeight="1" thickBot="1">
      <c r="A400" s="992"/>
      <c r="B400" s="865"/>
      <c r="C400" s="904"/>
      <c r="D400" s="658"/>
      <c r="E400" s="865"/>
      <c r="F400" s="865"/>
      <c r="G400" s="267"/>
      <c r="H400" s="905"/>
      <c r="I400" s="906"/>
      <c r="J400" s="910"/>
      <c r="K400" s="920"/>
      <c r="L400" s="903"/>
      <c r="M400" s="111"/>
      <c r="N400" s="111"/>
      <c r="O400" s="111"/>
      <c r="P400" s="111"/>
    </row>
    <row r="401" spans="1:16" ht="12.75" customHeight="1">
      <c r="A401" s="991">
        <v>196</v>
      </c>
      <c r="B401" s="1039"/>
      <c r="C401" s="904" t="s">
        <v>418</v>
      </c>
      <c r="D401" s="658" t="s">
        <v>1356</v>
      </c>
      <c r="E401" s="865" t="s">
        <v>1323</v>
      </c>
      <c r="F401" s="865"/>
      <c r="G401" s="280"/>
      <c r="H401" s="905">
        <v>2970000</v>
      </c>
      <c r="I401" s="905">
        <f>H401</f>
        <v>2970000</v>
      </c>
      <c r="J401" s="909"/>
      <c r="K401" s="919">
        <v>2970000</v>
      </c>
      <c r="L401" s="903">
        <f>K401-I401</f>
        <v>0</v>
      </c>
      <c r="M401" s="111"/>
      <c r="N401" s="111"/>
      <c r="O401" s="111"/>
      <c r="P401" s="111"/>
    </row>
    <row r="402" spans="1:16" ht="12.75" customHeight="1">
      <c r="A402" s="992"/>
      <c r="B402" s="1039"/>
      <c r="C402" s="904"/>
      <c r="D402" s="658"/>
      <c r="E402" s="865"/>
      <c r="F402" s="865"/>
      <c r="G402" s="280"/>
      <c r="H402" s="905"/>
      <c r="I402" s="906"/>
      <c r="J402" s="910"/>
      <c r="K402" s="920"/>
      <c r="L402" s="903"/>
      <c r="M402" s="111"/>
      <c r="N402" s="111"/>
      <c r="O402" s="111"/>
      <c r="P402" s="111"/>
    </row>
    <row r="403" spans="1:16" ht="12.75" customHeight="1">
      <c r="A403" s="992">
        <v>197</v>
      </c>
      <c r="B403" s="865"/>
      <c r="C403" s="904" t="s">
        <v>413</v>
      </c>
      <c r="D403" s="658" t="s">
        <v>1356</v>
      </c>
      <c r="E403" s="865" t="s">
        <v>1342</v>
      </c>
      <c r="F403" s="865"/>
      <c r="G403" s="267"/>
      <c r="H403" s="905">
        <v>1010000</v>
      </c>
      <c r="I403" s="905">
        <f>H403</f>
        <v>1010000</v>
      </c>
      <c r="J403" s="909"/>
      <c r="K403" s="919">
        <v>1010000</v>
      </c>
      <c r="L403" s="903">
        <f>K403-I403</f>
        <v>0</v>
      </c>
      <c r="M403" s="111"/>
      <c r="N403" s="111"/>
      <c r="O403" s="111"/>
      <c r="P403" s="111"/>
    </row>
    <row r="404" spans="1:16" ht="13.5" customHeight="1" thickBot="1">
      <c r="A404" s="992"/>
      <c r="B404" s="865"/>
      <c r="C404" s="904"/>
      <c r="D404" s="658"/>
      <c r="E404" s="865"/>
      <c r="F404" s="865"/>
      <c r="G404" s="267"/>
      <c r="H404" s="905"/>
      <c r="I404" s="906"/>
      <c r="J404" s="910"/>
      <c r="K404" s="920"/>
      <c r="L404" s="903"/>
      <c r="M404" s="111"/>
      <c r="N404" s="111"/>
      <c r="O404" s="111"/>
      <c r="P404" s="111"/>
    </row>
    <row r="405" spans="1:16" ht="12.75" customHeight="1">
      <c r="A405" s="991">
        <v>198</v>
      </c>
      <c r="B405" s="865"/>
      <c r="C405" s="904" t="s">
        <v>416</v>
      </c>
      <c r="D405" s="658" t="s">
        <v>1356</v>
      </c>
      <c r="E405" s="865" t="s">
        <v>1343</v>
      </c>
      <c r="F405" s="865"/>
      <c r="G405" s="335"/>
      <c r="H405" s="905">
        <v>686000</v>
      </c>
      <c r="I405" s="905">
        <f>H405</f>
        <v>686000</v>
      </c>
      <c r="J405" s="909"/>
      <c r="K405" s="919">
        <v>686000</v>
      </c>
      <c r="L405" s="903">
        <f>K405-I405</f>
        <v>0</v>
      </c>
      <c r="M405" s="111"/>
      <c r="N405" s="111"/>
      <c r="O405" s="111"/>
      <c r="P405" s="111"/>
    </row>
    <row r="406" spans="1:16" ht="13.5" customHeight="1" thickBot="1">
      <c r="A406" s="992"/>
      <c r="B406" s="937"/>
      <c r="C406" s="938"/>
      <c r="D406" s="658"/>
      <c r="E406" s="937"/>
      <c r="F406" s="937"/>
      <c r="G406" s="334"/>
      <c r="H406" s="942"/>
      <c r="I406" s="943"/>
      <c r="J406" s="944"/>
      <c r="K406" s="1041"/>
      <c r="L406" s="1178"/>
      <c r="M406" s="111"/>
      <c r="N406" s="111"/>
      <c r="O406" s="111"/>
      <c r="P406" s="111"/>
    </row>
    <row r="407" spans="1:16">
      <c r="A407" s="992">
        <v>199</v>
      </c>
      <c r="B407" s="865" t="s">
        <v>1344</v>
      </c>
      <c r="C407" s="904" t="s">
        <v>1397</v>
      </c>
      <c r="D407" s="658" t="s">
        <v>1335</v>
      </c>
      <c r="E407" s="865" t="s">
        <v>20</v>
      </c>
      <c r="F407" s="865"/>
      <c r="G407" s="299"/>
      <c r="H407" s="905">
        <v>10700000</v>
      </c>
      <c r="I407" s="905">
        <f>H407</f>
        <v>10700000</v>
      </c>
      <c r="J407" s="909"/>
      <c r="K407" s="919">
        <v>10700000</v>
      </c>
      <c r="L407" s="903">
        <f>K407-I407</f>
        <v>0</v>
      </c>
      <c r="M407" s="111"/>
      <c r="N407" s="111"/>
      <c r="O407" s="111"/>
      <c r="P407" s="111"/>
    </row>
    <row r="408" spans="1:16" ht="13.5" thickBot="1">
      <c r="A408" s="992"/>
      <c r="B408" s="865"/>
      <c r="C408" s="904"/>
      <c r="D408" s="658"/>
      <c r="E408" s="865"/>
      <c r="F408" s="865"/>
      <c r="G408" s="299"/>
      <c r="H408" s="905"/>
      <c r="I408" s="906"/>
      <c r="J408" s="910"/>
      <c r="K408" s="920"/>
      <c r="L408" s="903"/>
      <c r="M408" s="111"/>
      <c r="N408" s="111"/>
      <c r="O408" s="111"/>
      <c r="P408" s="111"/>
    </row>
    <row r="409" spans="1:16">
      <c r="A409" s="991">
        <v>200</v>
      </c>
      <c r="B409" s="1273"/>
      <c r="C409" s="904" t="s">
        <v>375</v>
      </c>
      <c r="D409" s="658" t="s">
        <v>1360</v>
      </c>
      <c r="E409" s="865" t="s">
        <v>643</v>
      </c>
      <c r="F409" s="865"/>
      <c r="G409" s="276"/>
      <c r="H409" s="905">
        <v>3290000</v>
      </c>
      <c r="I409" s="905">
        <f>H409</f>
        <v>3290000</v>
      </c>
      <c r="J409" s="909"/>
      <c r="K409" s="919">
        <v>3290000</v>
      </c>
      <c r="L409" s="903">
        <f>K409-I409</f>
        <v>0</v>
      </c>
      <c r="M409" s="111"/>
      <c r="N409" s="111"/>
      <c r="O409" s="111"/>
      <c r="P409" s="111"/>
    </row>
    <row r="410" spans="1:16">
      <c r="A410" s="992"/>
      <c r="B410" s="1273"/>
      <c r="C410" s="904"/>
      <c r="D410" s="658"/>
      <c r="E410" s="865"/>
      <c r="F410" s="865"/>
      <c r="G410" s="276"/>
      <c r="H410" s="905"/>
      <c r="I410" s="906"/>
      <c r="J410" s="910"/>
      <c r="K410" s="920"/>
      <c r="L410" s="903"/>
      <c r="M410" s="111"/>
      <c r="N410" s="111"/>
      <c r="O410" s="111"/>
      <c r="P410" s="111"/>
    </row>
    <row r="411" spans="1:16" ht="12.75" customHeight="1">
      <c r="A411" s="992">
        <v>201</v>
      </c>
      <c r="B411" s="865"/>
      <c r="C411" s="904" t="s">
        <v>399</v>
      </c>
      <c r="D411" s="658" t="s">
        <v>1360</v>
      </c>
      <c r="E411" s="865" t="s">
        <v>1345</v>
      </c>
      <c r="F411" s="865"/>
      <c r="G411" s="273"/>
      <c r="H411" s="905">
        <v>3300000</v>
      </c>
      <c r="I411" s="905">
        <f>H411</f>
        <v>3300000</v>
      </c>
      <c r="J411" s="909"/>
      <c r="K411" s="919">
        <v>3300000</v>
      </c>
      <c r="L411" s="903">
        <f>K411-I411</f>
        <v>0</v>
      </c>
      <c r="M411" s="111"/>
      <c r="N411" s="111"/>
      <c r="O411" s="111"/>
      <c r="P411" s="111"/>
    </row>
    <row r="412" spans="1:16" ht="12.75" customHeight="1" thickBot="1">
      <c r="A412" s="992"/>
      <c r="B412" s="937"/>
      <c r="C412" s="938"/>
      <c r="D412" s="658"/>
      <c r="E412" s="937"/>
      <c r="F412" s="937"/>
      <c r="G412" s="272"/>
      <c r="H412" s="942"/>
      <c r="I412" s="943"/>
      <c r="J412" s="944"/>
      <c r="K412" s="1041"/>
      <c r="L412" s="1178"/>
      <c r="M412" s="111"/>
      <c r="N412" s="111"/>
      <c r="O412" s="111"/>
      <c r="P412" s="111"/>
    </row>
    <row r="413" spans="1:16" ht="12.75" customHeight="1">
      <c r="A413" s="991">
        <v>202</v>
      </c>
      <c r="B413" s="879" t="s">
        <v>1346</v>
      </c>
      <c r="C413" s="914" t="s">
        <v>1398</v>
      </c>
      <c r="D413" s="660" t="s">
        <v>1394</v>
      </c>
      <c r="E413" s="879" t="s">
        <v>20</v>
      </c>
      <c r="F413" s="879"/>
      <c r="G413" s="292"/>
      <c r="H413" s="916"/>
      <c r="I413" s="916">
        <v>10700000</v>
      </c>
      <c r="J413" s="949"/>
      <c r="K413" s="984">
        <v>1070000</v>
      </c>
      <c r="L413" s="901">
        <v>0</v>
      </c>
      <c r="M413" s="111"/>
      <c r="N413" s="111"/>
      <c r="O413" s="111"/>
      <c r="P413" s="111"/>
    </row>
    <row r="414" spans="1:16" ht="13.5" customHeight="1">
      <c r="A414" s="992"/>
      <c r="B414" s="865"/>
      <c r="C414" s="904"/>
      <c r="D414" s="658"/>
      <c r="E414" s="865"/>
      <c r="F414" s="865"/>
      <c r="G414" s="293"/>
      <c r="H414" s="905"/>
      <c r="I414" s="906"/>
      <c r="J414" s="910"/>
      <c r="K414" s="920"/>
      <c r="L414" s="903"/>
      <c r="M414" s="111"/>
      <c r="N414" s="111"/>
      <c r="O414" s="111"/>
      <c r="P414" s="111"/>
    </row>
    <row r="415" spans="1:16">
      <c r="A415" s="992">
        <v>203</v>
      </c>
      <c r="B415" s="1273"/>
      <c r="C415" s="904" t="s">
        <v>403</v>
      </c>
      <c r="D415" s="658" t="s">
        <v>1401</v>
      </c>
      <c r="E415" s="865" t="s">
        <v>1376</v>
      </c>
      <c r="F415" s="865"/>
      <c r="G415" s="290"/>
      <c r="H415" s="905">
        <v>4450000</v>
      </c>
      <c r="I415" s="905">
        <f>H415</f>
        <v>4450000</v>
      </c>
      <c r="J415" s="909"/>
      <c r="K415" s="919">
        <v>4450000</v>
      </c>
      <c r="L415" s="903">
        <f>K415-I415</f>
        <v>0</v>
      </c>
      <c r="M415" s="111"/>
      <c r="N415" s="111"/>
      <c r="O415" s="111"/>
      <c r="P415" s="111"/>
    </row>
    <row r="416" spans="1:16" ht="13.5" thickBot="1">
      <c r="A416" s="992"/>
      <c r="B416" s="1276"/>
      <c r="C416" s="938"/>
      <c r="D416" s="939"/>
      <c r="E416" s="937"/>
      <c r="F416" s="937"/>
      <c r="G416" s="291"/>
      <c r="H416" s="942"/>
      <c r="I416" s="943"/>
      <c r="J416" s="944"/>
      <c r="K416" s="1041"/>
      <c r="L416" s="1178"/>
      <c r="M416" s="111"/>
      <c r="N416" s="111"/>
      <c r="O416" s="111"/>
      <c r="P416" s="111"/>
    </row>
    <row r="417" spans="1:16" ht="12.75" customHeight="1">
      <c r="A417" s="991">
        <v>204</v>
      </c>
      <c r="B417" s="1274" t="s">
        <v>1340</v>
      </c>
      <c r="C417" s="969"/>
      <c r="D417" s="970"/>
      <c r="E417" s="968"/>
      <c r="F417" s="968"/>
      <c r="G417" s="265"/>
      <c r="H417" s="973"/>
      <c r="I417" s="973"/>
      <c r="J417" s="974"/>
      <c r="K417" s="1001"/>
      <c r="L417" s="967"/>
      <c r="M417" s="111"/>
      <c r="N417" s="111"/>
      <c r="O417" s="111"/>
      <c r="P417" s="111"/>
    </row>
    <row r="418" spans="1:16" ht="12.75" customHeight="1" thickBot="1">
      <c r="A418" s="992"/>
      <c r="B418" s="1275"/>
      <c r="C418" s="938"/>
      <c r="D418" s="939"/>
      <c r="E418" s="937"/>
      <c r="F418" s="937"/>
      <c r="G418" s="263"/>
      <c r="H418" s="942"/>
      <c r="I418" s="943"/>
      <c r="J418" s="944"/>
      <c r="K418" s="1041"/>
      <c r="L418" s="947"/>
      <c r="M418" s="111"/>
      <c r="N418" s="111"/>
      <c r="O418" s="111"/>
      <c r="P418" s="111"/>
    </row>
    <row r="419" spans="1:16" ht="12.75" customHeight="1">
      <c r="A419" s="992">
        <v>205</v>
      </c>
      <c r="B419" s="865" t="s">
        <v>1347</v>
      </c>
      <c r="C419" s="904" t="s">
        <v>1400</v>
      </c>
      <c r="D419" s="658" t="s">
        <v>1399</v>
      </c>
      <c r="E419" s="865" t="s">
        <v>20</v>
      </c>
      <c r="F419" s="865"/>
      <c r="G419" s="299"/>
      <c r="H419" s="905">
        <v>10700000</v>
      </c>
      <c r="I419" s="905">
        <f>H419</f>
        <v>10700000</v>
      </c>
      <c r="J419" s="909"/>
      <c r="K419" s="919">
        <v>10700000</v>
      </c>
      <c r="L419" s="903">
        <f>K419-I419</f>
        <v>0</v>
      </c>
      <c r="M419" s="111"/>
      <c r="N419" s="111"/>
      <c r="O419" s="111"/>
      <c r="P419" s="111"/>
    </row>
    <row r="420" spans="1:16" ht="12.75" customHeight="1" thickBot="1">
      <c r="A420" s="992"/>
      <c r="B420" s="865"/>
      <c r="C420" s="904"/>
      <c r="D420" s="658"/>
      <c r="E420" s="865"/>
      <c r="F420" s="865"/>
      <c r="G420" s="299"/>
      <c r="H420" s="905"/>
      <c r="I420" s="906"/>
      <c r="J420" s="910"/>
      <c r="K420" s="920"/>
      <c r="L420" s="903"/>
      <c r="M420" s="111"/>
      <c r="N420" s="111"/>
      <c r="O420" s="111"/>
      <c r="P420" s="111"/>
    </row>
    <row r="421" spans="1:16" ht="12.75" customHeight="1">
      <c r="A421" s="991">
        <v>206</v>
      </c>
      <c r="B421" s="1039"/>
      <c r="C421" s="904" t="s">
        <v>6</v>
      </c>
      <c r="D421" s="658" t="s">
        <v>1361</v>
      </c>
      <c r="E421" s="865" t="s">
        <v>1348</v>
      </c>
      <c r="F421" s="865"/>
      <c r="G421" s="308"/>
      <c r="H421" s="905">
        <v>3000000</v>
      </c>
      <c r="I421" s="905">
        <f>H421</f>
        <v>3000000</v>
      </c>
      <c r="J421" s="909"/>
      <c r="K421" s="911">
        <v>3000000</v>
      </c>
      <c r="L421" s="903">
        <f>K421-I421</f>
        <v>0</v>
      </c>
      <c r="M421" s="111"/>
      <c r="N421" s="111"/>
      <c r="O421" s="111"/>
      <c r="P421" s="111"/>
    </row>
    <row r="422" spans="1:16" ht="12.75" customHeight="1">
      <c r="A422" s="992"/>
      <c r="B422" s="1277"/>
      <c r="C422" s="904"/>
      <c r="D422" s="658"/>
      <c r="E422" s="865"/>
      <c r="F422" s="865"/>
      <c r="G422" s="308"/>
      <c r="H422" s="905"/>
      <c r="I422" s="906"/>
      <c r="J422" s="910"/>
      <c r="K422" s="911"/>
      <c r="L422" s="903"/>
      <c r="M422" s="111"/>
      <c r="N422" s="111"/>
      <c r="O422" s="111"/>
      <c r="P422" s="111"/>
    </row>
    <row r="423" spans="1:16" ht="12.75" customHeight="1">
      <c r="A423" s="992">
        <v>207</v>
      </c>
      <c r="B423" s="1122"/>
      <c r="C423" s="914" t="s">
        <v>420</v>
      </c>
      <c r="D423" s="660" t="s">
        <v>1361</v>
      </c>
      <c r="E423" s="879" t="s">
        <v>1362</v>
      </c>
      <c r="F423" s="879"/>
      <c r="G423" s="274"/>
      <c r="H423" s="916">
        <v>3500000</v>
      </c>
      <c r="I423" s="916">
        <f>H423</f>
        <v>3500000</v>
      </c>
      <c r="J423" s="949"/>
      <c r="K423" s="984">
        <v>3500000</v>
      </c>
      <c r="L423" s="951">
        <f>K423-I423</f>
        <v>0</v>
      </c>
      <c r="M423" s="111"/>
      <c r="N423" s="111"/>
      <c r="O423" s="111" t="s">
        <v>1364</v>
      </c>
      <c r="P423" s="111"/>
    </row>
    <row r="424" spans="1:16" ht="12.75" customHeight="1" thickBot="1">
      <c r="A424" s="992"/>
      <c r="B424" s="977"/>
      <c r="C424" s="938"/>
      <c r="D424" s="939"/>
      <c r="E424" s="937"/>
      <c r="F424" s="937"/>
      <c r="G424" s="272"/>
      <c r="H424" s="942"/>
      <c r="I424" s="943"/>
      <c r="J424" s="944"/>
      <c r="K424" s="1041"/>
      <c r="L424" s="947"/>
      <c r="M424" s="111"/>
      <c r="N424" s="111"/>
      <c r="O424" s="111"/>
      <c r="P424" s="111"/>
    </row>
    <row r="425" spans="1:16" ht="19.5" thickBot="1">
      <c r="A425" s="246"/>
      <c r="B425" s="1175" t="s">
        <v>387</v>
      </c>
      <c r="C425" s="1176"/>
      <c r="D425" s="1176"/>
      <c r="E425" s="1176"/>
      <c r="F425" s="1176"/>
      <c r="G425" s="1176"/>
      <c r="H425" s="1176"/>
      <c r="I425" s="1176"/>
      <c r="J425" s="1176"/>
      <c r="K425" s="1176"/>
      <c r="L425" s="1177"/>
      <c r="M425" s="7">
        <f>SUM(I428:I435,I440:I511,I515,I521,I527)</f>
        <v>214423220</v>
      </c>
      <c r="N425" s="112"/>
      <c r="O425" s="111"/>
      <c r="P425" s="111"/>
    </row>
    <row r="426" spans="1:16" ht="12.75" customHeight="1">
      <c r="A426" s="924">
        <v>208</v>
      </c>
      <c r="B426" s="879" t="s">
        <v>1349</v>
      </c>
      <c r="C426" s="914"/>
      <c r="D426" s="732" t="s">
        <v>1354</v>
      </c>
      <c r="E426" s="879" t="s">
        <v>20</v>
      </c>
      <c r="F426" s="879"/>
      <c r="G426" s="297"/>
      <c r="H426" s="916">
        <v>11500000</v>
      </c>
      <c r="I426" s="916">
        <f>H426</f>
        <v>11500000</v>
      </c>
      <c r="J426" s="949"/>
      <c r="K426" s="984">
        <v>11500000</v>
      </c>
      <c r="L426" s="901">
        <f>K426-I426</f>
        <v>0</v>
      </c>
      <c r="M426" s="111"/>
      <c r="N426" s="111"/>
      <c r="O426" s="111"/>
      <c r="P426" s="111"/>
    </row>
    <row r="427" spans="1:16" ht="13.5" customHeight="1">
      <c r="A427" s="924"/>
      <c r="B427" s="865"/>
      <c r="C427" s="904"/>
      <c r="D427" s="674"/>
      <c r="E427" s="865"/>
      <c r="F427" s="865"/>
      <c r="G427" s="299"/>
      <c r="H427" s="905"/>
      <c r="I427" s="906"/>
      <c r="J427" s="910"/>
      <c r="K427" s="920"/>
      <c r="L427" s="903"/>
      <c r="M427" s="111"/>
      <c r="N427" s="111"/>
      <c r="O427" s="111"/>
      <c r="P427" s="111"/>
    </row>
    <row r="428" spans="1:16" ht="12.75" customHeight="1">
      <c r="A428" s="924">
        <v>209</v>
      </c>
      <c r="B428" s="865"/>
      <c r="C428" s="904" t="s">
        <v>433</v>
      </c>
      <c r="D428" s="658" t="s">
        <v>1350</v>
      </c>
      <c r="E428" s="865" t="s">
        <v>117</v>
      </c>
      <c r="F428" s="865">
        <v>470</v>
      </c>
      <c r="G428" s="285"/>
      <c r="H428" s="905">
        <v>550000</v>
      </c>
      <c r="I428" s="905">
        <f>H428</f>
        <v>550000</v>
      </c>
      <c r="J428" s="909"/>
      <c r="K428" s="919">
        <v>550000</v>
      </c>
      <c r="L428" s="903">
        <f>K428-I428</f>
        <v>0</v>
      </c>
      <c r="M428" s="111"/>
      <c r="N428" s="111"/>
      <c r="O428" s="111"/>
      <c r="P428" s="111"/>
    </row>
    <row r="429" spans="1:16" ht="12.75" customHeight="1">
      <c r="A429" s="924"/>
      <c r="B429" s="865"/>
      <c r="C429" s="904"/>
      <c r="D429" s="658"/>
      <c r="E429" s="865"/>
      <c r="F429" s="865"/>
      <c r="G429" s="285"/>
      <c r="H429" s="905"/>
      <c r="I429" s="906"/>
      <c r="J429" s="910"/>
      <c r="K429" s="920"/>
      <c r="L429" s="903"/>
      <c r="M429" s="111"/>
      <c r="N429" s="111"/>
      <c r="O429" s="111"/>
      <c r="P429" s="111"/>
    </row>
    <row r="430" spans="1:16" ht="12.75" customHeight="1">
      <c r="A430" s="924">
        <v>210</v>
      </c>
      <c r="B430" s="1058"/>
      <c r="C430" s="914" t="s">
        <v>434</v>
      </c>
      <c r="D430" s="660" t="s">
        <v>1350</v>
      </c>
      <c r="E430" s="879" t="s">
        <v>1351</v>
      </c>
      <c r="F430" s="879"/>
      <c r="G430" s="354"/>
      <c r="H430" s="916">
        <v>4000000</v>
      </c>
      <c r="I430" s="916">
        <f>H430</f>
        <v>4000000</v>
      </c>
      <c r="J430" s="949"/>
      <c r="K430" s="984">
        <f>2000000+2000000</f>
        <v>4000000</v>
      </c>
      <c r="L430" s="901">
        <f>K430-I430</f>
        <v>0</v>
      </c>
      <c r="M430" s="111"/>
      <c r="N430" s="111"/>
      <c r="O430" s="111"/>
      <c r="P430" s="111"/>
    </row>
    <row r="431" spans="1:16" ht="12.75" customHeight="1">
      <c r="A431" s="924"/>
      <c r="B431" s="1039"/>
      <c r="C431" s="904"/>
      <c r="D431" s="658"/>
      <c r="E431" s="865"/>
      <c r="F431" s="865"/>
      <c r="G431" s="355"/>
      <c r="H431" s="905"/>
      <c r="I431" s="906"/>
      <c r="J431" s="910"/>
      <c r="K431" s="920"/>
      <c r="L431" s="903"/>
      <c r="M431" s="111"/>
      <c r="N431" s="111"/>
      <c r="O431" s="111"/>
      <c r="P431" s="111"/>
    </row>
    <row r="432" spans="1:16" ht="12.75" customHeight="1">
      <c r="A432" s="924">
        <v>211</v>
      </c>
      <c r="B432" s="865"/>
      <c r="C432" s="904" t="s">
        <v>432</v>
      </c>
      <c r="D432" s="658" t="s">
        <v>1350</v>
      </c>
      <c r="E432" s="1044" t="s">
        <v>1381</v>
      </c>
      <c r="F432" s="1046"/>
      <c r="G432" s="264"/>
      <c r="H432" s="1048">
        <v>3300000</v>
      </c>
      <c r="I432" s="1048">
        <f>H432</f>
        <v>3300000</v>
      </c>
      <c r="J432" s="1052"/>
      <c r="K432" s="1054">
        <f>100000+500000+500000+250000+100000</f>
        <v>1450000</v>
      </c>
      <c r="L432" s="1084">
        <f>K432-I432</f>
        <v>-1850000</v>
      </c>
      <c r="M432" s="111"/>
      <c r="N432" s="111"/>
      <c r="O432" s="111"/>
      <c r="P432" s="111"/>
    </row>
    <row r="433" spans="1:16" ht="12.75" customHeight="1">
      <c r="A433" s="924"/>
      <c r="B433" s="865"/>
      <c r="C433" s="904"/>
      <c r="D433" s="658"/>
      <c r="E433" s="1044"/>
      <c r="F433" s="1046"/>
      <c r="G433" s="264"/>
      <c r="H433" s="1048"/>
      <c r="I433" s="1088"/>
      <c r="J433" s="1089"/>
      <c r="K433" s="1090"/>
      <c r="L433" s="1084"/>
      <c r="M433" s="111" t="s">
        <v>2217</v>
      </c>
      <c r="N433" s="111"/>
      <c r="O433" s="111"/>
      <c r="P433" s="111"/>
    </row>
    <row r="434" spans="1:16" ht="12.75" customHeight="1">
      <c r="A434" s="924">
        <v>212</v>
      </c>
      <c r="B434" s="1039"/>
      <c r="C434" s="904" t="s">
        <v>435</v>
      </c>
      <c r="D434" s="658" t="s">
        <v>1350</v>
      </c>
      <c r="E434" s="865" t="s">
        <v>245</v>
      </c>
      <c r="F434" s="865"/>
      <c r="G434" s="290"/>
      <c r="H434" s="905">
        <v>2400000</v>
      </c>
      <c r="I434" s="905">
        <f>H434</f>
        <v>2400000</v>
      </c>
      <c r="J434" s="909"/>
      <c r="K434" s="919">
        <v>2400000</v>
      </c>
      <c r="L434" s="903">
        <f>K434-I434</f>
        <v>0</v>
      </c>
      <c r="M434" s="111"/>
      <c r="N434" s="111"/>
      <c r="O434" s="111"/>
      <c r="P434" s="111"/>
    </row>
    <row r="435" spans="1:16" ht="12.75" customHeight="1" thickBot="1">
      <c r="A435" s="924"/>
      <c r="B435" s="1190"/>
      <c r="C435" s="938"/>
      <c r="D435" s="939"/>
      <c r="E435" s="937"/>
      <c r="F435" s="937"/>
      <c r="G435" s="291"/>
      <c r="H435" s="942"/>
      <c r="I435" s="943"/>
      <c r="J435" s="944"/>
      <c r="K435" s="1041"/>
      <c r="L435" s="1178"/>
      <c r="M435" s="111"/>
      <c r="N435" s="111"/>
      <c r="O435" s="111"/>
      <c r="P435" s="111"/>
    </row>
    <row r="436" spans="1:16" ht="12.75" customHeight="1">
      <c r="A436" s="924">
        <v>213</v>
      </c>
      <c r="B436" s="975" t="s">
        <v>1358</v>
      </c>
      <c r="C436" s="969" t="s">
        <v>420</v>
      </c>
      <c r="D436" s="993" t="s">
        <v>1354</v>
      </c>
      <c r="E436" s="968" t="s">
        <v>1110</v>
      </c>
      <c r="F436" s="968"/>
      <c r="G436" s="342"/>
      <c r="H436" s="973">
        <v>1523000</v>
      </c>
      <c r="I436" s="973">
        <f>H436</f>
        <v>1523000</v>
      </c>
      <c r="J436" s="974"/>
      <c r="K436" s="1001">
        <v>1523000</v>
      </c>
      <c r="L436" s="967">
        <f>K436-I436</f>
        <v>0</v>
      </c>
      <c r="M436" s="111"/>
      <c r="N436" s="111"/>
      <c r="O436" s="111"/>
      <c r="P436" s="111"/>
    </row>
    <row r="437" spans="1:16" ht="12.75" customHeight="1">
      <c r="A437" s="924"/>
      <c r="B437" s="976"/>
      <c r="C437" s="904"/>
      <c r="D437" s="674"/>
      <c r="E437" s="865"/>
      <c r="F437" s="865"/>
      <c r="G437" s="339"/>
      <c r="H437" s="905"/>
      <c r="I437" s="906"/>
      <c r="J437" s="910"/>
      <c r="K437" s="920"/>
      <c r="L437" s="946"/>
      <c r="M437" s="111"/>
      <c r="N437" s="111"/>
      <c r="O437" s="111"/>
      <c r="P437" s="111"/>
    </row>
    <row r="438" spans="1:16" ht="12.75" customHeight="1">
      <c r="A438" s="924">
        <v>214</v>
      </c>
      <c r="B438" s="976"/>
      <c r="C438" s="904"/>
      <c r="D438" s="658"/>
      <c r="E438" s="865"/>
      <c r="F438" s="865"/>
      <c r="G438" s="273"/>
      <c r="H438" s="905"/>
      <c r="I438" s="905">
        <f>H438</f>
        <v>0</v>
      </c>
      <c r="J438" s="909"/>
      <c r="K438" s="919"/>
      <c r="L438" s="946">
        <f>K438-I438</f>
        <v>0</v>
      </c>
      <c r="M438" s="111"/>
      <c r="N438" s="111"/>
      <c r="O438" s="111"/>
      <c r="P438" s="111"/>
    </row>
    <row r="439" spans="1:16" ht="13.5" customHeight="1" thickBot="1">
      <c r="A439" s="924"/>
      <c r="B439" s="1159"/>
      <c r="C439" s="913"/>
      <c r="D439" s="659"/>
      <c r="E439" s="878"/>
      <c r="F439" s="878"/>
      <c r="G439" s="278"/>
      <c r="H439" s="915"/>
      <c r="I439" s="982"/>
      <c r="J439" s="917"/>
      <c r="K439" s="984"/>
      <c r="L439" s="950"/>
      <c r="M439" s="111"/>
      <c r="N439" s="111"/>
      <c r="O439" s="111"/>
      <c r="P439" s="111"/>
    </row>
    <row r="440" spans="1:16" ht="12.75" customHeight="1">
      <c r="A440" s="924">
        <v>215</v>
      </c>
      <c r="B440" s="968" t="s">
        <v>1352</v>
      </c>
      <c r="C440" s="969"/>
      <c r="D440" s="970" t="s">
        <v>1350</v>
      </c>
      <c r="E440" s="968" t="s">
        <v>20</v>
      </c>
      <c r="F440" s="968"/>
      <c r="G440" s="313"/>
      <c r="H440" s="973">
        <v>10700000</v>
      </c>
      <c r="I440" s="973">
        <f>H440</f>
        <v>10700000</v>
      </c>
      <c r="J440" s="974"/>
      <c r="K440" s="1001">
        <v>10700000</v>
      </c>
      <c r="L440" s="967">
        <f>K440-I440</f>
        <v>0</v>
      </c>
      <c r="M440" s="111"/>
      <c r="N440" s="111"/>
      <c r="O440" s="111"/>
      <c r="P440" s="111"/>
    </row>
    <row r="441" spans="1:16" ht="12.75" customHeight="1">
      <c r="A441" s="924"/>
      <c r="B441" s="865"/>
      <c r="C441" s="904"/>
      <c r="D441" s="658"/>
      <c r="E441" s="865"/>
      <c r="F441" s="865"/>
      <c r="G441" s="311"/>
      <c r="H441" s="905"/>
      <c r="I441" s="906"/>
      <c r="J441" s="910"/>
      <c r="K441" s="920"/>
      <c r="L441" s="946"/>
      <c r="M441" s="111"/>
      <c r="N441" s="111"/>
      <c r="O441" s="111"/>
      <c r="P441" s="111"/>
    </row>
    <row r="442" spans="1:16" ht="12.75" customHeight="1">
      <c r="A442" s="924">
        <v>216</v>
      </c>
      <c r="B442" s="1114"/>
      <c r="C442" s="904" t="s">
        <v>432</v>
      </c>
      <c r="D442" s="658" t="s">
        <v>1363</v>
      </c>
      <c r="E442" s="865" t="s">
        <v>242</v>
      </c>
      <c r="F442" s="865">
        <v>300</v>
      </c>
      <c r="G442" s="311"/>
      <c r="H442" s="905">
        <v>1100000</v>
      </c>
      <c r="I442" s="905">
        <f>H442</f>
        <v>1100000</v>
      </c>
      <c r="J442" s="909"/>
      <c r="K442" s="919">
        <v>1100000</v>
      </c>
      <c r="L442" s="946">
        <f>K442-I442</f>
        <v>0</v>
      </c>
      <c r="M442" s="111"/>
      <c r="N442" s="111"/>
      <c r="O442" s="111"/>
      <c r="P442" s="111"/>
    </row>
    <row r="443" spans="1:16" ht="12.75" customHeight="1">
      <c r="A443" s="924"/>
      <c r="B443" s="1116"/>
      <c r="C443" s="904"/>
      <c r="D443" s="658"/>
      <c r="E443" s="865"/>
      <c r="F443" s="865"/>
      <c r="G443" s="311"/>
      <c r="H443" s="905"/>
      <c r="I443" s="906"/>
      <c r="J443" s="910"/>
      <c r="K443" s="920"/>
      <c r="L443" s="946"/>
      <c r="M443" s="111"/>
      <c r="N443" s="111"/>
      <c r="O443" s="111"/>
      <c r="P443" s="111"/>
    </row>
    <row r="444" spans="1:16" ht="12.75" customHeight="1">
      <c r="A444" s="924">
        <v>217</v>
      </c>
      <c r="B444" s="879"/>
      <c r="C444" s="914" t="s">
        <v>433</v>
      </c>
      <c r="D444" s="660" t="s">
        <v>1363</v>
      </c>
      <c r="E444" s="879" t="s">
        <v>1365</v>
      </c>
      <c r="F444" s="879"/>
      <c r="G444" s="310"/>
      <c r="H444" s="916">
        <v>1000000</v>
      </c>
      <c r="I444" s="916">
        <f>H444</f>
        <v>1000000</v>
      </c>
      <c r="J444" s="949"/>
      <c r="K444" s="984">
        <v>1000000</v>
      </c>
      <c r="L444" s="951">
        <f>K444-I444</f>
        <v>0</v>
      </c>
      <c r="M444" s="111"/>
      <c r="N444" s="111"/>
      <c r="O444" s="111"/>
      <c r="P444" s="111"/>
    </row>
    <row r="445" spans="1:16" ht="12.75" customHeight="1" thickBot="1">
      <c r="A445" s="924"/>
      <c r="B445" s="937"/>
      <c r="C445" s="938"/>
      <c r="D445" s="939"/>
      <c r="E445" s="937"/>
      <c r="F445" s="937"/>
      <c r="G445" s="312"/>
      <c r="H445" s="942"/>
      <c r="I445" s="943"/>
      <c r="J445" s="944"/>
      <c r="K445" s="1041"/>
      <c r="L445" s="947"/>
      <c r="M445" s="111"/>
      <c r="N445" s="111"/>
      <c r="O445" s="111"/>
      <c r="P445" s="111"/>
    </row>
    <row r="446" spans="1:16" ht="12.75" customHeight="1">
      <c r="A446" s="924">
        <v>218</v>
      </c>
      <c r="B446" s="968" t="s">
        <v>1353</v>
      </c>
      <c r="C446" s="969"/>
      <c r="D446" s="970" t="s">
        <v>1368</v>
      </c>
      <c r="E446" s="968" t="s">
        <v>239</v>
      </c>
      <c r="F446" s="968"/>
      <c r="G446" s="313"/>
      <c r="H446" s="973">
        <v>11500000</v>
      </c>
      <c r="I446" s="973">
        <f>H446</f>
        <v>11500000</v>
      </c>
      <c r="J446" s="974"/>
      <c r="K446" s="1001">
        <v>11500000</v>
      </c>
      <c r="L446" s="967">
        <f>K446-I446</f>
        <v>0</v>
      </c>
      <c r="M446" s="111"/>
      <c r="N446" s="111"/>
      <c r="O446" s="111"/>
      <c r="P446" s="111"/>
    </row>
    <row r="447" spans="1:16" ht="12.75" customHeight="1">
      <c r="A447" s="924"/>
      <c r="B447" s="865"/>
      <c r="C447" s="904"/>
      <c r="D447" s="658"/>
      <c r="E447" s="865"/>
      <c r="F447" s="865"/>
      <c r="G447" s="311"/>
      <c r="H447" s="905"/>
      <c r="I447" s="906"/>
      <c r="J447" s="910"/>
      <c r="K447" s="920"/>
      <c r="L447" s="946"/>
      <c r="M447" s="111"/>
      <c r="N447" s="111"/>
      <c r="O447" s="111"/>
      <c r="P447" s="111"/>
    </row>
    <row r="448" spans="1:16" ht="12.75" customHeight="1">
      <c r="A448" s="924">
        <v>219</v>
      </c>
      <c r="B448" s="1114"/>
      <c r="C448" s="904" t="s">
        <v>434</v>
      </c>
      <c r="D448" s="658" t="s">
        <v>1369</v>
      </c>
      <c r="E448" s="865" t="s">
        <v>1370</v>
      </c>
      <c r="F448" s="865"/>
      <c r="G448" s="280"/>
      <c r="H448" s="905">
        <v>4000000</v>
      </c>
      <c r="I448" s="905">
        <f>H448</f>
        <v>4000000</v>
      </c>
      <c r="J448" s="909"/>
      <c r="K448" s="919">
        <v>4000000</v>
      </c>
      <c r="L448" s="946">
        <f>K448-I448</f>
        <v>0</v>
      </c>
      <c r="M448" s="111"/>
      <c r="N448" s="111"/>
      <c r="O448" s="111"/>
      <c r="P448" s="111"/>
    </row>
    <row r="449" spans="1:16" ht="12.75" customHeight="1">
      <c r="A449" s="924"/>
      <c r="B449" s="1116"/>
      <c r="C449" s="904"/>
      <c r="D449" s="658"/>
      <c r="E449" s="865"/>
      <c r="F449" s="865"/>
      <c r="G449" s="280"/>
      <c r="H449" s="905"/>
      <c r="I449" s="906"/>
      <c r="J449" s="910"/>
      <c r="K449" s="920"/>
      <c r="L449" s="946"/>
      <c r="M449" s="111"/>
      <c r="N449" s="111"/>
      <c r="O449" s="111"/>
      <c r="P449" s="111"/>
    </row>
    <row r="450" spans="1:16" ht="12.75" customHeight="1">
      <c r="A450" s="924">
        <v>220</v>
      </c>
      <c r="B450" s="879"/>
      <c r="C450" s="914" t="s">
        <v>457</v>
      </c>
      <c r="D450" s="660" t="s">
        <v>1371</v>
      </c>
      <c r="E450" s="879" t="s">
        <v>1372</v>
      </c>
      <c r="F450" s="879"/>
      <c r="G450" s="306"/>
      <c r="H450" s="916">
        <v>2072500</v>
      </c>
      <c r="I450" s="916">
        <f>H450</f>
        <v>2072500</v>
      </c>
      <c r="J450" s="949"/>
      <c r="K450" s="984">
        <v>2072500</v>
      </c>
      <c r="L450" s="951">
        <f>K450-I450</f>
        <v>0</v>
      </c>
      <c r="M450" s="111"/>
      <c r="N450" s="111"/>
      <c r="O450" s="111"/>
      <c r="P450" s="111"/>
    </row>
    <row r="451" spans="1:16" ht="12.75" customHeight="1" thickBot="1">
      <c r="A451" s="924"/>
      <c r="B451" s="937"/>
      <c r="C451" s="938"/>
      <c r="D451" s="939"/>
      <c r="E451" s="937"/>
      <c r="F451" s="937"/>
      <c r="G451" s="309"/>
      <c r="H451" s="942"/>
      <c r="I451" s="943"/>
      <c r="J451" s="944"/>
      <c r="K451" s="1041"/>
      <c r="L451" s="947"/>
      <c r="M451" s="111"/>
      <c r="N451" s="111"/>
      <c r="O451" s="111"/>
      <c r="P451" s="111"/>
    </row>
    <row r="452" spans="1:16" ht="12.75" customHeight="1">
      <c r="A452" s="924">
        <v>221</v>
      </c>
      <c r="B452" s="968" t="s">
        <v>1357</v>
      </c>
      <c r="C452" s="969" t="s">
        <v>436</v>
      </c>
      <c r="D452" s="970" t="s">
        <v>1359</v>
      </c>
      <c r="E452" s="968" t="s">
        <v>8</v>
      </c>
      <c r="F452" s="968"/>
      <c r="G452" s="342"/>
      <c r="H452" s="973">
        <v>1375000</v>
      </c>
      <c r="I452" s="973">
        <f>H452</f>
        <v>1375000</v>
      </c>
      <c r="J452" s="974"/>
      <c r="K452" s="1001">
        <v>1375000</v>
      </c>
      <c r="L452" s="967">
        <f>K452-I452</f>
        <v>0</v>
      </c>
      <c r="M452" s="111"/>
      <c r="N452" s="111"/>
      <c r="O452" s="111"/>
      <c r="P452" s="111"/>
    </row>
    <row r="453" spans="1:16" ht="12.75" customHeight="1">
      <c r="A453" s="924"/>
      <c r="B453" s="865"/>
      <c r="C453" s="904"/>
      <c r="D453" s="658"/>
      <c r="E453" s="865"/>
      <c r="F453" s="865"/>
      <c r="G453" s="339"/>
      <c r="H453" s="905"/>
      <c r="I453" s="906"/>
      <c r="J453" s="910"/>
      <c r="K453" s="920"/>
      <c r="L453" s="946"/>
      <c r="M453" s="111"/>
      <c r="N453" s="111"/>
      <c r="O453" s="111"/>
      <c r="P453" s="111"/>
    </row>
    <row r="454" spans="1:16" ht="12.75" customHeight="1">
      <c r="A454" s="924">
        <v>222</v>
      </c>
      <c r="B454" s="981"/>
      <c r="C454" s="904" t="s">
        <v>438</v>
      </c>
      <c r="D454" s="658" t="s">
        <v>1359</v>
      </c>
      <c r="E454" s="865" t="s">
        <v>308</v>
      </c>
      <c r="F454" s="865"/>
      <c r="G454" s="365"/>
      <c r="H454" s="905">
        <v>1710</v>
      </c>
      <c r="I454" s="905">
        <f>H454*J454</f>
        <v>494190</v>
      </c>
      <c r="J454" s="909">
        <v>289</v>
      </c>
      <c r="K454" s="919">
        <v>494190</v>
      </c>
      <c r="L454" s="946">
        <f>K454-I454</f>
        <v>0</v>
      </c>
      <c r="M454" s="111"/>
      <c r="N454" s="111"/>
      <c r="O454" s="111"/>
      <c r="P454" s="111"/>
    </row>
    <row r="455" spans="1:16" ht="12.75" customHeight="1" thickBot="1">
      <c r="A455" s="924"/>
      <c r="B455" s="1082"/>
      <c r="C455" s="938"/>
      <c r="D455" s="939"/>
      <c r="E455" s="937"/>
      <c r="F455" s="937"/>
      <c r="G455" s="366"/>
      <c r="H455" s="942"/>
      <c r="I455" s="943"/>
      <c r="J455" s="944"/>
      <c r="K455" s="1041"/>
      <c r="L455" s="947"/>
      <c r="M455" s="111"/>
      <c r="N455" s="111"/>
      <c r="O455" s="111"/>
      <c r="P455" s="111"/>
    </row>
    <row r="456" spans="1:16" ht="12.75" customHeight="1">
      <c r="A456" s="924">
        <v>223</v>
      </c>
      <c r="B456" s="968" t="s">
        <v>1355</v>
      </c>
      <c r="C456" s="969"/>
      <c r="D456" s="970" t="s">
        <v>1363</v>
      </c>
      <c r="E456" s="968" t="str">
        <f>E446</f>
        <v>ООО "Громин"</v>
      </c>
      <c r="F456" s="968"/>
      <c r="G456" s="313"/>
      <c r="H456" s="973">
        <v>11100000</v>
      </c>
      <c r="I456" s="973">
        <f>H456</f>
        <v>11100000</v>
      </c>
      <c r="J456" s="974"/>
      <c r="K456" s="1001">
        <v>11100000</v>
      </c>
      <c r="L456" s="967">
        <f>K456-I456</f>
        <v>0</v>
      </c>
      <c r="M456" s="111"/>
      <c r="N456" s="111"/>
      <c r="O456" s="111"/>
      <c r="P456" s="111"/>
    </row>
    <row r="457" spans="1:16" ht="12.75" customHeight="1">
      <c r="A457" s="924"/>
      <c r="B457" s="865"/>
      <c r="C457" s="904"/>
      <c r="D457" s="658"/>
      <c r="E457" s="865"/>
      <c r="F457" s="865"/>
      <c r="G457" s="311"/>
      <c r="H457" s="905"/>
      <c r="I457" s="906"/>
      <c r="J457" s="910"/>
      <c r="K457" s="920"/>
      <c r="L457" s="946"/>
      <c r="M457" s="111"/>
      <c r="N457" s="111"/>
      <c r="O457" s="111"/>
      <c r="P457" s="111"/>
    </row>
    <row r="458" spans="1:16" ht="12.75" customHeight="1">
      <c r="A458" s="924">
        <v>224</v>
      </c>
      <c r="B458" s="1114"/>
      <c r="C458" s="904" t="s">
        <v>458</v>
      </c>
      <c r="D458" s="658" t="s">
        <v>1377</v>
      </c>
      <c r="E458" s="865" t="s">
        <v>1375</v>
      </c>
      <c r="F458" s="865"/>
      <c r="G458" s="317"/>
      <c r="H458" s="905">
        <v>4100000</v>
      </c>
      <c r="I458" s="905">
        <f>H458</f>
        <v>4100000</v>
      </c>
      <c r="J458" s="909"/>
      <c r="K458" s="919">
        <v>4100000</v>
      </c>
      <c r="L458" s="946">
        <f>K458-I458</f>
        <v>0</v>
      </c>
      <c r="M458" s="111"/>
      <c r="N458" s="111"/>
      <c r="O458" s="111"/>
      <c r="P458" s="111"/>
    </row>
    <row r="459" spans="1:16" ht="13.5" customHeight="1" thickBot="1">
      <c r="A459" s="924"/>
      <c r="B459" s="1115"/>
      <c r="C459" s="938"/>
      <c r="D459" s="939"/>
      <c r="E459" s="937"/>
      <c r="F459" s="937"/>
      <c r="G459" s="316"/>
      <c r="H459" s="942"/>
      <c r="I459" s="943"/>
      <c r="J459" s="944"/>
      <c r="K459" s="1041"/>
      <c r="L459" s="947"/>
      <c r="M459" s="111"/>
      <c r="N459" s="111"/>
      <c r="O459" s="111"/>
      <c r="P459" s="111"/>
    </row>
    <row r="460" spans="1:16" ht="12.75" customHeight="1">
      <c r="A460" s="924">
        <v>225</v>
      </c>
      <c r="B460" s="968" t="s">
        <v>1373</v>
      </c>
      <c r="C460" s="969" t="s">
        <v>6</v>
      </c>
      <c r="D460" s="970" t="s">
        <v>1377</v>
      </c>
      <c r="E460" s="968" t="s">
        <v>1382</v>
      </c>
      <c r="F460" s="968"/>
      <c r="G460" s="342"/>
      <c r="H460" s="973">
        <v>597000</v>
      </c>
      <c r="I460" s="973">
        <f>H460</f>
        <v>597000</v>
      </c>
      <c r="J460" s="974"/>
      <c r="K460" s="1001">
        <v>597000</v>
      </c>
      <c r="L460" s="967">
        <f>K460-I460</f>
        <v>0</v>
      </c>
      <c r="M460" s="111"/>
      <c r="N460" s="111"/>
      <c r="O460" s="111"/>
      <c r="P460" s="111"/>
    </row>
    <row r="461" spans="1:16" ht="12.75" customHeight="1">
      <c r="A461" s="924"/>
      <c r="B461" s="865"/>
      <c r="C461" s="904"/>
      <c r="D461" s="658"/>
      <c r="E461" s="865"/>
      <c r="F461" s="865"/>
      <c r="G461" s="339"/>
      <c r="H461" s="905"/>
      <c r="I461" s="906"/>
      <c r="J461" s="910"/>
      <c r="K461" s="920"/>
      <c r="L461" s="946"/>
      <c r="M461" s="111"/>
      <c r="N461" s="111"/>
      <c r="O461" s="111"/>
      <c r="P461" s="111"/>
    </row>
    <row r="462" spans="1:16" ht="12.75" customHeight="1">
      <c r="A462" s="924">
        <v>226</v>
      </c>
      <c r="B462" s="981"/>
      <c r="C462" s="904"/>
      <c r="D462" s="658"/>
      <c r="E462" s="865"/>
      <c r="F462" s="865"/>
      <c r="G462" s="290"/>
      <c r="H462" s="905"/>
      <c r="I462" s="905">
        <f>H462</f>
        <v>0</v>
      </c>
      <c r="J462" s="909"/>
      <c r="K462" s="919"/>
      <c r="L462" s="946">
        <f>K462-I462</f>
        <v>0</v>
      </c>
      <c r="M462" s="111"/>
      <c r="N462" s="111"/>
      <c r="O462" s="111"/>
      <c r="P462" s="111"/>
    </row>
    <row r="463" spans="1:16" ht="13.5" customHeight="1" thickBot="1">
      <c r="A463" s="924"/>
      <c r="B463" s="1082"/>
      <c r="C463" s="938"/>
      <c r="D463" s="939"/>
      <c r="E463" s="937"/>
      <c r="F463" s="937"/>
      <c r="G463" s="291"/>
      <c r="H463" s="942"/>
      <c r="I463" s="943"/>
      <c r="J463" s="944"/>
      <c r="K463" s="1041"/>
      <c r="L463" s="947"/>
      <c r="M463" s="111"/>
      <c r="N463" s="111"/>
      <c r="O463" s="111"/>
      <c r="P463" s="111"/>
    </row>
    <row r="464" spans="1:16" ht="12.75" customHeight="1">
      <c r="A464" s="924">
        <v>227</v>
      </c>
      <c r="B464" s="968" t="s">
        <v>1366</v>
      </c>
      <c r="C464" s="969" t="s">
        <v>6</v>
      </c>
      <c r="D464" s="970" t="s">
        <v>1384</v>
      </c>
      <c r="E464" s="968" t="s">
        <v>1383</v>
      </c>
      <c r="F464" s="968"/>
      <c r="G464" s="327"/>
      <c r="H464" s="973">
        <v>9000000</v>
      </c>
      <c r="I464" s="973">
        <f>H464</f>
        <v>9000000</v>
      </c>
      <c r="J464" s="974"/>
      <c r="K464" s="1001">
        <v>9000000</v>
      </c>
      <c r="L464" s="967">
        <f>K464-I464</f>
        <v>0</v>
      </c>
      <c r="M464" s="111"/>
      <c r="N464" s="111"/>
      <c r="O464" s="111"/>
      <c r="P464" s="111"/>
    </row>
    <row r="465" spans="1:16" ht="12.75" customHeight="1">
      <c r="A465" s="924"/>
      <c r="B465" s="865"/>
      <c r="C465" s="904"/>
      <c r="D465" s="658"/>
      <c r="E465" s="865"/>
      <c r="F465" s="865"/>
      <c r="G465" s="328"/>
      <c r="H465" s="905"/>
      <c r="I465" s="906"/>
      <c r="J465" s="910"/>
      <c r="K465" s="920"/>
      <c r="L465" s="946"/>
      <c r="M465" s="111"/>
      <c r="N465" s="111"/>
      <c r="O465" s="111"/>
      <c r="P465" s="111"/>
    </row>
    <row r="466" spans="1:16" ht="12.75" customHeight="1">
      <c r="A466" s="924">
        <v>228</v>
      </c>
      <c r="B466" s="981"/>
      <c r="C466" s="904" t="s">
        <v>460</v>
      </c>
      <c r="D466" s="658" t="s">
        <v>1379</v>
      </c>
      <c r="E466" s="865" t="s">
        <v>250</v>
      </c>
      <c r="F466" s="865"/>
      <c r="G466" s="294"/>
      <c r="H466" s="905">
        <v>8500000</v>
      </c>
      <c r="I466" s="905">
        <f>H466</f>
        <v>8500000</v>
      </c>
      <c r="J466" s="909"/>
      <c r="K466" s="919">
        <v>8500000</v>
      </c>
      <c r="L466" s="946">
        <f>K466-I466</f>
        <v>0</v>
      </c>
      <c r="M466" s="111"/>
      <c r="N466" s="111"/>
      <c r="O466" s="111"/>
      <c r="P466" s="111"/>
    </row>
    <row r="467" spans="1:16" ht="12.75" customHeight="1">
      <c r="A467" s="924"/>
      <c r="B467" s="1092"/>
      <c r="C467" s="904"/>
      <c r="D467" s="658"/>
      <c r="E467" s="865"/>
      <c r="F467" s="865"/>
      <c r="G467" s="294"/>
      <c r="H467" s="905"/>
      <c r="I467" s="906"/>
      <c r="J467" s="910"/>
      <c r="K467" s="920"/>
      <c r="L467" s="946"/>
      <c r="M467" s="111"/>
      <c r="N467" s="111"/>
      <c r="O467" s="111"/>
      <c r="P467" s="111"/>
    </row>
    <row r="468" spans="1:16" ht="12.75" customHeight="1">
      <c r="A468" s="924">
        <v>229</v>
      </c>
      <c r="B468" s="1039"/>
      <c r="C468" s="904" t="s">
        <v>465</v>
      </c>
      <c r="D468" s="658" t="s">
        <v>1380</v>
      </c>
      <c r="E468" s="865" t="s">
        <v>117</v>
      </c>
      <c r="F468" s="865"/>
      <c r="G468" s="285"/>
      <c r="H468" s="905">
        <v>550000</v>
      </c>
      <c r="I468" s="905">
        <f>H468</f>
        <v>550000</v>
      </c>
      <c r="J468" s="909"/>
      <c r="K468" s="919">
        <v>550000</v>
      </c>
      <c r="L468" s="946">
        <f>K468-I468</f>
        <v>0</v>
      </c>
      <c r="M468" s="111"/>
      <c r="N468" s="111"/>
      <c r="O468" s="111"/>
      <c r="P468" s="111"/>
    </row>
    <row r="469" spans="1:16" ht="12.75" customHeight="1" thickBot="1">
      <c r="A469" s="924"/>
      <c r="B469" s="1040"/>
      <c r="C469" s="938"/>
      <c r="D469" s="939"/>
      <c r="E469" s="937"/>
      <c r="F469" s="937"/>
      <c r="G469" s="286"/>
      <c r="H469" s="942"/>
      <c r="I469" s="943"/>
      <c r="J469" s="944"/>
      <c r="K469" s="1041"/>
      <c r="L469" s="947"/>
      <c r="M469" s="111"/>
      <c r="N469" s="111"/>
      <c r="O469" s="111"/>
      <c r="P469" s="111"/>
    </row>
    <row r="470" spans="1:16" ht="12.75" customHeight="1">
      <c r="A470" s="924">
        <v>230</v>
      </c>
      <c r="B470" s="879" t="s">
        <v>1367</v>
      </c>
      <c r="C470" s="914" t="s">
        <v>466</v>
      </c>
      <c r="D470" s="660" t="s">
        <v>1389</v>
      </c>
      <c r="E470" s="879" t="s">
        <v>15</v>
      </c>
      <c r="F470" s="879"/>
      <c r="G470" s="297"/>
      <c r="H470" s="916">
        <v>3800000</v>
      </c>
      <c r="I470" s="916">
        <f>H470</f>
        <v>3800000</v>
      </c>
      <c r="J470" s="949"/>
      <c r="K470" s="984">
        <v>3800000</v>
      </c>
      <c r="L470" s="901">
        <f>K470-I470</f>
        <v>0</v>
      </c>
      <c r="M470" s="111" t="s">
        <v>1387</v>
      </c>
      <c r="N470" s="111"/>
      <c r="O470" s="111"/>
      <c r="P470" s="111"/>
    </row>
    <row r="471" spans="1:16" ht="12.75" customHeight="1">
      <c r="A471" s="924"/>
      <c r="B471" s="865"/>
      <c r="C471" s="904"/>
      <c r="D471" s="658"/>
      <c r="E471" s="865"/>
      <c r="F471" s="865"/>
      <c r="G471" s="299"/>
      <c r="H471" s="905"/>
      <c r="I471" s="906"/>
      <c r="J471" s="910"/>
      <c r="K471" s="920"/>
      <c r="L471" s="903"/>
      <c r="M471" s="111"/>
      <c r="N471" s="111"/>
      <c r="O471" s="111"/>
      <c r="P471" s="111"/>
    </row>
    <row r="472" spans="1:16" ht="12.75" customHeight="1">
      <c r="A472" s="924">
        <v>231</v>
      </c>
      <c r="B472" s="1114"/>
      <c r="C472" s="904" t="s">
        <v>467</v>
      </c>
      <c r="D472" s="658" t="s">
        <v>1389</v>
      </c>
      <c r="E472" s="865" t="s">
        <v>497</v>
      </c>
      <c r="F472" s="865"/>
      <c r="G472" s="319"/>
      <c r="H472" s="905">
        <v>2000000</v>
      </c>
      <c r="I472" s="905">
        <f>H472</f>
        <v>2000000</v>
      </c>
      <c r="J472" s="909"/>
      <c r="K472" s="919">
        <v>2000000</v>
      </c>
      <c r="L472" s="903">
        <f>K472-I472</f>
        <v>0</v>
      </c>
      <c r="M472" s="111"/>
      <c r="N472" s="111"/>
      <c r="O472" s="111"/>
      <c r="P472" s="111"/>
    </row>
    <row r="473" spans="1:16" ht="13.5" customHeight="1" thickBot="1">
      <c r="A473" s="924"/>
      <c r="B473" s="1115"/>
      <c r="C473" s="938"/>
      <c r="D473" s="939"/>
      <c r="E473" s="937"/>
      <c r="F473" s="937"/>
      <c r="G473" s="318"/>
      <c r="H473" s="942"/>
      <c r="I473" s="943"/>
      <c r="J473" s="944"/>
      <c r="K473" s="1041"/>
      <c r="L473" s="1178"/>
      <c r="M473" s="111"/>
      <c r="N473" s="111"/>
      <c r="O473" s="111"/>
      <c r="P473" s="111"/>
    </row>
    <row r="474" spans="1:16" ht="12.75" customHeight="1">
      <c r="A474" s="924">
        <v>232</v>
      </c>
      <c r="B474" s="879" t="s">
        <v>1374</v>
      </c>
      <c r="C474" s="914" t="s">
        <v>1405</v>
      </c>
      <c r="D474" s="660" t="s">
        <v>1404</v>
      </c>
      <c r="E474" s="879" t="str">
        <f>E446</f>
        <v>ООО "Громин"</v>
      </c>
      <c r="F474" s="879"/>
      <c r="G474" s="325"/>
      <c r="H474" s="916">
        <v>11500000</v>
      </c>
      <c r="I474" s="916">
        <f>H474</f>
        <v>11500000</v>
      </c>
      <c r="J474" s="949"/>
      <c r="K474" s="984">
        <v>11500000</v>
      </c>
      <c r="L474" s="901">
        <f>K474-I474</f>
        <v>0</v>
      </c>
      <c r="M474" s="111"/>
      <c r="N474" s="111"/>
      <c r="O474" s="111"/>
      <c r="P474" s="111"/>
    </row>
    <row r="475" spans="1:16" ht="12.75" customHeight="1">
      <c r="A475" s="924"/>
      <c r="B475" s="865"/>
      <c r="C475" s="904"/>
      <c r="D475" s="658"/>
      <c r="E475" s="865"/>
      <c r="F475" s="865"/>
      <c r="G475" s="326"/>
      <c r="H475" s="905"/>
      <c r="I475" s="906"/>
      <c r="J475" s="910"/>
      <c r="K475" s="920"/>
      <c r="L475" s="903"/>
      <c r="M475" s="111"/>
      <c r="N475" s="111"/>
      <c r="O475" s="111"/>
      <c r="P475" s="111"/>
    </row>
    <row r="476" spans="1:16" ht="12.75" customHeight="1">
      <c r="A476" s="924">
        <v>233</v>
      </c>
      <c r="B476" s="981"/>
      <c r="C476" s="904" t="s">
        <v>472</v>
      </c>
      <c r="D476" s="658" t="s">
        <v>1393</v>
      </c>
      <c r="E476" s="865" t="s">
        <v>260</v>
      </c>
      <c r="F476" s="865"/>
      <c r="G476" s="299"/>
      <c r="H476" s="905">
        <v>1100000</v>
      </c>
      <c r="I476" s="905">
        <f>H476</f>
        <v>1100000</v>
      </c>
      <c r="J476" s="909"/>
      <c r="K476" s="919">
        <v>1100000</v>
      </c>
      <c r="L476" s="903">
        <f>K476-I476</f>
        <v>0</v>
      </c>
      <c r="M476" s="111"/>
      <c r="N476" s="111"/>
      <c r="O476" s="111"/>
      <c r="P476" s="111"/>
    </row>
    <row r="477" spans="1:16" ht="12.75" customHeight="1">
      <c r="A477" s="924"/>
      <c r="B477" s="1092"/>
      <c r="C477" s="913"/>
      <c r="D477" s="659"/>
      <c r="E477" s="878"/>
      <c r="F477" s="878"/>
      <c r="G477" s="298"/>
      <c r="H477" s="915"/>
      <c r="I477" s="982"/>
      <c r="J477" s="917"/>
      <c r="K477" s="984"/>
      <c r="L477" s="900"/>
      <c r="M477" s="111"/>
      <c r="N477" s="111"/>
      <c r="O477" s="111"/>
      <c r="P477" s="111"/>
    </row>
    <row r="478" spans="1:16" ht="12.75" customHeight="1">
      <c r="A478" s="924">
        <v>234</v>
      </c>
      <c r="B478" s="865"/>
      <c r="C478" s="904" t="s">
        <v>485</v>
      </c>
      <c r="D478" s="658" t="s">
        <v>1393</v>
      </c>
      <c r="E478" s="865" t="s">
        <v>697</v>
      </c>
      <c r="F478" s="865"/>
      <c r="G478" s="299"/>
      <c r="H478" s="905">
        <v>550000</v>
      </c>
      <c r="I478" s="905">
        <f>H478</f>
        <v>550000</v>
      </c>
      <c r="J478" s="909"/>
      <c r="K478" s="911">
        <v>550000</v>
      </c>
      <c r="L478" s="903">
        <f>K478-I478</f>
        <v>0</v>
      </c>
      <c r="M478" s="111"/>
      <c r="N478" s="111"/>
      <c r="O478" s="111"/>
      <c r="P478" s="111"/>
    </row>
    <row r="479" spans="1:16" ht="12.75" customHeight="1">
      <c r="A479" s="924"/>
      <c r="B479" s="865"/>
      <c r="C479" s="904"/>
      <c r="D479" s="658"/>
      <c r="E479" s="865"/>
      <c r="F479" s="865"/>
      <c r="G479" s="299"/>
      <c r="H479" s="905"/>
      <c r="I479" s="906"/>
      <c r="J479" s="910"/>
      <c r="K479" s="911"/>
      <c r="L479" s="903"/>
      <c r="M479" s="111"/>
      <c r="N479" s="111"/>
      <c r="O479" s="111"/>
      <c r="P479" s="111"/>
    </row>
    <row r="480" spans="1:16" ht="12.75" customHeight="1">
      <c r="A480" s="924">
        <v>235</v>
      </c>
      <c r="B480" s="879"/>
      <c r="C480" s="914" t="s">
        <v>486</v>
      </c>
      <c r="D480" s="660" t="s">
        <v>1393</v>
      </c>
      <c r="E480" s="879" t="s">
        <v>280</v>
      </c>
      <c r="F480" s="879"/>
      <c r="G480" s="461"/>
      <c r="H480" s="916">
        <v>550000</v>
      </c>
      <c r="I480" s="916">
        <f>H480</f>
        <v>550000</v>
      </c>
      <c r="J480" s="949"/>
      <c r="K480" s="984">
        <v>550000</v>
      </c>
      <c r="L480" s="901">
        <f>K480-I480</f>
        <v>0</v>
      </c>
      <c r="M480" s="111"/>
      <c r="N480" s="111"/>
      <c r="O480" s="111"/>
      <c r="P480" s="111"/>
    </row>
    <row r="481" spans="1:16" ht="12.75" customHeight="1" thickBot="1">
      <c r="A481" s="924"/>
      <c r="B481" s="878"/>
      <c r="C481" s="913"/>
      <c r="D481" s="659"/>
      <c r="E481" s="878"/>
      <c r="F481" s="878"/>
      <c r="G481" s="463"/>
      <c r="H481" s="915"/>
      <c r="I481" s="982"/>
      <c r="J481" s="917"/>
      <c r="K481" s="984"/>
      <c r="L481" s="900"/>
      <c r="M481" s="111"/>
      <c r="N481" s="111"/>
      <c r="O481" s="111"/>
      <c r="P481" s="111"/>
    </row>
    <row r="482" spans="1:16" ht="12.75" customHeight="1">
      <c r="A482" s="924">
        <v>236</v>
      </c>
      <c r="B482" s="968" t="s">
        <v>1378</v>
      </c>
      <c r="C482" s="969"/>
      <c r="D482" s="970"/>
      <c r="E482" s="968"/>
      <c r="F482" s="968"/>
      <c r="G482" s="283"/>
      <c r="H482" s="973"/>
      <c r="I482" s="973"/>
      <c r="J482" s="974"/>
      <c r="K482" s="1001"/>
      <c r="L482" s="967"/>
      <c r="M482" s="111"/>
      <c r="N482" s="111"/>
      <c r="O482" s="111"/>
      <c r="P482" s="111"/>
    </row>
    <row r="483" spans="1:16" ht="13.5" customHeight="1" thickBot="1">
      <c r="A483" s="924"/>
      <c r="B483" s="937"/>
      <c r="C483" s="938"/>
      <c r="D483" s="939"/>
      <c r="E483" s="937"/>
      <c r="F483" s="937"/>
      <c r="G483" s="284"/>
      <c r="H483" s="942"/>
      <c r="I483" s="943"/>
      <c r="J483" s="944"/>
      <c r="K483" s="1041"/>
      <c r="L483" s="947"/>
      <c r="M483" s="111"/>
      <c r="N483" s="111"/>
      <c r="O483" s="111"/>
      <c r="P483" s="111"/>
    </row>
    <row r="484" spans="1:16" ht="12.75" customHeight="1">
      <c r="A484" s="924">
        <v>237</v>
      </c>
      <c r="B484" s="879" t="s">
        <v>1385</v>
      </c>
      <c r="C484" s="914" t="s">
        <v>468</v>
      </c>
      <c r="D484" s="660" t="s">
        <v>1391</v>
      </c>
      <c r="E484" s="879" t="s">
        <v>8</v>
      </c>
      <c r="F484" s="879"/>
      <c r="G484" s="341"/>
      <c r="H484" s="916">
        <v>1567000</v>
      </c>
      <c r="I484" s="916">
        <f>H484</f>
        <v>1567000</v>
      </c>
      <c r="J484" s="949"/>
      <c r="K484" s="984">
        <v>1567000</v>
      </c>
      <c r="L484" s="901">
        <f>K484-I484</f>
        <v>0</v>
      </c>
      <c r="M484" s="111"/>
      <c r="N484" s="111"/>
      <c r="O484" s="111"/>
      <c r="P484" s="111"/>
    </row>
    <row r="485" spans="1:16" ht="12.75" customHeight="1">
      <c r="A485" s="924"/>
      <c r="B485" s="865"/>
      <c r="C485" s="904"/>
      <c r="D485" s="658"/>
      <c r="E485" s="865"/>
      <c r="F485" s="865"/>
      <c r="G485" s="339"/>
      <c r="H485" s="905"/>
      <c r="I485" s="906"/>
      <c r="J485" s="910"/>
      <c r="K485" s="920"/>
      <c r="L485" s="903"/>
      <c r="M485" s="111"/>
      <c r="N485" s="111"/>
      <c r="O485" s="111"/>
      <c r="P485" s="111"/>
    </row>
    <row r="486" spans="1:16" ht="12.75" customHeight="1">
      <c r="A486" s="924">
        <v>238</v>
      </c>
      <c r="B486" s="981"/>
      <c r="C486" s="904"/>
      <c r="D486" s="658"/>
      <c r="E486" s="865"/>
      <c r="F486" s="865"/>
      <c r="G486" s="288"/>
      <c r="H486" s="905"/>
      <c r="I486" s="905">
        <f>H486</f>
        <v>0</v>
      </c>
      <c r="J486" s="909"/>
      <c r="K486" s="919"/>
      <c r="L486" s="903">
        <f>K486-I486</f>
        <v>0</v>
      </c>
      <c r="M486" s="111"/>
      <c r="N486" s="111"/>
      <c r="O486" s="111"/>
      <c r="P486" s="111"/>
    </row>
    <row r="487" spans="1:16" ht="12.75" customHeight="1" thickBot="1">
      <c r="A487" s="924"/>
      <c r="B487" s="1078"/>
      <c r="C487" s="913"/>
      <c r="D487" s="659"/>
      <c r="E487" s="878"/>
      <c r="F487" s="878"/>
      <c r="G487" s="289"/>
      <c r="H487" s="915"/>
      <c r="I487" s="982"/>
      <c r="J487" s="917"/>
      <c r="K487" s="984"/>
      <c r="L487" s="900"/>
      <c r="M487" s="111"/>
      <c r="N487" s="111"/>
      <c r="O487" s="111"/>
      <c r="P487" s="111"/>
    </row>
    <row r="488" spans="1:16" ht="12.75" customHeight="1">
      <c r="A488" s="924">
        <v>239</v>
      </c>
      <c r="B488" s="968" t="s">
        <v>1388</v>
      </c>
      <c r="C488" s="969" t="s">
        <v>6</v>
      </c>
      <c r="D488" s="970" t="s">
        <v>1414</v>
      </c>
      <c r="E488" s="1017" t="s">
        <v>539</v>
      </c>
      <c r="F488" s="968"/>
      <c r="G488" s="305"/>
      <c r="H488" s="973">
        <v>47600</v>
      </c>
      <c r="I488" s="973">
        <f>H488*J488</f>
        <v>14113400</v>
      </c>
      <c r="J488" s="974">
        <v>296.5</v>
      </c>
      <c r="K488" s="1001">
        <v>14113400</v>
      </c>
      <c r="L488" s="967">
        <f>K488-I488</f>
        <v>0</v>
      </c>
      <c r="M488" s="111" t="s">
        <v>1403</v>
      </c>
      <c r="N488" s="111"/>
      <c r="O488" s="111"/>
      <c r="P488" s="111"/>
    </row>
    <row r="489" spans="1:16" ht="12.75" customHeight="1">
      <c r="A489" s="924"/>
      <c r="B489" s="865"/>
      <c r="C489" s="904"/>
      <c r="D489" s="658"/>
      <c r="E489" s="879"/>
      <c r="F489" s="865"/>
      <c r="G489" s="303"/>
      <c r="H489" s="905"/>
      <c r="I489" s="906"/>
      <c r="J489" s="910"/>
      <c r="K489" s="920"/>
      <c r="L489" s="946"/>
      <c r="M489" s="111"/>
      <c r="N489" s="111"/>
      <c r="O489" s="111"/>
      <c r="P489" s="111"/>
    </row>
    <row r="490" spans="1:16" ht="13.5" customHeight="1">
      <c r="A490" s="924">
        <v>240</v>
      </c>
      <c r="B490" s="1114"/>
      <c r="C490" s="904" t="s">
        <v>6</v>
      </c>
      <c r="D490" s="658" t="s">
        <v>1406</v>
      </c>
      <c r="E490" s="865" t="s">
        <v>121</v>
      </c>
      <c r="F490" s="865"/>
      <c r="G490" s="368"/>
      <c r="H490" s="905">
        <v>4300000</v>
      </c>
      <c r="I490" s="905">
        <f>H490</f>
        <v>4300000</v>
      </c>
      <c r="J490" s="909"/>
      <c r="K490" s="919">
        <v>4300000</v>
      </c>
      <c r="L490" s="946">
        <f>K490-I490</f>
        <v>0</v>
      </c>
      <c r="M490" s="111"/>
      <c r="N490" s="111"/>
      <c r="O490" s="111"/>
      <c r="P490" s="111"/>
    </row>
    <row r="491" spans="1:16" ht="13.5" customHeight="1" thickBot="1">
      <c r="A491" s="924"/>
      <c r="B491" s="1115"/>
      <c r="C491" s="938"/>
      <c r="D491" s="939"/>
      <c r="E491" s="937"/>
      <c r="F491" s="937"/>
      <c r="G491" s="367"/>
      <c r="H491" s="942"/>
      <c r="I491" s="943"/>
      <c r="J491" s="944"/>
      <c r="K491" s="1041"/>
      <c r="L491" s="947"/>
      <c r="M491" s="111"/>
      <c r="N491" s="111"/>
      <c r="O491" s="111"/>
      <c r="P491" s="111"/>
    </row>
    <row r="492" spans="1:16" ht="12.75" customHeight="1">
      <c r="A492" s="924">
        <v>241</v>
      </c>
      <c r="B492" s="968" t="s">
        <v>1392</v>
      </c>
      <c r="C492" s="969" t="s">
        <v>6</v>
      </c>
      <c r="D492" s="970" t="s">
        <v>1393</v>
      </c>
      <c r="E492" s="968" t="str">
        <f>E488</f>
        <v>ооо транспортная компания магнитар</v>
      </c>
      <c r="F492" s="968"/>
      <c r="G492" s="320"/>
      <c r="H492" s="973">
        <v>54600</v>
      </c>
      <c r="I492" s="973">
        <f>H492*J492</f>
        <v>16161600</v>
      </c>
      <c r="J492" s="974">
        <v>296</v>
      </c>
      <c r="K492" s="1001">
        <v>16161600</v>
      </c>
      <c r="L492" s="967">
        <f>K492-I492</f>
        <v>0</v>
      </c>
      <c r="M492" s="111"/>
      <c r="N492" s="111"/>
      <c r="O492" s="111"/>
      <c r="P492" s="111"/>
    </row>
    <row r="493" spans="1:16" ht="12.75" customHeight="1">
      <c r="A493" s="924"/>
      <c r="B493" s="865"/>
      <c r="C493" s="904"/>
      <c r="D493" s="658"/>
      <c r="E493" s="865"/>
      <c r="F493" s="865"/>
      <c r="G493" s="319"/>
      <c r="H493" s="905"/>
      <c r="I493" s="906"/>
      <c r="J493" s="910"/>
      <c r="K493" s="920"/>
      <c r="L493" s="946"/>
      <c r="M493" s="111"/>
      <c r="N493" s="111"/>
      <c r="O493" s="111"/>
      <c r="P493" s="111"/>
    </row>
    <row r="494" spans="1:16" ht="12.75" customHeight="1">
      <c r="A494" s="924">
        <v>242</v>
      </c>
      <c r="B494" s="981"/>
      <c r="C494" s="904" t="s">
        <v>489</v>
      </c>
      <c r="D494" s="658" t="s">
        <v>1410</v>
      </c>
      <c r="E494" s="865" t="s">
        <v>1007</v>
      </c>
      <c r="F494" s="865"/>
      <c r="G494" s="365"/>
      <c r="H494" s="905">
        <v>3700000</v>
      </c>
      <c r="I494" s="905">
        <f>H494</f>
        <v>3700000</v>
      </c>
      <c r="J494" s="909"/>
      <c r="K494" s="919">
        <v>3700000</v>
      </c>
      <c r="L494" s="946">
        <f>K494-I494</f>
        <v>0</v>
      </c>
      <c r="M494" s="111"/>
      <c r="N494" s="111"/>
      <c r="O494" s="111"/>
      <c r="P494" s="111"/>
    </row>
    <row r="495" spans="1:16" ht="12.75" customHeight="1">
      <c r="A495" s="924"/>
      <c r="B495" s="1092"/>
      <c r="C495" s="904"/>
      <c r="D495" s="658"/>
      <c r="E495" s="865"/>
      <c r="F495" s="865"/>
      <c r="G495" s="365"/>
      <c r="H495" s="905"/>
      <c r="I495" s="906"/>
      <c r="J495" s="910"/>
      <c r="K495" s="920"/>
      <c r="L495" s="946"/>
      <c r="M495" s="111"/>
      <c r="N495" s="111"/>
      <c r="O495" s="111"/>
      <c r="P495" s="111"/>
    </row>
    <row r="496" spans="1:16" ht="12.75" customHeight="1">
      <c r="A496" s="924">
        <v>243</v>
      </c>
      <c r="B496" s="865"/>
      <c r="C496" s="904" t="s">
        <v>490</v>
      </c>
      <c r="D496" s="658" t="s">
        <v>1410</v>
      </c>
      <c r="E496" s="865" t="s">
        <v>1416</v>
      </c>
      <c r="F496" s="865"/>
      <c r="G496" s="360"/>
      <c r="H496" s="905">
        <v>3500000</v>
      </c>
      <c r="I496" s="905">
        <f>H496</f>
        <v>3500000</v>
      </c>
      <c r="J496" s="909"/>
      <c r="K496" s="919">
        <v>3500000</v>
      </c>
      <c r="L496" s="946">
        <f>K496-I496</f>
        <v>0</v>
      </c>
      <c r="M496" s="111"/>
      <c r="N496" s="111"/>
      <c r="O496" s="111"/>
      <c r="P496" s="111"/>
    </row>
    <row r="497" spans="1:16" ht="12.75" customHeight="1" thickBot="1">
      <c r="A497" s="924"/>
      <c r="B497" s="937"/>
      <c r="C497" s="938"/>
      <c r="D497" s="939"/>
      <c r="E497" s="937"/>
      <c r="F497" s="937"/>
      <c r="G497" s="362"/>
      <c r="H497" s="942"/>
      <c r="I497" s="943"/>
      <c r="J497" s="944"/>
      <c r="K497" s="1041"/>
      <c r="L497" s="947"/>
      <c r="M497" s="111"/>
      <c r="N497" s="111"/>
      <c r="O497" s="111"/>
      <c r="P497" s="111"/>
    </row>
    <row r="498" spans="1:16" ht="12.75" customHeight="1">
      <c r="A498" s="924">
        <v>244</v>
      </c>
      <c r="B498" s="879" t="s">
        <v>1390</v>
      </c>
      <c r="C498" s="914" t="s">
        <v>1407</v>
      </c>
      <c r="D498" s="660" t="s">
        <v>1406</v>
      </c>
      <c r="E498" s="879" t="str">
        <f>E474</f>
        <v>ООО "Громин"</v>
      </c>
      <c r="F498" s="879"/>
      <c r="G498" s="359"/>
      <c r="H498" s="916">
        <v>11100000</v>
      </c>
      <c r="I498" s="916">
        <f>H498</f>
        <v>11100000</v>
      </c>
      <c r="J498" s="949"/>
      <c r="K498" s="984">
        <v>11100000</v>
      </c>
      <c r="L498" s="901">
        <f>K498-I498</f>
        <v>0</v>
      </c>
      <c r="M498" s="111"/>
      <c r="N498" s="111"/>
      <c r="O498" s="111"/>
      <c r="P498" s="111"/>
    </row>
    <row r="499" spans="1:16" ht="13.5" customHeight="1">
      <c r="A499" s="924"/>
      <c r="B499" s="865"/>
      <c r="C499" s="904"/>
      <c r="D499" s="658"/>
      <c r="E499" s="865"/>
      <c r="F499" s="865"/>
      <c r="G499" s="356"/>
      <c r="H499" s="905"/>
      <c r="I499" s="906"/>
      <c r="J499" s="910"/>
      <c r="K499" s="920"/>
      <c r="L499" s="903"/>
      <c r="M499" s="111"/>
      <c r="N499" s="111"/>
      <c r="O499" s="111"/>
      <c r="P499" s="111"/>
    </row>
    <row r="500" spans="1:16" ht="12.75" customHeight="1">
      <c r="A500" s="924">
        <v>245</v>
      </c>
      <c r="B500" s="981"/>
      <c r="C500" s="904" t="s">
        <v>491</v>
      </c>
      <c r="D500" s="658" t="s">
        <v>1410</v>
      </c>
      <c r="E500" s="865" t="s">
        <v>1345</v>
      </c>
      <c r="F500" s="865"/>
      <c r="G500" s="308"/>
      <c r="H500" s="905">
        <v>1200000</v>
      </c>
      <c r="I500" s="905">
        <f>H500</f>
        <v>1200000</v>
      </c>
      <c r="J500" s="909"/>
      <c r="K500" s="919">
        <v>1200000</v>
      </c>
      <c r="L500" s="903">
        <f>K500-I500</f>
        <v>0</v>
      </c>
      <c r="M500" s="111"/>
      <c r="N500" s="111"/>
      <c r="O500" s="111"/>
      <c r="P500" s="111"/>
    </row>
    <row r="501" spans="1:16" ht="12.75" customHeight="1">
      <c r="A501" s="924"/>
      <c r="B501" s="1092"/>
      <c r="C501" s="904"/>
      <c r="D501" s="658"/>
      <c r="E501" s="865"/>
      <c r="F501" s="865"/>
      <c r="G501" s="308"/>
      <c r="H501" s="905"/>
      <c r="I501" s="906"/>
      <c r="J501" s="910"/>
      <c r="K501" s="920"/>
      <c r="L501" s="903"/>
      <c r="M501" s="111"/>
      <c r="N501" s="111"/>
      <c r="O501" s="111"/>
      <c r="P501" s="111"/>
    </row>
    <row r="502" spans="1:16" ht="12.75" customHeight="1">
      <c r="A502" s="924">
        <v>246</v>
      </c>
      <c r="B502" s="1039"/>
      <c r="C502" s="904" t="s">
        <v>494</v>
      </c>
      <c r="D502" s="658" t="s">
        <v>1410</v>
      </c>
      <c r="E502" s="865" t="s">
        <v>1417</v>
      </c>
      <c r="F502" s="865">
        <v>3941445</v>
      </c>
      <c r="G502" s="347"/>
      <c r="H502" s="905">
        <v>4300000</v>
      </c>
      <c r="I502" s="905">
        <f>H502</f>
        <v>4300000</v>
      </c>
      <c r="J502" s="909"/>
      <c r="K502" s="919">
        <v>4300000</v>
      </c>
      <c r="L502" s="903">
        <f>K502-I502</f>
        <v>0</v>
      </c>
      <c r="M502" s="111"/>
      <c r="N502" s="111"/>
      <c r="O502" s="111"/>
      <c r="P502" s="111"/>
    </row>
    <row r="503" spans="1:16" ht="12.75" customHeight="1">
      <c r="A503" s="924"/>
      <c r="B503" s="1039"/>
      <c r="C503" s="913"/>
      <c r="D503" s="659"/>
      <c r="E503" s="878"/>
      <c r="F503" s="878"/>
      <c r="G503" s="348"/>
      <c r="H503" s="915"/>
      <c r="I503" s="982"/>
      <c r="J503" s="917"/>
      <c r="K503" s="984"/>
      <c r="L503" s="900"/>
      <c r="M503" s="111"/>
      <c r="N503" s="111"/>
      <c r="O503" s="111"/>
      <c r="P503" s="111"/>
    </row>
    <row r="504" spans="1:16" ht="12.75" customHeight="1">
      <c r="A504" s="924">
        <v>247</v>
      </c>
      <c r="B504" s="1058"/>
      <c r="C504" s="904" t="s">
        <v>6</v>
      </c>
      <c r="D504" s="658" t="s">
        <v>1410</v>
      </c>
      <c r="E504" s="879" t="s">
        <v>1365</v>
      </c>
      <c r="F504" s="865"/>
      <c r="G504" s="308"/>
      <c r="H504" s="905">
        <v>1000000</v>
      </c>
      <c r="I504" s="905">
        <f>H504</f>
        <v>1000000</v>
      </c>
      <c r="J504" s="909"/>
      <c r="K504" s="919">
        <v>1000000</v>
      </c>
      <c r="L504" s="903">
        <f>K504-I504</f>
        <v>0</v>
      </c>
      <c r="M504" s="111"/>
      <c r="N504" s="111"/>
      <c r="O504" s="111"/>
      <c r="P504" s="111"/>
    </row>
    <row r="505" spans="1:16" ht="12.75" customHeight="1" thickBot="1">
      <c r="A505" s="924"/>
      <c r="B505" s="1042"/>
      <c r="C505" s="913"/>
      <c r="D505" s="659"/>
      <c r="E505" s="937"/>
      <c r="F505" s="878"/>
      <c r="G505" s="307"/>
      <c r="H505" s="915"/>
      <c r="I505" s="982"/>
      <c r="J505" s="917"/>
      <c r="K505" s="984"/>
      <c r="L505" s="900"/>
      <c r="M505" s="111"/>
      <c r="N505" s="111"/>
      <c r="O505" s="111"/>
      <c r="P505" s="111"/>
    </row>
    <row r="506" spans="1:16" ht="12.75" customHeight="1">
      <c r="A506" s="924">
        <v>248</v>
      </c>
      <c r="B506" s="975" t="s">
        <v>1453</v>
      </c>
      <c r="C506" s="969" t="s">
        <v>6</v>
      </c>
      <c r="D506" s="970" t="s">
        <v>1410</v>
      </c>
      <c r="E506" s="1017" t="s">
        <v>539</v>
      </c>
      <c r="F506" s="968" t="s">
        <v>1420</v>
      </c>
      <c r="G506" s="320"/>
      <c r="H506" s="973">
        <v>49400</v>
      </c>
      <c r="I506" s="973">
        <f>H506*J506</f>
        <v>14844700</v>
      </c>
      <c r="J506" s="974">
        <v>300.5</v>
      </c>
      <c r="K506" s="966">
        <v>14844700</v>
      </c>
      <c r="L506" s="967">
        <f>K506-I506</f>
        <v>0</v>
      </c>
      <c r="M506" s="111"/>
      <c r="N506" s="111"/>
      <c r="O506" s="111"/>
      <c r="P506" s="111"/>
    </row>
    <row r="507" spans="1:16" ht="13.5" customHeight="1">
      <c r="A507" s="924"/>
      <c r="B507" s="976"/>
      <c r="C507" s="904"/>
      <c r="D507" s="658"/>
      <c r="E507" s="879"/>
      <c r="F507" s="865"/>
      <c r="G507" s="319"/>
      <c r="H507" s="905"/>
      <c r="I507" s="906"/>
      <c r="J507" s="910"/>
      <c r="K507" s="911"/>
      <c r="L507" s="946"/>
      <c r="M507" s="111"/>
      <c r="N507" s="111"/>
      <c r="O507" s="111"/>
      <c r="P507" s="111"/>
    </row>
    <row r="508" spans="1:16" ht="12.75" customHeight="1">
      <c r="A508" s="924">
        <v>249</v>
      </c>
      <c r="B508" s="1079"/>
      <c r="C508" s="904" t="s">
        <v>495</v>
      </c>
      <c r="D508" s="658" t="s">
        <v>1413</v>
      </c>
      <c r="E508" s="865" t="s">
        <v>1418</v>
      </c>
      <c r="F508" s="865"/>
      <c r="G508" s="308"/>
      <c r="H508" s="905">
        <v>2200000</v>
      </c>
      <c r="I508" s="905">
        <f>H508</f>
        <v>2200000</v>
      </c>
      <c r="J508" s="909"/>
      <c r="K508" s="911">
        <v>2200000</v>
      </c>
      <c r="L508" s="946">
        <f>K508-I508</f>
        <v>0</v>
      </c>
      <c r="M508" s="111"/>
      <c r="N508" s="111"/>
      <c r="O508" s="111"/>
      <c r="P508" s="111"/>
    </row>
    <row r="509" spans="1:16" ht="13.5" customHeight="1">
      <c r="A509" s="924"/>
      <c r="B509" s="1079"/>
      <c r="C509" s="904"/>
      <c r="D509" s="658"/>
      <c r="E509" s="865"/>
      <c r="F509" s="865"/>
      <c r="G509" s="308"/>
      <c r="H509" s="905"/>
      <c r="I509" s="906"/>
      <c r="J509" s="910"/>
      <c r="K509" s="911"/>
      <c r="L509" s="946"/>
      <c r="M509" s="111"/>
      <c r="N509" s="111"/>
      <c r="O509" s="111"/>
      <c r="P509" s="111"/>
    </row>
    <row r="510" spans="1:16" ht="12.75" customHeight="1">
      <c r="A510" s="924">
        <v>250</v>
      </c>
      <c r="B510" s="976"/>
      <c r="C510" s="904" t="s">
        <v>503</v>
      </c>
      <c r="D510" s="658" t="s">
        <v>1413</v>
      </c>
      <c r="E510" s="865" t="s">
        <v>117</v>
      </c>
      <c r="F510" s="865" t="s">
        <v>1415</v>
      </c>
      <c r="G510" s="374"/>
      <c r="H510" s="905">
        <v>550000</v>
      </c>
      <c r="I510" s="905">
        <f>H510</f>
        <v>550000</v>
      </c>
      <c r="J510" s="909"/>
      <c r="K510" s="911">
        <v>550000</v>
      </c>
      <c r="L510" s="946">
        <f>K510-I510</f>
        <v>0</v>
      </c>
      <c r="M510" s="111"/>
      <c r="N510" s="111"/>
      <c r="O510" s="111"/>
      <c r="P510" s="111"/>
    </row>
    <row r="511" spans="1:16" ht="12.75" customHeight="1" thickBot="1">
      <c r="A511" s="924"/>
      <c r="B511" s="977"/>
      <c r="C511" s="938"/>
      <c r="D511" s="939"/>
      <c r="E511" s="937"/>
      <c r="F511" s="937"/>
      <c r="G511" s="373"/>
      <c r="H511" s="942"/>
      <c r="I511" s="943"/>
      <c r="J511" s="944"/>
      <c r="K511" s="945"/>
      <c r="L511" s="947"/>
      <c r="M511" s="111"/>
      <c r="N511" s="111"/>
      <c r="O511" s="111"/>
      <c r="P511" s="111"/>
    </row>
    <row r="512" spans="1:16" ht="12.75" customHeight="1">
      <c r="A512" s="924">
        <v>251</v>
      </c>
      <c r="B512" s="968" t="s">
        <v>1423</v>
      </c>
      <c r="C512" s="969" t="s">
        <v>1200</v>
      </c>
      <c r="D512" s="970"/>
      <c r="E512" s="968" t="s">
        <v>1419</v>
      </c>
      <c r="F512" s="968"/>
      <c r="G512" s="295"/>
      <c r="H512" s="973"/>
      <c r="I512" s="973">
        <f>H512</f>
        <v>0</v>
      </c>
      <c r="J512" s="974"/>
      <c r="K512" s="966"/>
      <c r="L512" s="967">
        <f>K512-I512</f>
        <v>0</v>
      </c>
      <c r="M512" s="111"/>
      <c r="N512" s="111"/>
      <c r="O512" s="111"/>
      <c r="P512" s="111"/>
    </row>
    <row r="513" spans="1:16" ht="13.5" customHeight="1" thickBot="1">
      <c r="A513" s="924"/>
      <c r="B513" s="937"/>
      <c r="C513" s="938"/>
      <c r="D513" s="939"/>
      <c r="E513" s="937"/>
      <c r="F513" s="937"/>
      <c r="G513" s="296"/>
      <c r="H513" s="942"/>
      <c r="I513" s="943"/>
      <c r="J513" s="944"/>
      <c r="K513" s="945"/>
      <c r="L513" s="947"/>
      <c r="M513" s="111"/>
      <c r="N513" s="111"/>
      <c r="O513" s="111"/>
      <c r="P513" s="111"/>
    </row>
    <row r="514" spans="1:16" ht="19.5" thickBot="1">
      <c r="A514" s="246"/>
      <c r="B514" s="1175" t="s">
        <v>1412</v>
      </c>
      <c r="C514" s="1176"/>
      <c r="D514" s="1176"/>
      <c r="E514" s="1176"/>
      <c r="F514" s="1176"/>
      <c r="G514" s="1176"/>
      <c r="H514" s="1176"/>
      <c r="I514" s="1176"/>
      <c r="J514" s="1176"/>
      <c r="K514" s="1176"/>
      <c r="L514" s="1177"/>
      <c r="M514" s="7">
        <f>SUM(I517:I520,I523:I526,I529:I600,I603:I606,I609,I613)</f>
        <v>188352000</v>
      </c>
      <c r="N514" s="112"/>
      <c r="O514" s="111"/>
      <c r="P514" s="111"/>
    </row>
    <row r="515" spans="1:16" ht="12.75" customHeight="1">
      <c r="A515" s="924">
        <v>252</v>
      </c>
      <c r="B515" s="865" t="s">
        <v>1402</v>
      </c>
      <c r="C515" s="904" t="s">
        <v>6</v>
      </c>
      <c r="D515" s="694" t="s">
        <v>1413</v>
      </c>
      <c r="E515" s="1017" t="s">
        <v>539</v>
      </c>
      <c r="F515" s="865">
        <v>129</v>
      </c>
      <c r="G515" s="329"/>
      <c r="H515" s="905">
        <v>49020</v>
      </c>
      <c r="I515" s="905">
        <f>H515*J515</f>
        <v>14877570</v>
      </c>
      <c r="J515" s="909">
        <v>303.5</v>
      </c>
      <c r="K515" s="911">
        <v>14877570</v>
      </c>
      <c r="L515" s="903">
        <f>K515-I515</f>
        <v>0</v>
      </c>
      <c r="M515" s="111"/>
      <c r="N515" s="111"/>
      <c r="O515" s="111"/>
      <c r="P515" s="111"/>
    </row>
    <row r="516" spans="1:16" ht="12.75" customHeight="1">
      <c r="A516" s="924"/>
      <c r="B516" s="865"/>
      <c r="C516" s="904"/>
      <c r="D516" s="694"/>
      <c r="E516" s="879"/>
      <c r="F516" s="865"/>
      <c r="G516" s="329"/>
      <c r="H516" s="905"/>
      <c r="I516" s="906"/>
      <c r="J516" s="910"/>
      <c r="K516" s="911"/>
      <c r="L516" s="903"/>
      <c r="M516" s="111">
        <f>H531+H535+H547+H569+H573</f>
        <v>5922000</v>
      </c>
      <c r="N516" s="111"/>
      <c r="O516" s="111"/>
      <c r="P516" s="111"/>
    </row>
    <row r="517" spans="1:16" ht="12.75" customHeight="1">
      <c r="A517" s="924">
        <v>253</v>
      </c>
      <c r="B517" s="1039"/>
      <c r="C517" s="904" t="s">
        <v>508</v>
      </c>
      <c r="D517" s="658" t="s">
        <v>1431</v>
      </c>
      <c r="E517" s="865" t="s">
        <v>1433</v>
      </c>
      <c r="F517" s="865"/>
      <c r="G517" s="350"/>
      <c r="H517" s="905">
        <v>2500000</v>
      </c>
      <c r="I517" s="905">
        <f>H517</f>
        <v>2500000</v>
      </c>
      <c r="J517" s="909"/>
      <c r="K517" s="911">
        <v>2500000</v>
      </c>
      <c r="L517" s="903">
        <f>K517-I517</f>
        <v>0</v>
      </c>
      <c r="M517" s="111">
        <f>M516/10300</f>
        <v>574.95145631067965</v>
      </c>
      <c r="N517" s="111"/>
      <c r="O517" s="111"/>
      <c r="P517" s="111"/>
    </row>
    <row r="518" spans="1:16" ht="12.75" customHeight="1">
      <c r="A518" s="924"/>
      <c r="B518" s="1039"/>
      <c r="C518" s="904"/>
      <c r="D518" s="658"/>
      <c r="E518" s="865"/>
      <c r="F518" s="865"/>
      <c r="G518" s="350"/>
      <c r="H518" s="905"/>
      <c r="I518" s="906"/>
      <c r="J518" s="910"/>
      <c r="K518" s="911"/>
      <c r="L518" s="903"/>
      <c r="M518" s="111"/>
      <c r="N518" s="111"/>
      <c r="O518" s="111"/>
      <c r="P518" s="111"/>
    </row>
    <row r="519" spans="1:16" ht="12.75" customHeight="1">
      <c r="A519" s="924">
        <v>254</v>
      </c>
      <c r="B519" s="1039"/>
      <c r="C519" s="904" t="s">
        <v>510</v>
      </c>
      <c r="D519" s="658" t="s">
        <v>1430</v>
      </c>
      <c r="E519" s="865" t="s">
        <v>1101</v>
      </c>
      <c r="F519" s="865"/>
      <c r="G519" s="308"/>
      <c r="H519" s="905">
        <v>2000000</v>
      </c>
      <c r="I519" s="905">
        <f>H519</f>
        <v>2000000</v>
      </c>
      <c r="J519" s="909"/>
      <c r="K519" s="911">
        <v>2000000</v>
      </c>
      <c r="L519" s="903">
        <f>K519-I519</f>
        <v>0</v>
      </c>
      <c r="M519" s="111"/>
      <c r="N519" s="111"/>
      <c r="O519" s="111"/>
      <c r="P519" s="111"/>
    </row>
    <row r="520" spans="1:16" ht="12.75" customHeight="1" thickBot="1">
      <c r="A520" s="924"/>
      <c r="B520" s="1042"/>
      <c r="C520" s="913"/>
      <c r="D520" s="659"/>
      <c r="E520" s="878"/>
      <c r="F520" s="878"/>
      <c r="G520" s="315"/>
      <c r="H520" s="915"/>
      <c r="I520" s="982"/>
      <c r="J520" s="917"/>
      <c r="K520" s="919"/>
      <c r="L520" s="900"/>
      <c r="M520" s="111"/>
      <c r="N520" s="111"/>
      <c r="O520" s="111"/>
      <c r="P520" s="111"/>
    </row>
    <row r="521" spans="1:16" ht="12.75" customHeight="1">
      <c r="A521" s="924">
        <v>255</v>
      </c>
      <c r="B521" s="968" t="s">
        <v>1409</v>
      </c>
      <c r="C521" s="969" t="s">
        <v>6</v>
      </c>
      <c r="D521" s="1174" t="s">
        <v>1413</v>
      </c>
      <c r="E521" s="968" t="s">
        <v>539</v>
      </c>
      <c r="F521" s="968">
        <v>122</v>
      </c>
      <c r="G521" s="345"/>
      <c r="H521" s="973">
        <v>46360</v>
      </c>
      <c r="I521" s="973">
        <f>H521*J521</f>
        <v>14070260</v>
      </c>
      <c r="J521" s="974">
        <v>303.5</v>
      </c>
      <c r="K521" s="966">
        <v>14070260</v>
      </c>
      <c r="L521" s="967">
        <f>K521-I521</f>
        <v>0</v>
      </c>
      <c r="M521" s="111"/>
      <c r="N521" s="111"/>
      <c r="O521" s="111"/>
      <c r="P521" s="111"/>
    </row>
    <row r="522" spans="1:16" ht="12.75" customHeight="1">
      <c r="A522" s="924"/>
      <c r="B522" s="865"/>
      <c r="C522" s="904"/>
      <c r="D522" s="694"/>
      <c r="E522" s="865"/>
      <c r="F522" s="865"/>
      <c r="G522" s="346"/>
      <c r="H522" s="905"/>
      <c r="I522" s="906"/>
      <c r="J522" s="910"/>
      <c r="K522" s="911"/>
      <c r="L522" s="946"/>
      <c r="M522" s="111"/>
      <c r="N522" s="111"/>
      <c r="O522" s="111"/>
      <c r="P522" s="111"/>
    </row>
    <row r="523" spans="1:16" ht="12.75" customHeight="1">
      <c r="A523" s="924">
        <v>256</v>
      </c>
      <c r="B523" s="1039"/>
      <c r="C523" s="904" t="s">
        <v>509</v>
      </c>
      <c r="D523" s="658" t="s">
        <v>1428</v>
      </c>
      <c r="E523" s="865" t="s">
        <v>1440</v>
      </c>
      <c r="F523" s="865"/>
      <c r="G523" s="368"/>
      <c r="H523" s="905">
        <v>3000000</v>
      </c>
      <c r="I523" s="905">
        <f>H523</f>
        <v>3000000</v>
      </c>
      <c r="J523" s="909"/>
      <c r="K523" s="911">
        <v>3000000</v>
      </c>
      <c r="L523" s="946">
        <f>K523-I523</f>
        <v>0</v>
      </c>
      <c r="M523" s="111"/>
      <c r="N523" s="111"/>
      <c r="O523" s="111"/>
      <c r="P523" s="111"/>
    </row>
    <row r="524" spans="1:16" ht="13.5" customHeight="1">
      <c r="A524" s="924"/>
      <c r="B524" s="1039"/>
      <c r="C524" s="904"/>
      <c r="D524" s="658"/>
      <c r="E524" s="865"/>
      <c r="F524" s="865"/>
      <c r="G524" s="368"/>
      <c r="H524" s="905"/>
      <c r="I524" s="906"/>
      <c r="J524" s="910"/>
      <c r="K524" s="911"/>
      <c r="L524" s="946"/>
      <c r="M524" s="111"/>
      <c r="N524" s="111"/>
      <c r="O524" s="111"/>
      <c r="P524" s="111"/>
    </row>
    <row r="525" spans="1:16" ht="12.75" customHeight="1">
      <c r="A525" s="924">
        <v>257</v>
      </c>
      <c r="B525" s="1039"/>
      <c r="C525" s="904" t="s">
        <v>526</v>
      </c>
      <c r="D525" s="658" t="s">
        <v>1429</v>
      </c>
      <c r="E525" s="865" t="s">
        <v>889</v>
      </c>
      <c r="F525" s="865"/>
      <c r="G525" s="350"/>
      <c r="H525" s="905">
        <v>2500000</v>
      </c>
      <c r="I525" s="905">
        <f>H525</f>
        <v>2500000</v>
      </c>
      <c r="J525" s="909"/>
      <c r="K525" s="911">
        <v>2500000</v>
      </c>
      <c r="L525" s="946">
        <f>K525-I525</f>
        <v>0</v>
      </c>
      <c r="M525" s="111"/>
      <c r="N525" s="111"/>
      <c r="O525" s="111"/>
      <c r="P525" s="111"/>
    </row>
    <row r="526" spans="1:16" ht="13.5" customHeight="1" thickBot="1">
      <c r="A526" s="924"/>
      <c r="B526" s="1040"/>
      <c r="C526" s="938"/>
      <c r="D526" s="939"/>
      <c r="E526" s="937"/>
      <c r="F526" s="937"/>
      <c r="G526" s="349"/>
      <c r="H526" s="942"/>
      <c r="I526" s="943"/>
      <c r="J526" s="944"/>
      <c r="K526" s="945"/>
      <c r="L526" s="947"/>
      <c r="M526" s="111"/>
      <c r="N526" s="111"/>
      <c r="O526" s="111"/>
      <c r="P526" s="111"/>
    </row>
    <row r="527" spans="1:16" ht="12.75" customHeight="1">
      <c r="A527" s="924">
        <v>258</v>
      </c>
      <c r="B527" s="879" t="s">
        <v>1408</v>
      </c>
      <c r="C527" s="914" t="s">
        <v>1432</v>
      </c>
      <c r="D527" s="1278" t="s">
        <v>1413</v>
      </c>
      <c r="E527" s="879" t="s">
        <v>20</v>
      </c>
      <c r="F527" s="879"/>
      <c r="G527" s="364"/>
      <c r="H527" s="916">
        <v>11100000</v>
      </c>
      <c r="I527" s="916">
        <f>H527</f>
        <v>11100000</v>
      </c>
      <c r="J527" s="949"/>
      <c r="K527" s="920">
        <v>11100000</v>
      </c>
      <c r="L527" s="901">
        <f>K527-I527</f>
        <v>0</v>
      </c>
      <c r="M527" s="111"/>
      <c r="N527" s="111"/>
      <c r="O527" s="111"/>
      <c r="P527" s="111"/>
    </row>
    <row r="528" spans="1:16" ht="12.75" customHeight="1">
      <c r="A528" s="924"/>
      <c r="B528" s="865"/>
      <c r="C528" s="904"/>
      <c r="D528" s="694"/>
      <c r="E528" s="865"/>
      <c r="F528" s="865"/>
      <c r="G528" s="363"/>
      <c r="H528" s="905"/>
      <c r="I528" s="906"/>
      <c r="J528" s="910"/>
      <c r="K528" s="911"/>
      <c r="L528" s="903"/>
      <c r="M528" s="111"/>
      <c r="N528" s="111"/>
      <c r="O528" s="111"/>
      <c r="P528" s="111"/>
    </row>
    <row r="529" spans="1:16" ht="12.75" customHeight="1">
      <c r="A529" s="924">
        <v>259</v>
      </c>
      <c r="B529" s="1039"/>
      <c r="C529" s="904" t="s">
        <v>505</v>
      </c>
      <c r="D529" s="658" t="s">
        <v>1422</v>
      </c>
      <c r="E529" s="879" t="s">
        <v>1365</v>
      </c>
      <c r="F529" s="865" t="s">
        <v>1424</v>
      </c>
      <c r="G529" s="308"/>
      <c r="H529" s="905">
        <v>3000000</v>
      </c>
      <c r="I529" s="905">
        <f>H529</f>
        <v>3000000</v>
      </c>
      <c r="J529" s="909"/>
      <c r="K529" s="911">
        <v>3000000</v>
      </c>
      <c r="L529" s="903">
        <f>K529-I529</f>
        <v>0</v>
      </c>
      <c r="M529" s="111"/>
      <c r="N529" s="111"/>
      <c r="O529" s="111"/>
      <c r="P529" s="111"/>
    </row>
    <row r="530" spans="1:16" ht="12.75" customHeight="1" thickBot="1">
      <c r="A530" s="924"/>
      <c r="B530" s="1039"/>
      <c r="C530" s="904"/>
      <c r="D530" s="658"/>
      <c r="E530" s="937"/>
      <c r="F530" s="865"/>
      <c r="G530" s="308"/>
      <c r="H530" s="905"/>
      <c r="I530" s="906"/>
      <c r="J530" s="910"/>
      <c r="K530" s="911"/>
      <c r="L530" s="903"/>
      <c r="M530" s="111"/>
      <c r="N530" s="111"/>
      <c r="O530" s="111"/>
      <c r="P530" s="111"/>
    </row>
    <row r="531" spans="1:16" ht="12.75" customHeight="1">
      <c r="A531" s="924">
        <v>260</v>
      </c>
      <c r="B531" s="968" t="s">
        <v>1434</v>
      </c>
      <c r="C531" s="969" t="s">
        <v>504</v>
      </c>
      <c r="D531" s="970" t="s">
        <v>1421</v>
      </c>
      <c r="E531" s="968" t="s">
        <v>130</v>
      </c>
      <c r="F531" s="968"/>
      <c r="G531" s="321"/>
      <c r="H531" s="973">
        <v>612000</v>
      </c>
      <c r="I531" s="973">
        <f>H531</f>
        <v>612000</v>
      </c>
      <c r="J531" s="974"/>
      <c r="K531" s="966">
        <v>612000</v>
      </c>
      <c r="L531" s="967">
        <f>K531-I531</f>
        <v>0</v>
      </c>
      <c r="M531" s="111"/>
      <c r="N531" s="111"/>
      <c r="O531" s="111"/>
      <c r="P531" s="111"/>
    </row>
    <row r="532" spans="1:16" ht="12.75" customHeight="1">
      <c r="A532" s="924"/>
      <c r="B532" s="865"/>
      <c r="C532" s="904"/>
      <c r="D532" s="658"/>
      <c r="E532" s="865"/>
      <c r="F532" s="865"/>
      <c r="G532" s="323"/>
      <c r="H532" s="905"/>
      <c r="I532" s="906"/>
      <c r="J532" s="910"/>
      <c r="K532" s="911"/>
      <c r="L532" s="946"/>
      <c r="M532" s="111"/>
      <c r="N532" s="111"/>
      <c r="O532" s="111"/>
      <c r="P532" s="111"/>
    </row>
    <row r="533" spans="1:16" ht="12.75" customHeight="1">
      <c r="A533" s="924">
        <v>261</v>
      </c>
      <c r="B533" s="981"/>
      <c r="C533" s="904"/>
      <c r="D533" s="658"/>
      <c r="E533" s="865"/>
      <c r="F533" s="865"/>
      <c r="G533" s="303"/>
      <c r="H533" s="905"/>
      <c r="I533" s="905">
        <f>H533</f>
        <v>0</v>
      </c>
      <c r="J533" s="909"/>
      <c r="K533" s="911"/>
      <c r="L533" s="946">
        <f>K533-I533</f>
        <v>0</v>
      </c>
      <c r="M533" s="111"/>
      <c r="N533" s="111"/>
      <c r="O533" s="111"/>
      <c r="P533" s="111"/>
    </row>
    <row r="534" spans="1:16" ht="12.75" customHeight="1" thickBot="1">
      <c r="A534" s="924"/>
      <c r="B534" s="1082"/>
      <c r="C534" s="938"/>
      <c r="D534" s="939"/>
      <c r="E534" s="937"/>
      <c r="F534" s="937"/>
      <c r="G534" s="304"/>
      <c r="H534" s="942"/>
      <c r="I534" s="943"/>
      <c r="J534" s="944"/>
      <c r="K534" s="945"/>
      <c r="L534" s="947"/>
      <c r="M534" s="111" t="s">
        <v>1411</v>
      </c>
      <c r="N534" s="111"/>
      <c r="O534" s="111"/>
      <c r="P534" s="111"/>
    </row>
    <row r="535" spans="1:16" ht="12.75" customHeight="1">
      <c r="A535" s="924">
        <v>262</v>
      </c>
      <c r="B535" s="1172" t="s">
        <v>1435</v>
      </c>
      <c r="C535" s="969" t="s">
        <v>507</v>
      </c>
      <c r="D535" s="970" t="s">
        <v>1422</v>
      </c>
      <c r="E535" s="968" t="s">
        <v>8</v>
      </c>
      <c r="F535" s="968"/>
      <c r="G535" s="342"/>
      <c r="H535" s="973">
        <v>1406000</v>
      </c>
      <c r="I535" s="973">
        <f>H535</f>
        <v>1406000</v>
      </c>
      <c r="J535" s="974"/>
      <c r="K535" s="966">
        <v>1406000</v>
      </c>
      <c r="L535" s="967">
        <f>K535-I535</f>
        <v>0</v>
      </c>
      <c r="M535" s="111"/>
      <c r="N535" s="111"/>
      <c r="O535" s="111"/>
      <c r="P535" s="111"/>
    </row>
    <row r="536" spans="1:16" ht="12.75" customHeight="1">
      <c r="A536" s="924"/>
      <c r="B536" s="1173"/>
      <c r="C536" s="904"/>
      <c r="D536" s="658"/>
      <c r="E536" s="865"/>
      <c r="F536" s="865"/>
      <c r="G536" s="339"/>
      <c r="H536" s="905"/>
      <c r="I536" s="906"/>
      <c r="J536" s="910"/>
      <c r="K536" s="911"/>
      <c r="L536" s="946"/>
      <c r="M536" s="111"/>
      <c r="N536" s="111"/>
      <c r="O536" s="111"/>
      <c r="P536" s="111"/>
    </row>
    <row r="537" spans="1:16" ht="12.75" customHeight="1">
      <c r="A537" s="924">
        <v>263</v>
      </c>
      <c r="B537" s="981"/>
      <c r="C537" s="904"/>
      <c r="D537" s="658"/>
      <c r="E537" s="865"/>
      <c r="F537" s="865"/>
      <c r="G537" s="303"/>
      <c r="H537" s="905"/>
      <c r="I537" s="905">
        <f t="shared" ref="I537:I547" si="3">H537</f>
        <v>0</v>
      </c>
      <c r="J537" s="909"/>
      <c r="K537" s="911"/>
      <c r="L537" s="946">
        <f>K537-I537</f>
        <v>0</v>
      </c>
      <c r="M537" s="111"/>
      <c r="N537" s="111"/>
      <c r="O537" s="111"/>
      <c r="P537" s="111"/>
    </row>
    <row r="538" spans="1:16" ht="12.75" customHeight="1" thickBot="1">
      <c r="A538" s="924"/>
      <c r="B538" s="1082"/>
      <c r="C538" s="938"/>
      <c r="D538" s="939"/>
      <c r="E538" s="937"/>
      <c r="F538" s="937"/>
      <c r="G538" s="304"/>
      <c r="H538" s="942"/>
      <c r="I538" s="943"/>
      <c r="J538" s="944"/>
      <c r="K538" s="945"/>
      <c r="L538" s="947"/>
      <c r="M538" s="111"/>
      <c r="N538" s="111"/>
      <c r="O538" s="111"/>
      <c r="P538" s="111"/>
    </row>
    <row r="539" spans="1:16" ht="12.75" customHeight="1">
      <c r="A539" s="924">
        <v>264</v>
      </c>
      <c r="B539" s="968" t="s">
        <v>1425</v>
      </c>
      <c r="C539" s="969" t="s">
        <v>1451</v>
      </c>
      <c r="D539" s="970" t="s">
        <v>1446</v>
      </c>
      <c r="E539" s="968" t="s">
        <v>20</v>
      </c>
      <c r="F539" s="968"/>
      <c r="G539" s="372"/>
      <c r="H539" s="973">
        <v>11100000</v>
      </c>
      <c r="I539" s="973">
        <f t="shared" si="3"/>
        <v>11100000</v>
      </c>
      <c r="J539" s="974"/>
      <c r="K539" s="966">
        <v>11100000</v>
      </c>
      <c r="L539" s="967">
        <f>K539-I539</f>
        <v>0</v>
      </c>
      <c r="M539" s="111"/>
      <c r="N539" s="111"/>
      <c r="O539" s="111"/>
      <c r="P539" s="111"/>
    </row>
    <row r="540" spans="1:16" ht="12.75" customHeight="1">
      <c r="A540" s="924"/>
      <c r="B540" s="865"/>
      <c r="C540" s="904"/>
      <c r="D540" s="658"/>
      <c r="E540" s="865"/>
      <c r="F540" s="865"/>
      <c r="G540" s="374"/>
      <c r="H540" s="905"/>
      <c r="I540" s="906"/>
      <c r="J540" s="910"/>
      <c r="K540" s="911"/>
      <c r="L540" s="946"/>
      <c r="M540" s="111"/>
      <c r="N540" s="111"/>
      <c r="O540" s="111"/>
      <c r="P540" s="111"/>
    </row>
    <row r="541" spans="1:16" ht="12.75" customHeight="1">
      <c r="A541" s="924">
        <v>265</v>
      </c>
      <c r="B541" s="1039"/>
      <c r="C541" s="904" t="s">
        <v>530</v>
      </c>
      <c r="D541" s="658" t="s">
        <v>1447</v>
      </c>
      <c r="E541" s="865" t="s">
        <v>1348</v>
      </c>
      <c r="F541" s="865" t="s">
        <v>1455</v>
      </c>
      <c r="G541" s="374"/>
      <c r="H541" s="905">
        <v>2100000</v>
      </c>
      <c r="I541" s="905">
        <f t="shared" si="3"/>
        <v>2100000</v>
      </c>
      <c r="J541" s="909"/>
      <c r="K541" s="911">
        <v>2100000</v>
      </c>
      <c r="L541" s="946">
        <f>K541-I541</f>
        <v>0</v>
      </c>
      <c r="M541" s="111"/>
      <c r="N541" s="111"/>
      <c r="O541" s="111"/>
      <c r="P541" s="111"/>
    </row>
    <row r="542" spans="1:16" ht="12.75" customHeight="1" thickBot="1">
      <c r="A542" s="924"/>
      <c r="B542" s="1040"/>
      <c r="C542" s="938"/>
      <c r="D542" s="939"/>
      <c r="E542" s="937"/>
      <c r="F542" s="937"/>
      <c r="G542" s="373"/>
      <c r="H542" s="942"/>
      <c r="I542" s="943"/>
      <c r="J542" s="944"/>
      <c r="K542" s="945"/>
      <c r="L542" s="947"/>
      <c r="M542" s="111"/>
      <c r="N542" s="111"/>
      <c r="O542" s="111"/>
      <c r="P542" s="111"/>
    </row>
    <row r="543" spans="1:16" ht="12.75" customHeight="1">
      <c r="A543" s="924">
        <v>266</v>
      </c>
      <c r="B543" s="865" t="s">
        <v>1426</v>
      </c>
      <c r="C543" s="904" t="s">
        <v>1450</v>
      </c>
      <c r="D543" s="658" t="s">
        <v>1449</v>
      </c>
      <c r="E543" s="865" t="s">
        <v>20</v>
      </c>
      <c r="F543" s="865"/>
      <c r="G543" s="374"/>
      <c r="H543" s="905">
        <v>11100000</v>
      </c>
      <c r="I543" s="905">
        <f t="shared" si="3"/>
        <v>11100000</v>
      </c>
      <c r="J543" s="909"/>
      <c r="K543" s="911">
        <v>11100000</v>
      </c>
      <c r="L543" s="903">
        <f>K543-I543</f>
        <v>0</v>
      </c>
      <c r="M543" s="111"/>
      <c r="N543" s="111"/>
      <c r="O543" s="111"/>
      <c r="P543" s="111"/>
    </row>
    <row r="544" spans="1:16" ht="12.75" customHeight="1">
      <c r="A544" s="924"/>
      <c r="B544" s="865"/>
      <c r="C544" s="904"/>
      <c r="D544" s="658"/>
      <c r="E544" s="865"/>
      <c r="F544" s="865"/>
      <c r="G544" s="374"/>
      <c r="H544" s="905"/>
      <c r="I544" s="906"/>
      <c r="J544" s="910"/>
      <c r="K544" s="911"/>
      <c r="L544" s="903"/>
      <c r="M544" s="111"/>
      <c r="N544" s="111"/>
      <c r="O544" s="111"/>
      <c r="P544" s="111"/>
    </row>
    <row r="545" spans="1:16" ht="12.75" customHeight="1">
      <c r="A545" s="924">
        <v>267</v>
      </c>
      <c r="B545" s="1039"/>
      <c r="C545" s="904" t="s">
        <v>535</v>
      </c>
      <c r="D545" s="658" t="s">
        <v>1452</v>
      </c>
      <c r="E545" s="865" t="s">
        <v>40</v>
      </c>
      <c r="F545" s="865" t="s">
        <v>1448</v>
      </c>
      <c r="G545" s="339"/>
      <c r="H545" s="905">
        <v>3500000</v>
      </c>
      <c r="I545" s="905">
        <f t="shared" si="3"/>
        <v>3500000</v>
      </c>
      <c r="J545" s="909"/>
      <c r="K545" s="911">
        <v>3500000</v>
      </c>
      <c r="L545" s="903">
        <f>K545-I545</f>
        <v>0</v>
      </c>
      <c r="M545" s="111"/>
      <c r="N545" s="111"/>
      <c r="O545" s="111"/>
      <c r="P545" s="111"/>
    </row>
    <row r="546" spans="1:16" ht="12.75" customHeight="1" thickBot="1">
      <c r="A546" s="924"/>
      <c r="B546" s="1042"/>
      <c r="C546" s="913"/>
      <c r="D546" s="659"/>
      <c r="E546" s="878"/>
      <c r="F546" s="878"/>
      <c r="G546" s="340"/>
      <c r="H546" s="915"/>
      <c r="I546" s="982"/>
      <c r="J546" s="917"/>
      <c r="K546" s="919"/>
      <c r="L546" s="900"/>
      <c r="M546" s="111"/>
      <c r="N546" s="111"/>
      <c r="O546" s="111"/>
      <c r="P546" s="111"/>
    </row>
    <row r="547" spans="1:16" ht="12.75" customHeight="1">
      <c r="A547" s="924">
        <v>268</v>
      </c>
      <c r="B547" s="968" t="s">
        <v>1442</v>
      </c>
      <c r="C547" s="969" t="s">
        <v>529</v>
      </c>
      <c r="D547" s="970" t="s">
        <v>1427</v>
      </c>
      <c r="E547" s="968" t="s">
        <v>252</v>
      </c>
      <c r="F547" s="968"/>
      <c r="G547" s="342"/>
      <c r="H547" s="973">
        <v>1054000</v>
      </c>
      <c r="I547" s="973">
        <f t="shared" si="3"/>
        <v>1054000</v>
      </c>
      <c r="J547" s="974"/>
      <c r="K547" s="966">
        <v>1054000</v>
      </c>
      <c r="L547" s="967">
        <f>K547-I547</f>
        <v>0</v>
      </c>
      <c r="M547" s="111"/>
      <c r="N547" s="111"/>
      <c r="O547" s="111"/>
      <c r="P547" s="111"/>
    </row>
    <row r="548" spans="1:16" ht="12.75" customHeight="1">
      <c r="A548" s="924"/>
      <c r="B548" s="865"/>
      <c r="C548" s="904"/>
      <c r="D548" s="658"/>
      <c r="E548" s="865"/>
      <c r="F548" s="865"/>
      <c r="G548" s="339"/>
      <c r="H548" s="905"/>
      <c r="I548" s="906"/>
      <c r="J548" s="910"/>
      <c r="K548" s="911"/>
      <c r="L548" s="946"/>
      <c r="M548" s="111"/>
      <c r="N548" s="111"/>
      <c r="O548" s="111"/>
      <c r="P548" s="111"/>
    </row>
    <row r="549" spans="1:16" ht="12.75" customHeight="1">
      <c r="A549" s="924">
        <v>269</v>
      </c>
      <c r="B549" s="981"/>
      <c r="C549" s="904"/>
      <c r="D549" s="658"/>
      <c r="E549" s="865"/>
      <c r="F549" s="865"/>
      <c r="G549" s="323"/>
      <c r="H549" s="905"/>
      <c r="I549" s="905"/>
      <c r="J549" s="909"/>
      <c r="K549" s="919"/>
      <c r="L549" s="946">
        <f>K549-I549</f>
        <v>0</v>
      </c>
      <c r="M549" s="111"/>
      <c r="N549" s="111"/>
      <c r="O549" s="111"/>
      <c r="P549" s="111"/>
    </row>
    <row r="550" spans="1:16" ht="12.75" customHeight="1" thickBot="1">
      <c r="A550" s="924"/>
      <c r="B550" s="1082"/>
      <c r="C550" s="938"/>
      <c r="D550" s="939"/>
      <c r="E550" s="937"/>
      <c r="F550" s="937"/>
      <c r="G550" s="322"/>
      <c r="H550" s="942"/>
      <c r="I550" s="1168"/>
      <c r="J550" s="944"/>
      <c r="K550" s="1041"/>
      <c r="L550" s="947"/>
      <c r="M550" s="111"/>
      <c r="N550" s="111"/>
      <c r="O550" s="111"/>
      <c r="P550" s="111"/>
    </row>
    <row r="551" spans="1:16" ht="12.75" customHeight="1">
      <c r="A551" s="924">
        <v>270</v>
      </c>
      <c r="B551" s="968" t="s">
        <v>1441</v>
      </c>
      <c r="C551" s="969" t="s">
        <v>1543</v>
      </c>
      <c r="D551" s="970" t="s">
        <v>1446</v>
      </c>
      <c r="E551" s="968" t="s">
        <v>20</v>
      </c>
      <c r="F551" s="1170"/>
      <c r="G551" s="377"/>
      <c r="H551" s="973">
        <v>11600000</v>
      </c>
      <c r="I551" s="973">
        <f>H551</f>
        <v>11600000</v>
      </c>
      <c r="J551" s="974"/>
      <c r="K551" s="1001">
        <v>11600000</v>
      </c>
      <c r="L551" s="967">
        <f>K551-I551</f>
        <v>0</v>
      </c>
      <c r="M551" s="111"/>
      <c r="N551" s="111"/>
      <c r="O551" s="111"/>
      <c r="P551" s="111"/>
    </row>
    <row r="552" spans="1:16" ht="12.75" customHeight="1">
      <c r="A552" s="924"/>
      <c r="B552" s="865"/>
      <c r="C552" s="904"/>
      <c r="D552" s="658"/>
      <c r="E552" s="865"/>
      <c r="F552" s="1171"/>
      <c r="G552" s="376"/>
      <c r="H552" s="905"/>
      <c r="I552" s="1160"/>
      <c r="J552" s="1165"/>
      <c r="K552" s="920"/>
      <c r="L552" s="946"/>
      <c r="M552" s="111"/>
      <c r="N552" s="111"/>
      <c r="O552" s="111"/>
      <c r="P552" s="111"/>
    </row>
    <row r="553" spans="1:16" ht="12.75" customHeight="1">
      <c r="A553" s="924">
        <v>271</v>
      </c>
      <c r="B553" s="1039"/>
      <c r="C553" s="904" t="s">
        <v>531</v>
      </c>
      <c r="D553" s="658" t="s">
        <v>1447</v>
      </c>
      <c r="E553" s="865" t="s">
        <v>1144</v>
      </c>
      <c r="F553" s="865">
        <v>550</v>
      </c>
      <c r="G553" s="330"/>
      <c r="H553" s="905">
        <v>4100000</v>
      </c>
      <c r="I553" s="905">
        <f>H553</f>
        <v>4100000</v>
      </c>
      <c r="J553" s="909"/>
      <c r="K553" s="919">
        <v>4100000</v>
      </c>
      <c r="L553" s="946">
        <f>K553-I553</f>
        <v>0</v>
      </c>
      <c r="M553" s="111"/>
      <c r="N553" s="111"/>
      <c r="O553" s="111"/>
      <c r="P553" s="111"/>
    </row>
    <row r="554" spans="1:16" ht="12.75" customHeight="1" thickBot="1">
      <c r="A554" s="924"/>
      <c r="B554" s="1040"/>
      <c r="C554" s="938"/>
      <c r="D554" s="939"/>
      <c r="E554" s="937"/>
      <c r="F554" s="937"/>
      <c r="G554" s="332"/>
      <c r="H554" s="942"/>
      <c r="I554" s="1168"/>
      <c r="J554" s="1169"/>
      <c r="K554" s="1041"/>
      <c r="L554" s="947"/>
      <c r="M554" s="111"/>
      <c r="N554" s="111"/>
      <c r="O554" s="111"/>
      <c r="P554" s="111"/>
    </row>
    <row r="555" spans="1:16" ht="12.75" customHeight="1">
      <c r="A555" s="924">
        <v>272</v>
      </c>
      <c r="B555" s="968" t="s">
        <v>1454</v>
      </c>
      <c r="C555" s="969" t="s">
        <v>536</v>
      </c>
      <c r="D555" s="970" t="s">
        <v>1445</v>
      </c>
      <c r="E555" s="968" t="s">
        <v>117</v>
      </c>
      <c r="F555" s="968"/>
      <c r="G555" s="372"/>
      <c r="H555" s="973">
        <v>550000</v>
      </c>
      <c r="I555" s="973">
        <f>H555</f>
        <v>550000</v>
      </c>
      <c r="J555" s="974"/>
      <c r="K555" s="1001">
        <v>550000</v>
      </c>
      <c r="L555" s="967">
        <f>K555-I555</f>
        <v>0</v>
      </c>
      <c r="M555" s="111"/>
      <c r="N555" s="111"/>
      <c r="O555" s="111"/>
      <c r="P555" s="111"/>
    </row>
    <row r="556" spans="1:16" ht="12.75" customHeight="1" thickBot="1">
      <c r="A556" s="924"/>
      <c r="B556" s="937"/>
      <c r="C556" s="938"/>
      <c r="D556" s="939"/>
      <c r="E556" s="937"/>
      <c r="F556" s="937"/>
      <c r="G556" s="373"/>
      <c r="H556" s="942"/>
      <c r="I556" s="1168"/>
      <c r="J556" s="1169"/>
      <c r="K556" s="1041"/>
      <c r="L556" s="947"/>
      <c r="M556" s="111"/>
      <c r="N556" s="111"/>
      <c r="O556" s="111"/>
      <c r="P556" s="111"/>
    </row>
    <row r="557" spans="1:16" ht="12.75" customHeight="1">
      <c r="A557" s="924">
        <v>273</v>
      </c>
      <c r="B557" s="975" t="s">
        <v>1443</v>
      </c>
      <c r="C557" s="969" t="s">
        <v>1466</v>
      </c>
      <c r="D557" s="970" t="s">
        <v>1465</v>
      </c>
      <c r="E557" s="968" t="s">
        <v>20</v>
      </c>
      <c r="F557" s="968"/>
      <c r="G557" s="381"/>
      <c r="H557" s="973">
        <v>11100000</v>
      </c>
      <c r="I557" s="973">
        <f>H557</f>
        <v>11100000</v>
      </c>
      <c r="J557" s="974"/>
      <c r="K557" s="1001">
        <v>11100000</v>
      </c>
      <c r="L557" s="967">
        <f>K557-I557</f>
        <v>0</v>
      </c>
      <c r="M557" s="111"/>
      <c r="N557" s="111"/>
      <c r="O557" s="111"/>
      <c r="P557" s="111"/>
    </row>
    <row r="558" spans="1:16" ht="12.75" customHeight="1">
      <c r="A558" s="924"/>
      <c r="B558" s="976"/>
      <c r="C558" s="904"/>
      <c r="D558" s="658"/>
      <c r="E558" s="865"/>
      <c r="F558" s="865"/>
      <c r="G558" s="379"/>
      <c r="H558" s="905"/>
      <c r="I558" s="1160"/>
      <c r="J558" s="1165"/>
      <c r="K558" s="920"/>
      <c r="L558" s="946"/>
      <c r="M558" s="111"/>
      <c r="N558" s="111"/>
      <c r="O558" s="111"/>
      <c r="P558" s="111"/>
    </row>
    <row r="559" spans="1:16" ht="12.75" customHeight="1">
      <c r="A559" s="924">
        <v>274</v>
      </c>
      <c r="B559" s="1079"/>
      <c r="C559" s="904" t="s">
        <v>607</v>
      </c>
      <c r="D559" s="658" t="s">
        <v>1458</v>
      </c>
      <c r="E559" s="865" t="s">
        <v>1457</v>
      </c>
      <c r="F559" s="865"/>
      <c r="G559" s="451"/>
      <c r="H559" s="905">
        <v>2000000</v>
      </c>
      <c r="I559" s="905">
        <f>H559</f>
        <v>2000000</v>
      </c>
      <c r="J559" s="909"/>
      <c r="K559" s="919">
        <v>2000000</v>
      </c>
      <c r="L559" s="946">
        <f>K559-I559</f>
        <v>0</v>
      </c>
      <c r="M559" s="111"/>
      <c r="N559" s="111"/>
      <c r="O559" s="111"/>
      <c r="P559" s="111"/>
    </row>
    <row r="560" spans="1:16" ht="12.75" customHeight="1" thickBot="1">
      <c r="A560" s="924"/>
      <c r="B560" s="1114"/>
      <c r="C560" s="913"/>
      <c r="D560" s="659"/>
      <c r="E560" s="878"/>
      <c r="F560" s="878"/>
      <c r="G560" s="453"/>
      <c r="H560" s="915"/>
      <c r="I560" s="1166"/>
      <c r="J560" s="1167"/>
      <c r="K560" s="984"/>
      <c r="L560" s="950"/>
      <c r="M560" s="111"/>
      <c r="N560" s="111"/>
      <c r="O560" s="111"/>
      <c r="P560" s="111"/>
    </row>
    <row r="561" spans="1:16" ht="12.75" customHeight="1">
      <c r="A561" s="924">
        <v>275</v>
      </c>
      <c r="B561" s="968" t="s">
        <v>1444</v>
      </c>
      <c r="C561" s="969" t="s">
        <v>1467</v>
      </c>
      <c r="D561" s="970" t="s">
        <v>1465</v>
      </c>
      <c r="E561" s="968" t="s">
        <v>20</v>
      </c>
      <c r="F561" s="968"/>
      <c r="G561" s="385"/>
      <c r="H561" s="973">
        <v>11600000</v>
      </c>
      <c r="I561" s="973">
        <f>H561</f>
        <v>11600000</v>
      </c>
      <c r="J561" s="974"/>
      <c r="K561" s="1001">
        <v>11600000</v>
      </c>
      <c r="L561" s="967">
        <f>K561-I561</f>
        <v>0</v>
      </c>
      <c r="M561" s="111"/>
      <c r="N561" s="111"/>
      <c r="O561" s="111"/>
      <c r="P561" s="111"/>
    </row>
    <row r="562" spans="1:16" ht="12.75" customHeight="1">
      <c r="A562" s="924"/>
      <c r="B562" s="865"/>
      <c r="C562" s="904"/>
      <c r="D562" s="658"/>
      <c r="E562" s="865"/>
      <c r="F562" s="865"/>
      <c r="G562" s="383"/>
      <c r="H562" s="905"/>
      <c r="I562" s="1160"/>
      <c r="J562" s="1165"/>
      <c r="K562" s="920"/>
      <c r="L562" s="946"/>
      <c r="M562" s="111"/>
      <c r="N562" s="111"/>
      <c r="O562" s="111"/>
      <c r="P562" s="111"/>
    </row>
    <row r="563" spans="1:16" ht="12.75" customHeight="1">
      <c r="A563" s="924">
        <v>276</v>
      </c>
      <c r="B563" s="981"/>
      <c r="C563" s="904" t="s">
        <v>619</v>
      </c>
      <c r="D563" s="658" t="s">
        <v>1464</v>
      </c>
      <c r="E563" s="865" t="s">
        <v>1468</v>
      </c>
      <c r="F563" s="865"/>
      <c r="G563" s="351"/>
      <c r="H563" s="905">
        <v>3080000</v>
      </c>
      <c r="I563" s="905">
        <f>H563</f>
        <v>3080000</v>
      </c>
      <c r="J563" s="909"/>
      <c r="K563" s="919">
        <v>3080000</v>
      </c>
      <c r="L563" s="946">
        <f>K563-I563</f>
        <v>0</v>
      </c>
      <c r="M563" s="111"/>
      <c r="N563" s="111"/>
      <c r="O563" s="111"/>
      <c r="P563" s="111"/>
    </row>
    <row r="564" spans="1:16" ht="12.75" customHeight="1">
      <c r="A564" s="924"/>
      <c r="B564" s="1092"/>
      <c r="C564" s="904"/>
      <c r="D564" s="658"/>
      <c r="E564" s="865"/>
      <c r="F564" s="865"/>
      <c r="G564" s="351"/>
      <c r="H564" s="905"/>
      <c r="I564" s="1160"/>
      <c r="J564" s="1165"/>
      <c r="K564" s="920"/>
      <c r="L564" s="946"/>
      <c r="M564" s="111"/>
      <c r="N564" s="111"/>
      <c r="O564" s="111"/>
      <c r="P564" s="111"/>
    </row>
    <row r="565" spans="1:16" ht="12.75" customHeight="1">
      <c r="A565" s="924">
        <v>277</v>
      </c>
      <c r="B565" s="1039"/>
      <c r="C565" s="904" t="s">
        <v>620</v>
      </c>
      <c r="D565" s="658" t="s">
        <v>1463</v>
      </c>
      <c r="E565" s="865" t="s">
        <v>142</v>
      </c>
      <c r="F565" s="865"/>
      <c r="G565" s="374"/>
      <c r="H565" s="905">
        <v>550000</v>
      </c>
      <c r="I565" s="905">
        <f>H565</f>
        <v>550000</v>
      </c>
      <c r="J565" s="909"/>
      <c r="K565" s="919">
        <v>550000</v>
      </c>
      <c r="L565" s="946">
        <f>K565-I565</f>
        <v>0</v>
      </c>
      <c r="M565" s="111"/>
      <c r="N565" s="111"/>
      <c r="O565" s="111"/>
      <c r="P565" s="111"/>
    </row>
    <row r="566" spans="1:16" ht="12.75" customHeight="1">
      <c r="A566" s="924"/>
      <c r="B566" s="1039"/>
      <c r="C566" s="904"/>
      <c r="D566" s="658"/>
      <c r="E566" s="865"/>
      <c r="F566" s="865"/>
      <c r="G566" s="374"/>
      <c r="H566" s="905"/>
      <c r="I566" s="1160"/>
      <c r="J566" s="1165"/>
      <c r="K566" s="920"/>
      <c r="L566" s="946"/>
      <c r="M566" s="111"/>
      <c r="N566" s="111"/>
      <c r="O566" s="111"/>
      <c r="P566" s="111"/>
    </row>
    <row r="567" spans="1:16" ht="12.75" customHeight="1">
      <c r="A567" s="924">
        <v>278</v>
      </c>
      <c r="B567" s="1039"/>
      <c r="C567" s="904" t="s">
        <v>621</v>
      </c>
      <c r="D567" s="658" t="s">
        <v>1463</v>
      </c>
      <c r="E567" s="865" t="s">
        <v>1471</v>
      </c>
      <c r="F567" s="865"/>
      <c r="G567" s="388"/>
      <c r="H567" s="905">
        <v>2200000</v>
      </c>
      <c r="I567" s="905">
        <f>H567</f>
        <v>2200000</v>
      </c>
      <c r="J567" s="909"/>
      <c r="K567" s="919">
        <v>2200000</v>
      </c>
      <c r="L567" s="946">
        <f>K567-I567</f>
        <v>0</v>
      </c>
      <c r="M567" s="111"/>
      <c r="N567" s="111"/>
      <c r="O567" s="111"/>
      <c r="P567" s="111"/>
    </row>
    <row r="568" spans="1:16" ht="12.75" customHeight="1" thickBot="1">
      <c r="A568" s="924"/>
      <c r="B568" s="1040"/>
      <c r="C568" s="938"/>
      <c r="D568" s="939"/>
      <c r="E568" s="937"/>
      <c r="F568" s="937"/>
      <c r="G568" s="389"/>
      <c r="H568" s="942"/>
      <c r="I568" s="1168"/>
      <c r="J568" s="1169"/>
      <c r="K568" s="1041"/>
      <c r="L568" s="947"/>
      <c r="M568" s="111"/>
      <c r="N568" s="111"/>
      <c r="O568" s="111"/>
      <c r="P568" s="111"/>
    </row>
    <row r="569" spans="1:16" ht="12.75" customHeight="1">
      <c r="A569" s="924">
        <v>279</v>
      </c>
      <c r="B569" s="879" t="s">
        <v>1476</v>
      </c>
      <c r="C569" s="914" t="s">
        <v>613</v>
      </c>
      <c r="D569" s="660" t="s">
        <v>1461</v>
      </c>
      <c r="E569" s="879" t="s">
        <v>8</v>
      </c>
      <c r="F569" s="879"/>
      <c r="G569" s="341"/>
      <c r="H569" s="916">
        <v>1447000</v>
      </c>
      <c r="I569" s="916">
        <f>H569</f>
        <v>1447000</v>
      </c>
      <c r="J569" s="949"/>
      <c r="K569" s="984">
        <v>1447000</v>
      </c>
      <c r="L569" s="901">
        <f>K569-I569</f>
        <v>0</v>
      </c>
      <c r="M569" s="111"/>
      <c r="N569" s="111"/>
      <c r="O569" s="111"/>
      <c r="P569" s="111"/>
    </row>
    <row r="570" spans="1:16" ht="12.75" customHeight="1">
      <c r="A570" s="924"/>
      <c r="B570" s="865"/>
      <c r="C570" s="904"/>
      <c r="D570" s="658"/>
      <c r="E570" s="865"/>
      <c r="F570" s="865"/>
      <c r="G570" s="339"/>
      <c r="H570" s="905"/>
      <c r="I570" s="1160"/>
      <c r="J570" s="1165"/>
      <c r="K570" s="920"/>
      <c r="L570" s="903"/>
      <c r="M570" s="111"/>
      <c r="N570" s="111"/>
      <c r="O570" s="111"/>
      <c r="P570" s="111"/>
    </row>
    <row r="571" spans="1:16" ht="12.75" customHeight="1">
      <c r="A571" s="924">
        <v>280</v>
      </c>
      <c r="B571" s="981"/>
      <c r="C571" s="904"/>
      <c r="D571" s="658"/>
      <c r="E571" s="865"/>
      <c r="F571" s="865"/>
      <c r="G571" s="330"/>
      <c r="H571" s="905"/>
      <c r="I571" s="905">
        <f>H571</f>
        <v>0</v>
      </c>
      <c r="J571" s="909"/>
      <c r="K571" s="919"/>
      <c r="L571" s="903">
        <f>K571-I571</f>
        <v>0</v>
      </c>
      <c r="M571" s="111"/>
      <c r="N571" s="111"/>
      <c r="O571" s="111"/>
      <c r="P571" s="111"/>
    </row>
    <row r="572" spans="1:16" ht="13.5" customHeight="1" thickBot="1">
      <c r="A572" s="924"/>
      <c r="B572" s="1082"/>
      <c r="C572" s="904"/>
      <c r="D572" s="658"/>
      <c r="E572" s="865"/>
      <c r="F572" s="865"/>
      <c r="G572" s="330"/>
      <c r="H572" s="905"/>
      <c r="I572" s="1160"/>
      <c r="J572" s="1165"/>
      <c r="K572" s="920"/>
      <c r="L572" s="903"/>
      <c r="M572" s="111"/>
      <c r="N572" s="111"/>
      <c r="O572" s="111"/>
      <c r="P572" s="111"/>
    </row>
    <row r="573" spans="1:16" ht="12.75" customHeight="1">
      <c r="A573" s="924">
        <v>281</v>
      </c>
      <c r="B573" s="865" t="s">
        <v>1462</v>
      </c>
      <c r="C573" s="904" t="s">
        <v>614</v>
      </c>
      <c r="D573" s="658" t="s">
        <v>1463</v>
      </c>
      <c r="E573" s="865" t="s">
        <v>1275</v>
      </c>
      <c r="F573" s="865"/>
      <c r="G573" s="339"/>
      <c r="H573" s="905">
        <v>1403000</v>
      </c>
      <c r="I573" s="905">
        <f>H573</f>
        <v>1403000</v>
      </c>
      <c r="J573" s="909"/>
      <c r="K573" s="919">
        <v>1403000</v>
      </c>
      <c r="L573" s="903">
        <f>K573-I573</f>
        <v>0</v>
      </c>
      <c r="M573" s="111"/>
      <c r="N573" s="111"/>
      <c r="O573" s="111"/>
      <c r="P573" s="111"/>
    </row>
    <row r="574" spans="1:16" ht="12.75" customHeight="1">
      <c r="A574" s="924"/>
      <c r="B574" s="865"/>
      <c r="C574" s="904"/>
      <c r="D574" s="658"/>
      <c r="E574" s="865"/>
      <c r="F574" s="865"/>
      <c r="G574" s="339"/>
      <c r="H574" s="905"/>
      <c r="I574" s="1160"/>
      <c r="J574" s="1165"/>
      <c r="K574" s="920"/>
      <c r="L574" s="903"/>
      <c r="M574" s="111"/>
      <c r="N574" s="111"/>
      <c r="O574" s="111"/>
      <c r="P574" s="111"/>
    </row>
    <row r="575" spans="1:16" ht="12.75" customHeight="1">
      <c r="A575" s="924">
        <v>282</v>
      </c>
      <c r="B575" s="981"/>
      <c r="C575" s="904"/>
      <c r="D575" s="658"/>
      <c r="E575" s="865"/>
      <c r="F575" s="865"/>
      <c r="G575" s="330"/>
      <c r="H575" s="905"/>
      <c r="I575" s="905">
        <f>H575</f>
        <v>0</v>
      </c>
      <c r="J575" s="909"/>
      <c r="K575" s="919"/>
      <c r="L575" s="903">
        <f>K575-I575</f>
        <v>0</v>
      </c>
      <c r="M575" s="111"/>
      <c r="N575" s="111"/>
      <c r="O575" s="111"/>
      <c r="P575" s="111"/>
    </row>
    <row r="576" spans="1:16" ht="12.75" customHeight="1" thickBot="1">
      <c r="A576" s="924"/>
      <c r="B576" s="1078"/>
      <c r="C576" s="913"/>
      <c r="D576" s="659"/>
      <c r="E576" s="878"/>
      <c r="F576" s="878"/>
      <c r="G576" s="331"/>
      <c r="H576" s="915"/>
      <c r="I576" s="1166"/>
      <c r="J576" s="1167"/>
      <c r="K576" s="984"/>
      <c r="L576" s="900"/>
      <c r="M576" s="111"/>
      <c r="N576" s="111"/>
      <c r="O576" s="111"/>
      <c r="P576" s="111"/>
    </row>
    <row r="577" spans="1:16" ht="12.75" customHeight="1">
      <c r="A577" s="924">
        <v>283</v>
      </c>
      <c r="B577" s="975" t="s">
        <v>1459</v>
      </c>
      <c r="C577" s="969" t="s">
        <v>1474</v>
      </c>
      <c r="D577" s="970" t="s">
        <v>1473</v>
      </c>
      <c r="E577" s="968" t="s">
        <v>20</v>
      </c>
      <c r="F577" s="968"/>
      <c r="G577" s="387"/>
      <c r="H577" s="973">
        <v>12000000</v>
      </c>
      <c r="I577" s="973">
        <f>H577</f>
        <v>12000000</v>
      </c>
      <c r="J577" s="974"/>
      <c r="K577" s="1001">
        <v>12000000</v>
      </c>
      <c r="L577" s="967">
        <f>K577-I577</f>
        <v>0</v>
      </c>
      <c r="M577" s="111"/>
      <c r="N577" s="111"/>
      <c r="O577" s="111"/>
      <c r="P577" s="111"/>
    </row>
    <row r="578" spans="1:16" ht="13.5" customHeight="1">
      <c r="A578" s="924"/>
      <c r="B578" s="976"/>
      <c r="C578" s="904"/>
      <c r="D578" s="658"/>
      <c r="E578" s="865"/>
      <c r="F578" s="865"/>
      <c r="G578" s="386"/>
      <c r="H578" s="905"/>
      <c r="I578" s="1160"/>
      <c r="J578" s="910"/>
      <c r="K578" s="920"/>
      <c r="L578" s="946"/>
      <c r="M578" s="111"/>
      <c r="N578" s="111"/>
      <c r="O578" s="111"/>
      <c r="P578" s="111"/>
    </row>
    <row r="579" spans="1:16" ht="12.75" customHeight="1">
      <c r="A579" s="924">
        <v>284</v>
      </c>
      <c r="B579" s="1079"/>
      <c r="C579" s="904" t="s">
        <v>623</v>
      </c>
      <c r="D579" s="658" t="s">
        <v>1469</v>
      </c>
      <c r="E579" s="865" t="s">
        <v>874</v>
      </c>
      <c r="F579" s="865"/>
      <c r="G579" s="335"/>
      <c r="H579" s="905">
        <v>785000</v>
      </c>
      <c r="I579" s="905">
        <f>H579</f>
        <v>785000</v>
      </c>
      <c r="J579" s="909"/>
      <c r="K579" s="919">
        <v>785000</v>
      </c>
      <c r="L579" s="946">
        <f>K579-I579</f>
        <v>0</v>
      </c>
      <c r="M579" s="111"/>
      <c r="N579" s="111"/>
      <c r="O579" s="111"/>
      <c r="P579" s="111"/>
    </row>
    <row r="580" spans="1:16" ht="12.75" customHeight="1">
      <c r="A580" s="924"/>
      <c r="B580" s="1114"/>
      <c r="C580" s="904"/>
      <c r="D580" s="658"/>
      <c r="E580" s="865"/>
      <c r="F580" s="865"/>
      <c r="G580" s="335"/>
      <c r="H580" s="905"/>
      <c r="I580" s="906"/>
      <c r="J580" s="910"/>
      <c r="K580" s="920"/>
      <c r="L580" s="946"/>
      <c r="M580" s="111"/>
      <c r="N580" s="111"/>
      <c r="O580" s="111"/>
      <c r="P580" s="111"/>
    </row>
    <row r="581" spans="1:16" ht="12.75" customHeight="1">
      <c r="A581" s="924">
        <v>285</v>
      </c>
      <c r="B581" s="1079"/>
      <c r="C581" s="904" t="s">
        <v>624</v>
      </c>
      <c r="D581" s="658" t="s">
        <v>1469</v>
      </c>
      <c r="E581" s="865" t="s">
        <v>697</v>
      </c>
      <c r="F581" s="865"/>
      <c r="G581" s="335"/>
      <c r="H581" s="905">
        <v>1315000</v>
      </c>
      <c r="I581" s="905">
        <f>H581</f>
        <v>1315000</v>
      </c>
      <c r="J581" s="909"/>
      <c r="K581" s="919">
        <v>1315000</v>
      </c>
      <c r="L581" s="946">
        <f>K581-I581</f>
        <v>0</v>
      </c>
      <c r="M581" s="111"/>
      <c r="N581" s="111"/>
      <c r="O581" s="111"/>
      <c r="P581" s="111"/>
    </row>
    <row r="582" spans="1:16" ht="13.5" customHeight="1" thickBot="1">
      <c r="A582" s="924"/>
      <c r="B582" s="1114"/>
      <c r="C582" s="913"/>
      <c r="D582" s="659"/>
      <c r="E582" s="878"/>
      <c r="F582" s="878"/>
      <c r="G582" s="336"/>
      <c r="H582" s="915"/>
      <c r="I582" s="982"/>
      <c r="J582" s="917"/>
      <c r="K582" s="984"/>
      <c r="L582" s="950"/>
      <c r="M582" s="111"/>
      <c r="N582" s="111"/>
      <c r="O582" s="111"/>
      <c r="P582" s="111"/>
    </row>
    <row r="583" spans="1:16" ht="12.75" customHeight="1">
      <c r="A583" s="924">
        <v>286</v>
      </c>
      <c r="B583" s="1161" t="s">
        <v>1470</v>
      </c>
      <c r="C583" s="1283"/>
      <c r="D583" s="1285"/>
      <c r="E583" s="1161" t="s">
        <v>1418</v>
      </c>
      <c r="F583" s="1161"/>
      <c r="G583" s="343"/>
      <c r="H583" s="1163">
        <v>2000000</v>
      </c>
      <c r="I583" s="1163">
        <v>1200000</v>
      </c>
      <c r="J583" s="1288"/>
      <c r="K583" s="1290">
        <v>800000</v>
      </c>
      <c r="L583" s="1292"/>
      <c r="M583" s="111"/>
      <c r="N583" s="111"/>
      <c r="O583" s="111"/>
      <c r="P583" s="111"/>
    </row>
    <row r="584" spans="1:16" ht="12.75" customHeight="1" thickBot="1">
      <c r="A584" s="924"/>
      <c r="B584" s="1162"/>
      <c r="C584" s="1284"/>
      <c r="D584" s="1286"/>
      <c r="E584" s="1162"/>
      <c r="F584" s="1162"/>
      <c r="G584" s="344"/>
      <c r="H584" s="1164"/>
      <c r="I584" s="1287"/>
      <c r="J584" s="1289"/>
      <c r="K584" s="1291"/>
      <c r="L584" s="1293"/>
      <c r="M584" s="111"/>
      <c r="N584" s="111"/>
      <c r="O584" s="111"/>
      <c r="P584" s="111"/>
    </row>
    <row r="585" spans="1:16" ht="12.75" customHeight="1">
      <c r="A585" s="924">
        <v>287</v>
      </c>
      <c r="B585" s="1017" t="s">
        <v>1456</v>
      </c>
      <c r="C585" s="1018" t="s">
        <v>1475</v>
      </c>
      <c r="D585" s="1019" t="s">
        <v>1463</v>
      </c>
      <c r="E585" s="1017" t="s">
        <v>20</v>
      </c>
      <c r="F585" s="1017"/>
      <c r="G585" s="387"/>
      <c r="H585" s="999">
        <v>12000000</v>
      </c>
      <c r="I585" s="999">
        <f>H585</f>
        <v>12000000</v>
      </c>
      <c r="J585" s="1000"/>
      <c r="K585" s="1001">
        <v>12000000</v>
      </c>
      <c r="L585" s="1002">
        <f>K585-I585</f>
        <v>0</v>
      </c>
      <c r="M585" s="111"/>
      <c r="N585" s="111"/>
      <c r="O585" s="111"/>
      <c r="P585" s="111"/>
    </row>
    <row r="586" spans="1:16" ht="12.75" customHeight="1">
      <c r="A586" s="924"/>
      <c r="B586" s="879"/>
      <c r="C586" s="914"/>
      <c r="D586" s="660"/>
      <c r="E586" s="879"/>
      <c r="F586" s="879"/>
      <c r="G586" s="386"/>
      <c r="H586" s="916"/>
      <c r="I586" s="916"/>
      <c r="J586" s="949"/>
      <c r="K586" s="920"/>
      <c r="L586" s="951"/>
      <c r="M586" s="111"/>
      <c r="N586" s="111"/>
      <c r="O586" s="111"/>
      <c r="P586" s="111"/>
    </row>
    <row r="587" spans="1:16" ht="12.75" customHeight="1">
      <c r="A587" s="924">
        <v>288</v>
      </c>
      <c r="B587" s="981"/>
      <c r="C587" s="904" t="s">
        <v>631</v>
      </c>
      <c r="D587" s="658" t="s">
        <v>1472</v>
      </c>
      <c r="E587" s="865" t="s">
        <v>1140</v>
      </c>
      <c r="F587" s="865"/>
      <c r="G587" s="335"/>
      <c r="H587" s="905">
        <v>5500000</v>
      </c>
      <c r="I587" s="905">
        <f>H587</f>
        <v>5500000</v>
      </c>
      <c r="J587" s="909"/>
      <c r="K587" s="919">
        <v>5500000</v>
      </c>
      <c r="L587" s="946">
        <f>K587-I587</f>
        <v>0</v>
      </c>
      <c r="M587" s="111"/>
      <c r="N587" s="111"/>
      <c r="O587" s="111"/>
      <c r="P587" s="111"/>
    </row>
    <row r="588" spans="1:16" ht="12.75" customHeight="1">
      <c r="A588" s="924"/>
      <c r="B588" s="1092"/>
      <c r="C588" s="904"/>
      <c r="D588" s="658"/>
      <c r="E588" s="865"/>
      <c r="F588" s="865"/>
      <c r="G588" s="335"/>
      <c r="H588" s="905"/>
      <c r="I588" s="906"/>
      <c r="J588" s="910"/>
      <c r="K588" s="920"/>
      <c r="L588" s="946"/>
      <c r="M588" s="111"/>
      <c r="N588" s="111"/>
      <c r="O588" s="111"/>
      <c r="P588" s="111"/>
    </row>
    <row r="589" spans="1:16" ht="12.75" customHeight="1">
      <c r="A589" s="924">
        <v>289</v>
      </c>
      <c r="B589" s="1039"/>
      <c r="C589" s="904" t="s">
        <v>632</v>
      </c>
      <c r="D589" s="658" t="s">
        <v>1472</v>
      </c>
      <c r="E589" s="865" t="s">
        <v>283</v>
      </c>
      <c r="F589" s="865"/>
      <c r="G589" s="355"/>
      <c r="H589" s="905">
        <v>7600000</v>
      </c>
      <c r="I589" s="905">
        <f>H589</f>
        <v>7600000</v>
      </c>
      <c r="J589" s="909"/>
      <c r="K589" s="919">
        <v>7600000</v>
      </c>
      <c r="L589" s="946">
        <f>K589-I589</f>
        <v>0</v>
      </c>
      <c r="M589" s="111"/>
      <c r="N589" s="111"/>
      <c r="O589" s="111"/>
      <c r="P589" s="111"/>
    </row>
    <row r="590" spans="1:16" ht="12.75" customHeight="1" thickBot="1">
      <c r="A590" s="924"/>
      <c r="B590" s="1040"/>
      <c r="C590" s="938"/>
      <c r="D590" s="939"/>
      <c r="E590" s="937"/>
      <c r="F590" s="937"/>
      <c r="G590" s="353"/>
      <c r="H590" s="942"/>
      <c r="I590" s="943"/>
      <c r="J590" s="944"/>
      <c r="K590" s="1041"/>
      <c r="L590" s="947"/>
      <c r="M590" s="111"/>
      <c r="N590" s="111"/>
      <c r="O590" s="111"/>
      <c r="P590" s="111"/>
    </row>
    <row r="591" spans="1:16" ht="12.75" customHeight="1">
      <c r="A591" s="924">
        <v>290</v>
      </c>
      <c r="B591" s="968" t="s">
        <v>1460</v>
      </c>
      <c r="C591" s="969" t="s">
        <v>1482</v>
      </c>
      <c r="D591" s="970" t="s">
        <v>1472</v>
      </c>
      <c r="E591" s="968" t="s">
        <v>20</v>
      </c>
      <c r="F591" s="968"/>
      <c r="G591" s="404"/>
      <c r="H591" s="973">
        <v>11100000</v>
      </c>
      <c r="I591" s="973">
        <f>H591</f>
        <v>11100000</v>
      </c>
      <c r="J591" s="974"/>
      <c r="K591" s="1001">
        <v>11100000</v>
      </c>
      <c r="L591" s="967">
        <f>K591-I591</f>
        <v>0</v>
      </c>
      <c r="M591" s="111"/>
      <c r="N591" s="111"/>
      <c r="O591" s="111"/>
      <c r="P591" s="111"/>
    </row>
    <row r="592" spans="1:16" ht="12.75" customHeight="1">
      <c r="A592" s="924"/>
      <c r="B592" s="865"/>
      <c r="C592" s="904"/>
      <c r="D592" s="658"/>
      <c r="E592" s="865"/>
      <c r="F592" s="865"/>
      <c r="G592" s="403"/>
      <c r="H592" s="905"/>
      <c r="I592" s="906"/>
      <c r="J592" s="910"/>
      <c r="K592" s="920"/>
      <c r="L592" s="946"/>
      <c r="M592" s="111"/>
      <c r="N592" s="111"/>
      <c r="O592" s="111"/>
      <c r="P592" s="111"/>
    </row>
    <row r="593" spans="1:16" ht="12.75" customHeight="1">
      <c r="A593" s="924">
        <v>291</v>
      </c>
      <c r="B593" s="981"/>
      <c r="C593" s="904" t="s">
        <v>633</v>
      </c>
      <c r="D593" s="658" t="s">
        <v>1483</v>
      </c>
      <c r="E593" s="865" t="s">
        <v>217</v>
      </c>
      <c r="F593" s="865"/>
      <c r="G593" s="355"/>
      <c r="H593" s="905">
        <v>2800000</v>
      </c>
      <c r="I593" s="905">
        <f>H593</f>
        <v>2800000</v>
      </c>
      <c r="J593" s="909"/>
      <c r="K593" s="919">
        <v>2800000</v>
      </c>
      <c r="L593" s="946">
        <f>K593-I593</f>
        <v>0</v>
      </c>
      <c r="M593" s="111"/>
      <c r="N593" s="111"/>
      <c r="O593" s="111"/>
      <c r="P593" s="111"/>
    </row>
    <row r="594" spans="1:16" ht="12.75" customHeight="1">
      <c r="A594" s="924"/>
      <c r="B594" s="1092"/>
      <c r="C594" s="904"/>
      <c r="D594" s="658"/>
      <c r="E594" s="865"/>
      <c r="F594" s="865"/>
      <c r="G594" s="355"/>
      <c r="H594" s="905"/>
      <c r="I594" s="906"/>
      <c r="J594" s="910"/>
      <c r="K594" s="920"/>
      <c r="L594" s="946"/>
      <c r="M594" s="111"/>
      <c r="N594" s="111"/>
      <c r="O594" s="111"/>
      <c r="P594" s="111"/>
    </row>
    <row r="595" spans="1:16" ht="12.75" customHeight="1">
      <c r="A595" s="924">
        <v>292</v>
      </c>
      <c r="B595" s="865"/>
      <c r="C595" s="904" t="s">
        <v>634</v>
      </c>
      <c r="D595" s="658" t="s">
        <v>1477</v>
      </c>
      <c r="E595" s="865" t="s">
        <v>117</v>
      </c>
      <c r="F595" s="865"/>
      <c r="G595" s="374"/>
      <c r="H595" s="905">
        <v>550000</v>
      </c>
      <c r="I595" s="905">
        <f>H595</f>
        <v>550000</v>
      </c>
      <c r="J595" s="909"/>
      <c r="K595" s="919">
        <v>550000</v>
      </c>
      <c r="L595" s="946">
        <f>K595-I595</f>
        <v>0</v>
      </c>
      <c r="M595" s="111"/>
      <c r="N595" s="111"/>
      <c r="O595" s="111"/>
      <c r="P595" s="111"/>
    </row>
    <row r="596" spans="1:16" ht="12.75" customHeight="1" thickBot="1">
      <c r="A596" s="924"/>
      <c r="B596" s="937"/>
      <c r="C596" s="938"/>
      <c r="D596" s="939"/>
      <c r="E596" s="937"/>
      <c r="F596" s="937"/>
      <c r="G596" s="373"/>
      <c r="H596" s="942"/>
      <c r="I596" s="943"/>
      <c r="J596" s="944"/>
      <c r="K596" s="1041"/>
      <c r="L596" s="947"/>
      <c r="M596" s="111"/>
      <c r="N596" s="111"/>
      <c r="O596" s="111"/>
      <c r="P596" s="111"/>
    </row>
    <row r="597" spans="1:16" ht="12.75" customHeight="1">
      <c r="A597" s="924">
        <v>293</v>
      </c>
      <c r="B597" s="968" t="s">
        <v>1488</v>
      </c>
      <c r="C597" s="969"/>
      <c r="D597" s="970"/>
      <c r="E597" s="968"/>
      <c r="F597" s="968"/>
      <c r="G597" s="333"/>
      <c r="H597" s="973"/>
      <c r="I597" s="973">
        <f>H597</f>
        <v>0</v>
      </c>
      <c r="J597" s="974"/>
      <c r="K597" s="1001"/>
      <c r="L597" s="967">
        <f>K597-I597</f>
        <v>0</v>
      </c>
      <c r="M597" s="111"/>
      <c r="N597" s="111"/>
      <c r="O597" s="111"/>
      <c r="P597" s="111"/>
    </row>
    <row r="598" spans="1:16" ht="12.75" customHeight="1" thickBot="1">
      <c r="A598" s="924"/>
      <c r="B598" s="937"/>
      <c r="C598" s="938"/>
      <c r="D598" s="939"/>
      <c r="E598" s="937"/>
      <c r="F598" s="937"/>
      <c r="G598" s="334"/>
      <c r="H598" s="942"/>
      <c r="I598" s="943"/>
      <c r="J598" s="944"/>
      <c r="K598" s="1041"/>
      <c r="L598" s="947"/>
      <c r="M598" s="111"/>
      <c r="N598" s="111"/>
      <c r="O598" s="111"/>
      <c r="P598" s="111"/>
    </row>
    <row r="599" spans="1:16" ht="12.75" customHeight="1">
      <c r="A599" s="924">
        <v>294</v>
      </c>
      <c r="B599" s="879" t="s">
        <v>1478</v>
      </c>
      <c r="C599" s="914" t="s">
        <v>1497</v>
      </c>
      <c r="D599" s="660" t="s">
        <v>1496</v>
      </c>
      <c r="E599" s="879" t="s">
        <v>20</v>
      </c>
      <c r="F599" s="879"/>
      <c r="G599" s="406"/>
      <c r="H599" s="916">
        <v>11100000</v>
      </c>
      <c r="I599" s="916">
        <f>H599</f>
        <v>11100000</v>
      </c>
      <c r="J599" s="949"/>
      <c r="K599" s="988">
        <v>11100000</v>
      </c>
      <c r="L599" s="901">
        <f>K599-I599</f>
        <v>0</v>
      </c>
      <c r="M599" s="111"/>
      <c r="N599" s="111"/>
      <c r="O599" s="111"/>
      <c r="P599" s="111"/>
    </row>
    <row r="600" spans="1:16" ht="12.75" customHeight="1">
      <c r="A600" s="924"/>
      <c r="B600" s="865"/>
      <c r="C600" s="904"/>
      <c r="D600" s="658"/>
      <c r="E600" s="865"/>
      <c r="F600" s="865"/>
      <c r="G600" s="405"/>
      <c r="H600" s="905"/>
      <c r="I600" s="906"/>
      <c r="J600" s="910"/>
      <c r="K600" s="916"/>
      <c r="L600" s="903"/>
      <c r="M600" s="111"/>
      <c r="N600" s="111"/>
      <c r="O600" s="111"/>
      <c r="P600" s="111"/>
    </row>
    <row r="601" spans="1:16" ht="12.75" customHeight="1">
      <c r="A601" s="924">
        <v>295</v>
      </c>
      <c r="B601" s="1079"/>
      <c r="C601" s="904" t="s">
        <v>648</v>
      </c>
      <c r="D601" s="674" t="s">
        <v>1491</v>
      </c>
      <c r="E601" s="865" t="s">
        <v>1503</v>
      </c>
      <c r="F601" s="865" t="s">
        <v>1489</v>
      </c>
      <c r="G601" s="444"/>
      <c r="H601" s="905">
        <v>3800000</v>
      </c>
      <c r="I601" s="905">
        <f>H601</f>
        <v>3800000</v>
      </c>
      <c r="J601" s="909"/>
      <c r="K601" s="919">
        <v>3800000</v>
      </c>
      <c r="L601" s="903">
        <f>K601-I601</f>
        <v>0</v>
      </c>
      <c r="M601" s="111"/>
      <c r="N601" s="111"/>
      <c r="O601" s="111"/>
      <c r="P601" s="111"/>
    </row>
    <row r="602" spans="1:16" ht="12.75" customHeight="1">
      <c r="A602" s="924"/>
      <c r="B602" s="1114"/>
      <c r="C602" s="904"/>
      <c r="D602" s="674"/>
      <c r="E602" s="865"/>
      <c r="F602" s="865"/>
      <c r="G602" s="444"/>
      <c r="H602" s="905"/>
      <c r="I602" s="906"/>
      <c r="J602" s="910"/>
      <c r="K602" s="920"/>
      <c r="L602" s="903"/>
      <c r="M602" s="111"/>
      <c r="N602" s="111"/>
      <c r="O602" s="111"/>
      <c r="P602" s="111"/>
    </row>
    <row r="603" spans="1:16" ht="12.75" customHeight="1">
      <c r="A603" s="924">
        <v>296</v>
      </c>
      <c r="B603" s="865"/>
      <c r="C603" s="904" t="s">
        <v>642</v>
      </c>
      <c r="D603" s="658" t="s">
        <v>1486</v>
      </c>
      <c r="E603" s="865" t="s">
        <v>1498</v>
      </c>
      <c r="F603" s="865" t="s">
        <v>439</v>
      </c>
      <c r="G603" s="401"/>
      <c r="H603" s="905">
        <v>2400000</v>
      </c>
      <c r="I603" s="905">
        <f>H603</f>
        <v>2400000</v>
      </c>
      <c r="J603" s="909"/>
      <c r="K603" s="919">
        <v>2400000</v>
      </c>
      <c r="L603" s="903">
        <f>K603-I603</f>
        <v>0</v>
      </c>
      <c r="M603" s="111"/>
      <c r="N603" s="111"/>
      <c r="O603" s="111"/>
      <c r="P603" s="111"/>
    </row>
    <row r="604" spans="1:16" ht="12.75" customHeight="1" thickBot="1">
      <c r="A604" s="924"/>
      <c r="B604" s="865"/>
      <c r="C604" s="904"/>
      <c r="D604" s="658"/>
      <c r="E604" s="865"/>
      <c r="F604" s="865"/>
      <c r="G604" s="401"/>
      <c r="H604" s="905"/>
      <c r="I604" s="906"/>
      <c r="J604" s="910"/>
      <c r="K604" s="920"/>
      <c r="L604" s="903"/>
      <c r="M604" s="111"/>
      <c r="N604" s="111"/>
      <c r="O604" s="111"/>
      <c r="P604" s="111"/>
    </row>
    <row r="605" spans="1:16" ht="12.75" customHeight="1">
      <c r="A605" s="924">
        <v>297</v>
      </c>
      <c r="B605" s="968" t="s">
        <v>1479</v>
      </c>
      <c r="C605" s="969" t="s">
        <v>1501</v>
      </c>
      <c r="D605" s="970" t="s">
        <v>1477</v>
      </c>
      <c r="E605" s="968" t="s">
        <v>20</v>
      </c>
      <c r="F605" s="968"/>
      <c r="G605" s="404"/>
      <c r="H605" s="973">
        <v>11500000</v>
      </c>
      <c r="I605" s="973">
        <f>H605</f>
        <v>11500000</v>
      </c>
      <c r="J605" s="974"/>
      <c r="K605" s="999">
        <v>11500000</v>
      </c>
      <c r="L605" s="967">
        <f>K605-I605</f>
        <v>0</v>
      </c>
      <c r="M605" s="111"/>
      <c r="N605" s="111"/>
      <c r="O605" s="111"/>
      <c r="P605" s="111"/>
    </row>
    <row r="606" spans="1:16" ht="12.75" customHeight="1">
      <c r="A606" s="924"/>
      <c r="B606" s="865"/>
      <c r="C606" s="904"/>
      <c r="D606" s="658"/>
      <c r="E606" s="865"/>
      <c r="F606" s="865"/>
      <c r="G606" s="403"/>
      <c r="H606" s="905"/>
      <c r="I606" s="906"/>
      <c r="J606" s="910"/>
      <c r="K606" s="916"/>
      <c r="L606" s="946"/>
      <c r="M606" s="111"/>
      <c r="N606" s="111"/>
      <c r="O606" s="111"/>
      <c r="P606" s="111"/>
    </row>
    <row r="607" spans="1:16" ht="12.75" customHeight="1">
      <c r="A607" s="924">
        <v>298</v>
      </c>
      <c r="B607" s="981"/>
      <c r="C607" s="904" t="s">
        <v>650</v>
      </c>
      <c r="D607" s="674" t="s">
        <v>1491</v>
      </c>
      <c r="E607" s="1044" t="s">
        <v>1481</v>
      </c>
      <c r="F607" s="1046" t="s">
        <v>1514</v>
      </c>
      <c r="G607" s="338"/>
      <c r="H607" s="1048">
        <v>7300000</v>
      </c>
      <c r="I607" s="1048">
        <f>H607</f>
        <v>7300000</v>
      </c>
      <c r="J607" s="1052"/>
      <c r="K607" s="1054"/>
      <c r="L607" s="1280">
        <f>K607-I607</f>
        <v>-7300000</v>
      </c>
      <c r="M607" s="111" t="s">
        <v>2298</v>
      </c>
      <c r="N607" s="111"/>
      <c r="O607" s="111"/>
      <c r="P607" s="111"/>
    </row>
    <row r="608" spans="1:16" ht="12.75" customHeight="1">
      <c r="A608" s="924"/>
      <c r="B608" s="1092"/>
      <c r="C608" s="904"/>
      <c r="D608" s="674"/>
      <c r="E608" s="1044"/>
      <c r="F608" s="1046"/>
      <c r="G608" s="338"/>
      <c r="H608" s="1048"/>
      <c r="I608" s="1088"/>
      <c r="J608" s="1089"/>
      <c r="K608" s="1090"/>
      <c r="L608" s="1280"/>
      <c r="M608" s="123" t="s">
        <v>2449</v>
      </c>
      <c r="N608" s="111"/>
      <c r="O608" s="111"/>
      <c r="P608" s="111"/>
    </row>
    <row r="609" spans="1:16" ht="12.75" customHeight="1">
      <c r="A609" s="924">
        <v>299</v>
      </c>
      <c r="B609" s="865" t="s">
        <v>1588</v>
      </c>
      <c r="C609" s="904" t="s">
        <v>646</v>
      </c>
      <c r="D609" s="658" t="s">
        <v>1486</v>
      </c>
      <c r="E609" s="865" t="s">
        <v>1490</v>
      </c>
      <c r="F609" s="865" t="s">
        <v>1487</v>
      </c>
      <c r="G609" s="368"/>
      <c r="H609" s="905">
        <v>3000000</v>
      </c>
      <c r="I609" s="905">
        <f>H609</f>
        <v>3000000</v>
      </c>
      <c r="J609" s="909"/>
      <c r="K609" s="919">
        <v>3000000</v>
      </c>
      <c r="L609" s="946">
        <f>K609-I609</f>
        <v>0</v>
      </c>
      <c r="M609" s="111"/>
      <c r="N609" s="111"/>
      <c r="O609" s="111"/>
      <c r="P609" s="111"/>
    </row>
    <row r="610" spans="1:16" ht="12.75" customHeight="1" thickBot="1">
      <c r="A610" s="924"/>
      <c r="B610" s="937"/>
      <c r="C610" s="938"/>
      <c r="D610" s="939"/>
      <c r="E610" s="937"/>
      <c r="F610" s="937"/>
      <c r="G610" s="367"/>
      <c r="H610" s="942"/>
      <c r="I610" s="943"/>
      <c r="J610" s="944"/>
      <c r="K610" s="1041"/>
      <c r="L610" s="947"/>
      <c r="M610" s="382" t="s">
        <v>1544</v>
      </c>
      <c r="N610" s="111"/>
      <c r="O610" s="111"/>
      <c r="P610" s="111"/>
    </row>
    <row r="611" spans="1:16" ht="12.75" customHeight="1">
      <c r="A611" s="1066"/>
      <c r="B611" s="1068" t="s">
        <v>640</v>
      </c>
      <c r="C611" s="1069"/>
      <c r="D611" s="1069"/>
      <c r="E611" s="1069"/>
      <c r="F611" s="1069"/>
      <c r="G611" s="1069"/>
      <c r="H611" s="1069"/>
      <c r="I611" s="1069"/>
      <c r="J611" s="1069"/>
      <c r="K611" s="1069"/>
      <c r="L611" s="1070"/>
      <c r="M611" s="111"/>
      <c r="N611" s="111"/>
      <c r="O611" s="111"/>
      <c r="P611" s="111"/>
    </row>
    <row r="612" spans="1:16" ht="12.75" customHeight="1" thickBot="1">
      <c r="A612" s="1066"/>
      <c r="B612" s="1085"/>
      <c r="C612" s="1086"/>
      <c r="D612" s="1086"/>
      <c r="E612" s="1086"/>
      <c r="F612" s="1086"/>
      <c r="G612" s="1086"/>
      <c r="H612" s="1086"/>
      <c r="I612" s="1086"/>
      <c r="J612" s="1086"/>
      <c r="K612" s="1086"/>
      <c r="L612" s="1087"/>
      <c r="M612" s="22">
        <f>SUM(I601,I607,I615:I710,I715:I720,I725)</f>
        <v>211099651</v>
      </c>
      <c r="N612" s="111"/>
      <c r="O612" s="111"/>
      <c r="P612" s="111"/>
    </row>
    <row r="613" spans="1:16" ht="12.75" customHeight="1">
      <c r="A613" s="924">
        <v>300</v>
      </c>
      <c r="B613" s="879" t="s">
        <v>1480</v>
      </c>
      <c r="C613" s="914" t="s">
        <v>1508</v>
      </c>
      <c r="D613" s="732" t="s">
        <v>1486</v>
      </c>
      <c r="E613" s="879" t="s">
        <v>428</v>
      </c>
      <c r="F613" s="879"/>
      <c r="G613" s="406"/>
      <c r="H613" s="916">
        <v>12000000</v>
      </c>
      <c r="I613" s="916">
        <f>H613</f>
        <v>12000000</v>
      </c>
      <c r="J613" s="949"/>
      <c r="K613" s="984">
        <v>12000000</v>
      </c>
      <c r="L613" s="901">
        <f>K613-I613</f>
        <v>0</v>
      </c>
      <c r="M613" s="111"/>
      <c r="N613" s="111"/>
      <c r="O613" s="111"/>
      <c r="P613" s="111"/>
    </row>
    <row r="614" spans="1:16" ht="12.75" customHeight="1">
      <c r="A614" s="924"/>
      <c r="B614" s="865"/>
      <c r="C614" s="904"/>
      <c r="D614" s="674"/>
      <c r="E614" s="865"/>
      <c r="F614" s="865"/>
      <c r="G614" s="405"/>
      <c r="H614" s="905"/>
      <c r="I614" s="906"/>
      <c r="J614" s="910"/>
      <c r="K614" s="920"/>
      <c r="L614" s="903"/>
      <c r="M614" s="111"/>
      <c r="N614" s="111"/>
      <c r="O614" s="111"/>
      <c r="P614" s="111"/>
    </row>
    <row r="615" spans="1:16" ht="12.75" customHeight="1">
      <c r="A615" s="924">
        <v>301</v>
      </c>
      <c r="B615" s="981"/>
      <c r="C615" s="904" t="s">
        <v>653</v>
      </c>
      <c r="D615" s="658" t="s">
        <v>1495</v>
      </c>
      <c r="E615" s="1279" t="s">
        <v>630</v>
      </c>
      <c r="F615" s="865" t="s">
        <v>24</v>
      </c>
      <c r="G615" s="378"/>
      <c r="H615" s="905">
        <v>3990000</v>
      </c>
      <c r="I615" s="905">
        <f>H615</f>
        <v>3990000</v>
      </c>
      <c r="J615" s="909"/>
      <c r="K615" s="919">
        <v>3990000</v>
      </c>
      <c r="L615" s="903">
        <f>K615-I615</f>
        <v>0</v>
      </c>
      <c r="M615" s="5">
        <f>SUM(L613:L728)</f>
        <v>1000000</v>
      </c>
      <c r="N615" s="111"/>
      <c r="O615" s="111"/>
      <c r="P615" s="111"/>
    </row>
    <row r="616" spans="1:16" ht="12.75" customHeight="1">
      <c r="A616" s="924"/>
      <c r="B616" s="1092"/>
      <c r="C616" s="904"/>
      <c r="D616" s="658"/>
      <c r="E616" s="1279"/>
      <c r="F616" s="865"/>
      <c r="G616" s="378"/>
      <c r="H616" s="905"/>
      <c r="I616" s="906"/>
      <c r="J616" s="910"/>
      <c r="K616" s="920"/>
      <c r="L616" s="903"/>
      <c r="M616" s="111"/>
      <c r="N616" s="111"/>
      <c r="O616" s="111"/>
      <c r="P616" s="111"/>
    </row>
    <row r="617" spans="1:16" ht="12.75" customHeight="1">
      <c r="A617" s="924">
        <v>302</v>
      </c>
      <c r="B617" s="865"/>
      <c r="C617" s="904" t="s">
        <v>654</v>
      </c>
      <c r="D617" s="658" t="s">
        <v>1495</v>
      </c>
      <c r="E617" s="865" t="s">
        <v>105</v>
      </c>
      <c r="F617" s="865"/>
      <c r="G617" s="360"/>
      <c r="H617" s="905">
        <v>550000</v>
      </c>
      <c r="I617" s="905">
        <f>H617</f>
        <v>550000</v>
      </c>
      <c r="J617" s="909"/>
      <c r="K617" s="919">
        <v>550000</v>
      </c>
      <c r="L617" s="903">
        <f>K617-I617</f>
        <v>0</v>
      </c>
      <c r="M617" s="111"/>
      <c r="N617" s="111"/>
      <c r="O617" s="111"/>
      <c r="P617" s="111"/>
    </row>
    <row r="618" spans="1:16" ht="12.75" customHeight="1">
      <c r="A618" s="924"/>
      <c r="B618" s="878"/>
      <c r="C618" s="913"/>
      <c r="D618" s="659"/>
      <c r="E618" s="878"/>
      <c r="F618" s="878"/>
      <c r="G618" s="361"/>
      <c r="H618" s="915"/>
      <c r="I618" s="982"/>
      <c r="J618" s="917"/>
      <c r="K618" s="984"/>
      <c r="L618" s="900"/>
      <c r="M618" s="111"/>
      <c r="N618" s="111"/>
      <c r="O618" s="111"/>
      <c r="P618" s="111"/>
    </row>
    <row r="619" spans="1:16" ht="12.75" customHeight="1">
      <c r="A619" s="924">
        <v>303</v>
      </c>
      <c r="B619" s="865"/>
      <c r="C619" s="904" t="s">
        <v>655</v>
      </c>
      <c r="D619" s="658" t="s">
        <v>1495</v>
      </c>
      <c r="E619" s="865" t="s">
        <v>697</v>
      </c>
      <c r="F619" s="865"/>
      <c r="G619" s="368"/>
      <c r="H619" s="905">
        <v>550000</v>
      </c>
      <c r="I619" s="905">
        <f>H619</f>
        <v>550000</v>
      </c>
      <c r="J619" s="909"/>
      <c r="K619" s="919">
        <v>550000</v>
      </c>
      <c r="L619" s="903">
        <f>K619-I619</f>
        <v>0</v>
      </c>
      <c r="M619" s="111"/>
      <c r="N619" s="111"/>
      <c r="O619" s="111"/>
      <c r="P619" s="111"/>
    </row>
    <row r="620" spans="1:16" ht="12.75" customHeight="1">
      <c r="A620" s="924"/>
      <c r="B620" s="878"/>
      <c r="C620" s="913"/>
      <c r="D620" s="659"/>
      <c r="E620" s="878"/>
      <c r="F620" s="878"/>
      <c r="G620" s="369"/>
      <c r="H620" s="915"/>
      <c r="I620" s="982"/>
      <c r="J620" s="917"/>
      <c r="K620" s="984"/>
      <c r="L620" s="900"/>
      <c r="M620" s="111"/>
      <c r="N620" s="111"/>
      <c r="O620" s="111"/>
      <c r="P620" s="111"/>
    </row>
    <row r="621" spans="1:16" ht="12.75" customHeight="1">
      <c r="A621" s="924">
        <v>304</v>
      </c>
      <c r="B621" s="865"/>
      <c r="C621" s="904" t="s">
        <v>659</v>
      </c>
      <c r="D621" s="658" t="s">
        <v>1495</v>
      </c>
      <c r="E621" s="865" t="s">
        <v>142</v>
      </c>
      <c r="F621" s="865"/>
      <c r="G621" s="374"/>
      <c r="H621" s="905">
        <v>550000</v>
      </c>
      <c r="I621" s="905">
        <f>H621</f>
        <v>550000</v>
      </c>
      <c r="J621" s="909"/>
      <c r="K621" s="919">
        <v>550000</v>
      </c>
      <c r="L621" s="903">
        <f>K621-I621</f>
        <v>0</v>
      </c>
      <c r="M621" s="111"/>
      <c r="N621" s="111"/>
      <c r="O621" s="111"/>
      <c r="P621" s="111"/>
    </row>
    <row r="622" spans="1:16" ht="12.75" customHeight="1" thickBot="1">
      <c r="A622" s="924"/>
      <c r="B622" s="878"/>
      <c r="C622" s="913"/>
      <c r="D622" s="659"/>
      <c r="E622" s="878"/>
      <c r="F622" s="878"/>
      <c r="G622" s="375"/>
      <c r="H622" s="915"/>
      <c r="I622" s="982"/>
      <c r="J622" s="917"/>
      <c r="K622" s="984"/>
      <c r="L622" s="900"/>
      <c r="M622" s="111"/>
      <c r="N622" s="111"/>
      <c r="O622" s="111"/>
      <c r="P622" s="111"/>
    </row>
    <row r="623" spans="1:16" ht="12.75" customHeight="1">
      <c r="A623" s="924">
        <v>305</v>
      </c>
      <c r="B623" s="968" t="s">
        <v>1499</v>
      </c>
      <c r="C623" s="969" t="s">
        <v>652</v>
      </c>
      <c r="D623" s="970" t="s">
        <v>1491</v>
      </c>
      <c r="E623" s="968" t="s">
        <v>130</v>
      </c>
      <c r="F623" s="968"/>
      <c r="G623" s="385"/>
      <c r="H623" s="973">
        <v>603000</v>
      </c>
      <c r="I623" s="973">
        <f>H623</f>
        <v>603000</v>
      </c>
      <c r="J623" s="974"/>
      <c r="K623" s="1001">
        <v>603000</v>
      </c>
      <c r="L623" s="967">
        <f>K623-I623</f>
        <v>0</v>
      </c>
      <c r="M623" s="111"/>
      <c r="N623" s="111"/>
      <c r="O623" s="111"/>
      <c r="P623" s="111"/>
    </row>
    <row r="624" spans="1:16" ht="12.75" customHeight="1">
      <c r="A624" s="924"/>
      <c r="B624" s="865"/>
      <c r="C624" s="904"/>
      <c r="D624" s="658"/>
      <c r="E624" s="865"/>
      <c r="F624" s="865"/>
      <c r="G624" s="383"/>
      <c r="H624" s="905"/>
      <c r="I624" s="906"/>
      <c r="J624" s="910"/>
      <c r="K624" s="920"/>
      <c r="L624" s="946"/>
      <c r="M624" s="111"/>
      <c r="N624" s="111"/>
      <c r="O624" s="111"/>
      <c r="P624" s="111"/>
    </row>
    <row r="625" spans="1:16" ht="12.75" customHeight="1">
      <c r="A625" s="924">
        <v>306</v>
      </c>
      <c r="B625" s="981"/>
      <c r="C625" s="904"/>
      <c r="D625" s="658"/>
      <c r="E625" s="865"/>
      <c r="F625" s="865"/>
      <c r="G625" s="351"/>
      <c r="H625" s="905"/>
      <c r="I625" s="905">
        <f>H625</f>
        <v>0</v>
      </c>
      <c r="J625" s="909"/>
      <c r="K625" s="915"/>
      <c r="L625" s="946">
        <f>K625-I625</f>
        <v>0</v>
      </c>
      <c r="M625" s="111"/>
      <c r="N625" s="111"/>
      <c r="O625" s="111"/>
      <c r="P625" s="111"/>
    </row>
    <row r="626" spans="1:16" ht="12.75" customHeight="1" thickBot="1">
      <c r="A626" s="924"/>
      <c r="B626" s="1082"/>
      <c r="C626" s="938"/>
      <c r="D626" s="939"/>
      <c r="E626" s="937"/>
      <c r="F626" s="937"/>
      <c r="G626" s="352"/>
      <c r="H626" s="942"/>
      <c r="I626" s="943"/>
      <c r="J626" s="944"/>
      <c r="K626" s="1091"/>
      <c r="L626" s="947"/>
      <c r="M626" s="111"/>
      <c r="N626" s="111"/>
      <c r="O626" s="111"/>
      <c r="P626" s="111"/>
    </row>
    <row r="627" spans="1:16" ht="12.75" customHeight="1">
      <c r="A627" s="924">
        <v>307</v>
      </c>
      <c r="B627" s="968" t="s">
        <v>1485</v>
      </c>
      <c r="C627" s="1281"/>
      <c r="D627" s="970" t="s">
        <v>1510</v>
      </c>
      <c r="E627" s="968" t="s">
        <v>440</v>
      </c>
      <c r="F627" s="968"/>
      <c r="G627" s="358"/>
      <c r="H627" s="973"/>
      <c r="I627" s="973">
        <f>H627</f>
        <v>0</v>
      </c>
      <c r="J627" s="974"/>
      <c r="K627" s="1001"/>
      <c r="L627" s="967">
        <f>K627-I627</f>
        <v>0</v>
      </c>
      <c r="M627" s="111"/>
      <c r="N627" s="111"/>
      <c r="O627" s="111"/>
      <c r="P627" s="111"/>
    </row>
    <row r="628" spans="1:16" ht="12.75" customHeight="1" thickBot="1">
      <c r="A628" s="924"/>
      <c r="B628" s="937"/>
      <c r="C628" s="1282"/>
      <c r="D628" s="939"/>
      <c r="E628" s="937"/>
      <c r="F628" s="937"/>
      <c r="G628" s="357"/>
      <c r="H628" s="942"/>
      <c r="I628" s="943"/>
      <c r="J628" s="944"/>
      <c r="K628" s="1041"/>
      <c r="L628" s="947"/>
      <c r="M628" s="111"/>
      <c r="N628" s="111"/>
      <c r="O628" s="111"/>
      <c r="P628" s="111"/>
    </row>
    <row r="629" spans="1:16" ht="12.75" customHeight="1">
      <c r="A629" s="924">
        <v>308</v>
      </c>
      <c r="B629" s="879" t="s">
        <v>1484</v>
      </c>
      <c r="C629" s="914" t="s">
        <v>1504</v>
      </c>
      <c r="D629" s="660" t="s">
        <v>1495</v>
      </c>
      <c r="E629" s="879" t="s">
        <v>20</v>
      </c>
      <c r="F629" s="879"/>
      <c r="G629" s="423"/>
      <c r="H629" s="916">
        <v>12000000</v>
      </c>
      <c r="I629" s="916">
        <f>H629</f>
        <v>12000000</v>
      </c>
      <c r="J629" s="949"/>
      <c r="K629" s="984">
        <v>12000000</v>
      </c>
      <c r="L629" s="901">
        <f>K629-I629</f>
        <v>0</v>
      </c>
      <c r="M629" s="111"/>
      <c r="N629" s="111"/>
      <c r="O629" s="111"/>
      <c r="P629" s="111"/>
    </row>
    <row r="630" spans="1:16" ht="12.75" customHeight="1">
      <c r="A630" s="924"/>
      <c r="B630" s="865"/>
      <c r="C630" s="904"/>
      <c r="D630" s="658"/>
      <c r="E630" s="865"/>
      <c r="F630" s="865"/>
      <c r="G630" s="420"/>
      <c r="H630" s="905"/>
      <c r="I630" s="906"/>
      <c r="J630" s="910"/>
      <c r="K630" s="920"/>
      <c r="L630" s="903"/>
      <c r="M630" s="111"/>
      <c r="N630" s="111"/>
      <c r="O630" s="111"/>
      <c r="P630" s="111"/>
    </row>
    <row r="631" spans="1:16" ht="12.75" customHeight="1">
      <c r="A631" s="924">
        <v>309</v>
      </c>
      <c r="B631" s="1039"/>
      <c r="C631" s="904" t="s">
        <v>660</v>
      </c>
      <c r="D631" s="658" t="s">
        <v>1502</v>
      </c>
      <c r="E631" s="1279" t="s">
        <v>1505</v>
      </c>
      <c r="F631" s="865"/>
      <c r="G631" s="403"/>
      <c r="H631" s="905">
        <v>2000000</v>
      </c>
      <c r="I631" s="905">
        <f>H631</f>
        <v>2000000</v>
      </c>
      <c r="J631" s="909"/>
      <c r="K631" s="919">
        <v>2000000</v>
      </c>
      <c r="L631" s="903">
        <f>K631-I631</f>
        <v>0</v>
      </c>
      <c r="M631" s="111"/>
      <c r="N631" s="111"/>
      <c r="O631" s="111"/>
      <c r="P631" s="111"/>
    </row>
    <row r="632" spans="1:16" ht="12.75" customHeight="1">
      <c r="A632" s="924"/>
      <c r="B632" s="1039"/>
      <c r="C632" s="904"/>
      <c r="D632" s="658"/>
      <c r="E632" s="1279"/>
      <c r="F632" s="865"/>
      <c r="G632" s="403"/>
      <c r="H632" s="905"/>
      <c r="I632" s="906"/>
      <c r="J632" s="910"/>
      <c r="K632" s="920"/>
      <c r="L632" s="903"/>
      <c r="M632" s="111"/>
      <c r="N632" s="111"/>
      <c r="O632" s="111"/>
      <c r="P632" s="111"/>
    </row>
    <row r="633" spans="1:16" ht="12.75" customHeight="1">
      <c r="A633" s="924">
        <v>310</v>
      </c>
      <c r="B633" s="865"/>
      <c r="C633" s="904" t="s">
        <v>666</v>
      </c>
      <c r="D633" s="658" t="s">
        <v>1502</v>
      </c>
      <c r="E633" s="865" t="s">
        <v>1506</v>
      </c>
      <c r="F633" s="865"/>
      <c r="G633" s="396"/>
      <c r="H633" s="905">
        <v>2000000</v>
      </c>
      <c r="I633" s="905">
        <f>H633</f>
        <v>2000000</v>
      </c>
      <c r="J633" s="909"/>
      <c r="K633" s="915">
        <v>2000000</v>
      </c>
      <c r="L633" s="903">
        <f>K633-I633</f>
        <v>0</v>
      </c>
      <c r="M633" s="111"/>
      <c r="N633" s="111"/>
      <c r="O633" s="111"/>
      <c r="P633" s="111"/>
    </row>
    <row r="634" spans="1:16" ht="12.75" customHeight="1">
      <c r="A634" s="924"/>
      <c r="B634" s="865"/>
      <c r="C634" s="904"/>
      <c r="D634" s="658"/>
      <c r="E634" s="865"/>
      <c r="F634" s="865"/>
      <c r="G634" s="396"/>
      <c r="H634" s="905"/>
      <c r="I634" s="906"/>
      <c r="J634" s="910"/>
      <c r="K634" s="916"/>
      <c r="L634" s="903"/>
      <c r="M634" s="111"/>
      <c r="N634" s="111"/>
      <c r="O634" s="111"/>
      <c r="P634" s="111"/>
    </row>
    <row r="635" spans="1:16" ht="12.75" customHeight="1">
      <c r="A635" s="924">
        <v>311</v>
      </c>
      <c r="B635" s="865"/>
      <c r="C635" s="904" t="s">
        <v>668</v>
      </c>
      <c r="D635" s="658" t="s">
        <v>1509</v>
      </c>
      <c r="E635" s="865" t="s">
        <v>1519</v>
      </c>
      <c r="F635" s="865" t="s">
        <v>439</v>
      </c>
      <c r="G635" s="407"/>
      <c r="H635" s="905">
        <v>1000000</v>
      </c>
      <c r="I635" s="905">
        <f>H635</f>
        <v>1000000</v>
      </c>
      <c r="J635" s="909"/>
      <c r="K635" s="915">
        <v>2000000</v>
      </c>
      <c r="L635" s="1294">
        <f>K635-I635</f>
        <v>1000000</v>
      </c>
      <c r="M635" s="111"/>
      <c r="N635" s="111"/>
      <c r="O635" s="111"/>
      <c r="P635" s="111"/>
    </row>
    <row r="636" spans="1:16" ht="12.75" customHeight="1" thickBot="1">
      <c r="A636" s="924"/>
      <c r="B636" s="878"/>
      <c r="C636" s="913"/>
      <c r="D636" s="659"/>
      <c r="E636" s="878"/>
      <c r="F636" s="878"/>
      <c r="G636" s="408"/>
      <c r="H636" s="915"/>
      <c r="I636" s="982"/>
      <c r="J636" s="917"/>
      <c r="K636" s="988"/>
      <c r="L636" s="1295"/>
      <c r="M636" s="111"/>
      <c r="N636" s="111"/>
      <c r="O636" s="111"/>
      <c r="P636" s="111"/>
    </row>
    <row r="637" spans="1:16" ht="12.75" customHeight="1">
      <c r="A637" s="924">
        <v>312</v>
      </c>
      <c r="B637" s="968" t="s">
        <v>1492</v>
      </c>
      <c r="C637" s="969" t="s">
        <v>1513</v>
      </c>
      <c r="D637" s="970" t="s">
        <v>1512</v>
      </c>
      <c r="E637" s="968" t="s">
        <v>20</v>
      </c>
      <c r="F637" s="968"/>
      <c r="G637" s="422"/>
      <c r="H637" s="973">
        <v>11100000</v>
      </c>
      <c r="I637" s="973">
        <f>H637</f>
        <v>11100000</v>
      </c>
      <c r="J637" s="974"/>
      <c r="K637" s="1001">
        <v>11100000</v>
      </c>
      <c r="L637" s="967">
        <f>K637-I637</f>
        <v>0</v>
      </c>
      <c r="M637" s="111"/>
      <c r="N637" s="111"/>
      <c r="O637" s="111"/>
      <c r="P637" s="111"/>
    </row>
    <row r="638" spans="1:16" ht="12.75" customHeight="1">
      <c r="A638" s="924"/>
      <c r="B638" s="865"/>
      <c r="C638" s="904"/>
      <c r="D638" s="658"/>
      <c r="E638" s="865"/>
      <c r="F638" s="865"/>
      <c r="G638" s="420"/>
      <c r="H638" s="905"/>
      <c r="I638" s="906"/>
      <c r="J638" s="910"/>
      <c r="K638" s="920"/>
      <c r="L638" s="946"/>
      <c r="M638" s="111"/>
      <c r="N638" s="111"/>
      <c r="O638" s="111"/>
      <c r="P638" s="111"/>
    </row>
    <row r="639" spans="1:16" ht="12.75" customHeight="1">
      <c r="A639" s="924">
        <v>313</v>
      </c>
      <c r="B639" s="1039"/>
      <c r="C639" s="904" t="s">
        <v>676</v>
      </c>
      <c r="D639" s="658" t="s">
        <v>1511</v>
      </c>
      <c r="E639" s="865" t="s">
        <v>1515</v>
      </c>
      <c r="F639" s="865"/>
      <c r="G639" s="379"/>
      <c r="H639" s="905">
        <v>2000000</v>
      </c>
      <c r="I639" s="905">
        <f>H639</f>
        <v>2000000</v>
      </c>
      <c r="J639" s="909"/>
      <c r="K639" s="919">
        <v>2000000</v>
      </c>
      <c r="L639" s="946">
        <f>K639-I639</f>
        <v>0</v>
      </c>
      <c r="M639" s="111"/>
      <c r="N639" s="111"/>
      <c r="O639" s="111"/>
      <c r="P639" s="111"/>
    </row>
    <row r="640" spans="1:16" ht="12.75" customHeight="1">
      <c r="A640" s="924"/>
      <c r="B640" s="1039"/>
      <c r="C640" s="904"/>
      <c r="D640" s="658"/>
      <c r="E640" s="865"/>
      <c r="F640" s="865"/>
      <c r="G640" s="379"/>
      <c r="H640" s="905"/>
      <c r="I640" s="906"/>
      <c r="J640" s="910"/>
      <c r="K640" s="920"/>
      <c r="L640" s="946"/>
      <c r="M640" s="111"/>
      <c r="N640" s="111"/>
      <c r="O640" s="111"/>
      <c r="P640" s="111"/>
    </row>
    <row r="641" spans="1:16" ht="12.75" customHeight="1">
      <c r="A641" s="924">
        <v>314</v>
      </c>
      <c r="B641" s="865"/>
      <c r="C641" s="904" t="s">
        <v>679</v>
      </c>
      <c r="D641" s="658" t="s">
        <v>1511</v>
      </c>
      <c r="E641" s="865" t="s">
        <v>1516</v>
      </c>
      <c r="F641" s="865"/>
      <c r="G641" s="396"/>
      <c r="H641" s="905">
        <v>2310000</v>
      </c>
      <c r="I641" s="905">
        <f>H641</f>
        <v>2310000</v>
      </c>
      <c r="J641" s="909"/>
      <c r="K641" s="919">
        <v>2310000</v>
      </c>
      <c r="L641" s="946">
        <f>K641-I641</f>
        <v>0</v>
      </c>
      <c r="M641" s="111"/>
      <c r="N641" s="111"/>
      <c r="O641" s="111"/>
      <c r="P641" s="111"/>
    </row>
    <row r="642" spans="1:16" ht="12.75" customHeight="1">
      <c r="A642" s="924"/>
      <c r="B642" s="865"/>
      <c r="C642" s="904"/>
      <c r="D642" s="658"/>
      <c r="E642" s="865"/>
      <c r="F642" s="865"/>
      <c r="G642" s="396"/>
      <c r="H642" s="905"/>
      <c r="I642" s="906"/>
      <c r="J642" s="910"/>
      <c r="K642" s="920"/>
      <c r="L642" s="946"/>
      <c r="M642" s="111"/>
      <c r="N642" s="111"/>
      <c r="O642" s="111"/>
      <c r="P642" s="111"/>
    </row>
    <row r="643" spans="1:16" ht="12.75" customHeight="1">
      <c r="A643" s="924">
        <v>315</v>
      </c>
      <c r="B643" s="865"/>
      <c r="C643" s="904" t="s">
        <v>681</v>
      </c>
      <c r="D643" s="658" t="s">
        <v>1511</v>
      </c>
      <c r="E643" s="865" t="s">
        <v>217</v>
      </c>
      <c r="F643" s="865"/>
      <c r="G643" s="379"/>
      <c r="H643" s="905">
        <v>2800000</v>
      </c>
      <c r="I643" s="905">
        <f>H643</f>
        <v>2800000</v>
      </c>
      <c r="J643" s="909"/>
      <c r="K643" s="919">
        <v>2800000</v>
      </c>
      <c r="L643" s="946">
        <f>K643-I643</f>
        <v>0</v>
      </c>
      <c r="M643" s="111"/>
      <c r="N643" s="111"/>
      <c r="O643" s="111"/>
      <c r="P643" s="111"/>
    </row>
    <row r="644" spans="1:16" ht="12.75" customHeight="1" thickBot="1">
      <c r="A644" s="924"/>
      <c r="B644" s="937"/>
      <c r="C644" s="938"/>
      <c r="D644" s="939"/>
      <c r="E644" s="937"/>
      <c r="F644" s="937"/>
      <c r="G644" s="380"/>
      <c r="H644" s="942"/>
      <c r="I644" s="943"/>
      <c r="J644" s="944"/>
      <c r="K644" s="1041"/>
      <c r="L644" s="947"/>
      <c r="M644" s="111"/>
      <c r="N644" s="111"/>
      <c r="O644" s="111"/>
      <c r="P644" s="111"/>
    </row>
    <row r="645" spans="1:16" ht="12.75" customHeight="1">
      <c r="A645" s="924">
        <v>316</v>
      </c>
      <c r="B645" s="968" t="s">
        <v>1493</v>
      </c>
      <c r="C645" s="969" t="s">
        <v>660</v>
      </c>
      <c r="D645" s="970" t="s">
        <v>1502</v>
      </c>
      <c r="E645" s="968" t="s">
        <v>8</v>
      </c>
      <c r="F645" s="968"/>
      <c r="G645" s="381"/>
      <c r="H645" s="973">
        <v>1756000</v>
      </c>
      <c r="I645" s="973">
        <f>H645</f>
        <v>1756000</v>
      </c>
      <c r="J645" s="974"/>
      <c r="K645" s="1001">
        <v>1756000</v>
      </c>
      <c r="L645" s="967">
        <f>K645-I645</f>
        <v>0</v>
      </c>
      <c r="M645" s="111"/>
      <c r="N645" s="111"/>
      <c r="O645" s="111"/>
      <c r="P645" s="111"/>
    </row>
    <row r="646" spans="1:16" ht="12.75" customHeight="1">
      <c r="A646" s="924"/>
      <c r="B646" s="865"/>
      <c r="C646" s="904"/>
      <c r="D646" s="658"/>
      <c r="E646" s="865"/>
      <c r="F646" s="865"/>
      <c r="G646" s="379"/>
      <c r="H646" s="905"/>
      <c r="I646" s="906"/>
      <c r="J646" s="910"/>
      <c r="K646" s="920"/>
      <c r="L646" s="946"/>
      <c r="M646" s="111"/>
      <c r="N646" s="111"/>
      <c r="O646" s="111"/>
      <c r="P646" s="111"/>
    </row>
    <row r="647" spans="1:16" ht="12.75" customHeight="1">
      <c r="A647" s="924">
        <v>317</v>
      </c>
      <c r="B647" s="981"/>
      <c r="C647" s="904" t="s">
        <v>666</v>
      </c>
      <c r="D647" s="658" t="s">
        <v>1502</v>
      </c>
      <c r="E647" s="865" t="s">
        <v>308</v>
      </c>
      <c r="F647" s="865"/>
      <c r="G647" s="509"/>
      <c r="H647" s="905">
        <v>2238</v>
      </c>
      <c r="I647" s="905">
        <f>H647*J647</f>
        <v>647901</v>
      </c>
      <c r="J647" s="909">
        <v>289.5</v>
      </c>
      <c r="K647" s="915">
        <v>647901</v>
      </c>
      <c r="L647" s="946">
        <f>K647-I647</f>
        <v>0</v>
      </c>
      <c r="M647" s="111"/>
      <c r="N647" s="111"/>
      <c r="O647" s="111"/>
      <c r="P647" s="111"/>
    </row>
    <row r="648" spans="1:16" ht="12.75" customHeight="1" thickBot="1">
      <c r="A648" s="924"/>
      <c r="B648" s="1082"/>
      <c r="C648" s="938"/>
      <c r="D648" s="939"/>
      <c r="E648" s="937"/>
      <c r="F648" s="937"/>
      <c r="G648" s="510"/>
      <c r="H648" s="942"/>
      <c r="I648" s="943"/>
      <c r="J648" s="944"/>
      <c r="K648" s="1091"/>
      <c r="L648" s="947"/>
      <c r="M648" s="111"/>
      <c r="N648" s="111"/>
      <c r="O648" s="111"/>
      <c r="P648" s="111"/>
    </row>
    <row r="649" spans="1:16" ht="12.75" customHeight="1">
      <c r="A649" s="924">
        <v>318</v>
      </c>
      <c r="B649" s="968" t="s">
        <v>1494</v>
      </c>
      <c r="C649" s="969"/>
      <c r="D649" s="970" t="s">
        <v>1502</v>
      </c>
      <c r="E649" s="968" t="s">
        <v>20</v>
      </c>
      <c r="F649" s="968"/>
      <c r="G649" s="422"/>
      <c r="H649" s="973">
        <v>11600000</v>
      </c>
      <c r="I649" s="973">
        <f>H649</f>
        <v>11600000</v>
      </c>
      <c r="J649" s="974"/>
      <c r="K649" s="1001">
        <v>11600000</v>
      </c>
      <c r="L649" s="967">
        <f>K649-I649</f>
        <v>0</v>
      </c>
      <c r="M649" s="111"/>
      <c r="N649" s="111"/>
      <c r="O649" s="111"/>
      <c r="P649" s="111"/>
    </row>
    <row r="650" spans="1:16" ht="12.75" customHeight="1">
      <c r="A650" s="924"/>
      <c r="B650" s="865"/>
      <c r="C650" s="904"/>
      <c r="D650" s="658"/>
      <c r="E650" s="865"/>
      <c r="F650" s="865"/>
      <c r="G650" s="420"/>
      <c r="H650" s="905"/>
      <c r="I650" s="906"/>
      <c r="J650" s="910"/>
      <c r="K650" s="920"/>
      <c r="L650" s="946"/>
      <c r="M650" s="111"/>
      <c r="N650" s="111"/>
      <c r="O650" s="111"/>
      <c r="P650" s="111"/>
    </row>
    <row r="651" spans="1:16" ht="12.75" customHeight="1">
      <c r="A651" s="924">
        <v>319</v>
      </c>
      <c r="B651" s="1039"/>
      <c r="C651" s="904" t="s">
        <v>675</v>
      </c>
      <c r="D651" s="658" t="s">
        <v>1509</v>
      </c>
      <c r="E651" s="865" t="s">
        <v>1520</v>
      </c>
      <c r="F651" s="865"/>
      <c r="G651" s="383"/>
      <c r="H651" s="905">
        <v>5700000</v>
      </c>
      <c r="I651" s="905">
        <f>H651</f>
        <v>5700000</v>
      </c>
      <c r="J651" s="909"/>
      <c r="K651" s="915">
        <v>5700000</v>
      </c>
      <c r="L651" s="946">
        <f>K651-I651</f>
        <v>0</v>
      </c>
      <c r="M651" s="111"/>
      <c r="N651" s="111"/>
      <c r="O651" s="111"/>
      <c r="P651" s="111"/>
    </row>
    <row r="652" spans="1:16" ht="12.75" customHeight="1" thickBot="1">
      <c r="A652" s="924"/>
      <c r="B652" s="1042"/>
      <c r="C652" s="913"/>
      <c r="D652" s="659"/>
      <c r="E652" s="878"/>
      <c r="F652" s="878"/>
      <c r="G652" s="384"/>
      <c r="H652" s="915"/>
      <c r="I652" s="982"/>
      <c r="J652" s="917"/>
      <c r="K652" s="988"/>
      <c r="L652" s="950"/>
      <c r="M652" s="111"/>
      <c r="N652" s="111"/>
      <c r="O652" s="111"/>
      <c r="P652" s="111"/>
    </row>
    <row r="653" spans="1:16" ht="12.75" customHeight="1">
      <c r="A653" s="924">
        <v>320</v>
      </c>
      <c r="B653" s="975" t="s">
        <v>1507</v>
      </c>
      <c r="C653" s="969" t="s">
        <v>1518</v>
      </c>
      <c r="D653" s="970" t="s">
        <v>1509</v>
      </c>
      <c r="E653" s="968" t="s">
        <v>20</v>
      </c>
      <c r="F653" s="968"/>
      <c r="G653" s="422"/>
      <c r="H653" s="973">
        <v>11100000</v>
      </c>
      <c r="I653" s="973">
        <f>H653</f>
        <v>11100000</v>
      </c>
      <c r="J653" s="974"/>
      <c r="K653" s="999">
        <v>11100000</v>
      </c>
      <c r="L653" s="967">
        <f>K653-I653</f>
        <v>0</v>
      </c>
      <c r="M653" s="111"/>
      <c r="N653" s="111"/>
      <c r="O653" s="111"/>
      <c r="P653" s="111"/>
    </row>
    <row r="654" spans="1:16" ht="12.75" customHeight="1">
      <c r="A654" s="924"/>
      <c r="B654" s="976"/>
      <c r="C654" s="904"/>
      <c r="D654" s="658"/>
      <c r="E654" s="865"/>
      <c r="F654" s="865"/>
      <c r="G654" s="420"/>
      <c r="H654" s="905"/>
      <c r="I654" s="906"/>
      <c r="J654" s="910"/>
      <c r="K654" s="916"/>
      <c r="L654" s="946"/>
      <c r="M654" s="111" t="s">
        <v>1500</v>
      </c>
      <c r="N654" s="111"/>
      <c r="O654" s="111"/>
      <c r="P654" s="111"/>
    </row>
    <row r="655" spans="1:16" ht="12.75" customHeight="1">
      <c r="A655" s="924">
        <v>321</v>
      </c>
      <c r="B655" s="1079"/>
      <c r="C655" s="904" t="s">
        <v>682</v>
      </c>
      <c r="D655" s="658" t="s">
        <v>1517</v>
      </c>
      <c r="E655" s="865" t="s">
        <v>117</v>
      </c>
      <c r="F655" s="865" t="s">
        <v>1523</v>
      </c>
      <c r="G655" s="396"/>
      <c r="H655" s="905">
        <v>550000</v>
      </c>
      <c r="I655" s="905">
        <f>H655</f>
        <v>550000</v>
      </c>
      <c r="J655" s="909"/>
      <c r="K655" s="919">
        <v>550000</v>
      </c>
      <c r="L655" s="946">
        <f>K655-I655</f>
        <v>0</v>
      </c>
      <c r="M655" s="111"/>
      <c r="N655" s="111"/>
      <c r="O655" s="111"/>
      <c r="P655" s="111"/>
    </row>
    <row r="656" spans="1:16" ht="12.75" customHeight="1">
      <c r="A656" s="924"/>
      <c r="B656" s="1079"/>
      <c r="C656" s="904"/>
      <c r="D656" s="658"/>
      <c r="E656" s="865"/>
      <c r="F656" s="865"/>
      <c r="G656" s="396"/>
      <c r="H656" s="905"/>
      <c r="I656" s="906"/>
      <c r="J656" s="910"/>
      <c r="K656" s="920"/>
      <c r="L656" s="946"/>
      <c r="M656" s="111"/>
      <c r="N656" s="111"/>
      <c r="O656" s="111"/>
      <c r="P656" s="111"/>
    </row>
    <row r="657" spans="1:16" ht="12.75" customHeight="1">
      <c r="A657" s="924">
        <v>322</v>
      </c>
      <c r="B657" s="879"/>
      <c r="C657" s="914" t="s">
        <v>683</v>
      </c>
      <c r="D657" s="660" t="s">
        <v>1517</v>
      </c>
      <c r="E657" s="879" t="s">
        <v>105</v>
      </c>
      <c r="F657" s="879"/>
      <c r="G657" s="398"/>
      <c r="H657" s="916">
        <v>550000</v>
      </c>
      <c r="I657" s="916">
        <f>H657</f>
        <v>550000</v>
      </c>
      <c r="J657" s="949"/>
      <c r="K657" s="988">
        <v>550000</v>
      </c>
      <c r="L657" s="901">
        <f>K657-I657</f>
        <v>0</v>
      </c>
      <c r="M657" s="111"/>
      <c r="N657" s="111"/>
      <c r="O657" s="111"/>
      <c r="P657" s="111"/>
    </row>
    <row r="658" spans="1:16" ht="12.75" customHeight="1" thickBot="1">
      <c r="A658" s="924"/>
      <c r="B658" s="878"/>
      <c r="C658" s="913"/>
      <c r="D658" s="659"/>
      <c r="E658" s="878"/>
      <c r="F658" s="878"/>
      <c r="G658" s="393"/>
      <c r="H658" s="915"/>
      <c r="I658" s="982"/>
      <c r="J658" s="917"/>
      <c r="K658" s="988"/>
      <c r="L658" s="900"/>
      <c r="M658" s="111"/>
      <c r="N658" s="111"/>
      <c r="O658" s="111"/>
      <c r="P658" s="111"/>
    </row>
    <row r="659" spans="1:16" ht="12.75" customHeight="1">
      <c r="A659" s="924">
        <v>323</v>
      </c>
      <c r="B659" s="968" t="s">
        <v>1532</v>
      </c>
      <c r="C659" s="969" t="s">
        <v>1533</v>
      </c>
      <c r="D659" s="970" t="s">
        <v>1517</v>
      </c>
      <c r="E659" s="968" t="s">
        <v>20</v>
      </c>
      <c r="F659" s="968" t="s">
        <v>1528</v>
      </c>
      <c r="G659" s="432"/>
      <c r="H659" s="973">
        <v>10700000</v>
      </c>
      <c r="I659" s="973">
        <f>H659</f>
        <v>10700000</v>
      </c>
      <c r="J659" s="974"/>
      <c r="K659" s="1001">
        <v>10700000</v>
      </c>
      <c r="L659" s="967">
        <f>K659-I659</f>
        <v>0</v>
      </c>
      <c r="M659" s="111"/>
      <c r="N659" s="111"/>
      <c r="O659" s="111"/>
      <c r="P659" s="111"/>
    </row>
    <row r="660" spans="1:16" ht="12.75" customHeight="1">
      <c r="A660" s="924"/>
      <c r="B660" s="865"/>
      <c r="C660" s="904"/>
      <c r="D660" s="658"/>
      <c r="E660" s="865"/>
      <c r="F660" s="865"/>
      <c r="G660" s="431"/>
      <c r="H660" s="905"/>
      <c r="I660" s="906"/>
      <c r="J660" s="910"/>
      <c r="K660" s="920"/>
      <c r="L660" s="946"/>
      <c r="M660" s="111"/>
      <c r="N660" s="111"/>
      <c r="O660" s="111"/>
      <c r="P660" s="111"/>
    </row>
    <row r="661" spans="1:16" ht="12.75" customHeight="1">
      <c r="A661" s="924">
        <v>324</v>
      </c>
      <c r="B661" s="1039"/>
      <c r="C661" s="904"/>
      <c r="D661" s="658"/>
      <c r="E661" s="865"/>
      <c r="F661" s="865"/>
      <c r="G661" s="374"/>
      <c r="H661" s="905"/>
      <c r="I661" s="905">
        <f>H661</f>
        <v>0</v>
      </c>
      <c r="J661" s="909"/>
      <c r="K661" s="915"/>
      <c r="L661" s="946">
        <f>K661-I661</f>
        <v>0</v>
      </c>
      <c r="M661" s="111"/>
      <c r="N661" s="111"/>
      <c r="O661" s="111"/>
      <c r="P661" s="111"/>
    </row>
    <row r="662" spans="1:16" ht="12.75" customHeight="1" thickBot="1">
      <c r="A662" s="924"/>
      <c r="B662" s="1040"/>
      <c r="C662" s="938"/>
      <c r="D662" s="939"/>
      <c r="E662" s="937"/>
      <c r="F662" s="937"/>
      <c r="G662" s="373"/>
      <c r="H662" s="942"/>
      <c r="I662" s="943"/>
      <c r="J662" s="944"/>
      <c r="K662" s="1091"/>
      <c r="L662" s="947"/>
      <c r="M662" s="111"/>
      <c r="N662" s="111"/>
      <c r="O662" s="111"/>
      <c r="P662" s="111"/>
    </row>
    <row r="663" spans="1:16" ht="12.75" customHeight="1">
      <c r="A663" s="924">
        <v>325</v>
      </c>
      <c r="B663" s="968" t="s">
        <v>1521</v>
      </c>
      <c r="C663" s="969" t="s">
        <v>1540</v>
      </c>
      <c r="D663" s="970" t="s">
        <v>1539</v>
      </c>
      <c r="E663" s="968" t="s">
        <v>20</v>
      </c>
      <c r="F663" s="968"/>
      <c r="G663" s="432"/>
      <c r="H663" s="973">
        <v>12000000</v>
      </c>
      <c r="I663" s="973">
        <f>H663</f>
        <v>12000000</v>
      </c>
      <c r="J663" s="974"/>
      <c r="K663" s="1001">
        <v>12000000</v>
      </c>
      <c r="L663" s="967">
        <f>K663-I663</f>
        <v>0</v>
      </c>
      <c r="M663" s="111" t="s">
        <v>1522</v>
      </c>
      <c r="N663" s="111"/>
      <c r="O663" s="111"/>
      <c r="P663" s="111"/>
    </row>
    <row r="664" spans="1:16" ht="12.75" customHeight="1">
      <c r="A664" s="924"/>
      <c r="B664" s="865"/>
      <c r="C664" s="904"/>
      <c r="D664" s="658"/>
      <c r="E664" s="865"/>
      <c r="F664" s="865"/>
      <c r="G664" s="431"/>
      <c r="H664" s="905"/>
      <c r="I664" s="906"/>
      <c r="J664" s="910"/>
      <c r="K664" s="920"/>
      <c r="L664" s="946"/>
      <c r="M664" s="111"/>
      <c r="N664" s="111"/>
      <c r="O664" s="111"/>
      <c r="P664" s="111"/>
    </row>
    <row r="665" spans="1:16" ht="12.75" customHeight="1">
      <c r="A665" s="924">
        <v>326</v>
      </c>
      <c r="B665" s="1039"/>
      <c r="C665" s="904" t="s">
        <v>694</v>
      </c>
      <c r="D665" s="658" t="s">
        <v>1536</v>
      </c>
      <c r="E665" s="865" t="s">
        <v>1284</v>
      </c>
      <c r="F665" s="865" t="s">
        <v>1529</v>
      </c>
      <c r="G665" s="379"/>
      <c r="H665" s="905">
        <v>3000000</v>
      </c>
      <c r="I665" s="905">
        <f>H665</f>
        <v>3000000</v>
      </c>
      <c r="J665" s="909"/>
      <c r="K665" s="915">
        <v>3000000</v>
      </c>
      <c r="L665" s="946">
        <f>K665-I665</f>
        <v>0</v>
      </c>
      <c r="M665" s="111"/>
      <c r="N665" s="111"/>
      <c r="O665" s="111"/>
      <c r="P665" s="111"/>
    </row>
    <row r="666" spans="1:16" ht="12.75" customHeight="1" thickBot="1">
      <c r="A666" s="924"/>
      <c r="B666" s="1039"/>
      <c r="C666" s="904"/>
      <c r="D666" s="658"/>
      <c r="E666" s="865"/>
      <c r="F666" s="865"/>
      <c r="G666" s="379"/>
      <c r="H666" s="905"/>
      <c r="I666" s="906"/>
      <c r="J666" s="910"/>
      <c r="K666" s="916"/>
      <c r="L666" s="946"/>
      <c r="M666" s="111"/>
      <c r="N666" s="111"/>
      <c r="O666" s="111"/>
      <c r="P666" s="111"/>
    </row>
    <row r="667" spans="1:16" ht="12.75" customHeight="1">
      <c r="A667" s="924">
        <v>327</v>
      </c>
      <c r="B667" s="968" t="s">
        <v>1534</v>
      </c>
      <c r="C667" s="969"/>
      <c r="D667" s="970"/>
      <c r="E667" s="968"/>
      <c r="F667" s="968"/>
      <c r="G667" s="372"/>
      <c r="H667" s="973"/>
      <c r="I667" s="973">
        <f>H667</f>
        <v>0</v>
      </c>
      <c r="J667" s="974"/>
      <c r="K667" s="999"/>
      <c r="L667" s="967">
        <f>K667-I667</f>
        <v>0</v>
      </c>
      <c r="M667" s="111"/>
      <c r="N667" s="111"/>
      <c r="O667" s="111"/>
      <c r="P667" s="111"/>
    </row>
    <row r="668" spans="1:16" ht="12.75" customHeight="1">
      <c r="A668" s="924"/>
      <c r="B668" s="865"/>
      <c r="C668" s="904"/>
      <c r="D668" s="658"/>
      <c r="E668" s="865"/>
      <c r="F668" s="865"/>
      <c r="G668" s="374"/>
      <c r="H668" s="905"/>
      <c r="I668" s="906"/>
      <c r="J668" s="910"/>
      <c r="K668" s="916"/>
      <c r="L668" s="946"/>
      <c r="M668" s="111"/>
      <c r="N668" s="111"/>
      <c r="O668" s="111"/>
      <c r="P668" s="111"/>
    </row>
    <row r="669" spans="1:16" ht="12.75" customHeight="1">
      <c r="A669" s="924">
        <v>328</v>
      </c>
      <c r="B669" s="1039"/>
      <c r="C669" s="904" t="s">
        <v>693</v>
      </c>
      <c r="D669" s="658" t="s">
        <v>1530</v>
      </c>
      <c r="E669" s="865" t="s">
        <v>1457</v>
      </c>
      <c r="F669" s="865" t="s">
        <v>1531</v>
      </c>
      <c r="G669" s="448"/>
      <c r="H669" s="905">
        <v>2000000</v>
      </c>
      <c r="I669" s="905">
        <f>H669</f>
        <v>2000000</v>
      </c>
      <c r="J669" s="909"/>
      <c r="K669" s="915">
        <v>2000000</v>
      </c>
      <c r="L669" s="946">
        <f>K669-I669</f>
        <v>0</v>
      </c>
      <c r="M669" s="111"/>
      <c r="N669" s="111"/>
      <c r="O669" s="111"/>
      <c r="P669" s="111"/>
    </row>
    <row r="670" spans="1:16" ht="12.75" customHeight="1" thickBot="1">
      <c r="A670" s="924"/>
      <c r="B670" s="1040"/>
      <c r="C670" s="938"/>
      <c r="D670" s="939"/>
      <c r="E670" s="937"/>
      <c r="F670" s="937"/>
      <c r="G670" s="449"/>
      <c r="H670" s="942"/>
      <c r="I670" s="943"/>
      <c r="J670" s="944"/>
      <c r="K670" s="1091"/>
      <c r="L670" s="947"/>
      <c r="M670" s="111"/>
      <c r="N670" s="111"/>
      <c r="O670" s="111"/>
      <c r="P670" s="111"/>
    </row>
    <row r="671" spans="1:16" ht="12.75" customHeight="1">
      <c r="A671" s="924">
        <v>329</v>
      </c>
      <c r="B671" s="968" t="s">
        <v>1524</v>
      </c>
      <c r="C671" s="969" t="s">
        <v>1541</v>
      </c>
      <c r="D671" s="970" t="s">
        <v>1530</v>
      </c>
      <c r="E671" s="968" t="s">
        <v>20</v>
      </c>
      <c r="F671" s="968" t="s">
        <v>1525</v>
      </c>
      <c r="G671" s="432"/>
      <c r="H671" s="973">
        <v>11500000</v>
      </c>
      <c r="I671" s="973">
        <f>H671</f>
        <v>11500000</v>
      </c>
      <c r="J671" s="974"/>
      <c r="K671" s="999">
        <v>11500000</v>
      </c>
      <c r="L671" s="967">
        <f>K671-I671</f>
        <v>0</v>
      </c>
      <c r="M671" s="111"/>
      <c r="N671" s="111"/>
      <c r="O671" s="111"/>
      <c r="P671" s="111"/>
    </row>
    <row r="672" spans="1:16" ht="12.75" customHeight="1">
      <c r="A672" s="924"/>
      <c r="B672" s="865"/>
      <c r="C672" s="904"/>
      <c r="D672" s="658"/>
      <c r="E672" s="865"/>
      <c r="F672" s="865"/>
      <c r="G672" s="431"/>
      <c r="H672" s="905"/>
      <c r="I672" s="906"/>
      <c r="J672" s="910"/>
      <c r="K672" s="916"/>
      <c r="L672" s="946"/>
      <c r="M672" s="111"/>
      <c r="N672" s="111"/>
      <c r="O672" s="111"/>
      <c r="P672" s="111"/>
    </row>
    <row r="673" spans="1:16" ht="12.75" customHeight="1">
      <c r="A673" s="924">
        <v>330</v>
      </c>
      <c r="B673" s="1039"/>
      <c r="C673" s="904" t="s">
        <v>700</v>
      </c>
      <c r="D673" s="658" t="s">
        <v>1537</v>
      </c>
      <c r="E673" s="865" t="s">
        <v>142</v>
      </c>
      <c r="F673" s="865"/>
      <c r="G673" s="460"/>
      <c r="H673" s="905">
        <v>550000</v>
      </c>
      <c r="I673" s="905">
        <f>H673</f>
        <v>550000</v>
      </c>
      <c r="J673" s="909"/>
      <c r="K673" s="919">
        <v>550000</v>
      </c>
      <c r="L673" s="946">
        <f>K673-I673</f>
        <v>0</v>
      </c>
      <c r="M673" s="111"/>
      <c r="N673" s="111"/>
      <c r="O673" s="111"/>
      <c r="P673" s="111"/>
    </row>
    <row r="674" spans="1:16" ht="12.75" customHeight="1">
      <c r="A674" s="924"/>
      <c r="B674" s="1039"/>
      <c r="C674" s="904"/>
      <c r="D674" s="658"/>
      <c r="E674" s="865"/>
      <c r="F674" s="865"/>
      <c r="G674" s="460"/>
      <c r="H674" s="905"/>
      <c r="I674" s="906"/>
      <c r="J674" s="910"/>
      <c r="K674" s="920"/>
      <c r="L674" s="946"/>
      <c r="M674" s="111"/>
      <c r="N674" s="111"/>
      <c r="O674" s="111"/>
      <c r="P674" s="111"/>
    </row>
    <row r="675" spans="1:16" ht="12.75" customHeight="1">
      <c r="A675" s="924">
        <v>331</v>
      </c>
      <c r="B675" s="865"/>
      <c r="C675" s="904" t="s">
        <v>701</v>
      </c>
      <c r="D675" s="658" t="s">
        <v>1537</v>
      </c>
      <c r="E675" s="865" t="s">
        <v>1555</v>
      </c>
      <c r="F675" s="865" t="s">
        <v>24</v>
      </c>
      <c r="G675" s="550"/>
      <c r="H675" s="905">
        <v>3730000</v>
      </c>
      <c r="I675" s="905">
        <f>H675</f>
        <v>3730000</v>
      </c>
      <c r="J675" s="909"/>
      <c r="K675" s="915">
        <f>1000000+1000000+1730000</f>
        <v>3730000</v>
      </c>
      <c r="L675" s="946">
        <f>K675-I675</f>
        <v>0</v>
      </c>
      <c r="M675" s="111"/>
      <c r="N675" s="111"/>
      <c r="O675" s="111"/>
      <c r="P675" s="111"/>
    </row>
    <row r="676" spans="1:16" ht="12.75" customHeight="1">
      <c r="A676" s="924"/>
      <c r="B676" s="865"/>
      <c r="C676" s="904"/>
      <c r="D676" s="658"/>
      <c r="E676" s="865"/>
      <c r="F676" s="865"/>
      <c r="G676" s="550"/>
      <c r="H676" s="905"/>
      <c r="I676" s="906"/>
      <c r="J676" s="910"/>
      <c r="K676" s="916"/>
      <c r="L676" s="946"/>
      <c r="M676" s="111"/>
      <c r="N676" s="111"/>
      <c r="O676" s="111"/>
      <c r="P676" s="111"/>
    </row>
    <row r="677" spans="1:16" ht="12.75" customHeight="1">
      <c r="A677" s="924">
        <v>332</v>
      </c>
      <c r="B677" s="1039"/>
      <c r="C677" s="904" t="s">
        <v>702</v>
      </c>
      <c r="D677" s="658" t="s">
        <v>1537</v>
      </c>
      <c r="E677" s="865" t="s">
        <v>40</v>
      </c>
      <c r="F677" s="865"/>
      <c r="G677" s="396"/>
      <c r="H677" s="905">
        <v>1500000</v>
      </c>
      <c r="I677" s="905">
        <f>H677</f>
        <v>1500000</v>
      </c>
      <c r="J677" s="909"/>
      <c r="K677" s="919">
        <v>1500000</v>
      </c>
      <c r="L677" s="946">
        <f>K677-I677</f>
        <v>0</v>
      </c>
      <c r="M677" s="111"/>
      <c r="N677" s="111"/>
      <c r="O677" s="111"/>
      <c r="P677" s="111"/>
    </row>
    <row r="678" spans="1:16" ht="12.75" customHeight="1" thickBot="1">
      <c r="A678" s="924"/>
      <c r="B678" s="1040"/>
      <c r="C678" s="938"/>
      <c r="D678" s="939"/>
      <c r="E678" s="937"/>
      <c r="F678" s="937"/>
      <c r="G678" s="397"/>
      <c r="H678" s="942"/>
      <c r="I678" s="943"/>
      <c r="J678" s="944"/>
      <c r="K678" s="1041"/>
      <c r="L678" s="947"/>
      <c r="M678" s="111"/>
      <c r="N678" s="111"/>
      <c r="O678" s="111"/>
      <c r="P678" s="111"/>
    </row>
    <row r="679" spans="1:16" ht="12.75" customHeight="1">
      <c r="A679" s="924">
        <v>333</v>
      </c>
      <c r="B679" s="968" t="s">
        <v>1526</v>
      </c>
      <c r="C679" s="969"/>
      <c r="D679" s="970"/>
      <c r="E679" s="968" t="s">
        <v>1200</v>
      </c>
      <c r="F679" s="968"/>
      <c r="G679" s="390"/>
      <c r="H679" s="973"/>
      <c r="I679" s="973"/>
      <c r="J679" s="974"/>
      <c r="K679" s="999"/>
      <c r="L679" s="967"/>
      <c r="M679" s="111"/>
      <c r="N679" s="111"/>
      <c r="O679" s="111"/>
      <c r="P679" s="111"/>
    </row>
    <row r="680" spans="1:16" ht="12.75" customHeight="1" thickBot="1">
      <c r="A680" s="924"/>
      <c r="B680" s="937"/>
      <c r="C680" s="938"/>
      <c r="D680" s="939"/>
      <c r="E680" s="937"/>
      <c r="F680" s="937"/>
      <c r="G680" s="389"/>
      <c r="H680" s="942"/>
      <c r="I680" s="943"/>
      <c r="J680" s="944"/>
      <c r="K680" s="1091"/>
      <c r="L680" s="947"/>
      <c r="M680" s="111"/>
      <c r="N680" s="111"/>
      <c r="O680" s="111"/>
      <c r="P680" s="111"/>
    </row>
    <row r="681" spans="1:16" ht="12.75" customHeight="1">
      <c r="A681" s="924">
        <v>334</v>
      </c>
      <c r="B681" s="968" t="s">
        <v>1527</v>
      </c>
      <c r="C681" s="969" t="s">
        <v>6</v>
      </c>
      <c r="D681" s="970" t="s">
        <v>1577</v>
      </c>
      <c r="E681" s="968" t="s">
        <v>1226</v>
      </c>
      <c r="F681" s="968">
        <v>40500</v>
      </c>
      <c r="G681" s="456"/>
      <c r="H681" s="973">
        <v>3500</v>
      </c>
      <c r="I681" s="973">
        <f>H681*J681</f>
        <v>1009750</v>
      </c>
      <c r="J681" s="974">
        <v>288.5</v>
      </c>
      <c r="K681" s="999">
        <v>1009750</v>
      </c>
      <c r="L681" s="967">
        <f>K681-I681</f>
        <v>0</v>
      </c>
      <c r="M681" s="111"/>
      <c r="N681" s="111"/>
      <c r="O681" s="111"/>
      <c r="P681" s="111"/>
    </row>
    <row r="682" spans="1:16" ht="12.75" customHeight="1">
      <c r="A682" s="924"/>
      <c r="B682" s="865"/>
      <c r="C682" s="904"/>
      <c r="D682" s="658"/>
      <c r="E682" s="865"/>
      <c r="F682" s="865"/>
      <c r="G682" s="457"/>
      <c r="H682" s="905"/>
      <c r="I682" s="906"/>
      <c r="J682" s="910"/>
      <c r="K682" s="916"/>
      <c r="L682" s="946"/>
      <c r="M682" s="111"/>
      <c r="N682" s="111"/>
      <c r="O682" s="111"/>
      <c r="P682" s="111"/>
    </row>
    <row r="683" spans="1:16" ht="12.75" customHeight="1">
      <c r="A683" s="924">
        <v>335</v>
      </c>
      <c r="B683" s="1039"/>
      <c r="C683" s="904" t="s">
        <v>708</v>
      </c>
      <c r="D683" s="658" t="s">
        <v>1546</v>
      </c>
      <c r="E683" s="865" t="s">
        <v>1556</v>
      </c>
      <c r="F683" s="865" t="s">
        <v>1548</v>
      </c>
      <c r="G683" s="433"/>
      <c r="H683" s="905">
        <v>1700000</v>
      </c>
      <c r="I683" s="905">
        <f>H683</f>
        <v>1700000</v>
      </c>
      <c r="J683" s="909"/>
      <c r="K683" s="915">
        <v>1700000</v>
      </c>
      <c r="L683" s="946">
        <f>K683-I683</f>
        <v>0</v>
      </c>
      <c r="M683" s="111"/>
      <c r="N683" s="111"/>
      <c r="O683" s="111"/>
      <c r="P683" s="111"/>
    </row>
    <row r="684" spans="1:16" ht="12.75" customHeight="1">
      <c r="A684" s="924"/>
      <c r="B684" s="1039"/>
      <c r="C684" s="904"/>
      <c r="D684" s="658"/>
      <c r="E684" s="865"/>
      <c r="F684" s="865"/>
      <c r="G684" s="433"/>
      <c r="H684" s="905"/>
      <c r="I684" s="906"/>
      <c r="J684" s="910"/>
      <c r="K684" s="916"/>
      <c r="L684" s="946"/>
      <c r="M684" s="111"/>
      <c r="N684" s="111"/>
      <c r="O684" s="111"/>
      <c r="P684" s="111"/>
    </row>
    <row r="685" spans="1:16" ht="12.75" customHeight="1">
      <c r="A685" s="924">
        <v>336</v>
      </c>
      <c r="B685" s="1039"/>
      <c r="C685" s="904" t="s">
        <v>709</v>
      </c>
      <c r="D685" s="658" t="s">
        <v>1546</v>
      </c>
      <c r="E685" s="865" t="s">
        <v>1550</v>
      </c>
      <c r="F685" s="865" t="s">
        <v>439</v>
      </c>
      <c r="G685" s="401"/>
      <c r="H685" s="905">
        <v>2300000</v>
      </c>
      <c r="I685" s="905">
        <f>H685</f>
        <v>2300000</v>
      </c>
      <c r="J685" s="909"/>
      <c r="K685" s="919">
        <v>2300000</v>
      </c>
      <c r="L685" s="946">
        <f>K685-I685</f>
        <v>0</v>
      </c>
      <c r="M685" s="111"/>
      <c r="N685" s="111"/>
      <c r="O685" s="111"/>
      <c r="P685" s="111"/>
    </row>
    <row r="686" spans="1:16" ht="12.75" customHeight="1">
      <c r="A686" s="924"/>
      <c r="B686" s="1039"/>
      <c r="C686" s="904"/>
      <c r="D686" s="658"/>
      <c r="E686" s="865"/>
      <c r="F686" s="865"/>
      <c r="G686" s="401"/>
      <c r="H686" s="905"/>
      <c r="I686" s="906"/>
      <c r="J686" s="910"/>
      <c r="K686" s="920"/>
      <c r="L686" s="946"/>
      <c r="M686" s="111"/>
      <c r="N686" s="111"/>
      <c r="O686" s="111"/>
      <c r="P686" s="111"/>
    </row>
    <row r="687" spans="1:16" ht="12.75" customHeight="1">
      <c r="A687" s="924">
        <v>337</v>
      </c>
      <c r="B687" s="865"/>
      <c r="C687" s="904" t="s">
        <v>710</v>
      </c>
      <c r="D687" s="658" t="s">
        <v>1546</v>
      </c>
      <c r="E687" s="865" t="s">
        <v>1244</v>
      </c>
      <c r="F687" s="865"/>
      <c r="G687" s="438"/>
      <c r="H687" s="905">
        <v>2300000</v>
      </c>
      <c r="I687" s="905">
        <f>H687</f>
        <v>2300000</v>
      </c>
      <c r="J687" s="909"/>
      <c r="K687" s="915">
        <v>2300000</v>
      </c>
      <c r="L687" s="946">
        <f>K687-I687</f>
        <v>0</v>
      </c>
      <c r="M687" s="111"/>
      <c r="N687" s="111"/>
      <c r="O687" s="111"/>
      <c r="P687" s="111"/>
    </row>
    <row r="688" spans="1:16" ht="12.75" customHeight="1" thickBot="1">
      <c r="A688" s="924"/>
      <c r="B688" s="937"/>
      <c r="C688" s="938"/>
      <c r="D688" s="939"/>
      <c r="E688" s="937"/>
      <c r="F688" s="937"/>
      <c r="G688" s="439"/>
      <c r="H688" s="942"/>
      <c r="I688" s="943"/>
      <c r="J688" s="944"/>
      <c r="K688" s="1091"/>
      <c r="L688" s="947"/>
      <c r="M688" s="111"/>
      <c r="N688" s="111"/>
      <c r="O688" s="111"/>
      <c r="P688" s="111"/>
    </row>
    <row r="689" spans="1:16" ht="12.75" customHeight="1">
      <c r="A689" s="924">
        <v>338</v>
      </c>
      <c r="B689" s="968" t="s">
        <v>1535</v>
      </c>
      <c r="C689" s="969" t="s">
        <v>1560</v>
      </c>
      <c r="D689" s="970" t="s">
        <v>1545</v>
      </c>
      <c r="E689" s="968" t="s">
        <v>20</v>
      </c>
      <c r="F689" s="968"/>
      <c r="G689" s="432"/>
      <c r="H689" s="973">
        <v>11100000</v>
      </c>
      <c r="I689" s="973">
        <f>H689</f>
        <v>11100000</v>
      </c>
      <c r="J689" s="974"/>
      <c r="K689" s="999">
        <v>11100000</v>
      </c>
      <c r="L689" s="967">
        <f>K689-I689</f>
        <v>0</v>
      </c>
      <c r="M689" s="111"/>
      <c r="N689" s="111"/>
      <c r="O689" s="111"/>
      <c r="P689" s="111"/>
    </row>
    <row r="690" spans="1:16" ht="12.75" customHeight="1">
      <c r="A690" s="924"/>
      <c r="B690" s="865"/>
      <c r="C690" s="904"/>
      <c r="D690" s="658"/>
      <c r="E690" s="865"/>
      <c r="F690" s="865"/>
      <c r="G690" s="431"/>
      <c r="H690" s="905"/>
      <c r="I690" s="906"/>
      <c r="J690" s="910"/>
      <c r="K690" s="916"/>
      <c r="L690" s="946"/>
      <c r="M690" s="111"/>
      <c r="N690" s="111"/>
      <c r="O690" s="111"/>
      <c r="P690" s="111"/>
    </row>
    <row r="691" spans="1:16" ht="12.75" customHeight="1">
      <c r="A691" s="924">
        <v>339</v>
      </c>
      <c r="B691" s="1039"/>
      <c r="C691" s="904" t="s">
        <v>716</v>
      </c>
      <c r="D691" s="658" t="s">
        <v>1554</v>
      </c>
      <c r="E691" s="865" t="s">
        <v>874</v>
      </c>
      <c r="F691" s="865">
        <v>650</v>
      </c>
      <c r="G691" s="392"/>
      <c r="H691" s="905">
        <v>550000</v>
      </c>
      <c r="I691" s="905">
        <f>H691</f>
        <v>550000</v>
      </c>
      <c r="J691" s="909"/>
      <c r="K691" s="919">
        <v>550000</v>
      </c>
      <c r="L691" s="946">
        <f>K691-I691</f>
        <v>0</v>
      </c>
      <c r="M691" s="111"/>
      <c r="N691" s="111"/>
      <c r="O691" s="111"/>
      <c r="P691" s="111"/>
    </row>
    <row r="692" spans="1:16" ht="12.75" customHeight="1">
      <c r="A692" s="924"/>
      <c r="B692" s="1039"/>
      <c r="C692" s="904"/>
      <c r="D692" s="658"/>
      <c r="E692" s="865"/>
      <c r="F692" s="865"/>
      <c r="G692" s="392"/>
      <c r="H692" s="905"/>
      <c r="I692" s="906"/>
      <c r="J692" s="910"/>
      <c r="K692" s="920"/>
      <c r="L692" s="946"/>
      <c r="M692" s="111"/>
      <c r="N692" s="111"/>
      <c r="O692" s="111"/>
      <c r="P692" s="111"/>
    </row>
    <row r="693" spans="1:16" ht="12.75" customHeight="1">
      <c r="A693" s="924">
        <v>340</v>
      </c>
      <c r="B693" s="1058"/>
      <c r="C693" s="914" t="s">
        <v>717</v>
      </c>
      <c r="D693" s="660" t="s">
        <v>1554</v>
      </c>
      <c r="E693" s="879" t="s">
        <v>1551</v>
      </c>
      <c r="F693" s="879" t="s">
        <v>1553</v>
      </c>
      <c r="G693" s="395"/>
      <c r="H693" s="916">
        <v>550000</v>
      </c>
      <c r="I693" s="916">
        <f>H693</f>
        <v>550000</v>
      </c>
      <c r="J693" s="949"/>
      <c r="K693" s="984">
        <v>550000</v>
      </c>
      <c r="L693" s="951">
        <f>K693-I693</f>
        <v>0</v>
      </c>
      <c r="M693" s="111"/>
      <c r="N693" s="111"/>
      <c r="O693" s="111"/>
      <c r="P693" s="111"/>
    </row>
    <row r="694" spans="1:16" ht="12.75" customHeight="1" thickBot="1">
      <c r="A694" s="924"/>
      <c r="B694" s="1040"/>
      <c r="C694" s="938"/>
      <c r="D694" s="939"/>
      <c r="E694" s="937"/>
      <c r="F694" s="937"/>
      <c r="G694" s="394"/>
      <c r="H694" s="942"/>
      <c r="I694" s="943"/>
      <c r="J694" s="944"/>
      <c r="K694" s="1041"/>
      <c r="L694" s="947"/>
      <c r="M694" s="111"/>
      <c r="N694" s="111"/>
      <c r="O694" s="111"/>
      <c r="P694" s="111"/>
    </row>
    <row r="695" spans="1:16" ht="12.75" customHeight="1">
      <c r="A695" s="924">
        <v>341</v>
      </c>
      <c r="B695" s="879" t="s">
        <v>1538</v>
      </c>
      <c r="C695" s="914"/>
      <c r="D695" s="660" t="s">
        <v>1545</v>
      </c>
      <c r="E695" s="879" t="s">
        <v>20</v>
      </c>
      <c r="F695" s="879"/>
      <c r="G695" s="436"/>
      <c r="H695" s="916">
        <v>10700000</v>
      </c>
      <c r="I695" s="916">
        <f>H695</f>
        <v>10700000</v>
      </c>
      <c r="J695" s="949"/>
      <c r="K695" s="988">
        <v>10700000</v>
      </c>
      <c r="L695" s="901">
        <f>K695-I695</f>
        <v>0</v>
      </c>
      <c r="M695" s="111"/>
      <c r="N695" s="111"/>
      <c r="O695" s="111"/>
      <c r="P695" s="111"/>
    </row>
    <row r="696" spans="1:16" ht="12.75" customHeight="1">
      <c r="A696" s="924"/>
      <c r="B696" s="865"/>
      <c r="C696" s="904"/>
      <c r="D696" s="658"/>
      <c r="E696" s="865"/>
      <c r="F696" s="865"/>
      <c r="G696" s="435"/>
      <c r="H696" s="905"/>
      <c r="I696" s="906"/>
      <c r="J696" s="910"/>
      <c r="K696" s="916"/>
      <c r="L696" s="903"/>
      <c r="M696" s="111"/>
      <c r="N696" s="111"/>
      <c r="O696" s="111"/>
      <c r="P696" s="111"/>
    </row>
    <row r="697" spans="1:16" ht="12.75" customHeight="1">
      <c r="A697" s="924">
        <v>342</v>
      </c>
      <c r="B697" s="1039"/>
      <c r="C697" s="904" t="s">
        <v>711</v>
      </c>
      <c r="D697" s="658" t="s">
        <v>1546</v>
      </c>
      <c r="E697" s="865" t="s">
        <v>1557</v>
      </c>
      <c r="F697" s="865" t="s">
        <v>1547</v>
      </c>
      <c r="G697" s="399"/>
      <c r="H697" s="905">
        <v>5500000</v>
      </c>
      <c r="I697" s="905">
        <f>H697</f>
        <v>5500000</v>
      </c>
      <c r="J697" s="909"/>
      <c r="K697" s="919">
        <v>5500000</v>
      </c>
      <c r="L697" s="903">
        <f>K697-I697</f>
        <v>0</v>
      </c>
      <c r="M697" s="111"/>
      <c r="N697" s="111"/>
      <c r="O697" s="111"/>
      <c r="P697" s="111"/>
    </row>
    <row r="698" spans="1:16" ht="12.75" customHeight="1" thickBot="1">
      <c r="A698" s="924"/>
      <c r="B698" s="1042"/>
      <c r="C698" s="913"/>
      <c r="D698" s="659"/>
      <c r="E698" s="878"/>
      <c r="F698" s="878"/>
      <c r="G698" s="400"/>
      <c r="H698" s="915"/>
      <c r="I698" s="982"/>
      <c r="J698" s="917"/>
      <c r="K698" s="984"/>
      <c r="L698" s="900"/>
      <c r="M698" s="111"/>
      <c r="N698" s="111"/>
      <c r="O698" s="111"/>
      <c r="P698" s="111"/>
    </row>
    <row r="699" spans="1:16" ht="12.75" customHeight="1">
      <c r="A699" s="924">
        <v>343</v>
      </c>
      <c r="B699" s="975" t="s">
        <v>1542</v>
      </c>
      <c r="C699" s="969" t="s">
        <v>704</v>
      </c>
      <c r="D699" s="970" t="s">
        <v>1545</v>
      </c>
      <c r="E699" s="968" t="s">
        <v>524</v>
      </c>
      <c r="F699" s="968"/>
      <c r="G699" s="430"/>
      <c r="H699" s="973">
        <v>1141000</v>
      </c>
      <c r="I699" s="973">
        <f>H699</f>
        <v>1141000</v>
      </c>
      <c r="J699" s="974"/>
      <c r="K699" s="999">
        <v>1141000</v>
      </c>
      <c r="L699" s="967">
        <f>K699-I699</f>
        <v>0</v>
      </c>
      <c r="M699" s="111"/>
      <c r="N699" s="111"/>
      <c r="O699" s="111"/>
      <c r="P699" s="111"/>
    </row>
    <row r="700" spans="1:16" ht="12.75" customHeight="1">
      <c r="A700" s="924"/>
      <c r="B700" s="976"/>
      <c r="C700" s="904"/>
      <c r="D700" s="658"/>
      <c r="E700" s="865"/>
      <c r="F700" s="865"/>
      <c r="G700" s="428"/>
      <c r="H700" s="905"/>
      <c r="I700" s="906"/>
      <c r="J700" s="910"/>
      <c r="K700" s="916"/>
      <c r="L700" s="946"/>
      <c r="M700" s="111"/>
      <c r="N700" s="111"/>
      <c r="O700" s="111"/>
      <c r="P700" s="111"/>
    </row>
    <row r="701" spans="1:16" ht="12.75" customHeight="1">
      <c r="A701" s="924">
        <v>344</v>
      </c>
      <c r="B701" s="981"/>
      <c r="C701" s="904"/>
      <c r="D701" s="658"/>
      <c r="E701" s="865"/>
      <c r="F701" s="865"/>
      <c r="G701" s="388"/>
      <c r="H701" s="905"/>
      <c r="I701" s="905"/>
      <c r="J701" s="909"/>
      <c r="K701" s="919"/>
      <c r="L701" s="946"/>
      <c r="M701" s="111"/>
      <c r="N701" s="111"/>
      <c r="O701" s="111"/>
      <c r="P701" s="111"/>
    </row>
    <row r="702" spans="1:16" ht="12.75" customHeight="1" thickBot="1">
      <c r="A702" s="924"/>
      <c r="B702" s="1078"/>
      <c r="C702" s="913"/>
      <c r="D702" s="659"/>
      <c r="E702" s="878"/>
      <c r="F702" s="878"/>
      <c r="G702" s="391"/>
      <c r="H702" s="915"/>
      <c r="I702" s="982"/>
      <c r="J702" s="917"/>
      <c r="K702" s="984"/>
      <c r="L702" s="950"/>
      <c r="M702" s="111"/>
      <c r="N702" s="111"/>
      <c r="O702" s="111"/>
      <c r="P702" s="111"/>
    </row>
    <row r="703" spans="1:16" ht="12.75" customHeight="1">
      <c r="A703" s="924">
        <v>345</v>
      </c>
      <c r="B703" s="968" t="s">
        <v>1558</v>
      </c>
      <c r="C703" s="969" t="s">
        <v>1559</v>
      </c>
      <c r="D703" s="970" t="s">
        <v>1546</v>
      </c>
      <c r="E703" s="968" t="s">
        <v>428</v>
      </c>
      <c r="F703" s="968"/>
      <c r="G703" s="437"/>
      <c r="H703" s="973">
        <v>11100000</v>
      </c>
      <c r="I703" s="973">
        <f>H703</f>
        <v>11100000</v>
      </c>
      <c r="J703" s="974"/>
      <c r="K703" s="999">
        <v>11100000</v>
      </c>
      <c r="L703" s="967">
        <f>K703-I703</f>
        <v>0</v>
      </c>
      <c r="M703" s="111"/>
      <c r="N703" s="111"/>
      <c r="O703" s="111"/>
      <c r="P703" s="111"/>
    </row>
    <row r="704" spans="1:16" ht="12.75" customHeight="1">
      <c r="A704" s="924"/>
      <c r="B704" s="865"/>
      <c r="C704" s="904"/>
      <c r="D704" s="658"/>
      <c r="E704" s="865"/>
      <c r="F704" s="865"/>
      <c r="G704" s="435"/>
      <c r="H704" s="905"/>
      <c r="I704" s="906"/>
      <c r="J704" s="910"/>
      <c r="K704" s="916"/>
      <c r="L704" s="946"/>
      <c r="M704" s="111"/>
      <c r="N704" s="111"/>
      <c r="O704" s="111"/>
      <c r="P704" s="111"/>
    </row>
    <row r="705" spans="1:16" ht="12.75" customHeight="1">
      <c r="A705" s="924">
        <v>346</v>
      </c>
      <c r="B705" s="981"/>
      <c r="C705" s="904" t="s">
        <v>720</v>
      </c>
      <c r="D705" s="658" t="s">
        <v>1554</v>
      </c>
      <c r="E705" s="865" t="s">
        <v>1552</v>
      </c>
      <c r="F705" s="865"/>
      <c r="G705" s="481"/>
      <c r="H705" s="905">
        <v>4536000</v>
      </c>
      <c r="I705" s="905">
        <f>H705</f>
        <v>4536000</v>
      </c>
      <c r="J705" s="909"/>
      <c r="K705" s="919">
        <v>4536000</v>
      </c>
      <c r="L705" s="946">
        <f>K705-I705</f>
        <v>0</v>
      </c>
      <c r="M705" s="111"/>
      <c r="N705" s="111"/>
      <c r="O705" s="111"/>
      <c r="P705" s="111"/>
    </row>
    <row r="706" spans="1:16" ht="12.75" customHeight="1">
      <c r="A706" s="924"/>
      <c r="B706" s="1092"/>
      <c r="C706" s="904"/>
      <c r="D706" s="658"/>
      <c r="E706" s="865"/>
      <c r="F706" s="865"/>
      <c r="G706" s="481"/>
      <c r="H706" s="905"/>
      <c r="I706" s="906"/>
      <c r="J706" s="910"/>
      <c r="K706" s="920"/>
      <c r="L706" s="946"/>
      <c r="M706" s="111"/>
      <c r="N706" s="111"/>
      <c r="O706" s="111"/>
      <c r="P706" s="111"/>
    </row>
    <row r="707" spans="1:16" ht="12.75" customHeight="1">
      <c r="A707" s="924">
        <v>347</v>
      </c>
      <c r="B707" s="865"/>
      <c r="C707" s="904" t="s">
        <v>721</v>
      </c>
      <c r="D707" s="658" t="s">
        <v>1554</v>
      </c>
      <c r="E707" s="865" t="s">
        <v>142</v>
      </c>
      <c r="F707" s="865">
        <v>460</v>
      </c>
      <c r="G707" s="460"/>
      <c r="H707" s="905">
        <v>550000</v>
      </c>
      <c r="I707" s="905">
        <f>H707</f>
        <v>550000</v>
      </c>
      <c r="J707" s="909"/>
      <c r="K707" s="915">
        <v>550000</v>
      </c>
      <c r="L707" s="946">
        <f>K707-I707</f>
        <v>0</v>
      </c>
      <c r="M707" s="111"/>
      <c r="N707" s="111"/>
      <c r="O707" s="111"/>
      <c r="P707" s="111"/>
    </row>
    <row r="708" spans="1:16" ht="12.75" customHeight="1" thickBot="1">
      <c r="A708" s="924"/>
      <c r="B708" s="937"/>
      <c r="C708" s="938"/>
      <c r="D708" s="939"/>
      <c r="E708" s="937"/>
      <c r="F708" s="937"/>
      <c r="G708" s="462"/>
      <c r="H708" s="942"/>
      <c r="I708" s="943"/>
      <c r="J708" s="944"/>
      <c r="K708" s="1091"/>
      <c r="L708" s="947"/>
      <c r="M708" s="111"/>
      <c r="N708" s="111"/>
      <c r="O708" s="111"/>
      <c r="P708" s="111"/>
    </row>
    <row r="709" spans="1:16">
      <c r="A709" s="924">
        <v>348</v>
      </c>
      <c r="B709" s="879" t="s">
        <v>1549</v>
      </c>
      <c r="C709" s="914" t="s">
        <v>1574</v>
      </c>
      <c r="D709" s="660" t="s">
        <v>1564</v>
      </c>
      <c r="E709" s="879" t="s">
        <v>20</v>
      </c>
      <c r="F709" s="879"/>
      <c r="G709" s="440"/>
      <c r="H709" s="916">
        <v>12000000</v>
      </c>
      <c r="I709" s="916">
        <f>H709</f>
        <v>12000000</v>
      </c>
      <c r="J709" s="949"/>
      <c r="K709" s="984">
        <v>12000000</v>
      </c>
      <c r="L709" s="901">
        <f>K709-I709</f>
        <v>0</v>
      </c>
      <c r="M709" s="111"/>
      <c r="N709" s="111"/>
      <c r="O709" s="111"/>
      <c r="P709" s="111"/>
    </row>
    <row r="710" spans="1:16">
      <c r="A710" s="924"/>
      <c r="B710" s="865"/>
      <c r="C710" s="904"/>
      <c r="D710" s="658"/>
      <c r="E710" s="865"/>
      <c r="F710" s="865"/>
      <c r="G710" s="438"/>
      <c r="H710" s="905"/>
      <c r="I710" s="906"/>
      <c r="J710" s="910"/>
      <c r="K710" s="920"/>
      <c r="L710" s="903"/>
      <c r="M710" s="111"/>
      <c r="N710" s="111"/>
      <c r="O710" s="111"/>
      <c r="P710" s="111"/>
    </row>
    <row r="711" spans="1:16">
      <c r="A711" s="924">
        <v>349</v>
      </c>
      <c r="B711" s="1039"/>
      <c r="C711" s="904" t="s">
        <v>740</v>
      </c>
      <c r="D711" s="674" t="s">
        <v>1572</v>
      </c>
      <c r="E711" s="865" t="s">
        <v>1570</v>
      </c>
      <c r="F711" s="865">
        <v>300</v>
      </c>
      <c r="G711" s="402"/>
      <c r="H711" s="905">
        <v>1050000</v>
      </c>
      <c r="I711" s="905">
        <f>H711</f>
        <v>1050000</v>
      </c>
      <c r="J711" s="909"/>
      <c r="K711" s="915">
        <v>1050000</v>
      </c>
      <c r="L711" s="903">
        <f>K711-I711</f>
        <v>0</v>
      </c>
    </row>
    <row r="712" spans="1:16">
      <c r="A712" s="924"/>
      <c r="B712" s="1042"/>
      <c r="C712" s="904"/>
      <c r="D712" s="674"/>
      <c r="E712" s="865"/>
      <c r="F712" s="865"/>
      <c r="G712" s="402"/>
      <c r="H712" s="905"/>
      <c r="I712" s="906"/>
      <c r="J712" s="910"/>
      <c r="K712" s="916"/>
      <c r="L712" s="903"/>
    </row>
    <row r="713" spans="1:16">
      <c r="A713" s="924">
        <v>350</v>
      </c>
      <c r="B713" s="1039"/>
      <c r="C713" s="904" t="s">
        <v>736</v>
      </c>
      <c r="D713" s="674" t="s">
        <v>1567</v>
      </c>
      <c r="E713" s="865" t="s">
        <v>1571</v>
      </c>
      <c r="F713" s="865">
        <v>130</v>
      </c>
      <c r="G713" s="420"/>
      <c r="H713" s="905">
        <v>4400000</v>
      </c>
      <c r="I713" s="905">
        <f>H713</f>
        <v>4400000</v>
      </c>
      <c r="J713" s="909"/>
      <c r="K713" s="919">
        <v>4400000</v>
      </c>
      <c r="L713" s="903">
        <f>K713-I713</f>
        <v>0</v>
      </c>
    </row>
    <row r="714" spans="1:16" ht="13.5" thickBot="1">
      <c r="A714" s="924"/>
      <c r="B714" s="1042"/>
      <c r="C714" s="913"/>
      <c r="D714" s="731"/>
      <c r="E714" s="878"/>
      <c r="F714" s="878"/>
      <c r="G714" s="424"/>
      <c r="H714" s="915"/>
      <c r="I714" s="982"/>
      <c r="J714" s="917"/>
      <c r="K714" s="984"/>
      <c r="L714" s="900"/>
    </row>
    <row r="715" spans="1:16" ht="12.75" customHeight="1">
      <c r="A715" s="924">
        <v>351</v>
      </c>
      <c r="B715" s="968" t="s">
        <v>1562</v>
      </c>
      <c r="C715" s="969" t="s">
        <v>722</v>
      </c>
      <c r="D715" s="970" t="s">
        <v>1564</v>
      </c>
      <c r="E715" s="968" t="s">
        <v>1275</v>
      </c>
      <c r="F715" s="968"/>
      <c r="G715" s="430"/>
      <c r="H715" s="973">
        <v>1126000</v>
      </c>
      <c r="I715" s="973">
        <f>H715</f>
        <v>1126000</v>
      </c>
      <c r="J715" s="974"/>
      <c r="K715" s="1001">
        <v>1126000</v>
      </c>
      <c r="L715" s="967">
        <f>K715-I715</f>
        <v>0</v>
      </c>
      <c r="M715" s="111"/>
      <c r="N715" s="111"/>
      <c r="O715" s="111"/>
      <c r="P715" s="111"/>
    </row>
    <row r="716" spans="1:16" ht="12.75" customHeight="1">
      <c r="A716" s="924"/>
      <c r="B716" s="865"/>
      <c r="C716" s="904"/>
      <c r="D716" s="658"/>
      <c r="E716" s="865"/>
      <c r="F716" s="865"/>
      <c r="G716" s="428"/>
      <c r="H716" s="905"/>
      <c r="I716" s="906"/>
      <c r="J716" s="910"/>
      <c r="K716" s="920"/>
      <c r="L716" s="946"/>
      <c r="M716" s="111"/>
      <c r="N716" s="111"/>
      <c r="O716" s="111"/>
      <c r="P716" s="111"/>
    </row>
    <row r="717" spans="1:16" ht="12.75" customHeight="1">
      <c r="A717" s="924">
        <v>352</v>
      </c>
      <c r="B717" s="1039"/>
      <c r="C717" s="904"/>
      <c r="D717" s="658"/>
      <c r="E717" s="865"/>
      <c r="F717" s="865"/>
      <c r="G717" s="420"/>
      <c r="H717" s="905"/>
      <c r="I717" s="905"/>
      <c r="J717" s="909"/>
      <c r="K717" s="919"/>
      <c r="L717" s="946"/>
      <c r="M717" s="111"/>
      <c r="N717" s="111"/>
      <c r="O717" s="111"/>
      <c r="P717" s="111"/>
    </row>
    <row r="718" spans="1:16" ht="12.75" customHeight="1" thickBot="1">
      <c r="A718" s="924"/>
      <c r="B718" s="1040"/>
      <c r="C718" s="938"/>
      <c r="D718" s="939"/>
      <c r="E718" s="937"/>
      <c r="F718" s="937"/>
      <c r="G718" s="421"/>
      <c r="H718" s="942"/>
      <c r="I718" s="943"/>
      <c r="J718" s="944"/>
      <c r="K718" s="1041"/>
      <c r="L718" s="947"/>
      <c r="M718" s="111"/>
      <c r="N718" s="111"/>
      <c r="O718" s="111"/>
      <c r="P718" s="111"/>
    </row>
    <row r="719" spans="1:16" ht="12.75" customHeight="1">
      <c r="A719" s="924">
        <v>353</v>
      </c>
      <c r="B719" s="879" t="s">
        <v>1561</v>
      </c>
      <c r="C719" s="914" t="s">
        <v>1575</v>
      </c>
      <c r="D719" s="660" t="s">
        <v>1564</v>
      </c>
      <c r="E719" s="879" t="s">
        <v>20</v>
      </c>
      <c r="F719" s="879"/>
      <c r="G719" s="440"/>
      <c r="H719" s="916">
        <v>11500000</v>
      </c>
      <c r="I719" s="916">
        <f>H719</f>
        <v>11500000</v>
      </c>
      <c r="J719" s="949"/>
      <c r="K719" s="988">
        <v>11500000</v>
      </c>
      <c r="L719" s="901">
        <f>K719-I719</f>
        <v>0</v>
      </c>
      <c r="M719" s="111"/>
      <c r="N719" s="111"/>
      <c r="O719" s="111"/>
      <c r="P719" s="111"/>
    </row>
    <row r="720" spans="1:16" ht="12.75" customHeight="1">
      <c r="A720" s="924"/>
      <c r="B720" s="865"/>
      <c r="C720" s="904"/>
      <c r="D720" s="658"/>
      <c r="E720" s="865"/>
      <c r="F720" s="865"/>
      <c r="G720" s="438"/>
      <c r="H720" s="905"/>
      <c r="I720" s="906"/>
      <c r="J720" s="910"/>
      <c r="K720" s="916"/>
      <c r="L720" s="903"/>
      <c r="M720" s="111"/>
      <c r="N720" s="111"/>
      <c r="O720" s="111"/>
      <c r="P720" s="111"/>
    </row>
    <row r="721" spans="1:16" ht="12.75" customHeight="1">
      <c r="A721" s="924">
        <v>354</v>
      </c>
      <c r="B721" s="981"/>
      <c r="C721" s="904" t="s">
        <v>732</v>
      </c>
      <c r="D721" s="674" t="s">
        <v>1567</v>
      </c>
      <c r="E721" s="865" t="s">
        <v>40</v>
      </c>
      <c r="F721" s="865"/>
      <c r="G721" s="433"/>
      <c r="H721" s="905">
        <v>2300000</v>
      </c>
      <c r="I721" s="905">
        <f>H721</f>
        <v>2300000</v>
      </c>
      <c r="J721" s="909"/>
      <c r="K721" s="919">
        <v>2300000</v>
      </c>
      <c r="L721" s="903">
        <f>K721-I721</f>
        <v>0</v>
      </c>
      <c r="M721" s="111"/>
      <c r="N721" s="111"/>
      <c r="O721" s="111"/>
      <c r="P721" s="111"/>
    </row>
    <row r="722" spans="1:16" ht="12.75" customHeight="1">
      <c r="A722" s="924"/>
      <c r="B722" s="1092"/>
      <c r="C722" s="904"/>
      <c r="D722" s="674"/>
      <c r="E722" s="865"/>
      <c r="F722" s="865"/>
      <c r="G722" s="433"/>
      <c r="H722" s="905"/>
      <c r="I722" s="906"/>
      <c r="J722" s="910"/>
      <c r="K722" s="920"/>
      <c r="L722" s="903"/>
      <c r="M722" s="111"/>
      <c r="N722" s="111"/>
      <c r="O722" s="111"/>
      <c r="P722" s="111"/>
    </row>
    <row r="723" spans="1:16" ht="12.75" customHeight="1">
      <c r="A723" s="924">
        <v>355</v>
      </c>
      <c r="B723" s="865"/>
      <c r="C723" s="904" t="s">
        <v>734</v>
      </c>
      <c r="D723" s="674" t="s">
        <v>1567</v>
      </c>
      <c r="E723" s="865" t="s">
        <v>142</v>
      </c>
      <c r="F723" s="865" t="s">
        <v>1573</v>
      </c>
      <c r="G723" s="460"/>
      <c r="H723" s="905">
        <v>550000</v>
      </c>
      <c r="I723" s="905">
        <f>H723</f>
        <v>550000</v>
      </c>
      <c r="J723" s="909"/>
      <c r="K723" s="915">
        <v>550000</v>
      </c>
      <c r="L723" s="903">
        <f>K723-I723</f>
        <v>0</v>
      </c>
      <c r="M723" s="111"/>
      <c r="N723" s="111"/>
      <c r="O723" s="111"/>
      <c r="P723" s="111"/>
    </row>
    <row r="724" spans="1:16" ht="12.75" customHeight="1">
      <c r="A724" s="924"/>
      <c r="B724" s="865"/>
      <c r="C724" s="904"/>
      <c r="D724" s="674"/>
      <c r="E724" s="865"/>
      <c r="F724" s="865"/>
      <c r="G724" s="460"/>
      <c r="H724" s="905"/>
      <c r="I724" s="906"/>
      <c r="J724" s="910"/>
      <c r="K724" s="916"/>
      <c r="L724" s="903"/>
      <c r="M724" s="111"/>
      <c r="N724" s="111"/>
      <c r="O724" s="111"/>
      <c r="P724" s="111"/>
    </row>
    <row r="725" spans="1:16" ht="12.75" customHeight="1">
      <c r="A725" s="924">
        <v>356</v>
      </c>
      <c r="B725" s="865"/>
      <c r="C725" s="904" t="s">
        <v>728</v>
      </c>
      <c r="D725" s="658" t="s">
        <v>1569</v>
      </c>
      <c r="E725" s="865" t="s">
        <v>1051</v>
      </c>
      <c r="F725" s="865"/>
      <c r="G725" s="403"/>
      <c r="H725" s="905">
        <v>4000000</v>
      </c>
      <c r="I725" s="905">
        <f>H725</f>
        <v>4000000</v>
      </c>
      <c r="J725" s="909"/>
      <c r="K725" s="915">
        <v>4000000</v>
      </c>
      <c r="L725" s="903">
        <f>K725-I725</f>
        <v>0</v>
      </c>
      <c r="M725" s="111"/>
      <c r="N725" s="111"/>
      <c r="O725" s="111"/>
      <c r="P725" s="111"/>
    </row>
    <row r="726" spans="1:16" ht="12.75" customHeight="1">
      <c r="A726" s="924"/>
      <c r="B726" s="865"/>
      <c r="C726" s="904"/>
      <c r="D726" s="658"/>
      <c r="E726" s="865"/>
      <c r="F726" s="865"/>
      <c r="G726" s="403"/>
      <c r="H726" s="905"/>
      <c r="I726" s="906"/>
      <c r="J726" s="910"/>
      <c r="K726" s="916"/>
      <c r="L726" s="903"/>
      <c r="M726" s="111"/>
      <c r="N726" s="111"/>
      <c r="O726" s="111"/>
      <c r="P726" s="111"/>
    </row>
    <row r="727" spans="1:16" ht="12.75" customHeight="1">
      <c r="A727" s="924">
        <v>357</v>
      </c>
      <c r="B727" s="865"/>
      <c r="C727" s="904" t="s">
        <v>735</v>
      </c>
      <c r="D727" s="674" t="s">
        <v>1567</v>
      </c>
      <c r="E727" s="865" t="s">
        <v>630</v>
      </c>
      <c r="F727" s="865"/>
      <c r="G727" s="420"/>
      <c r="H727" s="905">
        <v>1575000</v>
      </c>
      <c r="I727" s="905">
        <f>H727</f>
        <v>1575000</v>
      </c>
      <c r="J727" s="909"/>
      <c r="K727" s="915">
        <v>1575000</v>
      </c>
      <c r="L727" s="903">
        <f>K727-I727</f>
        <v>0</v>
      </c>
      <c r="M727" s="111"/>
      <c r="N727" s="111"/>
      <c r="O727" s="111"/>
      <c r="P727" s="111"/>
    </row>
    <row r="728" spans="1:16" ht="12.75" customHeight="1" thickBot="1">
      <c r="A728" s="924"/>
      <c r="B728" s="865"/>
      <c r="C728" s="904"/>
      <c r="D728" s="674"/>
      <c r="E728" s="865"/>
      <c r="F728" s="865"/>
      <c r="G728" s="420"/>
      <c r="H728" s="905"/>
      <c r="I728" s="906"/>
      <c r="J728" s="910"/>
      <c r="K728" s="916"/>
      <c r="L728" s="903"/>
      <c r="M728" s="111" t="s">
        <v>1614</v>
      </c>
      <c r="N728" s="111"/>
      <c r="O728" s="111"/>
      <c r="P728" s="111"/>
    </row>
    <row r="729" spans="1:16" ht="12.75" customHeight="1">
      <c r="A729" s="1066"/>
      <c r="B729" s="1068" t="s">
        <v>727</v>
      </c>
      <c r="C729" s="1069"/>
      <c r="D729" s="1069"/>
      <c r="E729" s="1069"/>
      <c r="F729" s="1069"/>
      <c r="G729" s="1069"/>
      <c r="H729" s="1069"/>
      <c r="I729" s="1069"/>
      <c r="J729" s="1069"/>
      <c r="K729" s="1069"/>
      <c r="L729" s="1070"/>
      <c r="M729" s="111"/>
      <c r="N729" s="111"/>
      <c r="O729" s="111"/>
      <c r="P729" s="111"/>
    </row>
    <row r="730" spans="1:16" ht="12.75" customHeight="1" thickBot="1">
      <c r="A730" s="1066"/>
      <c r="B730" s="1085"/>
      <c r="C730" s="1086"/>
      <c r="D730" s="1086"/>
      <c r="E730" s="1086"/>
      <c r="F730" s="1086"/>
      <c r="G730" s="1086"/>
      <c r="H730" s="1086"/>
      <c r="I730" s="1086"/>
      <c r="J730" s="1086"/>
      <c r="K730" s="1086"/>
      <c r="L730" s="1087"/>
      <c r="M730" s="443">
        <f>SUM(I711,I713,I721:I724,I727,I731:I826,I831)</f>
        <v>242482010</v>
      </c>
      <c r="N730" s="111"/>
      <c r="O730" s="111">
        <f>M730/10650</f>
        <v>22768.263849765259</v>
      </c>
      <c r="P730" s="111"/>
    </row>
    <row r="731" spans="1:16" ht="12.75" customHeight="1">
      <c r="A731" s="1066">
        <v>358</v>
      </c>
      <c r="B731" s="1062" t="s">
        <v>1563</v>
      </c>
      <c r="C731" s="969" t="s">
        <v>1581</v>
      </c>
      <c r="D731" s="970" t="s">
        <v>1572</v>
      </c>
      <c r="E731" s="968" t="s">
        <v>20</v>
      </c>
      <c r="F731" s="968" t="s">
        <v>1582</v>
      </c>
      <c r="G731" s="446"/>
      <c r="H731" s="973">
        <v>12000000</v>
      </c>
      <c r="I731" s="973">
        <f>H731</f>
        <v>12000000</v>
      </c>
      <c r="J731" s="974"/>
      <c r="K731" s="1001">
        <v>12000000</v>
      </c>
      <c r="L731" s="967">
        <f>K731-I731</f>
        <v>0</v>
      </c>
      <c r="M731" s="111">
        <f>M730/10600</f>
        <v>22875.661320754716</v>
      </c>
      <c r="N731" s="111"/>
      <c r="O731" s="111">
        <f>M731+M732+500</f>
        <v>27035.661320754716</v>
      </c>
      <c r="P731" s="111"/>
    </row>
    <row r="732" spans="1:16" ht="12.75" customHeight="1">
      <c r="A732" s="1066"/>
      <c r="B732" s="1063"/>
      <c r="C732" s="904"/>
      <c r="D732" s="658"/>
      <c r="E732" s="865"/>
      <c r="F732" s="865"/>
      <c r="G732" s="447"/>
      <c r="H732" s="905"/>
      <c r="I732" s="906"/>
      <c r="J732" s="910"/>
      <c r="K732" s="920"/>
      <c r="L732" s="946"/>
      <c r="M732" s="111">
        <f>M733+M734+M735+M736+M737+M738+M740+M741+M742+300</f>
        <v>3660</v>
      </c>
      <c r="N732" s="111"/>
      <c r="O732" s="111"/>
      <c r="P732" s="111"/>
    </row>
    <row r="733" spans="1:16" ht="12.75" customHeight="1">
      <c r="A733" s="1066">
        <v>359</v>
      </c>
      <c r="B733" s="981"/>
      <c r="C733" s="904" t="s">
        <v>741</v>
      </c>
      <c r="D733" s="658" t="s">
        <v>1580</v>
      </c>
      <c r="E733" s="865" t="s">
        <v>1342</v>
      </c>
      <c r="F733" s="865" t="s">
        <v>1583</v>
      </c>
      <c r="G733" s="403"/>
      <c r="H733" s="905">
        <v>2160000</v>
      </c>
      <c r="I733" s="905">
        <f>H733</f>
        <v>2160000</v>
      </c>
      <c r="J733" s="909"/>
      <c r="K733" s="915">
        <v>2160000</v>
      </c>
      <c r="L733" s="946">
        <f>K733-I733</f>
        <v>0</v>
      </c>
      <c r="M733" s="111">
        <v>350</v>
      </c>
      <c r="N733" s="111"/>
      <c r="O733" s="111"/>
      <c r="P733" s="111"/>
    </row>
    <row r="734" spans="1:16" ht="12.75" customHeight="1">
      <c r="A734" s="1066"/>
      <c r="B734" s="1092"/>
      <c r="C734" s="904"/>
      <c r="D734" s="658"/>
      <c r="E734" s="865"/>
      <c r="F734" s="865"/>
      <c r="G734" s="403"/>
      <c r="H734" s="905"/>
      <c r="I734" s="906"/>
      <c r="J734" s="910"/>
      <c r="K734" s="916"/>
      <c r="L734" s="946"/>
      <c r="M734" s="111">
        <v>250</v>
      </c>
      <c r="N734" s="111"/>
      <c r="O734" s="111"/>
      <c r="P734" s="111"/>
    </row>
    <row r="735" spans="1:16">
      <c r="A735" s="1066">
        <v>360</v>
      </c>
      <c r="B735" s="1079"/>
      <c r="C735" s="904" t="s">
        <v>742</v>
      </c>
      <c r="D735" s="658" t="s">
        <v>1580</v>
      </c>
      <c r="E735" s="865" t="s">
        <v>1597</v>
      </c>
      <c r="F735" s="865"/>
      <c r="G735" s="472"/>
      <c r="H735" s="905">
        <v>2500000</v>
      </c>
      <c r="I735" s="905">
        <f>H735</f>
        <v>2500000</v>
      </c>
      <c r="J735" s="909"/>
      <c r="K735" s="919">
        <v>2500000</v>
      </c>
      <c r="L735" s="946">
        <f>K735-I735</f>
        <v>0</v>
      </c>
      <c r="M735" s="111">
        <v>200</v>
      </c>
      <c r="N735" s="111"/>
      <c r="O735" s="111"/>
      <c r="P735" s="111"/>
    </row>
    <row r="736" spans="1:16" ht="13.5" thickBot="1">
      <c r="A736" s="1066"/>
      <c r="B736" s="1080"/>
      <c r="C736" s="938"/>
      <c r="D736" s="939"/>
      <c r="E736" s="937"/>
      <c r="F736" s="937"/>
      <c r="G736" s="473"/>
      <c r="H736" s="942"/>
      <c r="I736" s="943"/>
      <c r="J736" s="944"/>
      <c r="K736" s="1041"/>
      <c r="L736" s="947"/>
      <c r="M736" s="111">
        <v>380</v>
      </c>
      <c r="N736" s="111"/>
      <c r="O736" s="111"/>
      <c r="P736" s="111"/>
    </row>
    <row r="737" spans="1:16">
      <c r="A737" s="1066">
        <v>361</v>
      </c>
      <c r="B737" s="975" t="s">
        <v>1565</v>
      </c>
      <c r="C737" s="969" t="s">
        <v>1591</v>
      </c>
      <c r="D737" s="970" t="s">
        <v>1590</v>
      </c>
      <c r="E737" s="968" t="s">
        <v>20</v>
      </c>
      <c r="F737" s="968" t="s">
        <v>1566</v>
      </c>
      <c r="G737" s="446"/>
      <c r="H737" s="973">
        <v>11500000</v>
      </c>
      <c r="I737" s="973">
        <f>H737</f>
        <v>11500000</v>
      </c>
      <c r="J737" s="974"/>
      <c r="K737" s="999">
        <v>11500000</v>
      </c>
      <c r="L737" s="967">
        <f>K737-I737</f>
        <v>0</v>
      </c>
      <c r="M737" s="111">
        <v>190</v>
      </c>
    </row>
    <row r="738" spans="1:16" ht="13.5" thickBot="1">
      <c r="A738" s="1066"/>
      <c r="B738" s="976"/>
      <c r="C738" s="904"/>
      <c r="D738" s="658"/>
      <c r="E738" s="865"/>
      <c r="F738" s="865"/>
      <c r="G738" s="447"/>
      <c r="H738" s="905"/>
      <c r="I738" s="906"/>
      <c r="J738" s="910"/>
      <c r="K738" s="916"/>
      <c r="L738" s="946"/>
      <c r="M738" s="111">
        <v>400</v>
      </c>
    </row>
    <row r="739" spans="1:16" ht="12.75" customHeight="1">
      <c r="A739" s="1066">
        <v>362</v>
      </c>
      <c r="B739" s="981"/>
      <c r="C739" s="904" t="s">
        <v>762</v>
      </c>
      <c r="D739" s="658" t="s">
        <v>1598</v>
      </c>
      <c r="E739" s="865" t="s">
        <v>1601</v>
      </c>
      <c r="F739" s="865" t="s">
        <v>1602</v>
      </c>
      <c r="G739" s="425"/>
      <c r="H739" s="905">
        <v>6000000</v>
      </c>
      <c r="I739" s="905">
        <f>H739</f>
        <v>6000000</v>
      </c>
      <c r="J739" s="909"/>
      <c r="K739" s="919">
        <v>6000000</v>
      </c>
      <c r="L739" s="967">
        <f>K739-I739</f>
        <v>0</v>
      </c>
      <c r="M739" s="111">
        <v>3000000</v>
      </c>
    </row>
    <row r="740" spans="1:16" ht="12.75" customHeight="1">
      <c r="A740" s="1066"/>
      <c r="B740" s="1092"/>
      <c r="C740" s="904"/>
      <c r="D740" s="658"/>
      <c r="E740" s="865"/>
      <c r="F740" s="865"/>
      <c r="G740" s="425"/>
      <c r="H740" s="905"/>
      <c r="I740" s="906"/>
      <c r="J740" s="910"/>
      <c r="K740" s="920"/>
      <c r="L740" s="946"/>
      <c r="M740" s="111">
        <v>410</v>
      </c>
    </row>
    <row r="741" spans="1:16" ht="12.75" customHeight="1">
      <c r="A741" s="1066">
        <v>363</v>
      </c>
      <c r="B741" s="976"/>
      <c r="C741" s="904" t="s">
        <v>763</v>
      </c>
      <c r="D741" s="658" t="s">
        <v>1587</v>
      </c>
      <c r="E741" s="865" t="s">
        <v>40</v>
      </c>
      <c r="F741" s="865" t="s">
        <v>1589</v>
      </c>
      <c r="G741" s="420"/>
      <c r="H741" s="905">
        <v>2650000</v>
      </c>
      <c r="I741" s="905">
        <f>H741</f>
        <v>2650000</v>
      </c>
      <c r="J741" s="909"/>
      <c r="K741" s="915">
        <v>2650000</v>
      </c>
      <c r="L741" s="946">
        <f>K741-I741</f>
        <v>0</v>
      </c>
      <c r="M741" s="111">
        <v>150</v>
      </c>
      <c r="N741" s="111"/>
      <c r="O741" s="111"/>
      <c r="P741" s="111"/>
    </row>
    <row r="742" spans="1:16" ht="12.75" customHeight="1" thickBot="1">
      <c r="A742" s="1066"/>
      <c r="B742" s="977"/>
      <c r="C742" s="938"/>
      <c r="D742" s="939"/>
      <c r="E742" s="937"/>
      <c r="F742" s="937"/>
      <c r="G742" s="421"/>
      <c r="H742" s="942"/>
      <c r="I742" s="943"/>
      <c r="J742" s="944"/>
      <c r="K742" s="1091"/>
      <c r="L742" s="947"/>
      <c r="M742" s="111">
        <v>1030</v>
      </c>
      <c r="N742" s="111"/>
      <c r="O742" s="111"/>
      <c r="P742" s="111"/>
    </row>
    <row r="743" spans="1:16" ht="12.75" customHeight="1">
      <c r="A743" s="1066">
        <v>364</v>
      </c>
      <c r="B743" s="975" t="s">
        <v>1568</v>
      </c>
      <c r="C743" s="969"/>
      <c r="D743" s="970"/>
      <c r="E743" s="968" t="s">
        <v>1200</v>
      </c>
      <c r="F743" s="968"/>
      <c r="G743" s="426"/>
      <c r="H743" s="973"/>
      <c r="I743" s="973">
        <f>H743</f>
        <v>0</v>
      </c>
      <c r="J743" s="974"/>
      <c r="K743" s="999"/>
      <c r="L743" s="967">
        <f>K743-I743</f>
        <v>0</v>
      </c>
      <c r="M743" s="111"/>
      <c r="N743" s="111"/>
      <c r="O743" s="111"/>
      <c r="P743" s="111"/>
    </row>
    <row r="744" spans="1:16" ht="12.75" customHeight="1" thickBot="1">
      <c r="A744" s="1066"/>
      <c r="B744" s="1159"/>
      <c r="C744" s="913"/>
      <c r="D744" s="659"/>
      <c r="E744" s="878"/>
      <c r="F744" s="878"/>
      <c r="G744" s="427"/>
      <c r="H744" s="915"/>
      <c r="I744" s="982"/>
      <c r="J744" s="917"/>
      <c r="K744" s="988"/>
      <c r="L744" s="950"/>
      <c r="M744" s="111"/>
      <c r="N744" s="111"/>
      <c r="O744" s="111"/>
      <c r="P744" s="111"/>
    </row>
    <row r="745" spans="1:16" ht="12.75" customHeight="1">
      <c r="A745" s="1066">
        <v>365</v>
      </c>
      <c r="B745" s="968" t="s">
        <v>1578</v>
      </c>
      <c r="C745" s="969" t="s">
        <v>1593</v>
      </c>
      <c r="D745" s="970" t="s">
        <v>1592</v>
      </c>
      <c r="E745" s="968" t="s">
        <v>20</v>
      </c>
      <c r="F745" s="968" t="s">
        <v>1576</v>
      </c>
      <c r="G745" s="450"/>
      <c r="H745" s="973">
        <v>11500000</v>
      </c>
      <c r="I745" s="973">
        <f>H745</f>
        <v>11500000</v>
      </c>
      <c r="J745" s="974"/>
      <c r="K745" s="999">
        <v>11500000</v>
      </c>
      <c r="L745" s="967">
        <f>K745-I745</f>
        <v>0</v>
      </c>
      <c r="M745" s="111"/>
      <c r="N745" s="111"/>
      <c r="O745" s="111"/>
      <c r="P745" s="111"/>
    </row>
    <row r="746" spans="1:16" ht="12.75" customHeight="1">
      <c r="A746" s="1066"/>
      <c r="B746" s="865"/>
      <c r="C746" s="904"/>
      <c r="D746" s="658"/>
      <c r="E746" s="865"/>
      <c r="F746" s="865"/>
      <c r="G746" s="451"/>
      <c r="H746" s="905"/>
      <c r="I746" s="906"/>
      <c r="J746" s="910"/>
      <c r="K746" s="916"/>
      <c r="L746" s="946"/>
      <c r="M746" s="111"/>
      <c r="N746" s="111"/>
      <c r="O746" s="111"/>
      <c r="P746" s="111"/>
    </row>
    <row r="747" spans="1:16" ht="12.75" customHeight="1">
      <c r="A747" s="1066">
        <v>366</v>
      </c>
      <c r="B747" s="981"/>
      <c r="C747" s="904" t="s">
        <v>772</v>
      </c>
      <c r="D747" s="658" t="s">
        <v>1587</v>
      </c>
      <c r="E747" s="865" t="s">
        <v>630</v>
      </c>
      <c r="F747" s="865"/>
      <c r="G747" s="444"/>
      <c r="H747" s="905">
        <f>550*10500</f>
        <v>5775000</v>
      </c>
      <c r="I747" s="905">
        <f>H747</f>
        <v>5775000</v>
      </c>
      <c r="J747" s="909"/>
      <c r="K747" s="919">
        <v>5775000</v>
      </c>
      <c r="L747" s="946">
        <f>K747-I747</f>
        <v>0</v>
      </c>
      <c r="M747" s="111"/>
      <c r="N747" s="111"/>
      <c r="O747" s="111"/>
      <c r="P747" s="111"/>
    </row>
    <row r="748" spans="1:16" ht="12.75" customHeight="1">
      <c r="A748" s="1066"/>
      <c r="B748" s="1092"/>
      <c r="C748" s="904"/>
      <c r="D748" s="658"/>
      <c r="E748" s="865"/>
      <c r="F748" s="865"/>
      <c r="G748" s="444"/>
      <c r="H748" s="905"/>
      <c r="I748" s="906"/>
      <c r="J748" s="910"/>
      <c r="K748" s="920"/>
      <c r="L748" s="946"/>
      <c r="M748" s="111"/>
      <c r="N748" s="111"/>
      <c r="O748" s="111"/>
      <c r="P748" s="111"/>
    </row>
    <row r="749" spans="1:16" ht="12.75" customHeight="1">
      <c r="A749" s="1066">
        <v>367</v>
      </c>
      <c r="B749" s="865"/>
      <c r="C749" s="904" t="s">
        <v>773</v>
      </c>
      <c r="D749" s="658" t="s">
        <v>1587</v>
      </c>
      <c r="E749" s="865" t="s">
        <v>142</v>
      </c>
      <c r="F749" s="865" t="s">
        <v>1599</v>
      </c>
      <c r="G749" s="460"/>
      <c r="H749" s="905">
        <v>550000</v>
      </c>
      <c r="I749" s="905">
        <f>H749</f>
        <v>550000</v>
      </c>
      <c r="J749" s="909"/>
      <c r="K749" s="915">
        <v>550000</v>
      </c>
      <c r="L749" s="946">
        <f>K749-I749</f>
        <v>0</v>
      </c>
      <c r="M749" s="111"/>
      <c r="N749" s="111"/>
      <c r="O749" s="111"/>
      <c r="P749" s="111"/>
    </row>
    <row r="750" spans="1:16" ht="12.75" customHeight="1" thickBot="1">
      <c r="A750" s="1066"/>
      <c r="B750" s="937"/>
      <c r="C750" s="938"/>
      <c r="D750" s="939"/>
      <c r="E750" s="937"/>
      <c r="F750" s="937"/>
      <c r="G750" s="462"/>
      <c r="H750" s="942"/>
      <c r="I750" s="943"/>
      <c r="J750" s="944"/>
      <c r="K750" s="1091"/>
      <c r="L750" s="947"/>
      <c r="M750" s="111"/>
      <c r="N750" s="111"/>
      <c r="O750" s="111"/>
      <c r="P750" s="111"/>
    </row>
    <row r="751" spans="1:16" ht="12.75" customHeight="1">
      <c r="A751" s="1066">
        <v>368</v>
      </c>
      <c r="B751" s="968" t="s">
        <v>1579</v>
      </c>
      <c r="C751" s="969" t="s">
        <v>1594</v>
      </c>
      <c r="D751" s="970" t="s">
        <v>1592</v>
      </c>
      <c r="E751" s="968" t="s">
        <v>20</v>
      </c>
      <c r="F751" s="968"/>
      <c r="G751" s="454"/>
      <c r="H751" s="973">
        <v>10700000</v>
      </c>
      <c r="I751" s="973">
        <f>H751</f>
        <v>10700000</v>
      </c>
      <c r="J751" s="974"/>
      <c r="K751" s="1001">
        <v>10700000</v>
      </c>
      <c r="L751" s="967">
        <f>K751-I751</f>
        <v>0</v>
      </c>
      <c r="M751" s="111"/>
      <c r="N751" s="111"/>
      <c r="O751" s="111"/>
      <c r="P751" s="111"/>
    </row>
    <row r="752" spans="1:16" ht="12.75" customHeight="1">
      <c r="A752" s="1066"/>
      <c r="B752" s="865"/>
      <c r="C752" s="904"/>
      <c r="D752" s="658"/>
      <c r="E752" s="865"/>
      <c r="F752" s="865"/>
      <c r="G752" s="455"/>
      <c r="H752" s="905"/>
      <c r="I752" s="906"/>
      <c r="J752" s="910"/>
      <c r="K752" s="920"/>
      <c r="L752" s="946"/>
      <c r="M752" s="111"/>
      <c r="N752" s="111"/>
      <c r="O752" s="111"/>
      <c r="P752" s="111"/>
    </row>
    <row r="753" spans="1:16" ht="12.75" customHeight="1">
      <c r="A753" s="1066">
        <v>369</v>
      </c>
      <c r="B753" s="1039"/>
      <c r="C753" s="904" t="s">
        <v>778</v>
      </c>
      <c r="D753" s="658" t="s">
        <v>1587</v>
      </c>
      <c r="E753" s="865" t="s">
        <v>1595</v>
      </c>
      <c r="F753" s="865"/>
      <c r="G753" s="444"/>
      <c r="H753" s="905">
        <v>550000</v>
      </c>
      <c r="I753" s="905">
        <f>H753</f>
        <v>550000</v>
      </c>
      <c r="J753" s="909"/>
      <c r="K753" s="915">
        <v>550000</v>
      </c>
      <c r="L753" s="946">
        <f>K753-I753</f>
        <v>0</v>
      </c>
      <c r="M753" s="111"/>
      <c r="N753" s="111"/>
      <c r="O753" s="111"/>
      <c r="P753" s="111"/>
    </row>
    <row r="754" spans="1:16" ht="12.75" customHeight="1" thickBot="1">
      <c r="A754" s="1066"/>
      <c r="B754" s="1040"/>
      <c r="C754" s="938"/>
      <c r="D754" s="939"/>
      <c r="E754" s="937"/>
      <c r="F754" s="937"/>
      <c r="G754" s="445"/>
      <c r="H754" s="942"/>
      <c r="I754" s="943"/>
      <c r="J754" s="944"/>
      <c r="K754" s="1091"/>
      <c r="L754" s="947"/>
      <c r="M754" s="111"/>
      <c r="N754" s="111"/>
      <c r="O754" s="111"/>
      <c r="P754" s="111"/>
    </row>
    <row r="755" spans="1:16" ht="12.75" customHeight="1">
      <c r="A755" s="1066">
        <v>370</v>
      </c>
      <c r="B755" s="879" t="s">
        <v>1584</v>
      </c>
      <c r="C755" s="914"/>
      <c r="D755" s="660" t="s">
        <v>1587</v>
      </c>
      <c r="E755" s="879" t="s">
        <v>20</v>
      </c>
      <c r="F755" s="879" t="s">
        <v>1585</v>
      </c>
      <c r="G755" s="458"/>
      <c r="H755" s="916">
        <v>11100000</v>
      </c>
      <c r="I755" s="916">
        <f>H755</f>
        <v>11100000</v>
      </c>
      <c r="J755" s="949"/>
      <c r="K755" s="984">
        <v>11100000</v>
      </c>
      <c r="L755" s="901">
        <f>K755-I755</f>
        <v>0</v>
      </c>
      <c r="M755" s="111"/>
      <c r="N755" s="111"/>
      <c r="O755" s="111"/>
      <c r="P755" s="111"/>
    </row>
    <row r="756" spans="1:16" ht="12.75" customHeight="1">
      <c r="A756" s="1066"/>
      <c r="B756" s="865"/>
      <c r="C756" s="904"/>
      <c r="D756" s="658"/>
      <c r="E756" s="865"/>
      <c r="F756" s="865"/>
      <c r="G756" s="457"/>
      <c r="H756" s="905"/>
      <c r="I756" s="906"/>
      <c r="J756" s="910"/>
      <c r="K756" s="920"/>
      <c r="L756" s="903"/>
      <c r="M756" s="111"/>
      <c r="N756" s="111"/>
      <c r="O756" s="111"/>
      <c r="P756" s="111"/>
    </row>
    <row r="757" spans="1:16" ht="12.75" customHeight="1">
      <c r="A757" s="1066">
        <v>371</v>
      </c>
      <c r="B757" s="1039"/>
      <c r="C757" s="904" t="s">
        <v>782</v>
      </c>
      <c r="D757" s="658" t="s">
        <v>1621</v>
      </c>
      <c r="E757" s="865" t="s">
        <v>1616</v>
      </c>
      <c r="F757" s="865" t="s">
        <v>1610</v>
      </c>
      <c r="G757" s="457"/>
      <c r="H757" s="905">
        <v>5000000</v>
      </c>
      <c r="I757" s="905">
        <f>H757</f>
        <v>5000000</v>
      </c>
      <c r="J757" s="909"/>
      <c r="K757" s="915">
        <v>5000000</v>
      </c>
      <c r="L757" s="903">
        <f>K757-I757</f>
        <v>0</v>
      </c>
      <c r="M757" s="111"/>
      <c r="N757" s="111"/>
      <c r="O757" s="111"/>
      <c r="P757" s="111"/>
    </row>
    <row r="758" spans="1:16" ht="12.75" customHeight="1" thickBot="1">
      <c r="A758" s="1066"/>
      <c r="B758" s="1040"/>
      <c r="C758" s="904"/>
      <c r="D758" s="658"/>
      <c r="E758" s="865"/>
      <c r="F758" s="865"/>
      <c r="G758" s="457"/>
      <c r="H758" s="905"/>
      <c r="I758" s="906"/>
      <c r="J758" s="910"/>
      <c r="K758" s="916"/>
      <c r="L758" s="903"/>
      <c r="M758" s="111"/>
      <c r="N758" s="111"/>
      <c r="O758" s="111"/>
      <c r="P758" s="111"/>
    </row>
    <row r="759" spans="1:16" ht="12.75" customHeight="1">
      <c r="A759" s="1066">
        <v>372</v>
      </c>
      <c r="B759" s="968" t="s">
        <v>1586</v>
      </c>
      <c r="C759" s="969" t="s">
        <v>779</v>
      </c>
      <c r="D759" s="970" t="s">
        <v>1587</v>
      </c>
      <c r="E759" s="968" t="s">
        <v>670</v>
      </c>
      <c r="F759" s="968"/>
      <c r="G759" s="456"/>
      <c r="H759" s="973">
        <v>532000</v>
      </c>
      <c r="I759" s="973">
        <f>H759</f>
        <v>532000</v>
      </c>
      <c r="J759" s="974"/>
      <c r="K759" s="999">
        <v>532000</v>
      </c>
      <c r="L759" s="967">
        <f>K759-I759</f>
        <v>0</v>
      </c>
      <c r="M759" s="111"/>
      <c r="N759" s="111"/>
      <c r="O759" s="111"/>
      <c r="P759" s="111"/>
    </row>
    <row r="760" spans="1:16" ht="12.75" customHeight="1">
      <c r="A760" s="1066"/>
      <c r="B760" s="865"/>
      <c r="C760" s="904"/>
      <c r="D760" s="658"/>
      <c r="E760" s="865"/>
      <c r="F760" s="865"/>
      <c r="G760" s="457"/>
      <c r="H760" s="905"/>
      <c r="I760" s="906"/>
      <c r="J760" s="910"/>
      <c r="K760" s="916"/>
      <c r="L760" s="946"/>
      <c r="M760" s="111"/>
      <c r="N760" s="111"/>
      <c r="O760" s="111"/>
      <c r="P760" s="111"/>
    </row>
    <row r="761" spans="1:16" ht="12.75" customHeight="1">
      <c r="A761" s="1066">
        <v>373</v>
      </c>
      <c r="B761" s="981"/>
      <c r="C761" s="904"/>
      <c r="D761" s="658"/>
      <c r="E761" s="865"/>
      <c r="F761" s="865"/>
      <c r="G761" s="457"/>
      <c r="H761" s="905"/>
      <c r="I761" s="905">
        <f>H761</f>
        <v>0</v>
      </c>
      <c r="J761" s="909"/>
      <c r="K761" s="919"/>
      <c r="L761" s="946">
        <f>K761-I761</f>
        <v>0</v>
      </c>
      <c r="M761" s="111"/>
      <c r="N761" s="111"/>
      <c r="O761" s="111"/>
      <c r="P761" s="111"/>
    </row>
    <row r="762" spans="1:16" ht="12.75" customHeight="1" thickBot="1">
      <c r="A762" s="1066"/>
      <c r="B762" s="1082"/>
      <c r="C762" s="938"/>
      <c r="D762" s="939"/>
      <c r="E762" s="937"/>
      <c r="F762" s="937"/>
      <c r="G762" s="459"/>
      <c r="H762" s="942"/>
      <c r="I762" s="943"/>
      <c r="J762" s="944"/>
      <c r="K762" s="1041"/>
      <c r="L762" s="947"/>
      <c r="M762" s="111"/>
      <c r="N762" s="111"/>
      <c r="O762" s="111"/>
      <c r="P762" s="111"/>
    </row>
    <row r="763" spans="1:16" ht="12.75" customHeight="1">
      <c r="A763" s="1066">
        <v>374</v>
      </c>
      <c r="B763" s="879" t="s">
        <v>1596</v>
      </c>
      <c r="C763" s="914"/>
      <c r="D763" s="660" t="s">
        <v>1600</v>
      </c>
      <c r="E763" s="879" t="s">
        <v>20</v>
      </c>
      <c r="F763" s="879"/>
      <c r="G763" s="458"/>
      <c r="H763" s="916">
        <v>10700000</v>
      </c>
      <c r="I763" s="916">
        <f>H763</f>
        <v>10700000</v>
      </c>
      <c r="J763" s="949"/>
      <c r="K763" s="988">
        <v>10700000</v>
      </c>
      <c r="L763" s="901">
        <f>K763-I763</f>
        <v>0</v>
      </c>
      <c r="M763" s="111"/>
      <c r="N763" s="111"/>
      <c r="O763" s="111"/>
      <c r="P763" s="111"/>
    </row>
    <row r="764" spans="1:16" ht="12.75" customHeight="1">
      <c r="A764" s="1066"/>
      <c r="B764" s="865"/>
      <c r="C764" s="904"/>
      <c r="D764" s="658"/>
      <c r="E764" s="865"/>
      <c r="F764" s="865"/>
      <c r="G764" s="457"/>
      <c r="H764" s="905"/>
      <c r="I764" s="906"/>
      <c r="J764" s="910"/>
      <c r="K764" s="916"/>
      <c r="L764" s="903"/>
      <c r="M764" s="111"/>
      <c r="N764" s="111"/>
      <c r="O764" s="111"/>
      <c r="P764" s="111"/>
    </row>
    <row r="765" spans="1:16" ht="12.75" customHeight="1">
      <c r="A765" s="1066">
        <v>375</v>
      </c>
      <c r="B765" s="981"/>
      <c r="C765" s="904" t="s">
        <v>799</v>
      </c>
      <c r="D765" s="658" t="s">
        <v>1612</v>
      </c>
      <c r="E765" s="865" t="s">
        <v>874</v>
      </c>
      <c r="F765" s="865"/>
      <c r="G765" s="438"/>
      <c r="H765" s="905">
        <v>770000</v>
      </c>
      <c r="I765" s="905">
        <f>H765</f>
        <v>770000</v>
      </c>
      <c r="J765" s="909"/>
      <c r="K765" s="919">
        <v>770000</v>
      </c>
      <c r="L765" s="903">
        <f>K765-I765</f>
        <v>0</v>
      </c>
      <c r="M765" s="111"/>
      <c r="N765" s="111"/>
      <c r="O765" s="111"/>
      <c r="P765" s="111"/>
    </row>
    <row r="766" spans="1:16" ht="12.75" customHeight="1">
      <c r="A766" s="1066"/>
      <c r="B766" s="1092"/>
      <c r="C766" s="904"/>
      <c r="D766" s="658"/>
      <c r="E766" s="865"/>
      <c r="F766" s="865"/>
      <c r="G766" s="438"/>
      <c r="H766" s="905"/>
      <c r="I766" s="906"/>
      <c r="J766" s="910"/>
      <c r="K766" s="920"/>
      <c r="L766" s="903"/>
      <c r="M766" s="111"/>
      <c r="N766" s="111"/>
      <c r="O766" s="111"/>
      <c r="P766" s="111"/>
    </row>
    <row r="767" spans="1:16">
      <c r="A767" s="1066">
        <v>376</v>
      </c>
      <c r="B767" s="1039"/>
      <c r="C767" s="904" t="s">
        <v>800</v>
      </c>
      <c r="D767" s="658" t="s">
        <v>1612</v>
      </c>
      <c r="E767" s="865" t="s">
        <v>1611</v>
      </c>
      <c r="F767" s="865"/>
      <c r="G767" s="420"/>
      <c r="H767" s="905">
        <v>1100000</v>
      </c>
      <c r="I767" s="905">
        <f>H767</f>
        <v>1100000</v>
      </c>
      <c r="J767" s="909"/>
      <c r="K767" s="919">
        <v>1100000</v>
      </c>
      <c r="L767" s="903">
        <f>K767-I767</f>
        <v>0</v>
      </c>
    </row>
    <row r="768" spans="1:16">
      <c r="A768" s="1066"/>
      <c r="B768" s="1039"/>
      <c r="C768" s="904"/>
      <c r="D768" s="658"/>
      <c r="E768" s="865"/>
      <c r="F768" s="865"/>
      <c r="G768" s="420"/>
      <c r="H768" s="905"/>
      <c r="I768" s="906"/>
      <c r="J768" s="910"/>
      <c r="K768" s="920"/>
      <c r="L768" s="903"/>
    </row>
    <row r="769" spans="1:16" ht="12.75" customHeight="1">
      <c r="A769" s="1066">
        <v>377</v>
      </c>
      <c r="B769" s="1122"/>
      <c r="C769" s="914" t="s">
        <v>801</v>
      </c>
      <c r="D769" s="660" t="s">
        <v>1612</v>
      </c>
      <c r="E769" s="879" t="s">
        <v>142</v>
      </c>
      <c r="F769" s="879"/>
      <c r="G769" s="461"/>
      <c r="H769" s="916">
        <v>550000</v>
      </c>
      <c r="I769" s="916">
        <f>H769</f>
        <v>550000</v>
      </c>
      <c r="J769" s="949"/>
      <c r="K769" s="988">
        <v>550000</v>
      </c>
      <c r="L769" s="951">
        <f>K769-I769</f>
        <v>0</v>
      </c>
      <c r="M769" s="111"/>
      <c r="N769" s="111"/>
      <c r="O769" s="111"/>
      <c r="P769" s="111"/>
    </row>
    <row r="770" spans="1:16" ht="12.75" customHeight="1" thickBot="1">
      <c r="A770" s="1066"/>
      <c r="B770" s="976"/>
      <c r="C770" s="904"/>
      <c r="D770" s="658"/>
      <c r="E770" s="865"/>
      <c r="F770" s="865"/>
      <c r="G770" s="460"/>
      <c r="H770" s="905"/>
      <c r="I770" s="906"/>
      <c r="J770" s="910"/>
      <c r="K770" s="916"/>
      <c r="L770" s="946"/>
      <c r="M770" s="111"/>
      <c r="N770" s="111"/>
      <c r="O770" s="111"/>
      <c r="P770" s="111"/>
    </row>
    <row r="771" spans="1:16" ht="12.75" customHeight="1">
      <c r="A771" s="1066">
        <v>378</v>
      </c>
      <c r="B771" s="975" t="s">
        <v>1603</v>
      </c>
      <c r="C771" s="969"/>
      <c r="D771" s="970"/>
      <c r="E771" s="968" t="s">
        <v>1437</v>
      </c>
      <c r="F771" s="968"/>
      <c r="G771" s="410"/>
      <c r="H771" s="973"/>
      <c r="I771" s="973"/>
      <c r="J771" s="974"/>
      <c r="K771" s="999"/>
      <c r="L771" s="967"/>
      <c r="M771" s="111"/>
      <c r="N771" s="111"/>
      <c r="O771" s="111"/>
      <c r="P771" s="111"/>
    </row>
    <row r="772" spans="1:16" ht="12.75" customHeight="1" thickBot="1">
      <c r="A772" s="1066"/>
      <c r="B772" s="1159"/>
      <c r="C772" s="913"/>
      <c r="D772" s="659"/>
      <c r="E772" s="878"/>
      <c r="F772" s="878"/>
      <c r="G772" s="413"/>
      <c r="H772" s="915"/>
      <c r="I772" s="982"/>
      <c r="J772" s="917"/>
      <c r="K772" s="988"/>
      <c r="L772" s="950"/>
      <c r="M772" s="111"/>
      <c r="N772" s="111"/>
      <c r="O772" s="111"/>
      <c r="P772" s="111"/>
    </row>
    <row r="773" spans="1:16" ht="12.75" customHeight="1">
      <c r="A773" s="1066">
        <v>379</v>
      </c>
      <c r="B773" s="975" t="s">
        <v>1618</v>
      </c>
      <c r="C773" s="969" t="s">
        <v>807</v>
      </c>
      <c r="D773" s="970" t="s">
        <v>1612</v>
      </c>
      <c r="E773" s="968" t="s">
        <v>1604</v>
      </c>
      <c r="F773" s="968"/>
      <c r="G773" s="430"/>
      <c r="H773" s="973">
        <v>1935000</v>
      </c>
      <c r="I773" s="973">
        <f>H773</f>
        <v>1935000</v>
      </c>
      <c r="J773" s="974"/>
      <c r="K773" s="999">
        <v>1935000</v>
      </c>
      <c r="L773" s="967">
        <f>K773-I773</f>
        <v>0</v>
      </c>
      <c r="M773" s="111"/>
      <c r="N773" s="111"/>
      <c r="O773" s="111"/>
      <c r="P773" s="111"/>
    </row>
    <row r="774" spans="1:16" ht="12.75" customHeight="1">
      <c r="A774" s="1066"/>
      <c r="B774" s="976"/>
      <c r="C774" s="904"/>
      <c r="D774" s="658"/>
      <c r="E774" s="865"/>
      <c r="F774" s="865"/>
      <c r="G774" s="428"/>
      <c r="H774" s="905"/>
      <c r="I774" s="906"/>
      <c r="J774" s="910"/>
      <c r="K774" s="916"/>
      <c r="L774" s="946"/>
      <c r="M774" s="111"/>
      <c r="N774" s="111"/>
      <c r="O774" s="111"/>
      <c r="P774" s="111"/>
    </row>
    <row r="775" spans="1:16" ht="12.75" customHeight="1">
      <c r="A775" s="1066">
        <v>380</v>
      </c>
      <c r="B775" s="981"/>
      <c r="C775" s="904" t="s">
        <v>810</v>
      </c>
      <c r="D775" s="658" t="s">
        <v>1612</v>
      </c>
      <c r="E775" s="865" t="s">
        <v>308</v>
      </c>
      <c r="F775" s="865"/>
      <c r="G775" s="509"/>
      <c r="H775" s="905">
        <v>2190</v>
      </c>
      <c r="I775" s="905">
        <f>J775*H775</f>
        <v>611010</v>
      </c>
      <c r="J775" s="909">
        <v>279</v>
      </c>
      <c r="K775" s="919">
        <v>611010</v>
      </c>
      <c r="L775" s="946">
        <f>K775-I775</f>
        <v>0</v>
      </c>
      <c r="M775" s="111"/>
      <c r="N775" s="111"/>
      <c r="O775" s="111"/>
      <c r="P775" s="111"/>
    </row>
    <row r="776" spans="1:16" ht="12.75" customHeight="1" thickBot="1">
      <c r="A776" s="1066"/>
      <c r="B776" s="1078"/>
      <c r="C776" s="913"/>
      <c r="D776" s="659"/>
      <c r="E776" s="878"/>
      <c r="F776" s="878"/>
      <c r="G776" s="511"/>
      <c r="H776" s="915"/>
      <c r="I776" s="982"/>
      <c r="J776" s="917"/>
      <c r="K776" s="984"/>
      <c r="L776" s="950"/>
      <c r="M776" s="111"/>
      <c r="N776" s="111"/>
      <c r="O776" s="111"/>
      <c r="P776" s="111"/>
    </row>
    <row r="777" spans="1:16" ht="12.75" customHeight="1">
      <c r="A777" s="1066">
        <v>381</v>
      </c>
      <c r="B777" s="968" t="s">
        <v>1605</v>
      </c>
      <c r="C777" s="969" t="s">
        <v>6</v>
      </c>
      <c r="D777" s="970" t="s">
        <v>1612</v>
      </c>
      <c r="E777" s="968" t="s">
        <v>1606</v>
      </c>
      <c r="F777" s="968"/>
      <c r="G777" s="456"/>
      <c r="H777" s="973">
        <v>10000000</v>
      </c>
      <c r="I777" s="973">
        <f>H777</f>
        <v>10000000</v>
      </c>
      <c r="J777" s="974"/>
      <c r="K777" s="999">
        <v>10000000</v>
      </c>
      <c r="L777" s="967">
        <f>K777-I777</f>
        <v>0</v>
      </c>
      <c r="M777" s="111" t="s">
        <v>1640</v>
      </c>
      <c r="N777" s="111"/>
      <c r="O777" s="111"/>
      <c r="P777" s="111"/>
    </row>
    <row r="778" spans="1:16" ht="12.75" customHeight="1">
      <c r="A778" s="1066"/>
      <c r="B778" s="865"/>
      <c r="C778" s="904"/>
      <c r="D778" s="658"/>
      <c r="E778" s="865"/>
      <c r="F778" s="865"/>
      <c r="G778" s="457"/>
      <c r="H778" s="905"/>
      <c r="I778" s="906"/>
      <c r="J778" s="910"/>
      <c r="K778" s="916"/>
      <c r="L778" s="946"/>
      <c r="M778" s="111"/>
      <c r="N778" s="111"/>
      <c r="O778" s="111"/>
      <c r="P778" s="111"/>
    </row>
    <row r="779" spans="1:16" ht="12.75" customHeight="1">
      <c r="A779" s="1066">
        <v>382</v>
      </c>
      <c r="B779" s="1039"/>
      <c r="C779" s="904" t="s">
        <v>811</v>
      </c>
      <c r="D779" s="658" t="s">
        <v>1615</v>
      </c>
      <c r="E779" s="865" t="s">
        <v>846</v>
      </c>
      <c r="F779" s="865"/>
      <c r="G779" s="438"/>
      <c r="H779" s="905">
        <v>4500000</v>
      </c>
      <c r="I779" s="905">
        <f>H779</f>
        <v>4500000</v>
      </c>
      <c r="J779" s="909"/>
      <c r="K779" s="919">
        <v>4500000</v>
      </c>
      <c r="L779" s="951">
        <f>K779-I779</f>
        <v>0</v>
      </c>
    </row>
    <row r="780" spans="1:16" ht="12.75" customHeight="1">
      <c r="A780" s="1066"/>
      <c r="B780" s="1039"/>
      <c r="C780" s="904"/>
      <c r="D780" s="658"/>
      <c r="E780" s="865"/>
      <c r="F780" s="865"/>
      <c r="G780" s="438"/>
      <c r="H780" s="905"/>
      <c r="I780" s="906"/>
      <c r="J780" s="910"/>
      <c r="K780" s="920"/>
      <c r="L780" s="946"/>
    </row>
    <row r="781" spans="1:16" ht="12.75" customHeight="1">
      <c r="A781" s="1066">
        <v>383</v>
      </c>
      <c r="B781" s="1058"/>
      <c r="C781" s="904" t="s">
        <v>812</v>
      </c>
      <c r="D781" s="658" t="s">
        <v>1615</v>
      </c>
      <c r="E781" s="865" t="s">
        <v>303</v>
      </c>
      <c r="F781" s="865"/>
      <c r="G781" s="465"/>
      <c r="H781" s="905">
        <v>3700000</v>
      </c>
      <c r="I781" s="905">
        <f>H781</f>
        <v>3700000</v>
      </c>
      <c r="J781" s="909"/>
      <c r="K781" s="919">
        <v>3700000</v>
      </c>
      <c r="L781" s="946">
        <f>K781-I781</f>
        <v>0</v>
      </c>
      <c r="M781" s="111"/>
      <c r="N781" s="111"/>
      <c r="O781" s="111"/>
      <c r="P781" s="111"/>
    </row>
    <row r="782" spans="1:16" ht="13.5" customHeight="1" thickBot="1">
      <c r="A782" s="1066"/>
      <c r="B782" s="1040"/>
      <c r="C782" s="938"/>
      <c r="D782" s="939"/>
      <c r="E782" s="937"/>
      <c r="F782" s="937"/>
      <c r="G782" s="467"/>
      <c r="H782" s="942"/>
      <c r="I782" s="943"/>
      <c r="J782" s="944"/>
      <c r="K782" s="1041"/>
      <c r="L782" s="947"/>
      <c r="M782" s="111"/>
      <c r="N782" s="111"/>
      <c r="O782" s="111"/>
      <c r="P782" s="111"/>
    </row>
    <row r="783" spans="1:16">
      <c r="A783" s="1066">
        <v>384</v>
      </c>
      <c r="B783" s="879" t="s">
        <v>1607</v>
      </c>
      <c r="C783" s="914" t="s">
        <v>1626</v>
      </c>
      <c r="D783" s="660" t="s">
        <v>1625</v>
      </c>
      <c r="E783" s="879" t="s">
        <v>20</v>
      </c>
      <c r="F783" s="879" t="s">
        <v>1585</v>
      </c>
      <c r="G783" s="461"/>
      <c r="H783" s="916">
        <v>11100000</v>
      </c>
      <c r="I783" s="916">
        <f>H783</f>
        <v>11100000</v>
      </c>
      <c r="J783" s="949"/>
      <c r="K783" s="988">
        <v>11100000</v>
      </c>
      <c r="L783" s="901">
        <f>K783-I783</f>
        <v>0</v>
      </c>
    </row>
    <row r="784" spans="1:16">
      <c r="A784" s="1066"/>
      <c r="B784" s="865"/>
      <c r="C784" s="904"/>
      <c r="D784" s="658"/>
      <c r="E784" s="865"/>
      <c r="F784" s="865"/>
      <c r="G784" s="460"/>
      <c r="H784" s="905"/>
      <c r="I784" s="906"/>
      <c r="J784" s="910"/>
      <c r="K784" s="916"/>
      <c r="L784" s="903"/>
    </row>
    <row r="785" spans="1:16" ht="12.75" customHeight="1">
      <c r="A785" s="1066">
        <v>385</v>
      </c>
      <c r="B785" s="981"/>
      <c r="C785" s="904" t="s">
        <v>813</v>
      </c>
      <c r="D785" s="658" t="s">
        <v>1628</v>
      </c>
      <c r="E785" s="865" t="s">
        <v>40</v>
      </c>
      <c r="F785" s="865" t="s">
        <v>1620</v>
      </c>
      <c r="G785" s="470"/>
      <c r="H785" s="905">
        <v>2200000</v>
      </c>
      <c r="I785" s="916">
        <f>H785</f>
        <v>2200000</v>
      </c>
      <c r="J785" s="909"/>
      <c r="K785" s="919">
        <v>2200000</v>
      </c>
      <c r="L785" s="901">
        <f>K785-I785</f>
        <v>0</v>
      </c>
    </row>
    <row r="786" spans="1:16" ht="12.75" customHeight="1">
      <c r="A786" s="1066"/>
      <c r="B786" s="1092"/>
      <c r="C786" s="904"/>
      <c r="D786" s="658"/>
      <c r="E786" s="865"/>
      <c r="F786" s="865"/>
      <c r="G786" s="470"/>
      <c r="H786" s="905"/>
      <c r="I786" s="906"/>
      <c r="J786" s="910"/>
      <c r="K786" s="920"/>
      <c r="L786" s="903"/>
    </row>
    <row r="787" spans="1:16" ht="12.75" customHeight="1">
      <c r="A787" s="1066">
        <v>386</v>
      </c>
      <c r="B787" s="865"/>
      <c r="C787" s="904" t="s">
        <v>820</v>
      </c>
      <c r="D787" s="658" t="s">
        <v>1615</v>
      </c>
      <c r="E787" s="865" t="s">
        <v>1627</v>
      </c>
      <c r="F787" s="865" t="s">
        <v>1023</v>
      </c>
      <c r="G787" s="465"/>
      <c r="H787" s="905">
        <v>2500000</v>
      </c>
      <c r="I787" s="905">
        <f>H787</f>
        <v>2500000</v>
      </c>
      <c r="J787" s="909"/>
      <c r="K787" s="915">
        <v>2500000</v>
      </c>
      <c r="L787" s="903">
        <f>K787-I787</f>
        <v>0</v>
      </c>
    </row>
    <row r="788" spans="1:16" ht="12.75" customHeight="1" thickBot="1">
      <c r="A788" s="1066"/>
      <c r="B788" s="937"/>
      <c r="C788" s="938"/>
      <c r="D788" s="939"/>
      <c r="E788" s="937"/>
      <c r="F788" s="937"/>
      <c r="G788" s="467"/>
      <c r="H788" s="942"/>
      <c r="I788" s="943"/>
      <c r="J788" s="944"/>
      <c r="K788" s="1091"/>
      <c r="L788" s="1178"/>
    </row>
    <row r="789" spans="1:16" ht="12.75" customHeight="1">
      <c r="A789" s="1066">
        <v>387</v>
      </c>
      <c r="B789" s="865" t="s">
        <v>1608</v>
      </c>
      <c r="C789" s="904" t="s">
        <v>1632</v>
      </c>
      <c r="D789" s="658" t="s">
        <v>1631</v>
      </c>
      <c r="E789" s="865" t="s">
        <v>20</v>
      </c>
      <c r="F789" s="865" t="s">
        <v>1609</v>
      </c>
      <c r="G789" s="460"/>
      <c r="H789" s="905">
        <v>10700000</v>
      </c>
      <c r="I789" s="916">
        <f>H789</f>
        <v>10700000</v>
      </c>
      <c r="J789" s="909"/>
      <c r="K789" s="919">
        <v>10700000</v>
      </c>
      <c r="L789" s="901">
        <f>K789-I789</f>
        <v>0</v>
      </c>
      <c r="M789" s="111"/>
      <c r="N789" s="111"/>
      <c r="O789" s="111"/>
      <c r="P789" s="111"/>
    </row>
    <row r="790" spans="1:16" ht="12.75" customHeight="1">
      <c r="A790" s="1066"/>
      <c r="B790" s="865"/>
      <c r="C790" s="904"/>
      <c r="D790" s="658"/>
      <c r="E790" s="865"/>
      <c r="F790" s="865"/>
      <c r="G790" s="460"/>
      <c r="H790" s="905"/>
      <c r="I790" s="906"/>
      <c r="J790" s="910"/>
      <c r="K790" s="920"/>
      <c r="L790" s="903"/>
      <c r="M790" s="111"/>
      <c r="N790" s="111"/>
      <c r="O790" s="111"/>
      <c r="P790" s="111"/>
    </row>
    <row r="791" spans="1:16" ht="12.75" customHeight="1">
      <c r="A791" s="1066">
        <v>388</v>
      </c>
      <c r="B791" s="981"/>
      <c r="C791" s="904" t="s">
        <v>821</v>
      </c>
      <c r="D791" s="658" t="s">
        <v>1629</v>
      </c>
      <c r="E791" s="865" t="s">
        <v>142</v>
      </c>
      <c r="F791" s="865">
        <v>460</v>
      </c>
      <c r="G791" s="460"/>
      <c r="H791" s="905">
        <v>550000</v>
      </c>
      <c r="I791" s="916">
        <f>H791</f>
        <v>550000</v>
      </c>
      <c r="J791" s="909"/>
      <c r="K791" s="915">
        <v>550000</v>
      </c>
      <c r="L791" s="903">
        <f>K791-I791</f>
        <v>0</v>
      </c>
      <c r="M791" s="111"/>
      <c r="N791" s="111"/>
      <c r="O791" s="111"/>
      <c r="P791" s="111"/>
    </row>
    <row r="792" spans="1:16" ht="12.75" customHeight="1">
      <c r="A792" s="1066"/>
      <c r="B792" s="1092"/>
      <c r="C792" s="904"/>
      <c r="D792" s="658"/>
      <c r="E792" s="865"/>
      <c r="F792" s="865"/>
      <c r="G792" s="460"/>
      <c r="H792" s="905"/>
      <c r="I792" s="906"/>
      <c r="J792" s="910"/>
      <c r="K792" s="916"/>
      <c r="L792" s="903"/>
      <c r="M792" s="111"/>
      <c r="N792" s="111"/>
      <c r="O792" s="111"/>
      <c r="P792" s="111"/>
    </row>
    <row r="793" spans="1:16" ht="12.75" customHeight="1">
      <c r="A793" s="1066">
        <v>389</v>
      </c>
      <c r="B793" s="865"/>
      <c r="C793" s="904" t="s">
        <v>824</v>
      </c>
      <c r="D793" s="658" t="s">
        <v>1629</v>
      </c>
      <c r="E793" s="865" t="s">
        <v>1633</v>
      </c>
      <c r="F793" s="865"/>
      <c r="G793" s="474"/>
      <c r="H793" s="905">
        <v>4000000</v>
      </c>
      <c r="I793" s="916">
        <f>H793</f>
        <v>4000000</v>
      </c>
      <c r="J793" s="909"/>
      <c r="K793" s="919">
        <v>4000000</v>
      </c>
      <c r="L793" s="903">
        <f>K793-I793</f>
        <v>0</v>
      </c>
      <c r="M793" s="111"/>
      <c r="N793" s="111"/>
      <c r="O793" s="111"/>
      <c r="P793" s="111"/>
    </row>
    <row r="794" spans="1:16" ht="12.75" customHeight="1">
      <c r="A794" s="1066"/>
      <c r="B794" s="865"/>
      <c r="C794" s="913"/>
      <c r="D794" s="659"/>
      <c r="E794" s="878"/>
      <c r="F794" s="878"/>
      <c r="G794" s="475"/>
      <c r="H794" s="915"/>
      <c r="I794" s="906"/>
      <c r="J794" s="917"/>
      <c r="K794" s="984"/>
      <c r="L794" s="903"/>
      <c r="M794" s="111"/>
      <c r="N794" s="111"/>
      <c r="O794" s="111"/>
      <c r="P794" s="111"/>
    </row>
    <row r="795" spans="1:16" ht="12.75" customHeight="1">
      <c r="A795" s="1066">
        <v>390</v>
      </c>
      <c r="B795" s="1058"/>
      <c r="C795" s="904" t="s">
        <v>826</v>
      </c>
      <c r="D795" s="658" t="s">
        <v>1630</v>
      </c>
      <c r="E795" s="865" t="s">
        <v>40</v>
      </c>
      <c r="F795" s="865"/>
      <c r="G795" s="465"/>
      <c r="H795" s="905">
        <v>1400000</v>
      </c>
      <c r="I795" s="916">
        <f>H795</f>
        <v>1400000</v>
      </c>
      <c r="J795" s="909"/>
      <c r="K795" s="919">
        <v>1400000</v>
      </c>
      <c r="L795" s="901">
        <f>K795-I795</f>
        <v>0</v>
      </c>
      <c r="M795" s="111"/>
      <c r="N795" s="111"/>
      <c r="O795" s="111"/>
      <c r="P795" s="111"/>
    </row>
    <row r="796" spans="1:16" ht="12.75" customHeight="1" thickBot="1">
      <c r="A796" s="1066"/>
      <c r="B796" s="1039"/>
      <c r="C796" s="904"/>
      <c r="D796" s="658"/>
      <c r="E796" s="865"/>
      <c r="F796" s="865"/>
      <c r="G796" s="465"/>
      <c r="H796" s="905"/>
      <c r="I796" s="906"/>
      <c r="J796" s="910"/>
      <c r="K796" s="920"/>
      <c r="L796" s="903"/>
      <c r="M796" s="111"/>
      <c r="N796" s="111"/>
      <c r="O796" s="111"/>
      <c r="P796" s="111"/>
    </row>
    <row r="797" spans="1:16" ht="12.75" customHeight="1">
      <c r="A797" s="1066">
        <v>391</v>
      </c>
      <c r="B797" s="968" t="s">
        <v>1613</v>
      </c>
      <c r="C797" s="969" t="s">
        <v>1634</v>
      </c>
      <c r="D797" s="970" t="s">
        <v>1615</v>
      </c>
      <c r="E797" s="968" t="s">
        <v>20</v>
      </c>
      <c r="F797" s="968"/>
      <c r="G797" s="464"/>
      <c r="H797" s="973">
        <v>10700000</v>
      </c>
      <c r="I797" s="973">
        <f>H797</f>
        <v>10700000</v>
      </c>
      <c r="J797" s="974"/>
      <c r="K797" s="999">
        <v>10700000</v>
      </c>
      <c r="L797" s="967">
        <f>K797-I797</f>
        <v>0</v>
      </c>
      <c r="M797" s="111"/>
      <c r="N797" s="111"/>
      <c r="O797" s="111"/>
      <c r="P797" s="111"/>
    </row>
    <row r="798" spans="1:16" ht="12.75" customHeight="1">
      <c r="A798" s="1066"/>
      <c r="B798" s="865"/>
      <c r="C798" s="904"/>
      <c r="D798" s="658"/>
      <c r="E798" s="865"/>
      <c r="F798" s="865"/>
      <c r="G798" s="465"/>
      <c r="H798" s="905"/>
      <c r="I798" s="906"/>
      <c r="J798" s="910"/>
      <c r="K798" s="916"/>
      <c r="L798" s="946"/>
      <c r="M798" s="111"/>
      <c r="N798" s="111"/>
      <c r="O798" s="111"/>
      <c r="P798" s="111"/>
    </row>
    <row r="799" spans="1:16" ht="12.75" customHeight="1">
      <c r="A799" s="1066">
        <v>392</v>
      </c>
      <c r="B799" s="1039"/>
      <c r="C799" s="904" t="s">
        <v>833</v>
      </c>
      <c r="D799" s="658" t="s">
        <v>1629</v>
      </c>
      <c r="E799" s="865" t="s">
        <v>1636</v>
      </c>
      <c r="F799" s="865"/>
      <c r="G799" s="441"/>
      <c r="H799" s="905">
        <v>4240000</v>
      </c>
      <c r="I799" s="905">
        <f>H799</f>
        <v>4240000</v>
      </c>
      <c r="J799" s="909"/>
      <c r="K799" s="919">
        <v>4240000</v>
      </c>
      <c r="L799" s="946">
        <f>K799-I799</f>
        <v>0</v>
      </c>
      <c r="M799" s="111"/>
      <c r="N799" s="111"/>
      <c r="O799" s="111"/>
      <c r="P799" s="111"/>
    </row>
    <row r="800" spans="1:16" ht="12.75" customHeight="1" thickBot="1">
      <c r="A800" s="1066"/>
      <c r="B800" s="1040"/>
      <c r="C800" s="938"/>
      <c r="D800" s="939"/>
      <c r="E800" s="937"/>
      <c r="F800" s="937"/>
      <c r="G800" s="442"/>
      <c r="H800" s="942"/>
      <c r="I800" s="943"/>
      <c r="J800" s="944"/>
      <c r="K800" s="1041"/>
      <c r="L800" s="947"/>
      <c r="M800" s="111"/>
      <c r="N800" s="111"/>
      <c r="O800" s="111"/>
      <c r="P800" s="111"/>
    </row>
    <row r="801" spans="1:16" ht="12.75" customHeight="1">
      <c r="A801" s="1066">
        <v>393</v>
      </c>
      <c r="B801" s="879" t="s">
        <v>1619</v>
      </c>
      <c r="C801" s="914"/>
      <c r="D801" s="1020">
        <v>41905</v>
      </c>
      <c r="E801" s="879" t="s">
        <v>20</v>
      </c>
      <c r="F801" s="879" t="s">
        <v>1617</v>
      </c>
      <c r="G801" s="466"/>
      <c r="H801" s="916">
        <v>11500000</v>
      </c>
      <c r="I801" s="916">
        <f>H801</f>
        <v>11500000</v>
      </c>
      <c r="J801" s="949"/>
      <c r="K801" s="988">
        <v>11500000</v>
      </c>
      <c r="L801" s="901">
        <f>K801-I801</f>
        <v>0</v>
      </c>
      <c r="M801" s="111">
        <v>10</v>
      </c>
      <c r="N801" s="111"/>
      <c r="O801" s="111"/>
      <c r="P801" s="111"/>
    </row>
    <row r="802" spans="1:16" ht="12.75" customHeight="1">
      <c r="A802" s="1066"/>
      <c r="B802" s="865"/>
      <c r="C802" s="904"/>
      <c r="D802" s="865"/>
      <c r="E802" s="865"/>
      <c r="F802" s="865"/>
      <c r="G802" s="465"/>
      <c r="H802" s="905"/>
      <c r="I802" s="906"/>
      <c r="J802" s="910"/>
      <c r="K802" s="916"/>
      <c r="L802" s="903"/>
      <c r="M802" s="111"/>
      <c r="N802" s="111"/>
      <c r="O802" s="111"/>
      <c r="P802" s="111"/>
    </row>
    <row r="803" spans="1:16" ht="12.75" customHeight="1">
      <c r="A803" s="1066">
        <v>394</v>
      </c>
      <c r="B803" s="1042"/>
      <c r="C803" s="913" t="s">
        <v>841</v>
      </c>
      <c r="D803" s="659" t="s">
        <v>1648</v>
      </c>
      <c r="E803" s="878" t="s">
        <v>1655</v>
      </c>
      <c r="F803" s="878" t="s">
        <v>1639</v>
      </c>
      <c r="G803" s="457"/>
      <c r="H803" s="915">
        <v>2000000</v>
      </c>
      <c r="I803" s="915">
        <f>H803</f>
        <v>2000000</v>
      </c>
      <c r="J803" s="948"/>
      <c r="K803" s="919">
        <v>2000000</v>
      </c>
      <c r="L803" s="900">
        <f>K803-I803</f>
        <v>0</v>
      </c>
    </row>
    <row r="804" spans="1:16" ht="12.75" customHeight="1">
      <c r="A804" s="1066"/>
      <c r="B804" s="1058"/>
      <c r="C804" s="914"/>
      <c r="D804" s="660"/>
      <c r="E804" s="879"/>
      <c r="F804" s="879"/>
      <c r="G804" s="457"/>
      <c r="H804" s="916"/>
      <c r="I804" s="916"/>
      <c r="J804" s="949"/>
      <c r="K804" s="920"/>
      <c r="L804" s="901"/>
    </row>
    <row r="805" spans="1:16" ht="12.75" customHeight="1">
      <c r="A805" s="1066">
        <v>395</v>
      </c>
      <c r="B805" s="1058"/>
      <c r="C805" s="904" t="s">
        <v>842</v>
      </c>
      <c r="D805" s="658" t="s">
        <v>1641</v>
      </c>
      <c r="E805" s="865" t="s">
        <v>1645</v>
      </c>
      <c r="F805" s="865"/>
      <c r="G805" s="468"/>
      <c r="H805" s="905">
        <v>2200000</v>
      </c>
      <c r="I805" s="916">
        <f>H805</f>
        <v>2200000</v>
      </c>
      <c r="J805" s="909"/>
      <c r="K805" s="919">
        <v>2200000</v>
      </c>
      <c r="L805" s="901">
        <f>K805-I805</f>
        <v>0</v>
      </c>
      <c r="M805" s="111"/>
      <c r="N805" s="111"/>
      <c r="O805" s="111"/>
      <c r="P805" s="111"/>
    </row>
    <row r="806" spans="1:16" ht="12.75" customHeight="1" thickBot="1">
      <c r="A806" s="1066"/>
      <c r="B806" s="1042"/>
      <c r="C806" s="913"/>
      <c r="D806" s="659"/>
      <c r="E806" s="878"/>
      <c r="F806" s="878"/>
      <c r="G806" s="469"/>
      <c r="H806" s="915"/>
      <c r="I806" s="982"/>
      <c r="J806" s="917"/>
      <c r="K806" s="984"/>
      <c r="L806" s="900"/>
      <c r="M806" s="111"/>
      <c r="N806" s="111"/>
      <c r="O806" s="111"/>
      <c r="P806" s="111"/>
    </row>
    <row r="807" spans="1:16" ht="12.75" customHeight="1">
      <c r="A807" s="1066">
        <v>396</v>
      </c>
      <c r="B807" s="968" t="s">
        <v>1622</v>
      </c>
      <c r="C807" s="969"/>
      <c r="D807" s="970" t="s">
        <v>1653</v>
      </c>
      <c r="E807" s="968" t="s">
        <v>20</v>
      </c>
      <c r="F807" s="968" t="s">
        <v>1637</v>
      </c>
      <c r="G807" s="484"/>
      <c r="H807" s="973">
        <v>11500000</v>
      </c>
      <c r="I807" s="973">
        <f>H807</f>
        <v>11500000</v>
      </c>
      <c r="J807" s="974"/>
      <c r="K807" s="999">
        <v>11500000</v>
      </c>
      <c r="L807" s="967">
        <f>K807-I807</f>
        <v>0</v>
      </c>
    </row>
    <row r="808" spans="1:16" ht="12.75" customHeight="1">
      <c r="A808" s="1066"/>
      <c r="B808" s="865"/>
      <c r="C808" s="904"/>
      <c r="D808" s="658"/>
      <c r="E808" s="865"/>
      <c r="F808" s="865"/>
      <c r="G808" s="482"/>
      <c r="H808" s="905"/>
      <c r="I808" s="906"/>
      <c r="J808" s="910"/>
      <c r="K808" s="916"/>
      <c r="L808" s="946"/>
    </row>
    <row r="809" spans="1:16" ht="12.75" customHeight="1">
      <c r="A809" s="1066">
        <v>397</v>
      </c>
      <c r="B809" s="1039"/>
      <c r="C809" s="904" t="s">
        <v>843</v>
      </c>
      <c r="D809" s="658" t="s">
        <v>1646</v>
      </c>
      <c r="E809" s="865" t="s">
        <v>1656</v>
      </c>
      <c r="F809" s="865"/>
      <c r="G809" s="490"/>
      <c r="H809" s="905">
        <v>4500000</v>
      </c>
      <c r="I809" s="916">
        <f>H809</f>
        <v>4500000</v>
      </c>
      <c r="J809" s="909"/>
      <c r="K809" s="919">
        <v>4500000</v>
      </c>
      <c r="L809" s="951">
        <f>K809-I809</f>
        <v>0</v>
      </c>
    </row>
    <row r="810" spans="1:16" ht="12.75" customHeight="1" thickBot="1">
      <c r="A810" s="1066"/>
      <c r="B810" s="1040"/>
      <c r="C810" s="938"/>
      <c r="D810" s="939"/>
      <c r="E810" s="937"/>
      <c r="F810" s="937"/>
      <c r="G810" s="491"/>
      <c r="H810" s="942"/>
      <c r="I810" s="943"/>
      <c r="J810" s="944"/>
      <c r="K810" s="1041"/>
      <c r="L810" s="947"/>
    </row>
    <row r="811" spans="1:16" ht="12.75" customHeight="1">
      <c r="A811" s="1066">
        <v>398</v>
      </c>
      <c r="B811" s="879" t="s">
        <v>1623</v>
      </c>
      <c r="C811" s="914"/>
      <c r="D811" s="660" t="s">
        <v>1641</v>
      </c>
      <c r="E811" s="879" t="s">
        <v>20</v>
      </c>
      <c r="F811" s="879"/>
      <c r="G811" s="483"/>
      <c r="H811" s="916">
        <v>10700000</v>
      </c>
      <c r="I811" s="916">
        <f>H811</f>
        <v>10700000</v>
      </c>
      <c r="J811" s="949"/>
      <c r="K811" s="984">
        <v>10700000</v>
      </c>
      <c r="L811" s="901">
        <f>K811-I811</f>
        <v>0</v>
      </c>
      <c r="M811" s="111"/>
      <c r="N811" s="111"/>
      <c r="O811" s="111"/>
      <c r="P811" s="111"/>
    </row>
    <row r="812" spans="1:16" ht="12.75" customHeight="1">
      <c r="A812" s="1066"/>
      <c r="B812" s="865"/>
      <c r="C812" s="904"/>
      <c r="D812" s="658"/>
      <c r="E812" s="865"/>
      <c r="F812" s="865"/>
      <c r="G812" s="482"/>
      <c r="H812" s="905"/>
      <c r="I812" s="906"/>
      <c r="J812" s="910"/>
      <c r="K812" s="920"/>
      <c r="L812" s="903"/>
      <c r="M812" s="111"/>
      <c r="N812" s="111"/>
      <c r="O812" s="111"/>
      <c r="P812" s="111"/>
    </row>
    <row r="813" spans="1:16" ht="12.75" customHeight="1">
      <c r="A813" s="1066">
        <v>399</v>
      </c>
      <c r="B813" s="981"/>
      <c r="C813" s="904" t="s">
        <v>844</v>
      </c>
      <c r="D813" s="658" t="s">
        <v>1652</v>
      </c>
      <c r="E813" s="865" t="s">
        <v>1651</v>
      </c>
      <c r="F813" s="865" t="s">
        <v>1647</v>
      </c>
      <c r="G813" s="460"/>
      <c r="H813" s="905">
        <v>550000</v>
      </c>
      <c r="I813" s="916">
        <f>H813</f>
        <v>550000</v>
      </c>
      <c r="J813" s="909"/>
      <c r="K813" s="915">
        <v>550000</v>
      </c>
      <c r="L813" s="901">
        <f>K813-I813</f>
        <v>0</v>
      </c>
      <c r="M813" s="111"/>
      <c r="N813" s="111"/>
      <c r="O813" s="111"/>
      <c r="P813" s="111"/>
    </row>
    <row r="814" spans="1:16" ht="12.75" customHeight="1">
      <c r="A814" s="1066"/>
      <c r="B814" s="1092"/>
      <c r="C814" s="904"/>
      <c r="D814" s="658"/>
      <c r="E814" s="865"/>
      <c r="F814" s="865"/>
      <c r="G814" s="460"/>
      <c r="H814" s="905"/>
      <c r="I814" s="906"/>
      <c r="J814" s="910"/>
      <c r="K814" s="916"/>
      <c r="L814" s="903"/>
      <c r="M814" s="111"/>
      <c r="N814" s="111"/>
      <c r="O814" s="111"/>
      <c r="P814" s="111"/>
    </row>
    <row r="815" spans="1:16" ht="12.75" customHeight="1">
      <c r="A815" s="1066">
        <v>400</v>
      </c>
      <c r="B815" s="1039"/>
      <c r="C815" s="904" t="s">
        <v>845</v>
      </c>
      <c r="D815" s="658" t="s">
        <v>1652</v>
      </c>
      <c r="E815" s="865" t="s">
        <v>1669</v>
      </c>
      <c r="F815" s="865" t="s">
        <v>24</v>
      </c>
      <c r="G815" s="474"/>
      <c r="H815" s="905">
        <f>140*11000</f>
        <v>1540000</v>
      </c>
      <c r="I815" s="916">
        <f>H815</f>
        <v>1540000</v>
      </c>
      <c r="J815" s="909"/>
      <c r="K815" s="919">
        <v>1540000</v>
      </c>
      <c r="L815" s="901">
        <f>K815-I815</f>
        <v>0</v>
      </c>
      <c r="M815" s="111"/>
      <c r="N815" s="111"/>
      <c r="O815" s="111"/>
      <c r="P815" s="111"/>
    </row>
    <row r="816" spans="1:16" ht="12.75" customHeight="1" thickBot="1">
      <c r="A816" s="1066"/>
      <c r="B816" s="1042"/>
      <c r="C816" s="913"/>
      <c r="D816" s="659"/>
      <c r="E816" s="878"/>
      <c r="F816" s="878"/>
      <c r="G816" s="475"/>
      <c r="H816" s="915"/>
      <c r="I816" s="982"/>
      <c r="J816" s="917"/>
      <c r="K816" s="984"/>
      <c r="L816" s="900"/>
      <c r="M816" s="111"/>
      <c r="N816" s="111"/>
      <c r="O816" s="111"/>
      <c r="P816" s="111"/>
    </row>
    <row r="817" spans="1:16" ht="12.75" customHeight="1">
      <c r="A817" s="1066">
        <v>401</v>
      </c>
      <c r="B817" s="968" t="s">
        <v>1624</v>
      </c>
      <c r="C817" s="969"/>
      <c r="D817" s="970"/>
      <c r="E817" s="968" t="s">
        <v>1200</v>
      </c>
      <c r="F817" s="968"/>
      <c r="G817" s="430"/>
      <c r="H817" s="973"/>
      <c r="I817" s="973">
        <f>H817</f>
        <v>0</v>
      </c>
      <c r="J817" s="974"/>
      <c r="K817" s="999"/>
      <c r="L817" s="967">
        <f>K817-I817</f>
        <v>0</v>
      </c>
      <c r="M817" s="111"/>
      <c r="N817" s="111"/>
      <c r="O817" s="111"/>
      <c r="P817" s="111"/>
    </row>
    <row r="818" spans="1:16" ht="12.75" customHeight="1" thickBot="1">
      <c r="A818" s="1066"/>
      <c r="B818" s="937"/>
      <c r="C818" s="938"/>
      <c r="D818" s="939"/>
      <c r="E818" s="937"/>
      <c r="F818" s="937"/>
      <c r="G818" s="429"/>
      <c r="H818" s="942"/>
      <c r="I818" s="943"/>
      <c r="J818" s="944"/>
      <c r="K818" s="1091"/>
      <c r="L818" s="947"/>
      <c r="M818" s="111"/>
      <c r="N818" s="111"/>
      <c r="O818" s="111"/>
      <c r="P818" s="111"/>
    </row>
    <row r="819" spans="1:16" ht="12.75" customHeight="1">
      <c r="A819" s="1066">
        <v>402</v>
      </c>
      <c r="B819" s="975" t="s">
        <v>1635</v>
      </c>
      <c r="C819" s="969" t="s">
        <v>1642</v>
      </c>
      <c r="D819" s="970" t="s">
        <v>1641</v>
      </c>
      <c r="E819" s="968" t="s">
        <v>8</v>
      </c>
      <c r="F819" s="968"/>
      <c r="G819" s="476"/>
      <c r="H819" s="973">
        <v>1744000</v>
      </c>
      <c r="I819" s="973">
        <f>H819</f>
        <v>1744000</v>
      </c>
      <c r="J819" s="974"/>
      <c r="K819" s="1001">
        <v>1744000</v>
      </c>
      <c r="L819" s="967">
        <f>K819-I819</f>
        <v>0</v>
      </c>
    </row>
    <row r="820" spans="1:16" ht="12.75" customHeight="1">
      <c r="A820" s="1066"/>
      <c r="B820" s="976"/>
      <c r="C820" s="904"/>
      <c r="D820" s="658"/>
      <c r="E820" s="865"/>
      <c r="F820" s="865"/>
      <c r="G820" s="474"/>
      <c r="H820" s="905"/>
      <c r="I820" s="906"/>
      <c r="J820" s="910"/>
      <c r="K820" s="920"/>
      <c r="L820" s="946"/>
    </row>
    <row r="821" spans="1:16" ht="12.75" customHeight="1">
      <c r="A821" s="1066">
        <v>403</v>
      </c>
      <c r="B821" s="1079"/>
      <c r="C821" s="904" t="s">
        <v>646</v>
      </c>
      <c r="D821" s="694"/>
      <c r="E821" s="1171"/>
      <c r="F821" s="865"/>
      <c r="G821" s="438"/>
      <c r="H821" s="905"/>
      <c r="I821" s="916"/>
      <c r="J821" s="909"/>
      <c r="K821" s="919"/>
      <c r="L821" s="951"/>
      <c r="M821" s="111"/>
      <c r="N821" s="111"/>
      <c r="O821" s="111"/>
      <c r="P821" s="111"/>
    </row>
    <row r="822" spans="1:16" ht="12.75" customHeight="1" thickBot="1">
      <c r="A822" s="1066"/>
      <c r="B822" s="1080"/>
      <c r="C822" s="938"/>
      <c r="D822" s="1296"/>
      <c r="E822" s="1297"/>
      <c r="F822" s="937"/>
      <c r="G822" s="439"/>
      <c r="H822" s="942"/>
      <c r="I822" s="943"/>
      <c r="J822" s="944"/>
      <c r="K822" s="1041"/>
      <c r="L822" s="947"/>
      <c r="M822" s="111">
        <v>12</v>
      </c>
      <c r="N822" s="111"/>
      <c r="O822" s="111"/>
      <c r="P822" s="111"/>
    </row>
    <row r="823" spans="1:16" ht="12.75" customHeight="1">
      <c r="A823" s="1066"/>
      <c r="B823" s="1068" t="s">
        <v>818</v>
      </c>
      <c r="C823" s="1069"/>
      <c r="D823" s="1069"/>
      <c r="E823" s="1069"/>
      <c r="F823" s="1069"/>
      <c r="G823" s="1069"/>
      <c r="H823" s="1069"/>
      <c r="I823" s="1069"/>
      <c r="J823" s="1069"/>
      <c r="K823" s="1069"/>
      <c r="L823" s="1070"/>
      <c r="M823" s="1075">
        <f>SUM(H827:H830,I833:I920)</f>
        <v>225238183</v>
      </c>
      <c r="N823" s="111"/>
      <c r="O823" s="111"/>
      <c r="P823" s="111"/>
    </row>
    <row r="824" spans="1:16" ht="12.75" customHeight="1" thickBot="1">
      <c r="A824" s="1066"/>
      <c r="B824" s="1085"/>
      <c r="C824" s="1086"/>
      <c r="D824" s="1086"/>
      <c r="E824" s="1086"/>
      <c r="F824" s="1086"/>
      <c r="G824" s="1086"/>
      <c r="H824" s="1086"/>
      <c r="I824" s="1086"/>
      <c r="J824" s="1086"/>
      <c r="K824" s="1086"/>
      <c r="L824" s="1087"/>
      <c r="M824" s="1075"/>
      <c r="N824" s="111"/>
      <c r="O824" s="111"/>
      <c r="P824" s="111"/>
    </row>
    <row r="825" spans="1:16" ht="12.75" customHeight="1">
      <c r="A825" s="924">
        <v>404</v>
      </c>
      <c r="B825" s="865" t="s">
        <v>1638</v>
      </c>
      <c r="C825" s="904" t="s">
        <v>1670</v>
      </c>
      <c r="D825" s="674" t="s">
        <v>1654</v>
      </c>
      <c r="E825" s="865" t="s">
        <v>20</v>
      </c>
      <c r="F825" s="865"/>
      <c r="G825" s="482"/>
      <c r="H825" s="905">
        <v>11500000</v>
      </c>
      <c r="I825" s="916">
        <f>H825</f>
        <v>11500000</v>
      </c>
      <c r="J825" s="909"/>
      <c r="K825" s="919">
        <v>11500000</v>
      </c>
      <c r="L825" s="901">
        <f>K825-I825</f>
        <v>0</v>
      </c>
      <c r="M825">
        <f>150+200+300+300+530+250+490+300+270+M830256+120+450</f>
        <v>3360</v>
      </c>
    </row>
    <row r="826" spans="1:16" ht="12.75" customHeight="1">
      <c r="A826" s="924"/>
      <c r="B826" s="865"/>
      <c r="C826" s="904"/>
      <c r="D826" s="674"/>
      <c r="E826" s="865"/>
      <c r="F826" s="865"/>
      <c r="G826" s="482"/>
      <c r="H826" s="905"/>
      <c r="I826" s="906"/>
      <c r="J826" s="910"/>
      <c r="K826" s="920"/>
      <c r="L826" s="903"/>
    </row>
    <row r="827" spans="1:16" ht="12.75" customHeight="1">
      <c r="A827" s="924">
        <v>405</v>
      </c>
      <c r="B827" s="1039"/>
      <c r="C827" s="904" t="s">
        <v>851</v>
      </c>
      <c r="D827" s="658" t="s">
        <v>1663</v>
      </c>
      <c r="E827" s="865" t="s">
        <v>1672</v>
      </c>
      <c r="F827" s="865" t="s">
        <v>1662</v>
      </c>
      <c r="G827" s="448"/>
      <c r="H827" s="905">
        <f>11000*150</f>
        <v>1650000</v>
      </c>
      <c r="I827" s="916">
        <f>H827</f>
        <v>1650000</v>
      </c>
      <c r="J827" s="909"/>
      <c r="K827" s="915">
        <v>1650000</v>
      </c>
      <c r="L827" s="901">
        <f>K827-I827</f>
        <v>0</v>
      </c>
    </row>
    <row r="828" spans="1:16" ht="12.75" customHeight="1">
      <c r="A828" s="924"/>
      <c r="B828" s="1039"/>
      <c r="C828" s="904"/>
      <c r="D828" s="658"/>
      <c r="E828" s="865"/>
      <c r="F828" s="865"/>
      <c r="G828" s="448"/>
      <c r="H828" s="905"/>
      <c r="I828" s="906"/>
      <c r="J828" s="910"/>
      <c r="K828" s="916"/>
      <c r="L828" s="903"/>
      <c r="M828" s="5"/>
    </row>
    <row r="829" spans="1:16" ht="12.75" customHeight="1">
      <c r="A829" s="924">
        <v>406</v>
      </c>
      <c r="B829" s="1039"/>
      <c r="C829" s="904" t="s">
        <v>855</v>
      </c>
      <c r="D829" s="658" t="s">
        <v>1663</v>
      </c>
      <c r="E829" s="865" t="s">
        <v>1671</v>
      </c>
      <c r="F829" s="865">
        <v>6363787</v>
      </c>
      <c r="G829" s="478"/>
      <c r="H829" s="905">
        <v>2400000</v>
      </c>
      <c r="I829" s="916">
        <f>H829</f>
        <v>2400000</v>
      </c>
      <c r="J829" s="909"/>
      <c r="K829" s="919">
        <v>2400000</v>
      </c>
      <c r="L829" s="901">
        <f>K829-I829</f>
        <v>0</v>
      </c>
    </row>
    <row r="830" spans="1:16" ht="12.75" customHeight="1" thickBot="1">
      <c r="A830" s="924"/>
      <c r="B830" s="1042"/>
      <c r="C830" s="913"/>
      <c r="D830" s="659"/>
      <c r="E830" s="878"/>
      <c r="F830" s="878"/>
      <c r="G830" s="479"/>
      <c r="H830" s="915"/>
      <c r="I830" s="982"/>
      <c r="J830" s="917"/>
      <c r="K830" s="984"/>
      <c r="L830" s="900"/>
    </row>
    <row r="831" spans="1:16" ht="12.75" customHeight="1">
      <c r="A831" s="924">
        <v>407</v>
      </c>
      <c r="B831" s="968" t="s">
        <v>1643</v>
      </c>
      <c r="C831" s="969" t="s">
        <v>1702</v>
      </c>
      <c r="D831" s="993" t="s">
        <v>1649</v>
      </c>
      <c r="E831" s="968" t="s">
        <v>20</v>
      </c>
      <c r="F831" s="968"/>
      <c r="G831" s="484"/>
      <c r="H831" s="973">
        <v>11100000</v>
      </c>
      <c r="I831" s="973">
        <f>H831</f>
        <v>11100000</v>
      </c>
      <c r="J831" s="974"/>
      <c r="K831" s="1001">
        <v>11100000</v>
      </c>
      <c r="L831" s="967">
        <f>K831-I831</f>
        <v>0</v>
      </c>
      <c r="M831" s="111"/>
      <c r="N831" s="111"/>
      <c r="O831" s="111"/>
      <c r="P831" s="111"/>
    </row>
    <row r="832" spans="1:16" ht="12.75" customHeight="1">
      <c r="A832" s="924"/>
      <c r="B832" s="865"/>
      <c r="C832" s="904"/>
      <c r="D832" s="674"/>
      <c r="E832" s="865"/>
      <c r="F832" s="865"/>
      <c r="G832" s="482"/>
      <c r="H832" s="905"/>
      <c r="I832" s="906"/>
      <c r="J832" s="910"/>
      <c r="K832" s="920"/>
      <c r="L832" s="946"/>
      <c r="M832" s="111"/>
      <c r="N832" s="111"/>
      <c r="O832" s="111"/>
      <c r="P832" s="111"/>
    </row>
    <row r="833" spans="1:16" ht="12.75" customHeight="1">
      <c r="A833" s="924">
        <v>408</v>
      </c>
      <c r="B833" s="981"/>
      <c r="C833" s="904" t="s">
        <v>856</v>
      </c>
      <c r="D833" s="658" t="s">
        <v>1663</v>
      </c>
      <c r="E833" s="865" t="s">
        <v>283</v>
      </c>
      <c r="F833" s="865" t="s">
        <v>1660</v>
      </c>
      <c r="G833" s="474"/>
      <c r="H833" s="905">
        <v>6000000</v>
      </c>
      <c r="I833" s="916">
        <f>H833</f>
        <v>6000000</v>
      </c>
      <c r="J833" s="909"/>
      <c r="K833" s="915">
        <v>6000000</v>
      </c>
      <c r="L833" s="951">
        <f>K833-I833</f>
        <v>0</v>
      </c>
      <c r="M833" s="111"/>
      <c r="N833" s="111"/>
      <c r="O833" s="111"/>
      <c r="P833" s="111"/>
    </row>
    <row r="834" spans="1:16" ht="12.75" customHeight="1">
      <c r="A834" s="924"/>
      <c r="B834" s="1092"/>
      <c r="C834" s="904"/>
      <c r="D834" s="658"/>
      <c r="E834" s="865"/>
      <c r="F834" s="865"/>
      <c r="G834" s="474"/>
      <c r="H834" s="905"/>
      <c r="I834" s="906"/>
      <c r="J834" s="910"/>
      <c r="K834" s="916"/>
      <c r="L834" s="946"/>
      <c r="M834" s="111"/>
      <c r="N834" s="111"/>
      <c r="O834" s="111"/>
      <c r="P834" s="111"/>
    </row>
    <row r="835" spans="1:16" ht="12.75" customHeight="1">
      <c r="A835" s="924">
        <v>409</v>
      </c>
      <c r="B835" s="865"/>
      <c r="C835" s="904" t="s">
        <v>866</v>
      </c>
      <c r="D835" s="658" t="s">
        <v>1663</v>
      </c>
      <c r="E835" s="865" t="s">
        <v>242</v>
      </c>
      <c r="F835" s="865">
        <v>300</v>
      </c>
      <c r="G835" s="448"/>
      <c r="H835" s="905">
        <v>1100000</v>
      </c>
      <c r="I835" s="916">
        <f>H835</f>
        <v>1100000</v>
      </c>
      <c r="J835" s="909"/>
      <c r="K835" s="919">
        <v>1100000</v>
      </c>
      <c r="L835" s="951">
        <f>K835-I835</f>
        <v>0</v>
      </c>
      <c r="M835" s="111"/>
      <c r="N835" s="111"/>
      <c r="O835" s="111"/>
      <c r="P835" s="111"/>
    </row>
    <row r="836" spans="1:16" ht="12.75" customHeight="1">
      <c r="A836" s="924"/>
      <c r="B836" s="865"/>
      <c r="C836" s="904"/>
      <c r="D836" s="658"/>
      <c r="E836" s="865"/>
      <c r="F836" s="865"/>
      <c r="G836" s="448"/>
      <c r="H836" s="905"/>
      <c r="I836" s="906"/>
      <c r="J836" s="910"/>
      <c r="K836" s="920"/>
      <c r="L836" s="946"/>
      <c r="M836" s="111"/>
      <c r="N836" s="111"/>
      <c r="O836" s="111"/>
      <c r="P836" s="111"/>
    </row>
    <row r="837" spans="1:16" ht="12.75" customHeight="1">
      <c r="A837" s="924">
        <v>410</v>
      </c>
      <c r="B837" s="865"/>
      <c r="C837" s="904" t="s">
        <v>867</v>
      </c>
      <c r="D837" s="658" t="s">
        <v>1663</v>
      </c>
      <c r="E837" s="865" t="s">
        <v>1661</v>
      </c>
      <c r="F837" s="865"/>
      <c r="G837" s="474"/>
      <c r="H837" s="905">
        <v>4000000</v>
      </c>
      <c r="I837" s="916">
        <f>H837</f>
        <v>4000000</v>
      </c>
      <c r="J837" s="909"/>
      <c r="K837" s="919">
        <v>4000000</v>
      </c>
      <c r="L837" s="951">
        <f>K837-I837</f>
        <v>0</v>
      </c>
      <c r="M837" s="111"/>
      <c r="N837" s="111"/>
      <c r="O837" s="111"/>
      <c r="P837" s="111"/>
    </row>
    <row r="838" spans="1:16" ht="12.75" customHeight="1" thickBot="1">
      <c r="A838" s="924"/>
      <c r="B838" s="937"/>
      <c r="C838" s="938"/>
      <c r="D838" s="939"/>
      <c r="E838" s="937"/>
      <c r="F838" s="937"/>
      <c r="G838" s="477"/>
      <c r="H838" s="942"/>
      <c r="I838" s="943"/>
      <c r="J838" s="944"/>
      <c r="K838" s="1041"/>
      <c r="L838" s="947"/>
      <c r="M838" s="111"/>
      <c r="N838" s="111"/>
      <c r="O838" s="111"/>
      <c r="P838" s="111"/>
    </row>
    <row r="839" spans="1:16" ht="12.75" customHeight="1">
      <c r="A839" s="924">
        <v>411</v>
      </c>
      <c r="B839" s="968" t="s">
        <v>1644</v>
      </c>
      <c r="C839" s="969" t="s">
        <v>1701</v>
      </c>
      <c r="D839" s="970" t="s">
        <v>1678</v>
      </c>
      <c r="E839" s="968" t="s">
        <v>20</v>
      </c>
      <c r="F839" s="968"/>
      <c r="G839" s="489"/>
      <c r="H839" s="973">
        <v>12000000</v>
      </c>
      <c r="I839" s="973">
        <f>H839</f>
        <v>12000000</v>
      </c>
      <c r="J839" s="974"/>
      <c r="K839" s="999">
        <v>12000000</v>
      </c>
      <c r="L839" s="967">
        <f>K839-I839</f>
        <v>0</v>
      </c>
      <c r="M839" s="111"/>
      <c r="N839" s="111"/>
      <c r="O839" s="111"/>
      <c r="P839" s="111"/>
    </row>
    <row r="840" spans="1:16" ht="12.75" customHeight="1">
      <c r="A840" s="924"/>
      <c r="B840" s="865"/>
      <c r="C840" s="904"/>
      <c r="D840" s="658"/>
      <c r="E840" s="865"/>
      <c r="F840" s="865"/>
      <c r="G840" s="487"/>
      <c r="H840" s="905"/>
      <c r="I840" s="906"/>
      <c r="J840" s="910"/>
      <c r="K840" s="916"/>
      <c r="L840" s="946"/>
      <c r="M840" s="111"/>
      <c r="N840" s="111"/>
      <c r="O840" s="111"/>
      <c r="P840" s="111"/>
    </row>
    <row r="841" spans="1:16" ht="12.75" customHeight="1">
      <c r="A841" s="924">
        <v>412</v>
      </c>
      <c r="B841" s="1039"/>
      <c r="C841" s="904" t="s">
        <v>868</v>
      </c>
      <c r="D841" s="658" t="s">
        <v>1677</v>
      </c>
      <c r="E841" s="865" t="s">
        <v>40</v>
      </c>
      <c r="F841" s="865" t="s">
        <v>1674</v>
      </c>
      <c r="G841" s="487"/>
      <c r="H841" s="905">
        <v>4000000</v>
      </c>
      <c r="I841" s="916">
        <f>H841</f>
        <v>4000000</v>
      </c>
      <c r="J841" s="909"/>
      <c r="K841" s="919">
        <v>4000000</v>
      </c>
      <c r="L841" s="951">
        <f>K841-I841</f>
        <v>0</v>
      </c>
      <c r="M841" s="111"/>
      <c r="N841" s="111"/>
      <c r="O841" s="111"/>
      <c r="P841" s="111"/>
    </row>
    <row r="842" spans="1:16" ht="12.75" customHeight="1" thickBot="1">
      <c r="A842" s="924"/>
      <c r="B842" s="1040"/>
      <c r="C842" s="938"/>
      <c r="D842" s="939"/>
      <c r="E842" s="937"/>
      <c r="F842" s="937"/>
      <c r="G842" s="488"/>
      <c r="H842" s="942"/>
      <c r="I842" s="943"/>
      <c r="J842" s="944"/>
      <c r="K842" s="1041"/>
      <c r="L842" s="947"/>
      <c r="M842" s="111"/>
      <c r="N842" s="111"/>
      <c r="O842" s="111"/>
      <c r="P842" s="111"/>
    </row>
    <row r="843" spans="1:16" ht="12.75" customHeight="1">
      <c r="A843" s="924">
        <v>413</v>
      </c>
      <c r="B843" s="975" t="s">
        <v>1650</v>
      </c>
      <c r="C843" s="969" t="s">
        <v>1680</v>
      </c>
      <c r="D843" s="970" t="s">
        <v>1678</v>
      </c>
      <c r="E843" s="968" t="s">
        <v>20</v>
      </c>
      <c r="F843" s="968"/>
      <c r="G843" s="489"/>
      <c r="H843" s="973">
        <v>11500000</v>
      </c>
      <c r="I843" s="973">
        <f>H843</f>
        <v>11500000</v>
      </c>
      <c r="J843" s="974"/>
      <c r="K843" s="1001">
        <v>11500000</v>
      </c>
      <c r="L843" s="967">
        <f>K843-I843</f>
        <v>0</v>
      </c>
      <c r="M843" s="111">
        <f>2150000/10650</f>
        <v>201.87793427230048</v>
      </c>
      <c r="N843" s="111"/>
      <c r="O843" s="111"/>
      <c r="P843" s="111"/>
    </row>
    <row r="844" spans="1:16" ht="12.75" customHeight="1">
      <c r="A844" s="924"/>
      <c r="B844" s="976"/>
      <c r="C844" s="904"/>
      <c r="D844" s="658"/>
      <c r="E844" s="865"/>
      <c r="F844" s="865"/>
      <c r="G844" s="487"/>
      <c r="H844" s="905"/>
      <c r="I844" s="906"/>
      <c r="J844" s="910"/>
      <c r="K844" s="920"/>
      <c r="L844" s="946"/>
      <c r="M844" s="111">
        <v>350</v>
      </c>
      <c r="N844" s="111"/>
      <c r="O844" s="111"/>
      <c r="P844" s="111"/>
    </row>
    <row r="845" spans="1:16" ht="12.75" customHeight="1">
      <c r="A845" s="924">
        <v>414</v>
      </c>
      <c r="B845" s="981"/>
      <c r="C845" s="904" t="s">
        <v>877</v>
      </c>
      <c r="D845" s="658" t="s">
        <v>1668</v>
      </c>
      <c r="E845" s="865" t="s">
        <v>1439</v>
      </c>
      <c r="F845" s="865" t="s">
        <v>1675</v>
      </c>
      <c r="G845" s="482"/>
      <c r="H845" s="905">
        <v>550000</v>
      </c>
      <c r="I845" s="916">
        <f>H845</f>
        <v>550000</v>
      </c>
      <c r="J845" s="909"/>
      <c r="K845" s="919">
        <v>550000</v>
      </c>
      <c r="L845" s="951">
        <f>K845-I845</f>
        <v>0</v>
      </c>
    </row>
    <row r="846" spans="1:16" ht="12.75" customHeight="1">
      <c r="A846" s="924"/>
      <c r="B846" s="1092"/>
      <c r="C846" s="904"/>
      <c r="D846" s="658"/>
      <c r="E846" s="865"/>
      <c r="F846" s="865"/>
      <c r="G846" s="482"/>
      <c r="H846" s="905"/>
      <c r="I846" s="906"/>
      <c r="J846" s="910"/>
      <c r="K846" s="920"/>
      <c r="L846" s="946"/>
    </row>
    <row r="847" spans="1:16" ht="12.75" customHeight="1">
      <c r="A847" s="924">
        <v>415</v>
      </c>
      <c r="B847" s="1079"/>
      <c r="C847" s="904" t="s">
        <v>878</v>
      </c>
      <c r="D847" s="658" t="s">
        <v>1668</v>
      </c>
      <c r="E847" s="865" t="s">
        <v>1679</v>
      </c>
      <c r="F847" s="865" t="s">
        <v>1746</v>
      </c>
      <c r="G847" s="494"/>
      <c r="H847" s="905">
        <v>2150000</v>
      </c>
      <c r="I847" s="916">
        <f>H847</f>
        <v>2150000</v>
      </c>
      <c r="J847" s="909"/>
      <c r="K847" s="919">
        <v>2150000</v>
      </c>
      <c r="L847" s="951">
        <f>K847-I847</f>
        <v>0</v>
      </c>
      <c r="M847" s="111"/>
      <c r="N847" s="111"/>
      <c r="O847" s="111"/>
      <c r="P847" s="111"/>
    </row>
    <row r="848" spans="1:16" ht="12.75" customHeight="1">
      <c r="A848" s="924"/>
      <c r="B848" s="1079"/>
      <c r="C848" s="904"/>
      <c r="D848" s="658"/>
      <c r="E848" s="865"/>
      <c r="F848" s="865"/>
      <c r="G848" s="494"/>
      <c r="H848" s="905"/>
      <c r="I848" s="906"/>
      <c r="J848" s="910"/>
      <c r="K848" s="920"/>
      <c r="L848" s="946"/>
      <c r="M848" s="111"/>
      <c r="N848" s="111"/>
      <c r="O848" s="111"/>
      <c r="P848" s="111"/>
    </row>
    <row r="849" spans="1:16" ht="12.75" customHeight="1">
      <c r="A849" s="924">
        <v>416</v>
      </c>
      <c r="B849" s="1079"/>
      <c r="C849" s="904" t="s">
        <v>879</v>
      </c>
      <c r="D849" s="658" t="s">
        <v>1668</v>
      </c>
      <c r="E849" s="865" t="s">
        <v>142</v>
      </c>
      <c r="F849" s="865" t="s">
        <v>1673</v>
      </c>
      <c r="G849" s="460"/>
      <c r="H849" s="905">
        <v>550000</v>
      </c>
      <c r="I849" s="916">
        <f>H849</f>
        <v>550000</v>
      </c>
      <c r="J849" s="909"/>
      <c r="K849" s="919">
        <v>550000</v>
      </c>
      <c r="L849" s="951">
        <f>K849-I849</f>
        <v>0</v>
      </c>
      <c r="M849" s="111"/>
      <c r="N849" s="111"/>
      <c r="O849" s="111"/>
      <c r="P849" s="111"/>
    </row>
    <row r="850" spans="1:16" ht="12.75" customHeight="1" thickBot="1">
      <c r="A850" s="924"/>
      <c r="B850" s="1114"/>
      <c r="C850" s="913"/>
      <c r="D850" s="659"/>
      <c r="E850" s="878"/>
      <c r="F850" s="878"/>
      <c r="G850" s="463"/>
      <c r="H850" s="915"/>
      <c r="I850" s="982"/>
      <c r="J850" s="917"/>
      <c r="K850" s="984"/>
      <c r="L850" s="950"/>
      <c r="M850" s="111"/>
      <c r="N850" s="111"/>
      <c r="O850" s="111"/>
      <c r="P850" s="111"/>
    </row>
    <row r="851" spans="1:16" ht="12.75" customHeight="1">
      <c r="A851" s="924">
        <v>417</v>
      </c>
      <c r="B851" s="968" t="s">
        <v>1657</v>
      </c>
      <c r="C851" s="969" t="s">
        <v>1700</v>
      </c>
      <c r="D851" s="970" t="s">
        <v>1688</v>
      </c>
      <c r="E851" s="968" t="s">
        <v>20</v>
      </c>
      <c r="F851" s="968" t="s">
        <v>1658</v>
      </c>
      <c r="G851" s="495"/>
      <c r="H851" s="973">
        <v>12000000</v>
      </c>
      <c r="I851" s="973">
        <f>H851</f>
        <v>12000000</v>
      </c>
      <c r="J851" s="974"/>
      <c r="K851" s="999">
        <v>12000000</v>
      </c>
      <c r="L851" s="967">
        <f>K851-I851</f>
        <v>0</v>
      </c>
      <c r="M851" s="111"/>
      <c r="N851" s="111"/>
      <c r="O851" s="111"/>
      <c r="P851" s="111"/>
    </row>
    <row r="852" spans="1:16" ht="12.75" customHeight="1">
      <c r="A852" s="924"/>
      <c r="B852" s="865"/>
      <c r="C852" s="904"/>
      <c r="D852" s="658"/>
      <c r="E852" s="865"/>
      <c r="F852" s="865"/>
      <c r="G852" s="494"/>
      <c r="H852" s="905"/>
      <c r="I852" s="906"/>
      <c r="J852" s="910"/>
      <c r="K852" s="916"/>
      <c r="L852" s="946"/>
      <c r="M852" s="111"/>
      <c r="N852" s="111"/>
      <c r="O852" s="111"/>
      <c r="P852" s="111"/>
    </row>
    <row r="853" spans="1:16" ht="12.75" customHeight="1">
      <c r="A853" s="924">
        <v>418</v>
      </c>
      <c r="B853" s="1039"/>
      <c r="C853" s="904" t="s">
        <v>885</v>
      </c>
      <c r="D853" s="658" t="s">
        <v>1683</v>
      </c>
      <c r="E853" s="865" t="s">
        <v>1689</v>
      </c>
      <c r="F853" s="865" t="s">
        <v>817</v>
      </c>
      <c r="G853" s="457"/>
      <c r="H853" s="905">
        <v>5000000</v>
      </c>
      <c r="I853" s="916">
        <f>H853</f>
        <v>5000000</v>
      </c>
      <c r="J853" s="909"/>
      <c r="K853" s="919">
        <v>5000000</v>
      </c>
      <c r="L853" s="951">
        <f>K853-I853</f>
        <v>0</v>
      </c>
      <c r="M853" s="111"/>
      <c r="N853" s="111"/>
      <c r="O853" s="111"/>
      <c r="P853" s="111"/>
    </row>
    <row r="854" spans="1:16" ht="12.75" customHeight="1" thickBot="1">
      <c r="A854" s="924"/>
      <c r="B854" s="1040"/>
      <c r="C854" s="938"/>
      <c r="D854" s="939"/>
      <c r="E854" s="937"/>
      <c r="F854" s="937"/>
      <c r="G854" s="459"/>
      <c r="H854" s="942"/>
      <c r="I854" s="943"/>
      <c r="J854" s="944"/>
      <c r="K854" s="1041"/>
      <c r="L854" s="947"/>
      <c r="M854" s="111"/>
      <c r="N854" s="111"/>
      <c r="O854" s="111"/>
      <c r="P854" s="111"/>
    </row>
    <row r="855" spans="1:16" ht="12.75" customHeight="1">
      <c r="A855" s="924">
        <v>419</v>
      </c>
      <c r="B855" s="968" t="s">
        <v>1690</v>
      </c>
      <c r="C855" s="969" t="s">
        <v>1699</v>
      </c>
      <c r="D855" s="970" t="s">
        <v>1668</v>
      </c>
      <c r="E855" s="968" t="s">
        <v>20</v>
      </c>
      <c r="F855" s="968" t="s">
        <v>1659</v>
      </c>
      <c r="G855" s="495"/>
      <c r="H855" s="973">
        <v>11100000</v>
      </c>
      <c r="I855" s="973">
        <f>H855</f>
        <v>11100000</v>
      </c>
      <c r="J855" s="974"/>
      <c r="K855" s="999">
        <v>11100000</v>
      </c>
      <c r="L855" s="967">
        <f>K855-I855</f>
        <v>0</v>
      </c>
      <c r="M855" s="111"/>
      <c r="N855" s="111"/>
      <c r="O855" s="111"/>
      <c r="P855" s="111"/>
    </row>
    <row r="856" spans="1:16" ht="12.75" customHeight="1">
      <c r="A856" s="924"/>
      <c r="B856" s="865"/>
      <c r="C856" s="904"/>
      <c r="D856" s="658"/>
      <c r="E856" s="865"/>
      <c r="F856" s="865"/>
      <c r="G856" s="494"/>
      <c r="H856" s="905"/>
      <c r="I856" s="906"/>
      <c r="J856" s="910"/>
      <c r="K856" s="916"/>
      <c r="L856" s="946"/>
      <c r="M856" s="111"/>
      <c r="N856" s="111"/>
      <c r="O856" s="111"/>
      <c r="P856" s="111"/>
    </row>
    <row r="857" spans="1:16" ht="12.75" customHeight="1">
      <c r="A857" s="924">
        <v>420</v>
      </c>
      <c r="B857" s="981"/>
      <c r="C857" s="904" t="s">
        <v>886</v>
      </c>
      <c r="D857" s="658" t="s">
        <v>1683</v>
      </c>
      <c r="E857" s="865" t="s">
        <v>1051</v>
      </c>
      <c r="F857" s="865" t="s">
        <v>1665</v>
      </c>
      <c r="G857" s="460"/>
      <c r="H857" s="905">
        <v>4500000</v>
      </c>
      <c r="I857" s="916">
        <f>H857</f>
        <v>4500000</v>
      </c>
      <c r="J857" s="909"/>
      <c r="K857" s="919">
        <v>4500000</v>
      </c>
      <c r="L857" s="951">
        <f>K857-I857</f>
        <v>0</v>
      </c>
      <c r="M857" s="111"/>
      <c r="N857" s="111"/>
      <c r="O857" s="111"/>
      <c r="P857" s="111"/>
    </row>
    <row r="858" spans="1:16" ht="12.75" customHeight="1">
      <c r="A858" s="924"/>
      <c r="B858" s="1092"/>
      <c r="C858" s="904"/>
      <c r="D858" s="658"/>
      <c r="E858" s="865"/>
      <c r="F858" s="865"/>
      <c r="G858" s="460"/>
      <c r="H858" s="905"/>
      <c r="I858" s="906"/>
      <c r="J858" s="910"/>
      <c r="K858" s="920"/>
      <c r="L858" s="946"/>
      <c r="M858" s="111"/>
      <c r="N858" s="111"/>
      <c r="O858" s="111"/>
      <c r="P858" s="111"/>
    </row>
    <row r="859" spans="1:16" ht="12.75" customHeight="1">
      <c r="A859" s="924">
        <v>421</v>
      </c>
      <c r="B859" s="865"/>
      <c r="C859" s="904" t="s">
        <v>893</v>
      </c>
      <c r="D859" s="658" t="s">
        <v>1683</v>
      </c>
      <c r="E859" s="865" t="s">
        <v>1101</v>
      </c>
      <c r="F859" s="865" t="s">
        <v>907</v>
      </c>
      <c r="G859" s="457"/>
      <c r="H859" s="905">
        <v>4500000</v>
      </c>
      <c r="I859" s="916">
        <f>H859</f>
        <v>4500000</v>
      </c>
      <c r="J859" s="909"/>
      <c r="K859" s="915">
        <v>4500000</v>
      </c>
      <c r="L859" s="951">
        <f>K859-I859</f>
        <v>0</v>
      </c>
      <c r="M859" s="111"/>
      <c r="N859" s="111"/>
      <c r="O859" s="111"/>
      <c r="P859" s="111"/>
    </row>
    <row r="860" spans="1:16" ht="12.75" customHeight="1">
      <c r="A860" s="924"/>
      <c r="B860" s="865"/>
      <c r="C860" s="904"/>
      <c r="D860" s="658"/>
      <c r="E860" s="865"/>
      <c r="F860" s="865"/>
      <c r="G860" s="457"/>
      <c r="H860" s="905"/>
      <c r="I860" s="906"/>
      <c r="J860" s="910"/>
      <c r="K860" s="916"/>
      <c r="L860" s="946"/>
      <c r="M860" s="111"/>
      <c r="N860" s="111"/>
      <c r="O860" s="111"/>
      <c r="P860" s="111"/>
    </row>
    <row r="861" spans="1:16" ht="12.75" customHeight="1">
      <c r="A861" s="924">
        <v>422</v>
      </c>
      <c r="B861" s="1039"/>
      <c r="C861" s="904" t="s">
        <v>896</v>
      </c>
      <c r="D861" s="658" t="s">
        <v>1683</v>
      </c>
      <c r="E861" s="865" t="s">
        <v>1661</v>
      </c>
      <c r="F861" s="865"/>
      <c r="G861" s="470"/>
      <c r="H861" s="905">
        <v>2700000</v>
      </c>
      <c r="I861" s="916">
        <f>H861</f>
        <v>2700000</v>
      </c>
      <c r="J861" s="909"/>
      <c r="K861" s="919">
        <v>2700000</v>
      </c>
      <c r="L861" s="951">
        <f>K861-I861</f>
        <v>0</v>
      </c>
      <c r="M861" s="111"/>
      <c r="N861" s="111"/>
      <c r="O861" s="111"/>
      <c r="P861" s="111"/>
    </row>
    <row r="862" spans="1:16" ht="12.75" customHeight="1" thickBot="1">
      <c r="A862" s="924"/>
      <c r="B862" s="1040"/>
      <c r="C862" s="938"/>
      <c r="D862" s="658"/>
      <c r="E862" s="937"/>
      <c r="F862" s="937"/>
      <c r="G862" s="471"/>
      <c r="H862" s="942"/>
      <c r="I862" s="943"/>
      <c r="J862" s="944"/>
      <c r="K862" s="1041"/>
      <c r="L862" s="947"/>
      <c r="M862" s="111"/>
      <c r="N862" s="111"/>
      <c r="O862" s="111"/>
      <c r="P862" s="111"/>
    </row>
    <row r="863" spans="1:16">
      <c r="A863" s="924">
        <v>423</v>
      </c>
      <c r="B863" s="968" t="s">
        <v>1676</v>
      </c>
      <c r="C863" s="969" t="s">
        <v>884</v>
      </c>
      <c r="D863" s="970" t="s">
        <v>1684</v>
      </c>
      <c r="E863" s="968" t="s">
        <v>1664</v>
      </c>
      <c r="F863" s="968"/>
      <c r="G863" s="506"/>
      <c r="H863" s="973">
        <v>506000</v>
      </c>
      <c r="I863" s="973">
        <f>H863</f>
        <v>506000</v>
      </c>
      <c r="J863" s="974"/>
      <c r="K863" s="1001">
        <v>508000</v>
      </c>
      <c r="L863" s="1095">
        <f>K863-I863</f>
        <v>2000</v>
      </c>
    </row>
    <row r="864" spans="1:16">
      <c r="A864" s="924"/>
      <c r="B864" s="865"/>
      <c r="C864" s="904"/>
      <c r="D864" s="658"/>
      <c r="E864" s="865"/>
      <c r="F864" s="865"/>
      <c r="G864" s="504"/>
      <c r="H864" s="905"/>
      <c r="I864" s="906"/>
      <c r="J864" s="910"/>
      <c r="K864" s="920"/>
      <c r="L864" s="1096"/>
    </row>
    <row r="865" spans="1:13">
      <c r="A865" s="924">
        <v>424</v>
      </c>
      <c r="B865" s="981"/>
      <c r="C865" s="904"/>
      <c r="D865" s="658"/>
      <c r="E865" s="865"/>
      <c r="F865" s="865"/>
      <c r="G865" s="451"/>
      <c r="H865" s="905"/>
      <c r="I865" s="916"/>
      <c r="J865" s="909"/>
      <c r="K865" s="915"/>
      <c r="L865" s="951"/>
    </row>
    <row r="866" spans="1:13" ht="13.5" thickBot="1">
      <c r="A866" s="924"/>
      <c r="B866" s="1082"/>
      <c r="C866" s="938"/>
      <c r="D866" s="939"/>
      <c r="E866" s="937"/>
      <c r="F866" s="937"/>
      <c r="G866" s="452"/>
      <c r="H866" s="942"/>
      <c r="I866" s="943"/>
      <c r="J866" s="944"/>
      <c r="K866" s="1091"/>
      <c r="L866" s="947"/>
    </row>
    <row r="867" spans="1:13">
      <c r="A867" s="924">
        <v>425</v>
      </c>
      <c r="B867" s="865" t="s">
        <v>1666</v>
      </c>
      <c r="C867" s="904" t="s">
        <v>1698</v>
      </c>
      <c r="D867" s="658" t="s">
        <v>1683</v>
      </c>
      <c r="E867" s="865" t="s">
        <v>20</v>
      </c>
      <c r="F867" s="865" t="s">
        <v>1686</v>
      </c>
      <c r="G867" s="494"/>
      <c r="H867" s="905">
        <v>10700000</v>
      </c>
      <c r="I867" s="916">
        <f>H867</f>
        <v>10700000</v>
      </c>
      <c r="J867" s="909"/>
      <c r="K867" s="919">
        <v>10700000</v>
      </c>
      <c r="L867" s="901">
        <f>K867-I867</f>
        <v>0</v>
      </c>
      <c r="M867">
        <v>944785.8</v>
      </c>
    </row>
    <row r="868" spans="1:13">
      <c r="A868" s="924"/>
      <c r="B868" s="865"/>
      <c r="C868" s="904"/>
      <c r="D868" s="658"/>
      <c r="E868" s="865"/>
      <c r="F868" s="865"/>
      <c r="G868" s="494"/>
      <c r="H868" s="905"/>
      <c r="I868" s="906"/>
      <c r="J868" s="910"/>
      <c r="K868" s="920"/>
      <c r="L868" s="903"/>
    </row>
    <row r="869" spans="1:13" ht="12.75" customHeight="1">
      <c r="A869" s="924">
        <v>426</v>
      </c>
      <c r="B869" s="981"/>
      <c r="C869" s="904" t="s">
        <v>913</v>
      </c>
      <c r="D869" s="658" t="s">
        <v>1694</v>
      </c>
      <c r="E869" s="865" t="s">
        <v>1681</v>
      </c>
      <c r="F869" s="865" t="s">
        <v>1696</v>
      </c>
      <c r="G869" s="472"/>
      <c r="H869" s="905">
        <v>2130000</v>
      </c>
      <c r="I869" s="916">
        <f>H869</f>
        <v>2130000</v>
      </c>
      <c r="J869" s="909"/>
      <c r="K869" s="915">
        <v>2130000</v>
      </c>
      <c r="L869" s="901">
        <f>K869-I869</f>
        <v>0</v>
      </c>
    </row>
    <row r="870" spans="1:13" ht="12.75" customHeight="1">
      <c r="A870" s="924"/>
      <c r="B870" s="1092"/>
      <c r="C870" s="904"/>
      <c r="D870" s="658"/>
      <c r="E870" s="865"/>
      <c r="F870" s="865"/>
      <c r="G870" s="472"/>
      <c r="H870" s="905"/>
      <c r="I870" s="906"/>
      <c r="J870" s="910"/>
      <c r="K870" s="916"/>
      <c r="L870" s="903"/>
    </row>
    <row r="871" spans="1:13">
      <c r="A871" s="924">
        <v>427</v>
      </c>
      <c r="B871" s="1039"/>
      <c r="C871" s="904" t="s">
        <v>914</v>
      </c>
      <c r="D871" s="658" t="s">
        <v>1694</v>
      </c>
      <c r="E871" s="865" t="s">
        <v>142</v>
      </c>
      <c r="F871" s="865" t="s">
        <v>1697</v>
      </c>
      <c r="G871" s="460"/>
      <c r="H871" s="905">
        <v>550000</v>
      </c>
      <c r="I871" s="916">
        <f>H871</f>
        <v>550000</v>
      </c>
      <c r="J871" s="909"/>
      <c r="K871" s="919">
        <v>550000</v>
      </c>
      <c r="L871" s="901">
        <f>K871-I871</f>
        <v>0</v>
      </c>
    </row>
    <row r="872" spans="1:13" ht="13.5" thickBot="1">
      <c r="A872" s="924"/>
      <c r="B872" s="1042"/>
      <c r="C872" s="913"/>
      <c r="D872" s="659"/>
      <c r="E872" s="878"/>
      <c r="F872" s="878"/>
      <c r="G872" s="463"/>
      <c r="H872" s="915"/>
      <c r="I872" s="982"/>
      <c r="J872" s="917"/>
      <c r="K872" s="984"/>
      <c r="L872" s="900"/>
    </row>
    <row r="873" spans="1:13">
      <c r="A873" s="924">
        <v>428</v>
      </c>
      <c r="B873" s="968" t="s">
        <v>1667</v>
      </c>
      <c r="C873" s="969" t="s">
        <v>903</v>
      </c>
      <c r="D873" s="970" t="s">
        <v>1683</v>
      </c>
      <c r="E873" s="968" t="s">
        <v>1110</v>
      </c>
      <c r="F873" s="968"/>
      <c r="G873" s="476"/>
      <c r="H873" s="973">
        <v>1847000</v>
      </c>
      <c r="I873" s="973">
        <f>H873</f>
        <v>1847000</v>
      </c>
      <c r="J873" s="974"/>
      <c r="K873" s="1001">
        <v>1847000</v>
      </c>
      <c r="L873" s="967">
        <f>K873-I873</f>
        <v>0</v>
      </c>
    </row>
    <row r="874" spans="1:13">
      <c r="A874" s="924"/>
      <c r="B874" s="865"/>
      <c r="C874" s="904"/>
      <c r="D874" s="658"/>
      <c r="E874" s="865"/>
      <c r="F874" s="865"/>
      <c r="G874" s="474"/>
      <c r="H874" s="905"/>
      <c r="I874" s="906"/>
      <c r="J874" s="910"/>
      <c r="K874" s="920"/>
      <c r="L874" s="946"/>
    </row>
    <row r="875" spans="1:13">
      <c r="A875" s="924">
        <v>429</v>
      </c>
      <c r="B875" s="981"/>
      <c r="C875" s="904" t="s">
        <v>910</v>
      </c>
      <c r="D875" s="658" t="s">
        <v>1683</v>
      </c>
      <c r="E875" s="865" t="s">
        <v>1695</v>
      </c>
      <c r="F875" s="865"/>
      <c r="G875" s="509"/>
      <c r="H875" s="905">
        <v>2175</v>
      </c>
      <c r="I875" s="916">
        <v>578550</v>
      </c>
      <c r="J875" s="909"/>
      <c r="K875" s="915"/>
      <c r="L875" s="951">
        <f>K875-I875</f>
        <v>-578550</v>
      </c>
    </row>
    <row r="876" spans="1:13" ht="13.5" thickBot="1">
      <c r="A876" s="924"/>
      <c r="B876" s="1082"/>
      <c r="C876" s="938"/>
      <c r="D876" s="939"/>
      <c r="E876" s="937"/>
      <c r="F876" s="937"/>
      <c r="G876" s="510"/>
      <c r="H876" s="942"/>
      <c r="I876" s="943"/>
      <c r="J876" s="944"/>
      <c r="K876" s="1091"/>
      <c r="L876" s="947"/>
    </row>
    <row r="877" spans="1:13">
      <c r="A877" s="924">
        <v>430</v>
      </c>
      <c r="B877" s="968" t="s">
        <v>1685</v>
      </c>
      <c r="C877" s="969"/>
      <c r="D877" s="970" t="s">
        <v>1750</v>
      </c>
      <c r="E877" s="968" t="s">
        <v>20</v>
      </c>
      <c r="F877" s="968" t="s">
        <v>1682</v>
      </c>
      <c r="G877" s="497"/>
      <c r="H877" s="973">
        <v>11500000</v>
      </c>
      <c r="I877" s="973">
        <f>H877</f>
        <v>11500000</v>
      </c>
      <c r="J877" s="974"/>
      <c r="K877" s="1001">
        <v>11500000</v>
      </c>
      <c r="L877" s="967">
        <f>K877-I877</f>
        <v>0</v>
      </c>
    </row>
    <row r="878" spans="1:13">
      <c r="A878" s="924"/>
      <c r="B878" s="865"/>
      <c r="C878" s="904"/>
      <c r="D878" s="658"/>
      <c r="E878" s="865"/>
      <c r="F878" s="865"/>
      <c r="G878" s="496"/>
      <c r="H878" s="905"/>
      <c r="I878" s="906"/>
      <c r="J878" s="910"/>
      <c r="K878" s="920"/>
      <c r="L878" s="946"/>
      <c r="M878" s="5"/>
    </row>
    <row r="879" spans="1:13">
      <c r="A879" s="924">
        <v>431</v>
      </c>
      <c r="B879" s="1039"/>
      <c r="C879" s="904" t="s">
        <v>913</v>
      </c>
      <c r="D879" s="658" t="s">
        <v>1732</v>
      </c>
      <c r="E879" s="865" t="s">
        <v>1706</v>
      </c>
      <c r="F879" s="865"/>
      <c r="G879" s="478"/>
      <c r="H879" s="905">
        <v>2000000</v>
      </c>
      <c r="I879" s="916">
        <f>H879</f>
        <v>2000000</v>
      </c>
      <c r="J879" s="909"/>
      <c r="K879" s="919">
        <v>2000000</v>
      </c>
      <c r="L879" s="951">
        <f>K879-I879</f>
        <v>0</v>
      </c>
    </row>
    <row r="880" spans="1:13">
      <c r="A880" s="924"/>
      <c r="B880" s="1039"/>
      <c r="C880" s="904"/>
      <c r="D880" s="658"/>
      <c r="E880" s="865"/>
      <c r="F880" s="865"/>
      <c r="G880" s="478"/>
      <c r="H880" s="905"/>
      <c r="I880" s="906"/>
      <c r="J880" s="910"/>
      <c r="K880" s="920"/>
      <c r="L880" s="946"/>
    </row>
    <row r="881" spans="1:13">
      <c r="A881" s="924">
        <v>432</v>
      </c>
      <c r="B881" s="865"/>
      <c r="C881" s="904" t="s">
        <v>922</v>
      </c>
      <c r="D881" s="658" t="s">
        <v>1732</v>
      </c>
      <c r="E881" s="865" t="s">
        <v>1345</v>
      </c>
      <c r="F881" s="865"/>
      <c r="G881" s="474"/>
      <c r="H881" s="905">
        <v>2200000</v>
      </c>
      <c r="I881" s="916">
        <f>H881</f>
        <v>2200000</v>
      </c>
      <c r="J881" s="909"/>
      <c r="K881" s="915">
        <v>2200000</v>
      </c>
      <c r="L881" s="951">
        <f>K881-I881</f>
        <v>0</v>
      </c>
    </row>
    <row r="882" spans="1:13">
      <c r="A882" s="924"/>
      <c r="B882" s="865"/>
      <c r="C882" s="904"/>
      <c r="D882" s="658"/>
      <c r="E882" s="865"/>
      <c r="F882" s="865"/>
      <c r="G882" s="474"/>
      <c r="H882" s="905"/>
      <c r="I882" s="906"/>
      <c r="J882" s="910"/>
      <c r="K882" s="916"/>
      <c r="L882" s="946"/>
    </row>
    <row r="883" spans="1:13">
      <c r="A883" s="924">
        <v>433</v>
      </c>
      <c r="B883" s="1039"/>
      <c r="C883" s="904" t="s">
        <v>918</v>
      </c>
      <c r="D883" s="658" t="s">
        <v>1732</v>
      </c>
      <c r="E883" s="865" t="s">
        <v>1661</v>
      </c>
      <c r="F883" s="865"/>
      <c r="G883" s="474"/>
      <c r="H883" s="905">
        <v>2200000</v>
      </c>
      <c r="I883" s="916">
        <f>H883</f>
        <v>2200000</v>
      </c>
      <c r="J883" s="909"/>
      <c r="K883" s="919">
        <v>2200000</v>
      </c>
      <c r="L883" s="951">
        <f>K883-I883</f>
        <v>0</v>
      </c>
    </row>
    <row r="884" spans="1:13" ht="13.5" thickBot="1">
      <c r="A884" s="924"/>
      <c r="B884" s="1040"/>
      <c r="C884" s="938"/>
      <c r="D884" s="939"/>
      <c r="E884" s="937"/>
      <c r="F884" s="937"/>
      <c r="G884" s="477"/>
      <c r="H884" s="942"/>
      <c r="I884" s="943"/>
      <c r="J884" s="944"/>
      <c r="K884" s="1041"/>
      <c r="L884" s="947"/>
    </row>
    <row r="885" spans="1:13">
      <c r="A885" s="924">
        <v>434</v>
      </c>
      <c r="B885" s="968" t="s">
        <v>1687</v>
      </c>
      <c r="C885" s="969"/>
      <c r="D885" s="970" t="s">
        <v>1731</v>
      </c>
      <c r="E885" s="968" t="s">
        <v>20</v>
      </c>
      <c r="F885" s="968" t="s">
        <v>1693</v>
      </c>
      <c r="G885" s="497"/>
      <c r="H885" s="973">
        <v>11100000</v>
      </c>
      <c r="I885" s="973">
        <f>H885</f>
        <v>11100000</v>
      </c>
      <c r="J885" s="974"/>
      <c r="K885" s="1001">
        <v>11100000</v>
      </c>
      <c r="L885" s="967">
        <f>K885-I885</f>
        <v>0</v>
      </c>
    </row>
    <row r="886" spans="1:13">
      <c r="A886" s="924"/>
      <c r="B886" s="865"/>
      <c r="C886" s="904"/>
      <c r="D886" s="658"/>
      <c r="E886" s="865"/>
      <c r="F886" s="865"/>
      <c r="G886" s="496"/>
      <c r="H886" s="905"/>
      <c r="I886" s="906"/>
      <c r="J886" s="910"/>
      <c r="K886" s="920"/>
      <c r="L886" s="946"/>
    </row>
    <row r="887" spans="1:13">
      <c r="A887" s="924">
        <v>435</v>
      </c>
      <c r="B887" s="1039"/>
      <c r="C887" s="904" t="s">
        <v>927</v>
      </c>
      <c r="D887" s="658" t="s">
        <v>1730</v>
      </c>
      <c r="E887" s="865" t="s">
        <v>1707</v>
      </c>
      <c r="F887" s="865" t="s">
        <v>1708</v>
      </c>
      <c r="G887" s="496"/>
      <c r="H887" s="905">
        <v>3200000</v>
      </c>
      <c r="I887" s="916">
        <f>H887</f>
        <v>3200000</v>
      </c>
      <c r="J887" s="909"/>
      <c r="K887" s="915">
        <v>3200000</v>
      </c>
      <c r="L887" s="951">
        <f>K887-I887</f>
        <v>0</v>
      </c>
    </row>
    <row r="888" spans="1:13" ht="13.5" thickBot="1">
      <c r="A888" s="924"/>
      <c r="B888" s="1040"/>
      <c r="C888" s="938"/>
      <c r="D888" s="939"/>
      <c r="E888" s="937"/>
      <c r="F888" s="937"/>
      <c r="G888" s="499"/>
      <c r="H888" s="942"/>
      <c r="I888" s="943"/>
      <c r="J888" s="944"/>
      <c r="K888" s="1091"/>
      <c r="L888" s="947"/>
    </row>
    <row r="889" spans="1:13">
      <c r="A889" s="924">
        <v>436</v>
      </c>
      <c r="B889" s="968" t="s">
        <v>1692</v>
      </c>
      <c r="C889" s="969"/>
      <c r="D889" s="970"/>
      <c r="E889" s="968" t="s">
        <v>20</v>
      </c>
      <c r="F889" s="968" t="s">
        <v>1691</v>
      </c>
      <c r="G889" s="497"/>
      <c r="H889" s="973">
        <v>10700000</v>
      </c>
      <c r="I889" s="973">
        <f>H889</f>
        <v>10700000</v>
      </c>
      <c r="J889" s="974"/>
      <c r="K889" s="999">
        <v>10700000</v>
      </c>
      <c r="L889" s="967">
        <f>K889-I889</f>
        <v>0</v>
      </c>
    </row>
    <row r="890" spans="1:13">
      <c r="A890" s="924"/>
      <c r="B890" s="865"/>
      <c r="C890" s="904"/>
      <c r="D890" s="658"/>
      <c r="E890" s="865"/>
      <c r="F890" s="865"/>
      <c r="G890" s="496"/>
      <c r="H890" s="905"/>
      <c r="I890" s="906"/>
      <c r="J890" s="910"/>
      <c r="K890" s="916"/>
      <c r="L890" s="946"/>
      <c r="M890">
        <v>10</v>
      </c>
    </row>
    <row r="891" spans="1:13" ht="12.75" customHeight="1">
      <c r="A891" s="924">
        <v>437</v>
      </c>
      <c r="B891" s="1039"/>
      <c r="C891" s="904" t="s">
        <v>928</v>
      </c>
      <c r="D891" s="658" t="s">
        <v>1720</v>
      </c>
      <c r="E891" s="865" t="s">
        <v>40</v>
      </c>
      <c r="F891" s="865"/>
      <c r="G891" s="465"/>
      <c r="H891" s="905">
        <v>2700000</v>
      </c>
      <c r="I891" s="916">
        <f>H891</f>
        <v>2700000</v>
      </c>
      <c r="J891" s="909"/>
      <c r="K891" s="919">
        <v>2700000</v>
      </c>
      <c r="L891" s="951">
        <f>K891-I891</f>
        <v>0</v>
      </c>
    </row>
    <row r="892" spans="1:13" ht="12.75" customHeight="1">
      <c r="A892" s="924"/>
      <c r="B892" s="1039"/>
      <c r="C892" s="904"/>
      <c r="D892" s="658"/>
      <c r="E892" s="865"/>
      <c r="F892" s="865"/>
      <c r="G892" s="465"/>
      <c r="H892" s="905"/>
      <c r="I892" s="906"/>
      <c r="J892" s="910"/>
      <c r="K892" s="920"/>
      <c r="L892" s="946"/>
    </row>
    <row r="893" spans="1:13">
      <c r="A893" s="924">
        <v>438</v>
      </c>
      <c r="B893" s="865"/>
      <c r="C893" s="904" t="s">
        <v>941</v>
      </c>
      <c r="D893" s="658" t="s">
        <v>1720</v>
      </c>
      <c r="E893" s="865" t="s">
        <v>142</v>
      </c>
      <c r="F893" s="865"/>
      <c r="G893" s="460"/>
      <c r="H893" s="905">
        <v>550000</v>
      </c>
      <c r="I893" s="916">
        <f>H893</f>
        <v>550000</v>
      </c>
      <c r="J893" s="909"/>
      <c r="K893" s="919">
        <v>550000</v>
      </c>
      <c r="L893" s="951">
        <f>K893-I893</f>
        <v>0</v>
      </c>
    </row>
    <row r="894" spans="1:13" ht="13.5" thickBot="1">
      <c r="A894" s="924"/>
      <c r="B894" s="937"/>
      <c r="C894" s="938"/>
      <c r="D894" s="939"/>
      <c r="E894" s="937"/>
      <c r="F894" s="937"/>
      <c r="G894" s="462"/>
      <c r="H894" s="942"/>
      <c r="I894" s="943"/>
      <c r="J894" s="944"/>
      <c r="K894" s="1041"/>
      <c r="L894" s="947"/>
    </row>
    <row r="895" spans="1:13">
      <c r="A895" s="924">
        <v>439</v>
      </c>
      <c r="B895" s="968" t="s">
        <v>1704</v>
      </c>
      <c r="C895" s="969" t="s">
        <v>1718</v>
      </c>
      <c r="D895" s="970" t="s">
        <v>1717</v>
      </c>
      <c r="E895" s="968" t="s">
        <v>20</v>
      </c>
      <c r="F895" s="968" t="s">
        <v>1703</v>
      </c>
      <c r="G895" s="508"/>
      <c r="H895" s="973">
        <v>11500000</v>
      </c>
      <c r="I895" s="973">
        <f>H895</f>
        <v>11500000</v>
      </c>
      <c r="J895" s="974"/>
      <c r="K895" s="999">
        <v>11500000</v>
      </c>
      <c r="L895" s="967">
        <f>K895-I895</f>
        <v>0</v>
      </c>
    </row>
    <row r="896" spans="1:13">
      <c r="A896" s="924"/>
      <c r="B896" s="865"/>
      <c r="C896" s="904"/>
      <c r="D896" s="658"/>
      <c r="E896" s="865"/>
      <c r="F896" s="865"/>
      <c r="G896" s="507"/>
      <c r="H896" s="905"/>
      <c r="I896" s="906"/>
      <c r="J896" s="910"/>
      <c r="K896" s="916"/>
      <c r="L896" s="946"/>
    </row>
    <row r="897" spans="1:15" ht="12.75" customHeight="1">
      <c r="A897" s="924">
        <v>440</v>
      </c>
      <c r="B897" s="1039"/>
      <c r="C897" s="904" t="s">
        <v>928</v>
      </c>
      <c r="D897" s="658" t="s">
        <v>1721</v>
      </c>
      <c r="E897" s="865" t="s">
        <v>1722</v>
      </c>
      <c r="F897" s="865" t="s">
        <v>1709</v>
      </c>
      <c r="G897" s="478"/>
      <c r="H897" s="905">
        <v>250</v>
      </c>
      <c r="I897" s="1093">
        <f>J897</f>
        <v>2682500</v>
      </c>
      <c r="J897" s="909">
        <v>2682500</v>
      </c>
      <c r="K897" s="919"/>
      <c r="L897" s="946">
        <v>0</v>
      </c>
    </row>
    <row r="898" spans="1:15" ht="12.75" customHeight="1" thickBot="1">
      <c r="A898" s="924"/>
      <c r="B898" s="1040"/>
      <c r="C898" s="938"/>
      <c r="D898" s="939"/>
      <c r="E898" s="937"/>
      <c r="F898" s="937"/>
      <c r="G898" s="480"/>
      <c r="H898" s="942"/>
      <c r="I898" s="1094"/>
      <c r="J898" s="944"/>
      <c r="K898" s="1041"/>
      <c r="L898" s="947"/>
    </row>
    <row r="899" spans="1:15">
      <c r="A899" s="924">
        <v>441</v>
      </c>
      <c r="B899" s="968" t="s">
        <v>1725</v>
      </c>
      <c r="C899" s="969"/>
      <c r="D899" s="970" t="s">
        <v>1724</v>
      </c>
      <c r="E899" s="968" t="s">
        <v>20</v>
      </c>
      <c r="F899" s="968" t="s">
        <v>1693</v>
      </c>
      <c r="G899" s="508"/>
      <c r="H899" s="973">
        <v>11100000</v>
      </c>
      <c r="I899" s="973">
        <f>H899</f>
        <v>11100000</v>
      </c>
      <c r="J899" s="974"/>
      <c r="K899" s="999">
        <v>11100000</v>
      </c>
      <c r="L899" s="967">
        <f>K899-I899</f>
        <v>0</v>
      </c>
    </row>
    <row r="900" spans="1:15">
      <c r="A900" s="924"/>
      <c r="B900" s="865"/>
      <c r="C900" s="904"/>
      <c r="D900" s="658"/>
      <c r="E900" s="865"/>
      <c r="F900" s="865"/>
      <c r="G900" s="507"/>
      <c r="H900" s="905"/>
      <c r="I900" s="906"/>
      <c r="J900" s="910"/>
      <c r="K900" s="916"/>
      <c r="L900" s="946"/>
    </row>
    <row r="901" spans="1:15" ht="12.75" customHeight="1">
      <c r="A901" s="924">
        <v>442</v>
      </c>
      <c r="B901" s="981"/>
      <c r="C901" s="904" t="s">
        <v>944</v>
      </c>
      <c r="D901" s="658" t="s">
        <v>1714</v>
      </c>
      <c r="E901" s="865" t="s">
        <v>1726</v>
      </c>
      <c r="F901" s="865" t="s">
        <v>1723</v>
      </c>
      <c r="G901" s="472"/>
      <c r="H901" s="905">
        <v>3550000</v>
      </c>
      <c r="I901" s="916">
        <f>H901</f>
        <v>3550000</v>
      </c>
      <c r="J901" s="909"/>
      <c r="K901" s="919">
        <v>3550000</v>
      </c>
      <c r="L901" s="951">
        <f>K901-I901</f>
        <v>0</v>
      </c>
      <c r="O901">
        <f>550000+550000+55</f>
        <v>1100055</v>
      </c>
    </row>
    <row r="902" spans="1:15" ht="12.75" customHeight="1">
      <c r="A902" s="924"/>
      <c r="B902" s="1092"/>
      <c r="C902" s="904"/>
      <c r="D902" s="658"/>
      <c r="E902" s="865"/>
      <c r="F902" s="865"/>
      <c r="G902" s="472"/>
      <c r="H902" s="905"/>
      <c r="I902" s="906"/>
      <c r="J902" s="910"/>
      <c r="K902" s="920"/>
      <c r="L902" s="946"/>
    </row>
    <row r="903" spans="1:15">
      <c r="A903" s="924">
        <v>443</v>
      </c>
      <c r="B903" s="865"/>
      <c r="C903" s="904" t="s">
        <v>945</v>
      </c>
      <c r="D903" s="658" t="s">
        <v>1714</v>
      </c>
      <c r="E903" s="865" t="s">
        <v>1727</v>
      </c>
      <c r="F903" s="865" t="s">
        <v>1716</v>
      </c>
      <c r="G903" s="472"/>
      <c r="H903" s="905">
        <v>4500000</v>
      </c>
      <c r="I903" s="916">
        <f>H903</f>
        <v>4500000</v>
      </c>
      <c r="J903" s="909"/>
      <c r="K903" s="919">
        <v>4500000</v>
      </c>
      <c r="L903" s="951">
        <f>K903-I903</f>
        <v>0</v>
      </c>
    </row>
    <row r="904" spans="1:15" ht="13.5" thickBot="1">
      <c r="A904" s="924"/>
      <c r="B904" s="937"/>
      <c r="C904" s="938"/>
      <c r="D904" s="939"/>
      <c r="E904" s="937"/>
      <c r="F904" s="937"/>
      <c r="G904" s="473"/>
      <c r="H904" s="942"/>
      <c r="I904" s="943"/>
      <c r="J904" s="944"/>
      <c r="K904" s="1041"/>
      <c r="L904" s="947"/>
    </row>
    <row r="905" spans="1:15">
      <c r="A905" s="924">
        <v>444</v>
      </c>
      <c r="B905" s="968" t="s">
        <v>1719</v>
      </c>
      <c r="C905" s="969"/>
      <c r="D905" s="970" t="s">
        <v>1721</v>
      </c>
      <c r="E905" s="968" t="s">
        <v>20</v>
      </c>
      <c r="F905" s="968"/>
      <c r="G905" s="508"/>
      <c r="H905" s="973">
        <v>10700000</v>
      </c>
      <c r="I905" s="973">
        <f>H905</f>
        <v>10700000</v>
      </c>
      <c r="J905" s="974"/>
      <c r="K905" s="999">
        <v>10700000</v>
      </c>
      <c r="L905" s="967">
        <f>K905-I905</f>
        <v>0</v>
      </c>
    </row>
    <row r="906" spans="1:15">
      <c r="A906" s="924"/>
      <c r="B906" s="865"/>
      <c r="C906" s="904"/>
      <c r="D906" s="658"/>
      <c r="E906" s="865"/>
      <c r="F906" s="865"/>
      <c r="G906" s="507"/>
      <c r="H906" s="905"/>
      <c r="I906" s="906"/>
      <c r="J906" s="910"/>
      <c r="K906" s="916"/>
      <c r="L906" s="946"/>
    </row>
    <row r="907" spans="1:15" ht="12.75" customHeight="1">
      <c r="A907" s="924">
        <v>445</v>
      </c>
      <c r="B907" s="1039"/>
      <c r="C907" s="904" t="s">
        <v>946</v>
      </c>
      <c r="D907" s="658" t="s">
        <v>1714</v>
      </c>
      <c r="E907" s="865" t="s">
        <v>142</v>
      </c>
      <c r="F907" s="865" t="s">
        <v>1713</v>
      </c>
      <c r="G907" s="512"/>
      <c r="H907" s="905">
        <v>550000</v>
      </c>
      <c r="I907" s="916">
        <f>H907</f>
        <v>550000</v>
      </c>
      <c r="J907" s="909"/>
      <c r="K907" s="919">
        <v>550000</v>
      </c>
      <c r="L907" s="951">
        <f>K907-I907</f>
        <v>0</v>
      </c>
    </row>
    <row r="908" spans="1:15" ht="12.75" customHeight="1">
      <c r="A908" s="924"/>
      <c r="B908" s="1039"/>
      <c r="C908" s="904"/>
      <c r="D908" s="658"/>
      <c r="E908" s="865"/>
      <c r="F908" s="865"/>
      <c r="G908" s="512"/>
      <c r="H908" s="905"/>
      <c r="I908" s="906"/>
      <c r="J908" s="910"/>
      <c r="K908" s="920"/>
      <c r="L908" s="946"/>
    </row>
    <row r="909" spans="1:15">
      <c r="A909" s="924">
        <v>446</v>
      </c>
      <c r="B909" s="865"/>
      <c r="C909" s="904" t="s">
        <v>941</v>
      </c>
      <c r="D909" s="658" t="s">
        <v>1715</v>
      </c>
      <c r="E909" s="865" t="s">
        <v>1729</v>
      </c>
      <c r="F909" s="865" t="s">
        <v>1710</v>
      </c>
      <c r="G909" s="512"/>
      <c r="H909" s="905">
        <v>3500000</v>
      </c>
      <c r="I909" s="916">
        <f>H909</f>
        <v>3500000</v>
      </c>
      <c r="J909" s="909"/>
      <c r="K909" s="919">
        <v>3500000</v>
      </c>
      <c r="L909" s="951">
        <f>K909-I909</f>
        <v>0</v>
      </c>
    </row>
    <row r="910" spans="1:15" ht="13.5" thickBot="1">
      <c r="A910" s="924"/>
      <c r="B910" s="937"/>
      <c r="C910" s="938"/>
      <c r="D910" s="939"/>
      <c r="E910" s="937"/>
      <c r="F910" s="937"/>
      <c r="G910" s="513"/>
      <c r="H910" s="942"/>
      <c r="I910" s="943"/>
      <c r="J910" s="944"/>
      <c r="K910" s="1041"/>
      <c r="L910" s="947"/>
    </row>
    <row r="911" spans="1:15">
      <c r="A911" s="924">
        <v>447</v>
      </c>
      <c r="B911" s="968" t="s">
        <v>1728</v>
      </c>
      <c r="C911" s="969" t="s">
        <v>948</v>
      </c>
      <c r="D911" s="970" t="s">
        <v>1714</v>
      </c>
      <c r="E911" s="968" t="s">
        <v>1110</v>
      </c>
      <c r="F911" s="968"/>
      <c r="G911" s="501"/>
      <c r="H911" s="973">
        <v>1753000</v>
      </c>
      <c r="I911" s="973">
        <f>H911</f>
        <v>1753000</v>
      </c>
      <c r="J911" s="974"/>
      <c r="K911" s="999">
        <v>1753000</v>
      </c>
      <c r="L911" s="967">
        <f>K911-I911</f>
        <v>0</v>
      </c>
    </row>
    <row r="912" spans="1:15">
      <c r="A912" s="924"/>
      <c r="B912" s="865"/>
      <c r="C912" s="904"/>
      <c r="D912" s="658"/>
      <c r="E912" s="865"/>
      <c r="F912" s="865"/>
      <c r="G912" s="500"/>
      <c r="H912" s="905"/>
      <c r="I912" s="906"/>
      <c r="J912" s="910"/>
      <c r="K912" s="916"/>
      <c r="L912" s="946"/>
    </row>
    <row r="913" spans="1:16" ht="12.75" customHeight="1">
      <c r="A913" s="924">
        <v>448</v>
      </c>
      <c r="B913" s="981"/>
      <c r="C913" s="904" t="s">
        <v>958</v>
      </c>
      <c r="D913" s="658" t="s">
        <v>1714</v>
      </c>
      <c r="E913" s="865" t="s">
        <v>244</v>
      </c>
      <c r="F913" s="865"/>
      <c r="G913" s="509"/>
      <c r="H913" s="905">
        <v>2206</v>
      </c>
      <c r="I913" s="916">
        <f>H913*J913</f>
        <v>563633</v>
      </c>
      <c r="J913" s="909">
        <v>255.5</v>
      </c>
      <c r="K913" s="919"/>
      <c r="L913" s="951">
        <f>K913-I913</f>
        <v>-563633</v>
      </c>
    </row>
    <row r="914" spans="1:16" ht="12.75" customHeight="1" thickBot="1">
      <c r="A914" s="924"/>
      <c r="B914" s="1082"/>
      <c r="C914" s="938"/>
      <c r="D914" s="939"/>
      <c r="E914" s="937"/>
      <c r="F914" s="937"/>
      <c r="G914" s="510"/>
      <c r="H914" s="942"/>
      <c r="I914" s="943"/>
      <c r="J914" s="944"/>
      <c r="K914" s="1041"/>
      <c r="L914" s="947"/>
    </row>
    <row r="915" spans="1:16">
      <c r="A915" s="924">
        <v>449</v>
      </c>
      <c r="B915" s="968" t="s">
        <v>1705</v>
      </c>
      <c r="C915" s="969" t="s">
        <v>1735</v>
      </c>
      <c r="D915" s="970" t="s">
        <v>1734</v>
      </c>
      <c r="E915" s="968" t="s">
        <v>20</v>
      </c>
      <c r="F915" s="968" t="s">
        <v>1711</v>
      </c>
      <c r="G915" s="515"/>
      <c r="H915" s="973">
        <v>11600000</v>
      </c>
      <c r="I915" s="973">
        <f>H915</f>
        <v>11600000</v>
      </c>
      <c r="J915" s="974"/>
      <c r="K915" s="1001">
        <v>11600000</v>
      </c>
      <c r="L915" s="967">
        <f>K915-I915</f>
        <v>0</v>
      </c>
    </row>
    <row r="916" spans="1:16">
      <c r="A916" s="924"/>
      <c r="B916" s="865"/>
      <c r="C916" s="904"/>
      <c r="D916" s="658"/>
      <c r="E916" s="865"/>
      <c r="F916" s="865"/>
      <c r="G916" s="512"/>
      <c r="H916" s="905"/>
      <c r="I916" s="906"/>
      <c r="J916" s="910"/>
      <c r="K916" s="920"/>
      <c r="L916" s="946"/>
    </row>
    <row r="917" spans="1:16">
      <c r="A917" s="924">
        <v>450</v>
      </c>
      <c r="B917" s="1039"/>
      <c r="C917" s="904" t="s">
        <v>959</v>
      </c>
      <c r="D917" s="658" t="s">
        <v>1736</v>
      </c>
      <c r="E917" s="865" t="s">
        <v>1669</v>
      </c>
      <c r="F917" s="865" t="s">
        <v>1743</v>
      </c>
      <c r="G917" s="512"/>
      <c r="H917" s="905">
        <v>3977500</v>
      </c>
      <c r="I917" s="916">
        <f>H917</f>
        <v>3977500</v>
      </c>
      <c r="J917" s="909"/>
      <c r="K917" s="915">
        <v>3977500</v>
      </c>
      <c r="L917" s="951">
        <f>K917-I917</f>
        <v>0</v>
      </c>
    </row>
    <row r="918" spans="1:16" ht="13.5" thickBot="1">
      <c r="A918" s="924"/>
      <c r="B918" s="1040"/>
      <c r="C918" s="938"/>
      <c r="D918" s="939"/>
      <c r="E918" s="937"/>
      <c r="F918" s="937"/>
      <c r="G918" s="513"/>
      <c r="H918" s="942"/>
      <c r="I918" s="943"/>
      <c r="J918" s="944"/>
      <c r="K918" s="1091"/>
      <c r="L918" s="947"/>
    </row>
    <row r="919" spans="1:16">
      <c r="A919" s="924">
        <v>451</v>
      </c>
      <c r="B919" s="879" t="s">
        <v>1712</v>
      </c>
      <c r="C919" s="914"/>
      <c r="D919" s="660" t="s">
        <v>1739</v>
      </c>
      <c r="E919" s="879" t="s">
        <v>20</v>
      </c>
      <c r="F919" s="879"/>
      <c r="G919" s="514"/>
      <c r="H919" s="916">
        <v>11100000</v>
      </c>
      <c r="I919" s="916">
        <f>H919</f>
        <v>11100000</v>
      </c>
      <c r="J919" s="949"/>
      <c r="K919" s="984">
        <v>11100000</v>
      </c>
      <c r="L919" s="901">
        <f>K919-I919</f>
        <v>0</v>
      </c>
      <c r="M919">
        <v>15</v>
      </c>
    </row>
    <row r="920" spans="1:16">
      <c r="A920" s="924"/>
      <c r="B920" s="865"/>
      <c r="C920" s="904"/>
      <c r="D920" s="658"/>
      <c r="E920" s="865"/>
      <c r="F920" s="865"/>
      <c r="G920" s="512"/>
      <c r="H920" s="905"/>
      <c r="I920" s="906"/>
      <c r="J920" s="910"/>
      <c r="K920" s="920"/>
      <c r="L920" s="903"/>
    </row>
    <row r="921" spans="1:16" ht="12.75" customHeight="1">
      <c r="A921" s="924">
        <v>452</v>
      </c>
      <c r="B921" s="981"/>
      <c r="C921" s="904" t="s">
        <v>960</v>
      </c>
      <c r="D921" s="674" t="s">
        <v>1737</v>
      </c>
      <c r="E921" s="865" t="s">
        <v>1744</v>
      </c>
      <c r="F921" s="865"/>
      <c r="G921" s="522"/>
      <c r="H921" s="905">
        <v>2700000</v>
      </c>
      <c r="I921" s="916">
        <f>H921</f>
        <v>2700000</v>
      </c>
      <c r="J921" s="909"/>
      <c r="K921" s="915">
        <v>2700000</v>
      </c>
      <c r="L921" s="901">
        <f>K921-I921</f>
        <v>0</v>
      </c>
    </row>
    <row r="922" spans="1:16" ht="12.75" customHeight="1">
      <c r="A922" s="924"/>
      <c r="B922" s="1092"/>
      <c r="C922" s="904"/>
      <c r="D922" s="674"/>
      <c r="E922" s="865"/>
      <c r="F922" s="865"/>
      <c r="G922" s="522"/>
      <c r="H922" s="905"/>
      <c r="I922" s="906"/>
      <c r="J922" s="910"/>
      <c r="K922" s="916"/>
      <c r="L922" s="903"/>
    </row>
    <row r="923" spans="1:16">
      <c r="A923" s="924">
        <v>453</v>
      </c>
      <c r="B923" s="1039"/>
      <c r="C923" s="904" t="s">
        <v>962</v>
      </c>
      <c r="D923" s="674" t="s">
        <v>1738</v>
      </c>
      <c r="E923" s="865" t="s">
        <v>1745</v>
      </c>
      <c r="F923" s="865"/>
      <c r="G923" s="512"/>
      <c r="H923" s="905">
        <v>550000</v>
      </c>
      <c r="I923" s="916">
        <f>H923</f>
        <v>550000</v>
      </c>
      <c r="J923" s="909"/>
      <c r="K923" s="919">
        <v>550000</v>
      </c>
      <c r="L923" s="901">
        <f>K923-I923</f>
        <v>0</v>
      </c>
    </row>
    <row r="924" spans="1:16" ht="13.5" thickBot="1">
      <c r="A924" s="924"/>
      <c r="B924" s="1039"/>
      <c r="C924" s="904"/>
      <c r="D924" s="674"/>
      <c r="E924" s="865"/>
      <c r="F924" s="865"/>
      <c r="G924" s="512"/>
      <c r="H924" s="905"/>
      <c r="I924" s="906"/>
      <c r="J924" s="910"/>
      <c r="K924" s="920"/>
      <c r="L924" s="903"/>
    </row>
    <row r="925" spans="1:16" ht="12.75" customHeight="1">
      <c r="A925" s="1066"/>
      <c r="B925" s="1068" t="s">
        <v>555</v>
      </c>
      <c r="C925" s="1069"/>
      <c r="D925" s="1069"/>
      <c r="E925" s="1069"/>
      <c r="F925" s="1069"/>
      <c r="G925" s="1069"/>
      <c r="H925" s="1069"/>
      <c r="I925" s="1069"/>
      <c r="J925" s="1069"/>
      <c r="K925" s="1069"/>
      <c r="L925" s="1070"/>
      <c r="M925" s="1075">
        <f>SUM(I921:I924,I927:I994)</f>
        <v>162730000</v>
      </c>
      <c r="N925" s="111"/>
      <c r="O925" s="111"/>
      <c r="P925" s="111"/>
    </row>
    <row r="926" spans="1:16" ht="12.75" customHeight="1" thickBot="1">
      <c r="A926" s="1067"/>
      <c r="B926" s="1071"/>
      <c r="C926" s="1072"/>
      <c r="D926" s="1072"/>
      <c r="E926" s="1072"/>
      <c r="F926" s="1072"/>
      <c r="G926" s="1072"/>
      <c r="H926" s="1072"/>
      <c r="I926" s="1072"/>
      <c r="J926" s="1072"/>
      <c r="K926" s="1072"/>
      <c r="L926" s="1073"/>
      <c r="M926" s="1075"/>
      <c r="N926" s="111"/>
      <c r="O926" s="111"/>
      <c r="P926" s="111"/>
    </row>
    <row r="927" spans="1:16">
      <c r="A927" s="991">
        <v>454</v>
      </c>
      <c r="B927" s="968" t="s">
        <v>1733</v>
      </c>
      <c r="C927" s="969" t="s">
        <v>1760</v>
      </c>
      <c r="D927" s="970" t="s">
        <v>1759</v>
      </c>
      <c r="E927" s="968" t="s">
        <v>20</v>
      </c>
      <c r="F927" s="968"/>
      <c r="G927" s="520"/>
      <c r="H927" s="973">
        <v>11500000</v>
      </c>
      <c r="I927" s="973">
        <f>H927</f>
        <v>11500000</v>
      </c>
      <c r="J927" s="974"/>
      <c r="K927" s="1001">
        <v>11500000</v>
      </c>
      <c r="L927" s="967">
        <f>K927-I927</f>
        <v>0</v>
      </c>
      <c r="O927">
        <f>19000-1300</f>
        <v>17700</v>
      </c>
    </row>
    <row r="928" spans="1:16">
      <c r="A928" s="992"/>
      <c r="B928" s="865"/>
      <c r="C928" s="904"/>
      <c r="D928" s="658"/>
      <c r="E928" s="865"/>
      <c r="F928" s="865"/>
      <c r="G928" s="519"/>
      <c r="H928" s="905"/>
      <c r="I928" s="906"/>
      <c r="J928" s="910"/>
      <c r="K928" s="920"/>
      <c r="L928" s="946"/>
      <c r="O928">
        <f>19000-13200</f>
        <v>5800</v>
      </c>
    </row>
    <row r="929" spans="1:15">
      <c r="A929" s="992">
        <v>455</v>
      </c>
      <c r="B929" s="1039"/>
      <c r="C929" s="904" t="s">
        <v>963</v>
      </c>
      <c r="D929" s="658" t="s">
        <v>1749</v>
      </c>
      <c r="E929" s="865" t="s">
        <v>98</v>
      </c>
      <c r="F929" s="865"/>
      <c r="G929" s="519"/>
      <c r="H929" s="905">
        <v>550000</v>
      </c>
      <c r="I929" s="916">
        <f>H929</f>
        <v>550000</v>
      </c>
      <c r="J929" s="909"/>
      <c r="K929" s="915">
        <v>550000</v>
      </c>
      <c r="L929" s="951">
        <f>K929-I929</f>
        <v>0</v>
      </c>
      <c r="M929">
        <f>M925/10850</f>
        <v>14998.156682027649</v>
      </c>
    </row>
    <row r="930" spans="1:15" ht="13.5" thickBot="1">
      <c r="A930" s="992"/>
      <c r="B930" s="1039"/>
      <c r="C930" s="904"/>
      <c r="D930" s="658"/>
      <c r="E930" s="865"/>
      <c r="F930" s="865"/>
      <c r="G930" s="519"/>
      <c r="H930" s="905"/>
      <c r="I930" s="906"/>
      <c r="J930" s="910"/>
      <c r="K930" s="916"/>
      <c r="L930" s="946"/>
    </row>
    <row r="931" spans="1:15">
      <c r="A931" s="991">
        <v>456</v>
      </c>
      <c r="B931" s="865"/>
      <c r="C931" s="904" t="s">
        <v>968</v>
      </c>
      <c r="D931" s="658" t="s">
        <v>1749</v>
      </c>
      <c r="E931" s="865" t="s">
        <v>697</v>
      </c>
      <c r="F931" s="865" t="s">
        <v>1748</v>
      </c>
      <c r="G931" s="519"/>
      <c r="H931" s="905">
        <v>550000</v>
      </c>
      <c r="I931" s="916">
        <f>H931</f>
        <v>550000</v>
      </c>
      <c r="J931" s="909"/>
      <c r="K931" s="915">
        <v>550000</v>
      </c>
      <c r="L931" s="951">
        <f>K931-I931</f>
        <v>0</v>
      </c>
    </row>
    <row r="932" spans="1:15">
      <c r="A932" s="992"/>
      <c r="B932" s="865"/>
      <c r="C932" s="904"/>
      <c r="D932" s="658"/>
      <c r="E932" s="865"/>
      <c r="F932" s="865"/>
      <c r="G932" s="519"/>
      <c r="H932" s="905"/>
      <c r="I932" s="906"/>
      <c r="J932" s="910"/>
      <c r="K932" s="916"/>
      <c r="L932" s="946"/>
    </row>
    <row r="933" spans="1:15">
      <c r="A933" s="992">
        <v>457</v>
      </c>
      <c r="B933" s="865"/>
      <c r="C933" s="904" t="s">
        <v>969</v>
      </c>
      <c r="D933" s="658" t="s">
        <v>1749</v>
      </c>
      <c r="E933" s="865" t="s">
        <v>40</v>
      </c>
      <c r="F933" s="865"/>
      <c r="G933" s="519"/>
      <c r="H933" s="905">
        <v>2200000</v>
      </c>
      <c r="I933" s="916">
        <f>H933</f>
        <v>2200000</v>
      </c>
      <c r="J933" s="909"/>
      <c r="K933" s="915">
        <v>2200000</v>
      </c>
      <c r="L933" s="951">
        <f>K933-I933</f>
        <v>0</v>
      </c>
    </row>
    <row r="934" spans="1:15" ht="13.5" thickBot="1">
      <c r="A934" s="992"/>
      <c r="B934" s="937"/>
      <c r="C934" s="938"/>
      <c r="D934" s="939"/>
      <c r="E934" s="937"/>
      <c r="F934" s="937"/>
      <c r="G934" s="521"/>
      <c r="H934" s="942"/>
      <c r="I934" s="943"/>
      <c r="J934" s="944"/>
      <c r="K934" s="1091"/>
      <c r="L934" s="947"/>
    </row>
    <row r="935" spans="1:15" ht="12.75" customHeight="1">
      <c r="A935" s="991">
        <v>458</v>
      </c>
      <c r="B935" s="1017" t="s">
        <v>1742</v>
      </c>
      <c r="C935" s="1018" t="s">
        <v>1761</v>
      </c>
      <c r="D935" s="1019" t="s">
        <v>1757</v>
      </c>
      <c r="E935" s="1017" t="s">
        <v>20</v>
      </c>
      <c r="F935" s="1017"/>
      <c r="G935" s="520"/>
      <c r="H935" s="999">
        <v>12000000</v>
      </c>
      <c r="I935" s="999">
        <f>H935</f>
        <v>12000000</v>
      </c>
      <c r="J935" s="1000"/>
      <c r="K935" s="1001">
        <v>12000000</v>
      </c>
      <c r="L935" s="1002">
        <f>K935-I935</f>
        <v>0</v>
      </c>
    </row>
    <row r="936" spans="1:15" ht="12.75" customHeight="1">
      <c r="A936" s="992"/>
      <c r="B936" s="879"/>
      <c r="C936" s="914"/>
      <c r="D936" s="660"/>
      <c r="E936" s="879"/>
      <c r="F936" s="879"/>
      <c r="G936" s="519"/>
      <c r="H936" s="916"/>
      <c r="I936" s="916"/>
      <c r="J936" s="949"/>
      <c r="K936" s="920"/>
      <c r="L936" s="951"/>
    </row>
    <row r="937" spans="1:15" ht="12.75" customHeight="1">
      <c r="A937" s="992">
        <v>459</v>
      </c>
      <c r="B937" s="981"/>
      <c r="C937" s="904" t="s">
        <v>972</v>
      </c>
      <c r="D937" s="658" t="s">
        <v>1749</v>
      </c>
      <c r="E937" s="865" t="s">
        <v>280</v>
      </c>
      <c r="F937" s="865" t="s">
        <v>1751</v>
      </c>
      <c r="G937" s="512"/>
      <c r="H937" s="905">
        <v>550000</v>
      </c>
      <c r="I937" s="916">
        <f>H937</f>
        <v>550000</v>
      </c>
      <c r="J937" s="909"/>
      <c r="K937" s="919">
        <v>550000</v>
      </c>
      <c r="L937" s="951">
        <f>K937-I937</f>
        <v>0</v>
      </c>
    </row>
    <row r="938" spans="1:15" ht="12.75" customHeight="1" thickBot="1">
      <c r="A938" s="992"/>
      <c r="B938" s="1092"/>
      <c r="C938" s="904"/>
      <c r="D938" s="658"/>
      <c r="E938" s="865"/>
      <c r="F938" s="865"/>
      <c r="G938" s="512"/>
      <c r="H938" s="905"/>
      <c r="I938" s="906"/>
      <c r="J938" s="910"/>
      <c r="K938" s="920"/>
      <c r="L938" s="946"/>
    </row>
    <row r="939" spans="1:15">
      <c r="A939" s="991">
        <v>460</v>
      </c>
      <c r="B939" s="865"/>
      <c r="C939" s="904" t="s">
        <v>977</v>
      </c>
      <c r="D939" s="658" t="s">
        <v>1749</v>
      </c>
      <c r="E939" s="865" t="s">
        <v>1758</v>
      </c>
      <c r="F939" s="865" t="s">
        <v>1747</v>
      </c>
      <c r="G939" s="492"/>
      <c r="H939" s="905">
        <f>300*11000</f>
        <v>3300000</v>
      </c>
      <c r="I939" s="916">
        <f>H939</f>
        <v>3300000</v>
      </c>
      <c r="J939" s="909"/>
      <c r="K939" s="919">
        <v>3300000</v>
      </c>
      <c r="L939" s="951">
        <f>K939-I939</f>
        <v>0</v>
      </c>
      <c r="O939">
        <f>13200-18150</f>
        <v>-4950</v>
      </c>
    </row>
    <row r="940" spans="1:15" ht="13.5" thickBot="1">
      <c r="A940" s="992"/>
      <c r="B940" s="937"/>
      <c r="C940" s="938"/>
      <c r="D940" s="939"/>
      <c r="E940" s="937"/>
      <c r="F940" s="937"/>
      <c r="G940" s="493"/>
      <c r="H940" s="942"/>
      <c r="I940" s="943"/>
      <c r="J940" s="944"/>
      <c r="K940" s="1041"/>
      <c r="L940" s="947"/>
    </row>
    <row r="941" spans="1:15">
      <c r="A941" s="992">
        <v>461</v>
      </c>
      <c r="B941" s="968" t="s">
        <v>1741</v>
      </c>
      <c r="C941" s="969" t="s">
        <v>1762</v>
      </c>
      <c r="D941" s="970" t="s">
        <v>1749</v>
      </c>
      <c r="E941" s="968" t="s">
        <v>20</v>
      </c>
      <c r="F941" s="968"/>
      <c r="G941" s="525"/>
      <c r="H941" s="973">
        <v>10700000</v>
      </c>
      <c r="I941" s="973">
        <f>H941</f>
        <v>10700000</v>
      </c>
      <c r="J941" s="974"/>
      <c r="K941" s="999">
        <v>10700000</v>
      </c>
      <c r="L941" s="967">
        <f>K941-I941</f>
        <v>0</v>
      </c>
    </row>
    <row r="942" spans="1:15" ht="13.5" thickBot="1">
      <c r="A942" s="992"/>
      <c r="B942" s="865"/>
      <c r="C942" s="904"/>
      <c r="D942" s="658"/>
      <c r="E942" s="865"/>
      <c r="F942" s="865"/>
      <c r="G942" s="522"/>
      <c r="H942" s="905"/>
      <c r="I942" s="906"/>
      <c r="J942" s="910"/>
      <c r="K942" s="916"/>
      <c r="L942" s="946"/>
    </row>
    <row r="943" spans="1:15" ht="12.75" customHeight="1">
      <c r="A943" s="991">
        <v>462</v>
      </c>
      <c r="B943" s="981"/>
      <c r="C943" s="904" t="s">
        <v>978</v>
      </c>
      <c r="D943" s="658" t="s">
        <v>1755</v>
      </c>
      <c r="E943" s="865" t="s">
        <v>1767</v>
      </c>
      <c r="F943" s="865"/>
      <c r="G943" s="522"/>
      <c r="H943" s="905">
        <v>7000000</v>
      </c>
      <c r="I943" s="916">
        <f>H943</f>
        <v>7000000</v>
      </c>
      <c r="J943" s="909"/>
      <c r="K943" s="919">
        <v>7000000</v>
      </c>
      <c r="L943" s="951">
        <f>K943-I943</f>
        <v>0</v>
      </c>
    </row>
    <row r="944" spans="1:15" ht="12.75" customHeight="1">
      <c r="A944" s="992"/>
      <c r="B944" s="1092"/>
      <c r="C944" s="904"/>
      <c r="D944" s="658"/>
      <c r="E944" s="865"/>
      <c r="F944" s="865"/>
      <c r="G944" s="522"/>
      <c r="H944" s="905"/>
      <c r="I944" s="906"/>
      <c r="J944" s="910"/>
      <c r="K944" s="920"/>
      <c r="L944" s="946"/>
    </row>
    <row r="945" spans="1:12" ht="12.75" customHeight="1">
      <c r="A945" s="992">
        <v>463</v>
      </c>
      <c r="B945" s="981"/>
      <c r="C945" s="904" t="s">
        <v>983</v>
      </c>
      <c r="D945" s="658" t="s">
        <v>1755</v>
      </c>
      <c r="E945" s="865" t="s">
        <v>1550</v>
      </c>
      <c r="F945" s="865"/>
      <c r="G945" s="500"/>
      <c r="H945" s="905">
        <v>2700000</v>
      </c>
      <c r="I945" s="905">
        <f>H945</f>
        <v>2700000</v>
      </c>
      <c r="J945" s="909"/>
      <c r="K945" s="919">
        <v>2700000</v>
      </c>
      <c r="L945" s="946">
        <f>K945-I945</f>
        <v>0</v>
      </c>
    </row>
    <row r="946" spans="1:12" ht="12.75" customHeight="1">
      <c r="A946" s="992"/>
      <c r="B946" s="1092"/>
      <c r="C946" s="904"/>
      <c r="D946" s="658"/>
      <c r="E946" s="865"/>
      <c r="F946" s="865"/>
      <c r="G946" s="500"/>
      <c r="H946" s="905"/>
      <c r="I946" s="906"/>
      <c r="J946" s="910"/>
      <c r="K946" s="920"/>
      <c r="L946" s="946"/>
    </row>
    <row r="947" spans="1:12" ht="12.75" customHeight="1">
      <c r="A947" s="992">
        <v>463</v>
      </c>
      <c r="B947" s="1078"/>
      <c r="C947" s="914" t="s">
        <v>988</v>
      </c>
      <c r="D947" s="660" t="s">
        <v>1755</v>
      </c>
      <c r="E947" s="879" t="s">
        <v>874</v>
      </c>
      <c r="F947" s="660" t="s">
        <v>1766</v>
      </c>
      <c r="G947" s="524"/>
      <c r="H947" s="916">
        <v>550000</v>
      </c>
      <c r="I947" s="916">
        <f>H947</f>
        <v>550000</v>
      </c>
      <c r="J947" s="949"/>
      <c r="K947" s="984">
        <v>550000</v>
      </c>
      <c r="L947" s="951">
        <f>K947-I947</f>
        <v>0</v>
      </c>
    </row>
    <row r="948" spans="1:12" ht="12.75" customHeight="1" thickBot="1">
      <c r="A948" s="992"/>
      <c r="B948" s="1082"/>
      <c r="C948" s="938"/>
      <c r="D948" s="939"/>
      <c r="E948" s="937"/>
      <c r="F948" s="939"/>
      <c r="G948" s="523"/>
      <c r="H948" s="942"/>
      <c r="I948" s="943"/>
      <c r="J948" s="944"/>
      <c r="K948" s="1041"/>
      <c r="L948" s="947"/>
    </row>
    <row r="949" spans="1:12">
      <c r="A949" s="991">
        <v>464</v>
      </c>
      <c r="B949" s="968" t="s">
        <v>1740</v>
      </c>
      <c r="C949" s="969" t="s">
        <v>1763</v>
      </c>
      <c r="D949" s="970" t="s">
        <v>1754</v>
      </c>
      <c r="E949" s="968" t="s">
        <v>20</v>
      </c>
      <c r="F949" s="968"/>
      <c r="G949" s="525"/>
      <c r="H949" s="973">
        <v>10700000</v>
      </c>
      <c r="I949" s="973">
        <f>H949</f>
        <v>10700000</v>
      </c>
      <c r="J949" s="974"/>
      <c r="K949" s="1001">
        <v>10700000</v>
      </c>
      <c r="L949" s="967">
        <f>K949-I949</f>
        <v>0</v>
      </c>
    </row>
    <row r="950" spans="1:12">
      <c r="A950" s="992"/>
      <c r="B950" s="865"/>
      <c r="C950" s="904"/>
      <c r="D950" s="658"/>
      <c r="E950" s="865"/>
      <c r="F950" s="865"/>
      <c r="G950" s="522"/>
      <c r="H950" s="905"/>
      <c r="I950" s="906"/>
      <c r="J950" s="910"/>
      <c r="K950" s="920"/>
      <c r="L950" s="946"/>
    </row>
    <row r="951" spans="1:12" ht="12.75" customHeight="1">
      <c r="A951" s="992">
        <v>465</v>
      </c>
      <c r="B951" s="981"/>
      <c r="C951" s="904" t="s">
        <v>554</v>
      </c>
      <c r="D951" s="658" t="s">
        <v>1765</v>
      </c>
      <c r="E951" s="865" t="s">
        <v>1051</v>
      </c>
      <c r="F951" s="865"/>
      <c r="G951" s="485"/>
      <c r="H951" s="905">
        <v>3500000</v>
      </c>
      <c r="I951" s="916">
        <f>H951</f>
        <v>3500000</v>
      </c>
      <c r="J951" s="909"/>
      <c r="K951" s="915">
        <v>3500000</v>
      </c>
      <c r="L951" s="951">
        <f>K951-I951</f>
        <v>0</v>
      </c>
    </row>
    <row r="952" spans="1:12" ht="12.75" customHeight="1" thickBot="1">
      <c r="A952" s="992"/>
      <c r="B952" s="1092"/>
      <c r="C952" s="904"/>
      <c r="D952" s="658"/>
      <c r="E952" s="865"/>
      <c r="F952" s="865"/>
      <c r="G952" s="485"/>
      <c r="H952" s="905"/>
      <c r="I952" s="906"/>
      <c r="J952" s="910"/>
      <c r="K952" s="916"/>
      <c r="L952" s="946"/>
    </row>
    <row r="953" spans="1:12">
      <c r="A953" s="991">
        <v>466</v>
      </c>
      <c r="B953" s="1039"/>
      <c r="C953" s="904" t="s">
        <v>994</v>
      </c>
      <c r="D953" s="658" t="s">
        <v>1765</v>
      </c>
      <c r="E953" s="865" t="s">
        <v>1348</v>
      </c>
      <c r="F953" s="865"/>
      <c r="G953" s="522"/>
      <c r="H953" s="905">
        <f>1500000+500000+2200000</f>
        <v>4200000</v>
      </c>
      <c r="I953" s="916">
        <f>H953</f>
        <v>4200000</v>
      </c>
      <c r="J953" s="909"/>
      <c r="K953" s="919">
        <v>4200000</v>
      </c>
      <c r="L953" s="951">
        <f>K953-I953</f>
        <v>0</v>
      </c>
    </row>
    <row r="954" spans="1:12">
      <c r="A954" s="992"/>
      <c r="B954" s="1039"/>
      <c r="C954" s="904"/>
      <c r="D954" s="658"/>
      <c r="E954" s="865"/>
      <c r="F954" s="865"/>
      <c r="G954" s="522"/>
      <c r="H954" s="905"/>
      <c r="I954" s="906"/>
      <c r="J954" s="910"/>
      <c r="K954" s="920"/>
      <c r="L954" s="946"/>
    </row>
    <row r="955" spans="1:12">
      <c r="A955" s="992">
        <v>467</v>
      </c>
      <c r="B955" s="1039"/>
      <c r="C955" s="904" t="s">
        <v>1000</v>
      </c>
      <c r="D955" s="658" t="s">
        <v>1765</v>
      </c>
      <c r="E955" s="865" t="s">
        <v>1351</v>
      </c>
      <c r="F955" s="865"/>
      <c r="G955" s="551"/>
      <c r="H955" s="905">
        <v>4536000</v>
      </c>
      <c r="I955" s="916">
        <f>H955</f>
        <v>4536000</v>
      </c>
      <c r="J955" s="909"/>
      <c r="K955" s="919">
        <v>4536000</v>
      </c>
      <c r="L955" s="951">
        <f>K955-I955</f>
        <v>0</v>
      </c>
    </row>
    <row r="956" spans="1:12" ht="13.5" thickBot="1">
      <c r="A956" s="992"/>
      <c r="B956" s="1040"/>
      <c r="C956" s="938"/>
      <c r="D956" s="939"/>
      <c r="E956" s="937"/>
      <c r="F956" s="937"/>
      <c r="G956" s="553"/>
      <c r="H956" s="942"/>
      <c r="I956" s="943"/>
      <c r="J956" s="944"/>
      <c r="K956" s="1041"/>
      <c r="L956" s="947"/>
    </row>
    <row r="957" spans="1:12">
      <c r="A957" s="991">
        <v>468</v>
      </c>
      <c r="B957" s="968" t="s">
        <v>1752</v>
      </c>
      <c r="C957" s="969" t="s">
        <v>6</v>
      </c>
      <c r="D957" s="970" t="s">
        <v>1755</v>
      </c>
      <c r="E957" s="968" t="s">
        <v>13</v>
      </c>
      <c r="F957" s="968" t="s">
        <v>1772</v>
      </c>
      <c r="G957" s="503"/>
      <c r="H957" s="973">
        <v>20000</v>
      </c>
      <c r="I957" s="973">
        <f>H957*J957</f>
        <v>4650000</v>
      </c>
      <c r="J957" s="974">
        <v>232.5</v>
      </c>
      <c r="K957" s="1001">
        <v>4650000</v>
      </c>
      <c r="L957" s="967">
        <f>K957-I957</f>
        <v>0</v>
      </c>
    </row>
    <row r="958" spans="1:12">
      <c r="A958" s="992"/>
      <c r="B958" s="865"/>
      <c r="C958" s="904"/>
      <c r="D958" s="658"/>
      <c r="E958" s="865"/>
      <c r="F958" s="865"/>
      <c r="G958" s="502"/>
      <c r="H958" s="905"/>
      <c r="I958" s="906"/>
      <c r="J958" s="910"/>
      <c r="K958" s="920"/>
      <c r="L958" s="946"/>
    </row>
    <row r="959" spans="1:12">
      <c r="A959" s="992">
        <v>469</v>
      </c>
      <c r="B959" s="1039"/>
      <c r="C959" s="904" t="s">
        <v>993</v>
      </c>
      <c r="D959" s="658" t="s">
        <v>1773</v>
      </c>
      <c r="E959" s="865" t="s">
        <v>1774</v>
      </c>
      <c r="F959" s="865"/>
      <c r="G959" s="512"/>
      <c r="H959" s="905">
        <v>4600000</v>
      </c>
      <c r="I959" s="916">
        <f>H959</f>
        <v>4600000</v>
      </c>
      <c r="J959" s="909"/>
      <c r="K959" s="915">
        <v>4600000</v>
      </c>
      <c r="L959" s="951">
        <f>K959-I959</f>
        <v>0</v>
      </c>
    </row>
    <row r="960" spans="1:12" ht="13.5" thickBot="1">
      <c r="A960" s="994"/>
      <c r="B960" s="1040"/>
      <c r="C960" s="938"/>
      <c r="D960" s="939"/>
      <c r="E960" s="937"/>
      <c r="F960" s="937"/>
      <c r="G960" s="513"/>
      <c r="H960" s="942"/>
      <c r="I960" s="943"/>
      <c r="J960" s="944"/>
      <c r="K960" s="1091"/>
      <c r="L960" s="947"/>
    </row>
    <row r="961" spans="1:13">
      <c r="A961" s="1081">
        <v>471</v>
      </c>
      <c r="B961" s="879" t="s">
        <v>1753</v>
      </c>
      <c r="C961" s="914" t="s">
        <v>1764</v>
      </c>
      <c r="D961" s="660" t="s">
        <v>1755</v>
      </c>
      <c r="E961" s="879" t="s">
        <v>20</v>
      </c>
      <c r="F961" s="879" t="s">
        <v>1768</v>
      </c>
      <c r="G961" s="524"/>
      <c r="H961" s="916">
        <v>11500000</v>
      </c>
      <c r="I961" s="916">
        <f>H961</f>
        <v>11500000</v>
      </c>
      <c r="J961" s="949"/>
      <c r="K961" s="984">
        <v>11500000</v>
      </c>
      <c r="L961" s="901">
        <f>K961-I961</f>
        <v>0</v>
      </c>
    </row>
    <row r="962" spans="1:13" ht="13.5" thickBot="1">
      <c r="A962" s="992"/>
      <c r="B962" s="865"/>
      <c r="C962" s="904"/>
      <c r="D962" s="658"/>
      <c r="E962" s="865"/>
      <c r="F962" s="865"/>
      <c r="G962" s="522"/>
      <c r="H962" s="905"/>
      <c r="I962" s="906"/>
      <c r="J962" s="910"/>
      <c r="K962" s="920"/>
      <c r="L962" s="903"/>
    </row>
    <row r="963" spans="1:13" ht="12.75" customHeight="1">
      <c r="A963" s="991">
        <v>472</v>
      </c>
      <c r="B963" s="981"/>
      <c r="C963" s="904" t="s">
        <v>1000</v>
      </c>
      <c r="D963" s="658" t="s">
        <v>1765</v>
      </c>
      <c r="E963" s="865" t="s">
        <v>142</v>
      </c>
      <c r="F963" s="865" t="s">
        <v>1770</v>
      </c>
      <c r="G963" s="512"/>
      <c r="H963" s="905">
        <v>550000</v>
      </c>
      <c r="I963" s="916">
        <f>H963</f>
        <v>550000</v>
      </c>
      <c r="J963" s="909"/>
      <c r="K963" s="915">
        <v>550000</v>
      </c>
      <c r="L963" s="901">
        <f>K963-I963</f>
        <v>0</v>
      </c>
    </row>
    <row r="964" spans="1:13" ht="12.75" customHeight="1" thickBot="1">
      <c r="A964" s="1077"/>
      <c r="B964" s="1078"/>
      <c r="C964" s="913"/>
      <c r="D964" s="659"/>
      <c r="E964" s="878"/>
      <c r="F964" s="878"/>
      <c r="G964" s="516"/>
      <c r="H964" s="915"/>
      <c r="I964" s="982"/>
      <c r="J964" s="917"/>
      <c r="K964" s="988"/>
      <c r="L964" s="900"/>
    </row>
    <row r="965" spans="1:13">
      <c r="A965" s="991">
        <v>473</v>
      </c>
      <c r="B965" s="968" t="s">
        <v>1756</v>
      </c>
      <c r="C965" s="969" t="s">
        <v>1001</v>
      </c>
      <c r="D965" s="970" t="s">
        <v>1765</v>
      </c>
      <c r="E965" s="968" t="s">
        <v>670</v>
      </c>
      <c r="F965" s="968"/>
      <c r="G965" s="552"/>
      <c r="H965" s="973">
        <v>757000</v>
      </c>
      <c r="I965" s="973">
        <f>H965</f>
        <v>757000</v>
      </c>
      <c r="J965" s="974"/>
      <c r="K965" s="1001">
        <v>757000</v>
      </c>
      <c r="L965" s="967">
        <f>K965-I965</f>
        <v>0</v>
      </c>
      <c r="M965">
        <f>80*11500</f>
        <v>920000</v>
      </c>
    </row>
    <row r="966" spans="1:13" ht="13.5" thickBot="1">
      <c r="A966" s="992"/>
      <c r="B966" s="865"/>
      <c r="C966" s="904"/>
      <c r="D966" s="658"/>
      <c r="E966" s="865"/>
      <c r="F966" s="865"/>
      <c r="G966" s="551"/>
      <c r="H966" s="905"/>
      <c r="I966" s="906"/>
      <c r="J966" s="910"/>
      <c r="K966" s="920"/>
      <c r="L966" s="946"/>
    </row>
    <row r="967" spans="1:13">
      <c r="A967" s="991">
        <v>474</v>
      </c>
      <c r="B967" s="981"/>
      <c r="C967" s="904"/>
      <c r="D967" s="658"/>
      <c r="E967" s="865"/>
      <c r="F967" s="865"/>
      <c r="G967" s="485"/>
      <c r="H967" s="905"/>
      <c r="I967" s="916"/>
      <c r="J967" s="909"/>
      <c r="K967" s="915"/>
      <c r="L967" s="951"/>
    </row>
    <row r="968" spans="1:13" ht="13.5" thickBot="1">
      <c r="A968" s="994"/>
      <c r="B968" s="1082"/>
      <c r="C968" s="938"/>
      <c r="D968" s="939"/>
      <c r="E968" s="937"/>
      <c r="F968" s="937"/>
      <c r="G968" s="486"/>
      <c r="H968" s="942"/>
      <c r="I968" s="943"/>
      <c r="J968" s="944"/>
      <c r="K968" s="1091"/>
      <c r="L968" s="947"/>
    </row>
    <row r="969" spans="1:13" ht="12.75" customHeight="1">
      <c r="A969" s="1081">
        <v>475</v>
      </c>
      <c r="B969" s="879" t="s">
        <v>1769</v>
      </c>
      <c r="C969" s="914" t="s">
        <v>1785</v>
      </c>
      <c r="D969" s="660" t="s">
        <v>1784</v>
      </c>
      <c r="E969" s="879" t="s">
        <v>20</v>
      </c>
      <c r="F969" s="865" t="s">
        <v>1780</v>
      </c>
      <c r="G969" s="524"/>
      <c r="H969" s="916">
        <v>11100000</v>
      </c>
      <c r="I969" s="916">
        <f>H969</f>
        <v>11100000</v>
      </c>
      <c r="J969" s="949"/>
      <c r="K969" s="984">
        <v>11100000</v>
      </c>
      <c r="L969" s="901">
        <f>K969-I969</f>
        <v>0</v>
      </c>
      <c r="M969" s="6"/>
    </row>
    <row r="970" spans="1:13" ht="13.5" thickBot="1">
      <c r="A970" s="992"/>
      <c r="B970" s="865"/>
      <c r="C970" s="904"/>
      <c r="D970" s="658"/>
      <c r="E970" s="865"/>
      <c r="F970" s="878"/>
      <c r="G970" s="522"/>
      <c r="H970" s="905"/>
      <c r="I970" s="906"/>
      <c r="J970" s="910"/>
      <c r="K970" s="920"/>
      <c r="L970" s="903"/>
    </row>
    <row r="971" spans="1:13" ht="12.75" customHeight="1">
      <c r="A971" s="991">
        <v>476</v>
      </c>
      <c r="B971" s="981"/>
      <c r="C971" s="904" t="s">
        <v>1002</v>
      </c>
      <c r="D971" s="658" t="s">
        <v>1775</v>
      </c>
      <c r="E971" s="865" t="s">
        <v>142</v>
      </c>
      <c r="F971" s="865" t="s">
        <v>1778</v>
      </c>
      <c r="G971" s="522"/>
      <c r="H971" s="905">
        <v>550000</v>
      </c>
      <c r="I971" s="916">
        <f>H971</f>
        <v>550000</v>
      </c>
      <c r="J971" s="909"/>
      <c r="K971" s="919">
        <v>550000</v>
      </c>
      <c r="L971" s="901">
        <f>K971-I971</f>
        <v>0</v>
      </c>
    </row>
    <row r="972" spans="1:13" ht="12.75" customHeight="1">
      <c r="A972" s="992"/>
      <c r="B972" s="1078"/>
      <c r="C972" s="904"/>
      <c r="D972" s="658"/>
      <c r="E972" s="865"/>
      <c r="F972" s="865"/>
      <c r="G972" s="522"/>
      <c r="H972" s="905"/>
      <c r="I972" s="906"/>
      <c r="J972" s="910"/>
      <c r="K972" s="920"/>
      <c r="L972" s="903"/>
    </row>
    <row r="973" spans="1:13">
      <c r="A973" s="992">
        <v>477</v>
      </c>
      <c r="B973" s="865"/>
      <c r="C973" s="904" t="s">
        <v>1011</v>
      </c>
      <c r="D973" s="658" t="s">
        <v>1775</v>
      </c>
      <c r="E973" s="865" t="s">
        <v>874</v>
      </c>
      <c r="F973" s="865" t="s">
        <v>1781</v>
      </c>
      <c r="G973" s="522"/>
      <c r="H973" s="905">
        <v>550000</v>
      </c>
      <c r="I973" s="905">
        <f>H973</f>
        <v>550000</v>
      </c>
      <c r="J973" s="909"/>
      <c r="K973" s="915">
        <v>550000</v>
      </c>
      <c r="L973" s="903">
        <f>K973-I973</f>
        <v>0</v>
      </c>
    </row>
    <row r="974" spans="1:13">
      <c r="A974" s="1077"/>
      <c r="B974" s="878"/>
      <c r="C974" s="913"/>
      <c r="D974" s="659"/>
      <c r="E974" s="878"/>
      <c r="F974" s="878"/>
      <c r="G974" s="526"/>
      <c r="H974" s="915"/>
      <c r="I974" s="906"/>
      <c r="J974" s="910"/>
      <c r="K974" s="916"/>
      <c r="L974" s="903"/>
    </row>
    <row r="975" spans="1:13">
      <c r="A975" s="992">
        <v>477</v>
      </c>
      <c r="B975" s="865"/>
      <c r="C975" s="904" t="s">
        <v>1012</v>
      </c>
      <c r="D975" s="658" t="s">
        <v>1775</v>
      </c>
      <c r="E975" s="865" t="s">
        <v>908</v>
      </c>
      <c r="F975" s="865" t="s">
        <v>1782</v>
      </c>
      <c r="G975" s="496"/>
      <c r="H975" s="905">
        <v>920000</v>
      </c>
      <c r="I975" s="916">
        <f>H975</f>
        <v>920000</v>
      </c>
      <c r="J975" s="949"/>
      <c r="K975" s="988">
        <v>920000</v>
      </c>
      <c r="L975" s="901">
        <f>K975-I975</f>
        <v>0</v>
      </c>
    </row>
    <row r="976" spans="1:13" ht="13.5" thickBot="1">
      <c r="A976" s="1077"/>
      <c r="B976" s="878"/>
      <c r="C976" s="913"/>
      <c r="D976" s="659"/>
      <c r="E976" s="878"/>
      <c r="F976" s="878"/>
      <c r="G976" s="498"/>
      <c r="H976" s="915"/>
      <c r="I976" s="982"/>
      <c r="J976" s="917"/>
      <c r="K976" s="988"/>
      <c r="L976" s="900"/>
      <c r="M976">
        <f>920000/80</f>
        <v>11500</v>
      </c>
    </row>
    <row r="977" spans="1:12">
      <c r="A977" s="991">
        <v>478</v>
      </c>
      <c r="B977" s="1043" t="s">
        <v>1771</v>
      </c>
      <c r="C977" s="969" t="s">
        <v>1789</v>
      </c>
      <c r="D977" s="970" t="s">
        <v>1788</v>
      </c>
      <c r="E977" s="968" t="s">
        <v>20</v>
      </c>
      <c r="F977" s="968"/>
      <c r="G977" s="530"/>
      <c r="H977" s="973">
        <v>11500000</v>
      </c>
      <c r="I977" s="973">
        <f>H977</f>
        <v>11500000</v>
      </c>
      <c r="J977" s="974"/>
      <c r="K977" s="1001">
        <v>11500000</v>
      </c>
      <c r="L977" s="967">
        <f>K977-I977</f>
        <v>0</v>
      </c>
    </row>
    <row r="978" spans="1:12">
      <c r="A978" s="992"/>
      <c r="B978" s="1026"/>
      <c r="C978" s="904"/>
      <c r="D978" s="658"/>
      <c r="E978" s="865"/>
      <c r="F978" s="865"/>
      <c r="G978" s="527"/>
      <c r="H978" s="905"/>
      <c r="I978" s="906"/>
      <c r="J978" s="910"/>
      <c r="K978" s="920"/>
      <c r="L978" s="946"/>
    </row>
    <row r="979" spans="1:12">
      <c r="A979" s="992">
        <v>479</v>
      </c>
      <c r="B979" s="1039"/>
      <c r="C979" s="904" t="s">
        <v>1013</v>
      </c>
      <c r="D979" s="658" t="s">
        <v>1775</v>
      </c>
      <c r="E979" s="865" t="s">
        <v>804</v>
      </c>
      <c r="F979" s="865"/>
      <c r="G979" s="527"/>
      <c r="H979" s="905">
        <v>4100000</v>
      </c>
      <c r="I979" s="916">
        <f>H979</f>
        <v>4100000</v>
      </c>
      <c r="J979" s="909"/>
      <c r="K979" s="919">
        <v>4100000</v>
      </c>
      <c r="L979" s="951">
        <f>K979-I979</f>
        <v>0</v>
      </c>
    </row>
    <row r="980" spans="1:12" ht="13.5" thickBot="1">
      <c r="A980" s="994"/>
      <c r="B980" s="1040"/>
      <c r="C980" s="938"/>
      <c r="D980" s="939"/>
      <c r="E980" s="937"/>
      <c r="F980" s="937"/>
      <c r="G980" s="528"/>
      <c r="H980" s="942"/>
      <c r="I980" s="943"/>
      <c r="J980" s="944"/>
      <c r="K980" s="1041"/>
      <c r="L980" s="947"/>
    </row>
    <row r="981" spans="1:12">
      <c r="A981" s="1081">
        <v>480</v>
      </c>
      <c r="B981" s="879" t="s">
        <v>1776</v>
      </c>
      <c r="C981" s="914"/>
      <c r="D981" s="660" t="s">
        <v>1795</v>
      </c>
      <c r="E981" s="879" t="s">
        <v>20</v>
      </c>
      <c r="F981" s="879"/>
      <c r="G981" s="529"/>
      <c r="H981" s="916">
        <v>11900000</v>
      </c>
      <c r="I981" s="916">
        <f>H981</f>
        <v>11900000</v>
      </c>
      <c r="J981" s="949"/>
      <c r="K981" s="988">
        <v>11900000</v>
      </c>
      <c r="L981" s="901">
        <f>K981-I981</f>
        <v>0</v>
      </c>
    </row>
    <row r="982" spans="1:12">
      <c r="A982" s="992"/>
      <c r="B982" s="865"/>
      <c r="C982" s="904"/>
      <c r="D982" s="658"/>
      <c r="E982" s="865"/>
      <c r="F982" s="865"/>
      <c r="G982" s="527"/>
      <c r="H982" s="905"/>
      <c r="I982" s="906"/>
      <c r="J982" s="910"/>
      <c r="K982" s="916"/>
      <c r="L982" s="903"/>
    </row>
    <row r="983" spans="1:12" ht="12.75" customHeight="1">
      <c r="A983" s="992">
        <v>481</v>
      </c>
      <c r="B983" s="981"/>
      <c r="C983" s="904" t="s">
        <v>1020</v>
      </c>
      <c r="D983" s="658" t="s">
        <v>1791</v>
      </c>
      <c r="E983" s="865" t="s">
        <v>1284</v>
      </c>
      <c r="F983" s="865" t="s">
        <v>907</v>
      </c>
      <c r="G983" s="527"/>
      <c r="H983" s="905">
        <v>3500000</v>
      </c>
      <c r="I983" s="916">
        <f>H983</f>
        <v>3500000</v>
      </c>
      <c r="J983" s="909"/>
      <c r="K983" s="919">
        <v>3500000</v>
      </c>
      <c r="L983" s="901">
        <f>K983-I983</f>
        <v>0</v>
      </c>
    </row>
    <row r="984" spans="1:12" ht="13.5" customHeight="1" thickBot="1">
      <c r="A984" s="992"/>
      <c r="B984" s="1078"/>
      <c r="C984" s="904"/>
      <c r="D984" s="658"/>
      <c r="E984" s="865"/>
      <c r="F984" s="865"/>
      <c r="G984" s="527"/>
      <c r="H984" s="905"/>
      <c r="I984" s="906"/>
      <c r="J984" s="910"/>
      <c r="K984" s="920"/>
      <c r="L984" s="903"/>
    </row>
    <row r="985" spans="1:12">
      <c r="A985" s="991">
        <v>482</v>
      </c>
      <c r="B985" s="865"/>
      <c r="C985" s="904" t="s">
        <v>1030</v>
      </c>
      <c r="D985" s="658" t="s">
        <v>1791</v>
      </c>
      <c r="E985" s="865" t="s">
        <v>1792</v>
      </c>
      <c r="F985" s="865" t="s">
        <v>1786</v>
      </c>
      <c r="G985" s="527"/>
      <c r="H985" s="905">
        <f>200*11500</f>
        <v>2300000</v>
      </c>
      <c r="I985" s="916">
        <f>H985</f>
        <v>2300000</v>
      </c>
      <c r="J985" s="909"/>
      <c r="K985" s="919">
        <v>2300000</v>
      </c>
      <c r="L985" s="901">
        <f>K985-I985</f>
        <v>0</v>
      </c>
    </row>
    <row r="986" spans="1:12" ht="13.5" thickBot="1">
      <c r="A986" s="992"/>
      <c r="B986" s="865"/>
      <c r="C986" s="904"/>
      <c r="D986" s="658"/>
      <c r="E986" s="865"/>
      <c r="F986" s="865"/>
      <c r="G986" s="527"/>
      <c r="H986" s="905"/>
      <c r="I986" s="906"/>
      <c r="J986" s="910"/>
      <c r="K986" s="920"/>
      <c r="L986" s="903"/>
    </row>
    <row r="987" spans="1:12">
      <c r="A987" s="991">
        <v>484</v>
      </c>
      <c r="B987" s="968" t="s">
        <v>1777</v>
      </c>
      <c r="C987" s="969" t="s">
        <v>1019</v>
      </c>
      <c r="D987" s="970" t="s">
        <v>1783</v>
      </c>
      <c r="E987" s="968" t="s">
        <v>1275</v>
      </c>
      <c r="F987" s="968"/>
      <c r="G987" s="530" t="s">
        <v>120</v>
      </c>
      <c r="H987" s="973">
        <v>1867000</v>
      </c>
      <c r="I987" s="973">
        <f>H987</f>
        <v>1867000</v>
      </c>
      <c r="J987" s="974"/>
      <c r="K987" s="1001">
        <v>1867000</v>
      </c>
      <c r="L987" s="967">
        <f>K987-I987</f>
        <v>0</v>
      </c>
    </row>
    <row r="988" spans="1:12">
      <c r="A988" s="992"/>
      <c r="B988" s="865"/>
      <c r="C988" s="904"/>
      <c r="D988" s="658"/>
      <c r="E988" s="865"/>
      <c r="F988" s="865"/>
      <c r="G988" s="527"/>
      <c r="H988" s="905"/>
      <c r="I988" s="906"/>
      <c r="J988" s="910"/>
      <c r="K988" s="920"/>
      <c r="L988" s="946"/>
    </row>
    <row r="989" spans="1:12">
      <c r="A989" s="992">
        <v>485</v>
      </c>
      <c r="B989" s="981"/>
      <c r="C989" s="904"/>
      <c r="D989" s="658"/>
      <c r="E989" s="865"/>
      <c r="F989" s="865"/>
      <c r="G989" s="527"/>
      <c r="H989" s="905"/>
      <c r="I989" s="916">
        <f>H989</f>
        <v>0</v>
      </c>
      <c r="J989" s="909"/>
      <c r="K989" s="919"/>
      <c r="L989" s="951">
        <f>K989-I989</f>
        <v>0</v>
      </c>
    </row>
    <row r="990" spans="1:12" ht="13.5" thickBot="1">
      <c r="A990" s="994"/>
      <c r="B990" s="1082"/>
      <c r="C990" s="938"/>
      <c r="D990" s="939"/>
      <c r="E990" s="937"/>
      <c r="F990" s="937"/>
      <c r="G990" s="528"/>
      <c r="H990" s="942"/>
      <c r="I990" s="943"/>
      <c r="J990" s="944"/>
      <c r="K990" s="1041"/>
      <c r="L990" s="947"/>
    </row>
    <row r="991" spans="1:12">
      <c r="A991" s="1081">
        <v>486</v>
      </c>
      <c r="B991" s="879" t="s">
        <v>1779</v>
      </c>
      <c r="C991" s="914"/>
      <c r="D991" s="660" t="s">
        <v>1787</v>
      </c>
      <c r="E991" s="879" t="s">
        <v>20</v>
      </c>
      <c r="F991" s="879"/>
      <c r="G991" s="529"/>
      <c r="H991" s="916">
        <v>11100000</v>
      </c>
      <c r="I991" s="916">
        <f>H991</f>
        <v>11100000</v>
      </c>
      <c r="J991" s="949"/>
      <c r="K991" s="988">
        <v>11100000</v>
      </c>
      <c r="L991" s="901">
        <v>0</v>
      </c>
    </row>
    <row r="992" spans="1:12">
      <c r="A992" s="992"/>
      <c r="B992" s="865"/>
      <c r="C992" s="904"/>
      <c r="D992" s="658"/>
      <c r="E992" s="865"/>
      <c r="F992" s="865"/>
      <c r="G992" s="527"/>
      <c r="H992" s="905"/>
      <c r="I992" s="906"/>
      <c r="J992" s="910"/>
      <c r="K992" s="916"/>
      <c r="L992" s="903"/>
    </row>
    <row r="993" spans="1:16" ht="12.75" customHeight="1">
      <c r="A993" s="992">
        <v>487</v>
      </c>
      <c r="B993" s="981"/>
      <c r="C993" s="904" t="s">
        <v>1031</v>
      </c>
      <c r="D993" s="658" t="s">
        <v>1793</v>
      </c>
      <c r="E993" s="1044" t="s">
        <v>1799</v>
      </c>
      <c r="F993" s="1046" t="s">
        <v>1794</v>
      </c>
      <c r="G993" s="434"/>
      <c r="H993" s="1048">
        <v>3500000</v>
      </c>
      <c r="I993" s="1050">
        <f>H993</f>
        <v>3500000</v>
      </c>
      <c r="J993" s="1052"/>
      <c r="K993" s="1054">
        <v>3500000</v>
      </c>
      <c r="L993" s="1083">
        <f>K993-I993</f>
        <v>0</v>
      </c>
      <c r="M993" s="6" t="s">
        <v>2822</v>
      </c>
    </row>
    <row r="994" spans="1:16" ht="13.5" customHeight="1" thickBot="1">
      <c r="A994" s="992"/>
      <c r="B994" s="1078"/>
      <c r="C994" s="904"/>
      <c r="D994" s="658"/>
      <c r="E994" s="1044"/>
      <c r="F994" s="1046"/>
      <c r="G994" s="434"/>
      <c r="H994" s="1048"/>
      <c r="I994" s="1088"/>
      <c r="J994" s="1089"/>
      <c r="K994" s="1090"/>
      <c r="L994" s="1084"/>
    </row>
    <row r="995" spans="1:16">
      <c r="A995" s="991">
        <v>488</v>
      </c>
      <c r="B995" s="865"/>
      <c r="C995" s="904" t="s">
        <v>1035</v>
      </c>
      <c r="D995" s="674" t="s">
        <v>1796</v>
      </c>
      <c r="E995" s="865" t="s">
        <v>142</v>
      </c>
      <c r="F995" s="865"/>
      <c r="G995" s="512"/>
      <c r="H995" s="905">
        <v>550000</v>
      </c>
      <c r="I995" s="916">
        <f>H995</f>
        <v>550000</v>
      </c>
      <c r="J995" s="909"/>
      <c r="K995" s="919">
        <v>550000</v>
      </c>
      <c r="L995" s="901">
        <f>K995-I995</f>
        <v>0</v>
      </c>
    </row>
    <row r="996" spans="1:16">
      <c r="A996" s="992"/>
      <c r="B996" s="865"/>
      <c r="C996" s="904"/>
      <c r="D996" s="674"/>
      <c r="E996" s="865"/>
      <c r="F996" s="865"/>
      <c r="G996" s="512"/>
      <c r="H996" s="905"/>
      <c r="I996" s="906"/>
      <c r="J996" s="910"/>
      <c r="K996" s="920"/>
      <c r="L996" s="903"/>
    </row>
    <row r="997" spans="1:16">
      <c r="A997" s="992">
        <v>489</v>
      </c>
      <c r="B997" s="865"/>
      <c r="C997" s="904"/>
      <c r="D997" s="658"/>
      <c r="E997" s="865"/>
      <c r="F997" s="865"/>
      <c r="G997" s="509"/>
      <c r="H997" s="905"/>
      <c r="I997" s="916">
        <f>H997</f>
        <v>0</v>
      </c>
      <c r="J997" s="909"/>
      <c r="K997" s="915"/>
      <c r="L997" s="901">
        <f>K997-I997</f>
        <v>0</v>
      </c>
      <c r="M997" t="s">
        <v>1832</v>
      </c>
    </row>
    <row r="998" spans="1:16" ht="13.5" thickBot="1">
      <c r="A998" s="992"/>
      <c r="B998" s="865"/>
      <c r="C998" s="904"/>
      <c r="D998" s="658"/>
      <c r="E998" s="865"/>
      <c r="F998" s="865"/>
      <c r="G998" s="509"/>
      <c r="H998" s="905"/>
      <c r="I998" s="906"/>
      <c r="J998" s="910"/>
      <c r="K998" s="916"/>
      <c r="L998" s="903"/>
    </row>
    <row r="999" spans="1:16" ht="12.75" customHeight="1">
      <c r="A999" s="1066"/>
      <c r="B999" s="1068" t="s">
        <v>572</v>
      </c>
      <c r="C999" s="1069"/>
      <c r="D999" s="1069"/>
      <c r="E999" s="1069"/>
      <c r="F999" s="1069"/>
      <c r="G999" s="1069"/>
      <c r="H999" s="1069"/>
      <c r="I999" s="1069"/>
      <c r="J999" s="1069"/>
      <c r="K999" s="1069"/>
      <c r="L999" s="1070"/>
      <c r="M999" s="1075">
        <f>SUM(I995:I998,I1001:I1088)</f>
        <v>225028482.5</v>
      </c>
      <c r="N999" s="111"/>
      <c r="O999" s="111"/>
      <c r="P999" s="111"/>
    </row>
    <row r="1000" spans="1:16" ht="12.75" customHeight="1" thickBot="1">
      <c r="A1000" s="1067"/>
      <c r="B1000" s="1071"/>
      <c r="C1000" s="1072"/>
      <c r="D1000" s="1072"/>
      <c r="E1000" s="1072"/>
      <c r="F1000" s="1072"/>
      <c r="G1000" s="1072"/>
      <c r="H1000" s="1072"/>
      <c r="I1000" s="1072"/>
      <c r="J1000" s="1072"/>
      <c r="K1000" s="1072"/>
      <c r="L1000" s="1073"/>
      <c r="M1000" s="1075"/>
      <c r="N1000" s="111"/>
      <c r="O1000" s="111"/>
      <c r="P1000" s="111"/>
    </row>
    <row r="1001" spans="1:16">
      <c r="A1001" s="1059">
        <v>490</v>
      </c>
      <c r="B1001" s="975" t="s">
        <v>1790</v>
      </c>
      <c r="C1001" s="969"/>
      <c r="D1001" s="970" t="s">
        <v>1797</v>
      </c>
      <c r="E1001" s="968" t="s">
        <v>20</v>
      </c>
      <c r="F1001" s="968"/>
      <c r="G1001" s="543"/>
      <c r="H1001" s="973">
        <v>11100000</v>
      </c>
      <c r="I1001" s="973">
        <f>H1001</f>
        <v>11100000</v>
      </c>
      <c r="J1001" s="974"/>
      <c r="K1001" s="1001">
        <v>1110000</v>
      </c>
      <c r="L1001" s="967">
        <v>0</v>
      </c>
    </row>
    <row r="1002" spans="1:16" ht="13.5" thickBot="1">
      <c r="A1002" s="1061"/>
      <c r="B1002" s="976"/>
      <c r="C1002" s="904"/>
      <c r="D1002" s="658"/>
      <c r="E1002" s="865"/>
      <c r="F1002" s="865"/>
      <c r="G1002" s="542"/>
      <c r="H1002" s="905"/>
      <c r="I1002" s="906"/>
      <c r="J1002" s="910"/>
      <c r="K1002" s="920"/>
      <c r="L1002" s="946"/>
    </row>
    <row r="1003" spans="1:16" ht="12.75" customHeight="1">
      <c r="A1003" s="1059">
        <v>491</v>
      </c>
      <c r="B1003" s="981"/>
      <c r="C1003" s="904" t="s">
        <v>1036</v>
      </c>
      <c r="D1003" s="658" t="s">
        <v>1805</v>
      </c>
      <c r="E1003" s="865" t="s">
        <v>1774</v>
      </c>
      <c r="F1003" s="865"/>
      <c r="G1003" s="522"/>
      <c r="H1003" s="905">
        <v>2800000</v>
      </c>
      <c r="I1003" s="916">
        <f>H1003</f>
        <v>2800000</v>
      </c>
      <c r="J1003" s="909"/>
      <c r="K1003" s="919">
        <v>2800000</v>
      </c>
      <c r="L1003" s="951">
        <f>K1003-I1003</f>
        <v>0</v>
      </c>
    </row>
    <row r="1004" spans="1:16" ht="13.5" customHeight="1" thickBot="1">
      <c r="A1004" s="1061"/>
      <c r="B1004" s="1078"/>
      <c r="C1004" s="904"/>
      <c r="D1004" s="658"/>
      <c r="E1004" s="865"/>
      <c r="F1004" s="865"/>
      <c r="G1004" s="522"/>
      <c r="H1004" s="905"/>
      <c r="I1004" s="906"/>
      <c r="J1004" s="910"/>
      <c r="K1004" s="920"/>
      <c r="L1004" s="946"/>
    </row>
    <row r="1005" spans="1:16">
      <c r="A1005" s="1059">
        <v>492</v>
      </c>
      <c r="B1005" s="1079"/>
      <c r="C1005" s="904" t="s">
        <v>1037</v>
      </c>
      <c r="D1005" s="658" t="s">
        <v>1806</v>
      </c>
      <c r="E1005" s="865" t="s">
        <v>14</v>
      </c>
      <c r="F1005" s="865" t="s">
        <v>1800</v>
      </c>
      <c r="G1005" s="522"/>
      <c r="H1005" s="905">
        <v>4000000</v>
      </c>
      <c r="I1005" s="916">
        <f>H1005</f>
        <v>4000000</v>
      </c>
      <c r="J1005" s="909"/>
      <c r="K1005" s="919">
        <v>4000000</v>
      </c>
      <c r="L1005" s="951">
        <f>K1005-I1005</f>
        <v>0</v>
      </c>
    </row>
    <row r="1006" spans="1:16" ht="13.5" thickBot="1">
      <c r="A1006" s="1061"/>
      <c r="B1006" s="1079"/>
      <c r="C1006" s="904"/>
      <c r="D1006" s="658"/>
      <c r="E1006" s="865"/>
      <c r="F1006" s="865"/>
      <c r="G1006" s="522"/>
      <c r="H1006" s="905"/>
      <c r="I1006" s="906"/>
      <c r="J1006" s="910"/>
      <c r="K1006" s="920"/>
      <c r="L1006" s="946"/>
    </row>
    <row r="1007" spans="1:16">
      <c r="A1007" s="1059">
        <v>493</v>
      </c>
      <c r="B1007" s="1079"/>
      <c r="C1007" s="904" t="s">
        <v>1038</v>
      </c>
      <c r="D1007" s="658" t="s">
        <v>1806</v>
      </c>
      <c r="E1007" s="865" t="s">
        <v>105</v>
      </c>
      <c r="F1007" s="865">
        <v>525</v>
      </c>
      <c r="G1007" s="522"/>
      <c r="H1007" s="905">
        <v>550000</v>
      </c>
      <c r="I1007" s="916">
        <f>H1007</f>
        <v>550000</v>
      </c>
      <c r="J1007" s="909"/>
      <c r="K1007" s="919">
        <v>550000</v>
      </c>
      <c r="L1007" s="951">
        <f>K1007-I1007</f>
        <v>0</v>
      </c>
    </row>
    <row r="1008" spans="1:16" ht="13.5" thickBot="1">
      <c r="A1008" s="1061"/>
      <c r="B1008" s="1079"/>
      <c r="C1008" s="904"/>
      <c r="D1008" s="658"/>
      <c r="E1008" s="865"/>
      <c r="F1008" s="865"/>
      <c r="G1008" s="522"/>
      <c r="H1008" s="905"/>
      <c r="I1008" s="906"/>
      <c r="J1008" s="910"/>
      <c r="K1008" s="920"/>
      <c r="L1008" s="946"/>
    </row>
    <row r="1009" spans="1:15">
      <c r="A1009" s="1059">
        <v>494</v>
      </c>
      <c r="B1009" s="1079"/>
      <c r="C1009" s="904" t="s">
        <v>1045</v>
      </c>
      <c r="D1009" s="658" t="s">
        <v>1806</v>
      </c>
      <c r="E1009" s="865" t="s">
        <v>697</v>
      </c>
      <c r="F1009" s="865"/>
      <c r="G1009" s="522"/>
      <c r="H1009" s="905">
        <v>550000</v>
      </c>
      <c r="I1009" s="916">
        <f>H1009</f>
        <v>550000</v>
      </c>
      <c r="J1009" s="909"/>
      <c r="K1009" s="919">
        <v>550000</v>
      </c>
      <c r="L1009" s="951">
        <f>K1009-I1009</f>
        <v>0</v>
      </c>
    </row>
    <row r="1010" spans="1:15" ht="13.5" thickBot="1">
      <c r="A1010" s="1061"/>
      <c r="B1010" s="1080"/>
      <c r="C1010" s="938"/>
      <c r="D1010" s="939"/>
      <c r="E1010" s="937"/>
      <c r="F1010" s="937"/>
      <c r="G1010" s="523"/>
      <c r="H1010" s="942"/>
      <c r="I1010" s="943"/>
      <c r="J1010" s="944"/>
      <c r="K1010" s="1041"/>
      <c r="L1010" s="947"/>
    </row>
    <row r="1011" spans="1:15">
      <c r="A1011" s="991">
        <v>495</v>
      </c>
      <c r="B1011" s="968" t="s">
        <v>1798</v>
      </c>
      <c r="C1011" s="969" t="s">
        <v>6</v>
      </c>
      <c r="D1011" s="970" t="s">
        <v>1815</v>
      </c>
      <c r="E1011" s="968" t="s">
        <v>1813</v>
      </c>
      <c r="F1011" s="968"/>
      <c r="G1011" s="537"/>
      <c r="H1011" s="973">
        <v>5700000</v>
      </c>
      <c r="I1011" s="973">
        <f>H1011</f>
        <v>5700000</v>
      </c>
      <c r="J1011" s="974"/>
      <c r="K1011" s="1001">
        <v>5700000</v>
      </c>
      <c r="L1011" s="967">
        <f>K1011-I1011</f>
        <v>0</v>
      </c>
    </row>
    <row r="1012" spans="1:15" ht="13.5" thickBot="1">
      <c r="A1012" s="992"/>
      <c r="B1012" s="865"/>
      <c r="C1012" s="904"/>
      <c r="D1012" s="658"/>
      <c r="E1012" s="865"/>
      <c r="F1012" s="865"/>
      <c r="G1012" s="536"/>
      <c r="H1012" s="905"/>
      <c r="I1012" s="906"/>
      <c r="J1012" s="910"/>
      <c r="K1012" s="920"/>
      <c r="L1012" s="946"/>
      <c r="O1012">
        <v>4251900</v>
      </c>
    </row>
    <row r="1013" spans="1:15" ht="12.75" customHeight="1">
      <c r="A1013" s="991">
        <v>496</v>
      </c>
      <c r="B1013" s="981"/>
      <c r="C1013" s="904" t="s">
        <v>1046</v>
      </c>
      <c r="D1013" s="658" t="s">
        <v>1807</v>
      </c>
      <c r="E1013" s="865" t="s">
        <v>142</v>
      </c>
      <c r="F1013" s="865" t="s">
        <v>1811</v>
      </c>
      <c r="G1013" s="512"/>
      <c r="H1013" s="905">
        <v>550000</v>
      </c>
      <c r="I1013" s="916">
        <f>H1013</f>
        <v>550000</v>
      </c>
      <c r="J1013" s="909"/>
      <c r="K1013" s="919">
        <v>550000</v>
      </c>
      <c r="L1013" s="951">
        <f>K1013-I1013</f>
        <v>0</v>
      </c>
    </row>
    <row r="1014" spans="1:15" ht="13.5" customHeight="1" thickBot="1">
      <c r="A1014" s="992"/>
      <c r="B1014" s="1078"/>
      <c r="C1014" s="904"/>
      <c r="D1014" s="658"/>
      <c r="E1014" s="865"/>
      <c r="F1014" s="865"/>
      <c r="G1014" s="512"/>
      <c r="H1014" s="905"/>
      <c r="I1014" s="906"/>
      <c r="J1014" s="910"/>
      <c r="K1014" s="920"/>
      <c r="L1014" s="946"/>
    </row>
    <row r="1015" spans="1:15">
      <c r="A1015" s="991">
        <v>497</v>
      </c>
      <c r="B1015" s="1039"/>
      <c r="C1015" s="904" t="s">
        <v>1052</v>
      </c>
      <c r="D1015" s="658" t="s">
        <v>1807</v>
      </c>
      <c r="E1015" s="865" t="s">
        <v>630</v>
      </c>
      <c r="F1015" s="865" t="s">
        <v>1810</v>
      </c>
      <c r="G1015" s="522"/>
      <c r="H1015" s="905">
        <f>570*11500</f>
        <v>6555000</v>
      </c>
      <c r="I1015" s="916">
        <f>H1015</f>
        <v>6555000</v>
      </c>
      <c r="J1015" s="909"/>
      <c r="K1015" s="919">
        <v>6555000</v>
      </c>
      <c r="L1015" s="951">
        <f>K1015-I1015</f>
        <v>0</v>
      </c>
    </row>
    <row r="1016" spans="1:15" ht="13.5" thickBot="1">
      <c r="A1016" s="992"/>
      <c r="B1016" s="1039"/>
      <c r="C1016" s="904"/>
      <c r="D1016" s="658"/>
      <c r="E1016" s="865"/>
      <c r="F1016" s="865"/>
      <c r="G1016" s="522"/>
      <c r="H1016" s="905"/>
      <c r="I1016" s="906"/>
      <c r="J1016" s="910"/>
      <c r="K1016" s="920"/>
      <c r="L1016" s="946"/>
    </row>
    <row r="1017" spans="1:15">
      <c r="A1017" s="991">
        <v>497</v>
      </c>
      <c r="B1017" s="1039"/>
      <c r="C1017" s="904" t="s">
        <v>1053</v>
      </c>
      <c r="D1017" s="658" t="s">
        <v>1807</v>
      </c>
      <c r="E1017" s="865" t="s">
        <v>26</v>
      </c>
      <c r="F1017" s="865">
        <v>350</v>
      </c>
      <c r="G1017" s="512"/>
      <c r="H1017" s="905">
        <f>12000*170</f>
        <v>2040000</v>
      </c>
      <c r="I1017" s="916">
        <f>H1017</f>
        <v>2040000</v>
      </c>
      <c r="J1017" s="909"/>
      <c r="K1017" s="919">
        <v>2040000</v>
      </c>
      <c r="L1017" s="951">
        <f>K1017-I1017</f>
        <v>0</v>
      </c>
    </row>
    <row r="1018" spans="1:15" ht="13.5" thickBot="1">
      <c r="A1018" s="994"/>
      <c r="B1018" s="1040"/>
      <c r="C1018" s="938"/>
      <c r="D1018" s="939"/>
      <c r="E1018" s="937"/>
      <c r="F1018" s="937"/>
      <c r="G1018" s="513"/>
      <c r="H1018" s="942"/>
      <c r="I1018" s="943"/>
      <c r="J1018" s="944"/>
      <c r="K1018" s="1041"/>
      <c r="L1018" s="947"/>
    </row>
    <row r="1019" spans="1:15">
      <c r="A1019" s="991">
        <v>497</v>
      </c>
      <c r="B1019" s="1039"/>
      <c r="C1019" s="904" t="s">
        <v>1054</v>
      </c>
      <c r="D1019" s="658" t="s">
        <v>1807</v>
      </c>
      <c r="E1019" s="865" t="s">
        <v>1809</v>
      </c>
      <c r="F1019" s="1298" t="s">
        <v>198</v>
      </c>
      <c r="G1019" s="512"/>
      <c r="H1019" s="905">
        <v>720000</v>
      </c>
      <c r="I1019" s="916">
        <f>H1019</f>
        <v>720000</v>
      </c>
      <c r="J1019" s="909"/>
      <c r="K1019" s="919">
        <v>720000</v>
      </c>
      <c r="L1019" s="951">
        <f>K1019-I1019</f>
        <v>0</v>
      </c>
    </row>
    <row r="1020" spans="1:15" ht="13.5" thickBot="1">
      <c r="A1020" s="994"/>
      <c r="B1020" s="1040"/>
      <c r="C1020" s="938"/>
      <c r="D1020" s="939"/>
      <c r="E1020" s="937"/>
      <c r="F1020" s="1299"/>
      <c r="G1020" s="513"/>
      <c r="H1020" s="942"/>
      <c r="I1020" s="943"/>
      <c r="J1020" s="944"/>
      <c r="K1020" s="1041"/>
      <c r="L1020" s="947"/>
    </row>
    <row r="1021" spans="1:15">
      <c r="A1021" s="1081">
        <v>498</v>
      </c>
      <c r="B1021" s="879" t="s">
        <v>1801</v>
      </c>
      <c r="C1021" s="914"/>
      <c r="D1021" s="660" t="s">
        <v>1821</v>
      </c>
      <c r="E1021" s="879" t="s">
        <v>20</v>
      </c>
      <c r="F1021" s="879" t="s">
        <v>1802</v>
      </c>
      <c r="G1021" s="538"/>
      <c r="H1021" s="916">
        <v>11500000</v>
      </c>
      <c r="I1021" s="916">
        <f>H1021</f>
        <v>11500000</v>
      </c>
      <c r="J1021" s="949"/>
      <c r="K1021" s="984">
        <v>11500000</v>
      </c>
      <c r="L1021" s="901">
        <f>K1021-I1021</f>
        <v>0</v>
      </c>
    </row>
    <row r="1022" spans="1:15" ht="13.5" thickBot="1">
      <c r="A1022" s="992"/>
      <c r="B1022" s="865"/>
      <c r="C1022" s="904"/>
      <c r="D1022" s="658"/>
      <c r="E1022" s="865"/>
      <c r="F1022" s="865"/>
      <c r="G1022" s="536"/>
      <c r="H1022" s="905"/>
      <c r="I1022" s="906"/>
      <c r="J1022" s="910"/>
      <c r="K1022" s="920"/>
      <c r="L1022" s="903"/>
    </row>
    <row r="1023" spans="1:15" ht="12.75" customHeight="1">
      <c r="A1023" s="991">
        <v>499</v>
      </c>
      <c r="B1023" s="981"/>
      <c r="C1023" s="904" t="s">
        <v>1049</v>
      </c>
      <c r="D1023" s="658" t="s">
        <v>1820</v>
      </c>
      <c r="E1023" s="865" t="s">
        <v>1051</v>
      </c>
      <c r="F1023" s="865" t="s">
        <v>1814</v>
      </c>
      <c r="G1023" s="519"/>
      <c r="H1023" s="905">
        <v>5500000</v>
      </c>
      <c r="I1023" s="916">
        <f>H1023</f>
        <v>5500000</v>
      </c>
      <c r="J1023" s="909"/>
      <c r="K1023" s="919">
        <v>5500000</v>
      </c>
      <c r="L1023" s="901">
        <f>K1023-I1023</f>
        <v>0</v>
      </c>
    </row>
    <row r="1024" spans="1:15" ht="13.5" customHeight="1" thickBot="1">
      <c r="A1024" s="992"/>
      <c r="B1024" s="1078"/>
      <c r="C1024" s="904"/>
      <c r="D1024" s="658"/>
      <c r="E1024" s="865"/>
      <c r="F1024" s="865"/>
      <c r="G1024" s="519"/>
      <c r="H1024" s="905"/>
      <c r="I1024" s="906"/>
      <c r="J1024" s="910"/>
      <c r="K1024" s="920"/>
      <c r="L1024" s="903"/>
    </row>
    <row r="1025" spans="1:16">
      <c r="A1025" s="1059">
        <v>501</v>
      </c>
      <c r="B1025" s="975" t="s">
        <v>1808</v>
      </c>
      <c r="C1025" s="969"/>
      <c r="D1025" s="970" t="s">
        <v>1807</v>
      </c>
      <c r="E1025" s="968" t="s">
        <v>20</v>
      </c>
      <c r="F1025" s="968" t="s">
        <v>1804</v>
      </c>
      <c r="G1025" s="532"/>
      <c r="H1025" s="973">
        <v>10700000</v>
      </c>
      <c r="I1025" s="973">
        <f>H1025</f>
        <v>10700000</v>
      </c>
      <c r="J1025" s="974"/>
      <c r="K1025" s="1001">
        <v>10700000</v>
      </c>
      <c r="L1025" s="967">
        <f>K1025-I1025</f>
        <v>0</v>
      </c>
    </row>
    <row r="1026" spans="1:16" ht="13.5" thickBot="1">
      <c r="A1026" s="1061"/>
      <c r="B1026" s="976"/>
      <c r="C1026" s="904"/>
      <c r="D1026" s="658"/>
      <c r="E1026" s="865"/>
      <c r="F1026" s="865"/>
      <c r="G1026" s="531"/>
      <c r="H1026" s="905"/>
      <c r="I1026" s="906"/>
      <c r="J1026" s="910"/>
      <c r="K1026" s="920"/>
      <c r="L1026" s="946"/>
    </row>
    <row r="1027" spans="1:16">
      <c r="A1027" s="1059">
        <v>502</v>
      </c>
      <c r="B1027" s="1079"/>
      <c r="C1027" s="904" t="s">
        <v>1055</v>
      </c>
      <c r="D1027" s="658" t="s">
        <v>1820</v>
      </c>
      <c r="E1027" s="865" t="s">
        <v>1457</v>
      </c>
      <c r="F1027" s="865">
        <v>550</v>
      </c>
      <c r="G1027" s="556"/>
      <c r="H1027" s="905">
        <v>2000000</v>
      </c>
      <c r="I1027" s="916">
        <f>H1027</f>
        <v>2000000</v>
      </c>
      <c r="J1027" s="909"/>
      <c r="K1027" s="919">
        <v>2000000</v>
      </c>
      <c r="L1027" s="951">
        <f>K1027-I1027</f>
        <v>0</v>
      </c>
    </row>
    <row r="1028" spans="1:16" ht="13.5" thickBot="1">
      <c r="A1028" s="1061"/>
      <c r="B1028" s="1080"/>
      <c r="C1028" s="938"/>
      <c r="D1028" s="939"/>
      <c r="E1028" s="937"/>
      <c r="F1028" s="937"/>
      <c r="G1028" s="557"/>
      <c r="H1028" s="942"/>
      <c r="I1028" s="943"/>
      <c r="J1028" s="944"/>
      <c r="K1028" s="1041"/>
      <c r="L1028" s="947"/>
    </row>
    <row r="1029" spans="1:16">
      <c r="A1029" s="991">
        <v>504</v>
      </c>
      <c r="B1029" s="865" t="s">
        <v>1812</v>
      </c>
      <c r="C1029" s="904"/>
      <c r="D1029" s="658"/>
      <c r="E1029" s="865" t="s">
        <v>20</v>
      </c>
      <c r="F1029" s="865" t="s">
        <v>1803</v>
      </c>
      <c r="G1029" s="544"/>
      <c r="H1029" s="905">
        <v>11100000</v>
      </c>
      <c r="I1029" s="916">
        <f>H1029</f>
        <v>11100000</v>
      </c>
      <c r="J1029" s="909"/>
      <c r="K1029" s="919">
        <v>11100000</v>
      </c>
      <c r="L1029" s="901">
        <f>K1029-I1029</f>
        <v>0</v>
      </c>
      <c r="P1029" t="s">
        <v>142</v>
      </c>
    </row>
    <row r="1030" spans="1:16" ht="13.5" thickBot="1">
      <c r="A1030" s="992"/>
      <c r="B1030" s="865"/>
      <c r="C1030" s="904"/>
      <c r="D1030" s="658"/>
      <c r="E1030" s="865"/>
      <c r="F1030" s="865"/>
      <c r="G1030" s="544"/>
      <c r="H1030" s="905"/>
      <c r="I1030" s="906"/>
      <c r="J1030" s="910"/>
      <c r="K1030" s="920"/>
      <c r="L1030" s="903"/>
      <c r="O1030">
        <v>3850000</v>
      </c>
    </row>
    <row r="1031" spans="1:16" ht="12.75" customHeight="1">
      <c r="A1031" s="991">
        <v>505</v>
      </c>
      <c r="B1031" s="1039"/>
      <c r="C1031" s="904" t="s">
        <v>1057</v>
      </c>
      <c r="D1031" s="658"/>
      <c r="E1031" s="865" t="s">
        <v>142</v>
      </c>
      <c r="F1031" s="865" t="s">
        <v>1826</v>
      </c>
      <c r="G1031" s="522"/>
      <c r="H1031" s="905">
        <v>550000</v>
      </c>
      <c r="I1031" s="916">
        <f>H1031</f>
        <v>550000</v>
      </c>
      <c r="J1031" s="909"/>
      <c r="K1031" s="919">
        <v>550000</v>
      </c>
      <c r="L1031" s="901">
        <f>K1031-I1031</f>
        <v>0</v>
      </c>
      <c r="O1031">
        <f>O1030/550000</f>
        <v>7</v>
      </c>
    </row>
    <row r="1032" spans="1:16" ht="13.5" customHeight="1" thickBot="1">
      <c r="A1032" s="992"/>
      <c r="B1032" s="1039"/>
      <c r="C1032" s="904"/>
      <c r="D1032" s="658"/>
      <c r="E1032" s="865"/>
      <c r="F1032" s="865"/>
      <c r="G1032" s="522"/>
      <c r="H1032" s="905"/>
      <c r="I1032" s="906"/>
      <c r="J1032" s="910"/>
      <c r="K1032" s="920"/>
      <c r="L1032" s="903"/>
    </row>
    <row r="1033" spans="1:16">
      <c r="A1033" s="991">
        <v>507</v>
      </c>
      <c r="B1033" s="968" t="s">
        <v>1817</v>
      </c>
      <c r="C1033" s="969" t="s">
        <v>1056</v>
      </c>
      <c r="D1033" s="970" t="s">
        <v>1819</v>
      </c>
      <c r="E1033" s="968" t="s">
        <v>8</v>
      </c>
      <c r="F1033" s="968"/>
      <c r="G1033" s="525"/>
      <c r="H1033" s="973">
        <v>1973000</v>
      </c>
      <c r="I1033" s="973">
        <f>H1033</f>
        <v>1973000</v>
      </c>
      <c r="J1033" s="974"/>
      <c r="K1033" s="1001">
        <v>1973000</v>
      </c>
      <c r="L1033" s="967">
        <f>K1033-I1033</f>
        <v>0</v>
      </c>
    </row>
    <row r="1034" spans="1:16" ht="13.5" thickBot="1">
      <c r="A1034" s="992"/>
      <c r="B1034" s="865"/>
      <c r="C1034" s="904"/>
      <c r="D1034" s="658"/>
      <c r="E1034" s="865"/>
      <c r="F1034" s="865"/>
      <c r="G1034" s="522"/>
      <c r="H1034" s="905"/>
      <c r="I1034" s="906"/>
      <c r="J1034" s="910"/>
      <c r="K1034" s="920"/>
      <c r="L1034" s="946"/>
    </row>
    <row r="1035" spans="1:16" ht="12.75" customHeight="1">
      <c r="A1035" s="991">
        <v>508</v>
      </c>
      <c r="B1035" s="1039"/>
      <c r="C1035" s="904"/>
      <c r="D1035" s="658"/>
      <c r="E1035" s="865"/>
      <c r="F1035" s="865"/>
      <c r="G1035" s="519"/>
      <c r="H1035" s="905"/>
      <c r="I1035" s="916">
        <f>H1035</f>
        <v>0</v>
      </c>
      <c r="J1035" s="909"/>
      <c r="K1035" s="919"/>
      <c r="L1035" s="951">
        <f>K1035-I1035</f>
        <v>0</v>
      </c>
    </row>
    <row r="1036" spans="1:16" ht="13.5" customHeight="1" thickBot="1">
      <c r="A1036" s="994"/>
      <c r="B1036" s="1040"/>
      <c r="C1036" s="938"/>
      <c r="D1036" s="939"/>
      <c r="E1036" s="937"/>
      <c r="F1036" s="937"/>
      <c r="G1036" s="521"/>
      <c r="H1036" s="942"/>
      <c r="I1036" s="943"/>
      <c r="J1036" s="944"/>
      <c r="K1036" s="1041"/>
      <c r="L1036" s="947"/>
    </row>
    <row r="1037" spans="1:16">
      <c r="A1037" s="991">
        <v>510</v>
      </c>
      <c r="B1037" s="865" t="s">
        <v>1818</v>
      </c>
      <c r="C1037" s="904" t="s">
        <v>1861</v>
      </c>
      <c r="D1037" s="658" t="s">
        <v>1862</v>
      </c>
      <c r="E1037" s="865" t="s">
        <v>20</v>
      </c>
      <c r="F1037" s="865" t="s">
        <v>1816</v>
      </c>
      <c r="G1037" s="540"/>
      <c r="H1037" s="905">
        <v>11100000</v>
      </c>
      <c r="I1037" s="916">
        <f>H1037</f>
        <v>11100000</v>
      </c>
      <c r="J1037" s="909"/>
      <c r="K1037" s="919">
        <v>11100000</v>
      </c>
      <c r="L1037" s="901">
        <f>K1037-I1037</f>
        <v>0</v>
      </c>
    </row>
    <row r="1038" spans="1:16" ht="13.5" thickBot="1">
      <c r="A1038" s="992"/>
      <c r="B1038" s="865"/>
      <c r="C1038" s="904"/>
      <c r="D1038" s="658"/>
      <c r="E1038" s="865"/>
      <c r="F1038" s="865"/>
      <c r="G1038" s="540"/>
      <c r="H1038" s="905"/>
      <c r="I1038" s="906"/>
      <c r="J1038" s="910"/>
      <c r="K1038" s="920"/>
      <c r="L1038" s="903"/>
    </row>
    <row r="1039" spans="1:16" ht="12.75" customHeight="1">
      <c r="A1039" s="991">
        <v>511</v>
      </c>
      <c r="B1039" s="981"/>
      <c r="C1039" s="904"/>
      <c r="D1039" s="658" t="s">
        <v>1863</v>
      </c>
      <c r="E1039" s="865" t="s">
        <v>1570</v>
      </c>
      <c r="F1039" s="865">
        <v>180</v>
      </c>
      <c r="G1039" s="522"/>
      <c r="H1039" s="905">
        <v>1120000</v>
      </c>
      <c r="I1039" s="916">
        <f>H1039</f>
        <v>1120000</v>
      </c>
      <c r="J1039" s="909"/>
      <c r="K1039" s="919">
        <v>1120000</v>
      </c>
      <c r="L1039" s="901">
        <f>K1039-I1039</f>
        <v>0</v>
      </c>
    </row>
    <row r="1040" spans="1:16" ht="13.5" customHeight="1" thickBot="1">
      <c r="A1040" s="992"/>
      <c r="B1040" s="1078"/>
      <c r="C1040" s="904"/>
      <c r="D1040" s="658"/>
      <c r="E1040" s="865"/>
      <c r="F1040" s="865"/>
      <c r="G1040" s="522"/>
      <c r="H1040" s="905"/>
      <c r="I1040" s="906"/>
      <c r="J1040" s="910"/>
      <c r="K1040" s="920"/>
      <c r="L1040" s="903"/>
    </row>
    <row r="1041" spans="1:15">
      <c r="A1041" s="991">
        <v>512</v>
      </c>
      <c r="B1041" s="1039"/>
      <c r="C1041" s="904"/>
      <c r="D1041" s="658" t="s">
        <v>1863</v>
      </c>
      <c r="E1041" s="865" t="s">
        <v>1827</v>
      </c>
      <c r="F1041" s="865" t="s">
        <v>1828</v>
      </c>
      <c r="G1041" s="522"/>
      <c r="H1041" s="905">
        <v>7000000</v>
      </c>
      <c r="I1041" s="916">
        <f>H1041</f>
        <v>7000000</v>
      </c>
      <c r="J1041" s="909"/>
      <c r="K1041" s="919">
        <f>3000000+4000000</f>
        <v>7000000</v>
      </c>
      <c r="L1041" s="901">
        <f>K1041-I1041</f>
        <v>0</v>
      </c>
    </row>
    <row r="1042" spans="1:15" ht="13.5" thickBot="1">
      <c r="A1042" s="992"/>
      <c r="B1042" s="1039"/>
      <c r="C1042" s="904"/>
      <c r="D1042" s="658"/>
      <c r="E1042" s="865"/>
      <c r="F1042" s="865"/>
      <c r="G1042" s="522"/>
      <c r="H1042" s="905"/>
      <c r="I1042" s="906"/>
      <c r="J1042" s="910"/>
      <c r="K1042" s="920"/>
      <c r="L1042" s="903"/>
    </row>
    <row r="1043" spans="1:15">
      <c r="A1043" s="991">
        <v>512</v>
      </c>
      <c r="B1043" s="1039"/>
      <c r="C1043" s="904" t="s">
        <v>1073</v>
      </c>
      <c r="D1043" s="658" t="s">
        <v>1863</v>
      </c>
      <c r="E1043" s="865" t="s">
        <v>1829</v>
      </c>
      <c r="F1043" s="865"/>
      <c r="G1043" s="522"/>
      <c r="H1043" s="905">
        <f>200*11500</f>
        <v>2300000</v>
      </c>
      <c r="I1043" s="916">
        <f>H1043</f>
        <v>2300000</v>
      </c>
      <c r="J1043" s="909"/>
      <c r="K1043" s="919">
        <v>2300000</v>
      </c>
      <c r="L1043" s="901">
        <f>K1043-I1043</f>
        <v>0</v>
      </c>
    </row>
    <row r="1044" spans="1:15" ht="13.5" thickBot="1">
      <c r="A1044" s="992"/>
      <c r="B1044" s="1039"/>
      <c r="C1044" s="904"/>
      <c r="D1044" s="658"/>
      <c r="E1044" s="865"/>
      <c r="F1044" s="865"/>
      <c r="G1044" s="522"/>
      <c r="H1044" s="905"/>
      <c r="I1044" s="906"/>
      <c r="J1044" s="910"/>
      <c r="K1044" s="920"/>
      <c r="L1044" s="903"/>
    </row>
    <row r="1045" spans="1:15">
      <c r="A1045" s="991">
        <v>512</v>
      </c>
      <c r="B1045" s="1039"/>
      <c r="C1045" s="904"/>
      <c r="D1045" s="658" t="s">
        <v>1863</v>
      </c>
      <c r="E1045" s="865" t="s">
        <v>1836</v>
      </c>
      <c r="F1045" s="865"/>
      <c r="G1045" s="522"/>
      <c r="H1045" s="905">
        <v>2800000</v>
      </c>
      <c r="I1045" s="916">
        <f>H1045</f>
        <v>2800000</v>
      </c>
      <c r="J1045" s="909"/>
      <c r="K1045" s="919">
        <v>2800000</v>
      </c>
      <c r="L1045" s="901">
        <f>K1045-I1045</f>
        <v>0</v>
      </c>
    </row>
    <row r="1046" spans="1:15" ht="13.5" thickBot="1">
      <c r="A1046" s="1077"/>
      <c r="B1046" s="1042"/>
      <c r="C1046" s="913"/>
      <c r="D1046" s="659"/>
      <c r="E1046" s="878"/>
      <c r="F1046" s="878"/>
      <c r="G1046" s="526"/>
      <c r="H1046" s="915"/>
      <c r="I1046" s="982"/>
      <c r="J1046" s="917"/>
      <c r="K1046" s="984"/>
      <c r="L1046" s="900"/>
    </row>
    <row r="1047" spans="1:15">
      <c r="A1047" s="991">
        <v>513</v>
      </c>
      <c r="B1047" s="968" t="s">
        <v>1822</v>
      </c>
      <c r="C1047" s="969"/>
      <c r="D1047" s="970"/>
      <c r="E1047" s="968" t="s">
        <v>20</v>
      </c>
      <c r="F1047" s="968" t="s">
        <v>1823</v>
      </c>
      <c r="G1047" s="541"/>
      <c r="H1047" s="973">
        <v>11100000</v>
      </c>
      <c r="I1047" s="973">
        <f>H1047</f>
        <v>11100000</v>
      </c>
      <c r="J1047" s="974"/>
      <c r="K1047" s="1001">
        <v>11100000</v>
      </c>
      <c r="L1047" s="967">
        <f>K1047-I1047</f>
        <v>0</v>
      </c>
    </row>
    <row r="1048" spans="1:15" ht="13.5" thickBot="1">
      <c r="A1048" s="992"/>
      <c r="B1048" s="865"/>
      <c r="C1048" s="904"/>
      <c r="D1048" s="658"/>
      <c r="E1048" s="865"/>
      <c r="F1048" s="865"/>
      <c r="G1048" s="540"/>
      <c r="H1048" s="905"/>
      <c r="I1048" s="906"/>
      <c r="J1048" s="910"/>
      <c r="K1048" s="920"/>
      <c r="L1048" s="946"/>
    </row>
    <row r="1049" spans="1:15">
      <c r="A1049" s="991">
        <v>514</v>
      </c>
      <c r="B1049" s="1039"/>
      <c r="C1049" s="904"/>
      <c r="D1049" s="658"/>
      <c r="E1049" s="865" t="s">
        <v>1830</v>
      </c>
      <c r="F1049" s="865">
        <v>550</v>
      </c>
      <c r="G1049" s="522"/>
      <c r="H1049" s="905">
        <v>1150000</v>
      </c>
      <c r="I1049" s="916">
        <f>H1049</f>
        <v>1150000</v>
      </c>
      <c r="J1049" s="909"/>
      <c r="K1049" s="919">
        <v>1150000</v>
      </c>
      <c r="L1049" s="951">
        <f>K1049-I1049</f>
        <v>0</v>
      </c>
    </row>
    <row r="1050" spans="1:15" ht="13.5" thickBot="1">
      <c r="A1050" s="992"/>
      <c r="B1050" s="1039"/>
      <c r="C1050" s="904"/>
      <c r="D1050" s="658"/>
      <c r="E1050" s="865"/>
      <c r="F1050" s="865"/>
      <c r="G1050" s="522"/>
      <c r="H1050" s="905"/>
      <c r="I1050" s="906"/>
      <c r="J1050" s="910"/>
      <c r="K1050" s="920"/>
      <c r="L1050" s="946"/>
    </row>
    <row r="1051" spans="1:15">
      <c r="A1051" s="991">
        <v>520</v>
      </c>
      <c r="B1051" s="1039"/>
      <c r="C1051" s="904"/>
      <c r="D1051" s="658"/>
      <c r="E1051" s="865" t="s">
        <v>1837</v>
      </c>
      <c r="F1051" s="865" t="s">
        <v>998</v>
      </c>
      <c r="G1051" s="522"/>
      <c r="H1051" s="905">
        <v>2300000</v>
      </c>
      <c r="I1051" s="916">
        <f>H1051</f>
        <v>2300000</v>
      </c>
      <c r="J1051" s="909"/>
      <c r="K1051" s="919">
        <v>2300000</v>
      </c>
      <c r="L1051" s="951">
        <f>K1051-I1051</f>
        <v>0</v>
      </c>
    </row>
    <row r="1052" spans="1:15" ht="13.5" thickBot="1">
      <c r="A1052" s="994"/>
      <c r="B1052" s="1040"/>
      <c r="C1052" s="938"/>
      <c r="D1052" s="939"/>
      <c r="E1052" s="937"/>
      <c r="F1052" s="937"/>
      <c r="G1052" s="523"/>
      <c r="H1052" s="942"/>
      <c r="I1052" s="943"/>
      <c r="J1052" s="944"/>
      <c r="K1052" s="1041"/>
      <c r="L1052" s="947"/>
    </row>
    <row r="1053" spans="1:15">
      <c r="A1053" s="991">
        <v>515</v>
      </c>
      <c r="B1053" s="968" t="s">
        <v>1824</v>
      </c>
      <c r="C1053" s="969"/>
      <c r="D1053" s="970"/>
      <c r="E1053" s="968" t="s">
        <v>20</v>
      </c>
      <c r="F1053" s="968"/>
      <c r="G1053" s="546"/>
      <c r="H1053" s="973">
        <v>10700000</v>
      </c>
      <c r="I1053" s="973">
        <f>H1053</f>
        <v>10700000</v>
      </c>
      <c r="J1053" s="974"/>
      <c r="K1053" s="1001">
        <v>10700000</v>
      </c>
      <c r="L1053" s="967">
        <f>K1053-I1053</f>
        <v>0</v>
      </c>
      <c r="O1053">
        <v>13200</v>
      </c>
    </row>
    <row r="1054" spans="1:15" ht="13.5" thickBot="1">
      <c r="A1054" s="992"/>
      <c r="B1054" s="865"/>
      <c r="C1054" s="904"/>
      <c r="D1054" s="658"/>
      <c r="E1054" s="865"/>
      <c r="F1054" s="865"/>
      <c r="G1054" s="544"/>
      <c r="H1054" s="905"/>
      <c r="I1054" s="906"/>
      <c r="J1054" s="910"/>
      <c r="K1054" s="920"/>
      <c r="L1054" s="946"/>
    </row>
    <row r="1055" spans="1:15">
      <c r="A1055" s="991">
        <v>516</v>
      </c>
      <c r="B1055" s="1039"/>
      <c r="C1055" s="904" t="s">
        <v>1867</v>
      </c>
      <c r="D1055" s="658" t="s">
        <v>1858</v>
      </c>
      <c r="E1055" s="865" t="s">
        <v>874</v>
      </c>
      <c r="F1055" s="865">
        <v>550</v>
      </c>
      <c r="G1055" s="544"/>
      <c r="H1055" s="905">
        <v>800000</v>
      </c>
      <c r="I1055" s="916">
        <f>H1055</f>
        <v>800000</v>
      </c>
      <c r="J1055" s="909"/>
      <c r="K1055" s="919">
        <v>800000</v>
      </c>
      <c r="L1055" s="951">
        <f>K1055-I1055</f>
        <v>0</v>
      </c>
      <c r="O1055">
        <f>24074/2</f>
        <v>12037</v>
      </c>
    </row>
    <row r="1056" spans="1:15" ht="13.5" thickBot="1">
      <c r="A1056" s="992"/>
      <c r="B1056" s="1039"/>
      <c r="C1056" s="904"/>
      <c r="D1056" s="658"/>
      <c r="E1056" s="865"/>
      <c r="F1056" s="865"/>
      <c r="G1056" s="544"/>
      <c r="H1056" s="905"/>
      <c r="I1056" s="906"/>
      <c r="J1056" s="910"/>
      <c r="K1056" s="920"/>
      <c r="L1056" s="946"/>
    </row>
    <row r="1057" spans="1:12">
      <c r="A1057" s="991">
        <v>520</v>
      </c>
      <c r="B1057" s="1039"/>
      <c r="C1057" s="904"/>
      <c r="D1057" s="658" t="s">
        <v>1858</v>
      </c>
      <c r="E1057" s="865" t="s">
        <v>1831</v>
      </c>
      <c r="F1057" s="865"/>
      <c r="G1057" s="544"/>
      <c r="H1057" s="905">
        <v>800000</v>
      </c>
      <c r="I1057" s="916">
        <f>H1057</f>
        <v>800000</v>
      </c>
      <c r="J1057" s="909"/>
      <c r="K1057" s="919">
        <v>800000</v>
      </c>
      <c r="L1057" s="951">
        <f>K1057-I1057</f>
        <v>0</v>
      </c>
    </row>
    <row r="1058" spans="1:12" ht="13.5" thickBot="1">
      <c r="A1058" s="992"/>
      <c r="B1058" s="1039"/>
      <c r="C1058" s="904"/>
      <c r="D1058" s="658"/>
      <c r="E1058" s="865"/>
      <c r="F1058" s="865"/>
      <c r="G1058" s="544"/>
      <c r="H1058" s="905"/>
      <c r="I1058" s="906"/>
      <c r="J1058" s="910"/>
      <c r="K1058" s="920"/>
      <c r="L1058" s="946"/>
    </row>
    <row r="1059" spans="1:12">
      <c r="A1059" s="991">
        <v>521</v>
      </c>
      <c r="B1059" s="1039"/>
      <c r="C1059" s="904"/>
      <c r="D1059" s="658"/>
      <c r="E1059" s="865" t="s">
        <v>1051</v>
      </c>
      <c r="F1059" s="865"/>
      <c r="G1059" s="544"/>
      <c r="H1059" s="905">
        <v>4000000</v>
      </c>
      <c r="I1059" s="916">
        <f>H1059</f>
        <v>4000000</v>
      </c>
      <c r="J1059" s="909"/>
      <c r="K1059" s="919">
        <v>4000000</v>
      </c>
      <c r="L1059" s="951">
        <f>K1059-I1059</f>
        <v>0</v>
      </c>
    </row>
    <row r="1060" spans="1:12" ht="13.5" thickBot="1">
      <c r="A1060" s="992"/>
      <c r="B1060" s="1039"/>
      <c r="C1060" s="904"/>
      <c r="D1060" s="658"/>
      <c r="E1060" s="865"/>
      <c r="F1060" s="865"/>
      <c r="G1060" s="544"/>
      <c r="H1060" s="905"/>
      <c r="I1060" s="906"/>
      <c r="J1060" s="910"/>
      <c r="K1060" s="920"/>
      <c r="L1060" s="946"/>
    </row>
    <row r="1061" spans="1:12">
      <c r="A1061" s="991">
        <v>522</v>
      </c>
      <c r="B1061" s="1039"/>
      <c r="C1061" s="904"/>
      <c r="D1061" s="658" t="s">
        <v>1859</v>
      </c>
      <c r="E1061" s="865" t="s">
        <v>1838</v>
      </c>
      <c r="F1061" s="865" t="s">
        <v>1839</v>
      </c>
      <c r="G1061" s="544"/>
      <c r="H1061" s="905">
        <v>3000000</v>
      </c>
      <c r="I1061" s="916">
        <f>H1061</f>
        <v>3000000</v>
      </c>
      <c r="J1061" s="909"/>
      <c r="K1061" s="919">
        <v>3000000</v>
      </c>
      <c r="L1061" s="951">
        <f>K1061-I1061</f>
        <v>0</v>
      </c>
    </row>
    <row r="1062" spans="1:12" ht="13.5" thickBot="1">
      <c r="A1062" s="994"/>
      <c r="B1062" s="1040"/>
      <c r="C1062" s="938"/>
      <c r="D1062" s="939"/>
      <c r="E1062" s="937"/>
      <c r="F1062" s="937"/>
      <c r="G1062" s="545"/>
      <c r="H1062" s="942"/>
      <c r="I1062" s="943"/>
      <c r="J1062" s="944"/>
      <c r="K1062" s="1041"/>
      <c r="L1062" s="947"/>
    </row>
    <row r="1063" spans="1:12" ht="12.75" customHeight="1">
      <c r="A1063" s="1074">
        <v>517</v>
      </c>
      <c r="B1063" s="983" t="s">
        <v>1860</v>
      </c>
      <c r="C1063" s="986"/>
      <c r="D1063" s="987"/>
      <c r="E1063" s="983" t="s">
        <v>20</v>
      </c>
      <c r="F1063" s="983" t="s">
        <v>1825</v>
      </c>
      <c r="G1063" s="547"/>
      <c r="H1063" s="988">
        <v>11500000</v>
      </c>
      <c r="I1063" s="988">
        <f>H1063</f>
        <v>11500000</v>
      </c>
      <c r="J1063" s="989"/>
      <c r="K1063" s="984">
        <v>11500000</v>
      </c>
      <c r="L1063" s="1076">
        <f>K1063-I1063</f>
        <v>0</v>
      </c>
    </row>
    <row r="1064" spans="1:12" ht="13.5" customHeight="1" thickBot="1">
      <c r="A1064" s="1065"/>
      <c r="B1064" s="879"/>
      <c r="C1064" s="914"/>
      <c r="D1064" s="660"/>
      <c r="E1064" s="879"/>
      <c r="F1064" s="879"/>
      <c r="G1064" s="544"/>
      <c r="H1064" s="916"/>
      <c r="I1064" s="916"/>
      <c r="J1064" s="949"/>
      <c r="K1064" s="920"/>
      <c r="L1064" s="901"/>
    </row>
    <row r="1065" spans="1:12" ht="12.75" customHeight="1">
      <c r="A1065" s="1064">
        <v>518</v>
      </c>
      <c r="B1065" s="1042"/>
      <c r="C1065" s="913"/>
      <c r="D1065" s="659" t="s">
        <v>1865</v>
      </c>
      <c r="E1065" s="878" t="s">
        <v>1835</v>
      </c>
      <c r="F1065" s="878" t="s">
        <v>1834</v>
      </c>
      <c r="G1065" s="522"/>
      <c r="H1065" s="915">
        <v>3500000</v>
      </c>
      <c r="I1065" s="915">
        <f>H1065</f>
        <v>3500000</v>
      </c>
      <c r="J1065" s="948"/>
      <c r="K1065" s="919">
        <v>3500000</v>
      </c>
      <c r="L1065" s="900">
        <v>0</v>
      </c>
    </row>
    <row r="1066" spans="1:12" ht="13.5" customHeight="1" thickBot="1">
      <c r="A1066" s="1065"/>
      <c r="B1066" s="1058"/>
      <c r="C1066" s="914"/>
      <c r="D1066" s="660"/>
      <c r="E1066" s="879"/>
      <c r="F1066" s="879"/>
      <c r="G1066" s="522"/>
      <c r="H1066" s="916"/>
      <c r="I1066" s="916"/>
      <c r="J1066" s="949"/>
      <c r="K1066" s="920"/>
      <c r="L1066" s="901"/>
    </row>
    <row r="1067" spans="1:12" ht="12.75" customHeight="1">
      <c r="A1067" s="1064">
        <v>519</v>
      </c>
      <c r="B1067" s="1042"/>
      <c r="C1067" s="913"/>
      <c r="D1067" s="659" t="s">
        <v>1858</v>
      </c>
      <c r="E1067" s="878" t="s">
        <v>630</v>
      </c>
      <c r="F1067" s="878">
        <v>140</v>
      </c>
      <c r="G1067" s="551"/>
      <c r="H1067" s="915">
        <f>140*16000</f>
        <v>2240000</v>
      </c>
      <c r="I1067" s="915">
        <f>H1067</f>
        <v>2240000</v>
      </c>
      <c r="J1067" s="948"/>
      <c r="K1067" s="919">
        <v>2240000</v>
      </c>
      <c r="L1067" s="900">
        <f>K1067-I1067</f>
        <v>0</v>
      </c>
    </row>
    <row r="1068" spans="1:12" ht="13.5" customHeight="1" thickBot="1">
      <c r="A1068" s="1065"/>
      <c r="B1068" s="1058"/>
      <c r="C1068" s="914"/>
      <c r="D1068" s="660"/>
      <c r="E1068" s="879"/>
      <c r="F1068" s="879"/>
      <c r="G1068" s="551"/>
      <c r="H1068" s="916"/>
      <c r="I1068" s="916"/>
      <c r="J1068" s="949"/>
      <c r="K1068" s="920"/>
      <c r="L1068" s="901"/>
    </row>
    <row r="1069" spans="1:12">
      <c r="A1069" s="1059">
        <v>521</v>
      </c>
      <c r="B1069" s="1062" t="s">
        <v>1840</v>
      </c>
      <c r="C1069" s="969"/>
      <c r="D1069" s="970" t="s">
        <v>1842</v>
      </c>
      <c r="E1069" s="968" t="s">
        <v>20</v>
      </c>
      <c r="F1069" s="968"/>
      <c r="G1069" s="549"/>
      <c r="H1069" s="973">
        <v>11500000</v>
      </c>
      <c r="I1069" s="973">
        <f>H1069</f>
        <v>11500000</v>
      </c>
      <c r="J1069" s="974"/>
      <c r="K1069" s="1001">
        <v>11500000</v>
      </c>
      <c r="L1069" s="967">
        <f>K1069-I1069</f>
        <v>0</v>
      </c>
    </row>
    <row r="1070" spans="1:12" ht="13.5" thickBot="1">
      <c r="A1070" s="1061"/>
      <c r="B1070" s="1063"/>
      <c r="C1070" s="904"/>
      <c r="D1070" s="658"/>
      <c r="E1070" s="865"/>
      <c r="F1070" s="865"/>
      <c r="G1070" s="548"/>
      <c r="H1070" s="905"/>
      <c r="I1070" s="906"/>
      <c r="J1070" s="910"/>
      <c r="K1070" s="920"/>
      <c r="L1070" s="946"/>
    </row>
    <row r="1071" spans="1:12" ht="12.75" customHeight="1">
      <c r="A1071" s="1059">
        <v>522</v>
      </c>
      <c r="B1071" s="1042"/>
      <c r="C1071" s="904"/>
      <c r="D1071" s="658" t="s">
        <v>1841</v>
      </c>
      <c r="E1071" s="865" t="s">
        <v>1857</v>
      </c>
      <c r="F1071" s="865" t="s">
        <v>24</v>
      </c>
      <c r="G1071" s="522"/>
      <c r="H1071" s="905">
        <v>15000000</v>
      </c>
      <c r="I1071" s="916">
        <f>H1071</f>
        <v>15000000</v>
      </c>
      <c r="J1071" s="909"/>
      <c r="K1071" s="919">
        <v>15000000</v>
      </c>
      <c r="L1071" s="951">
        <f>K1071-I1071</f>
        <v>0</v>
      </c>
    </row>
    <row r="1072" spans="1:12" ht="13.5" customHeight="1" thickBot="1">
      <c r="A1072" s="1060"/>
      <c r="B1072" s="1058"/>
      <c r="C1072" s="938"/>
      <c r="D1072" s="939"/>
      <c r="E1072" s="937"/>
      <c r="F1072" s="937"/>
      <c r="G1072" s="523"/>
      <c r="H1072" s="942"/>
      <c r="I1072" s="943"/>
      <c r="J1072" s="944"/>
      <c r="K1072" s="1041"/>
      <c r="L1072" s="947"/>
    </row>
    <row r="1073" spans="1:15">
      <c r="A1073" s="991">
        <v>523</v>
      </c>
      <c r="B1073" s="1043" t="s">
        <v>1833</v>
      </c>
      <c r="C1073" s="969" t="s">
        <v>1851</v>
      </c>
      <c r="D1073" s="970" t="s">
        <v>1841</v>
      </c>
      <c r="E1073" s="968" t="s">
        <v>20</v>
      </c>
      <c r="F1073" s="968"/>
      <c r="G1073" s="555"/>
      <c r="H1073" s="973">
        <v>11500000</v>
      </c>
      <c r="I1073" s="973">
        <f>H1073</f>
        <v>11500000</v>
      </c>
      <c r="J1073" s="974"/>
      <c r="K1073" s="1001">
        <v>11500000</v>
      </c>
      <c r="L1073" s="967">
        <f>K1073-I1073</f>
        <v>0</v>
      </c>
    </row>
    <row r="1074" spans="1:15" ht="13.5" thickBot="1">
      <c r="A1074" s="992"/>
      <c r="B1074" s="1026"/>
      <c r="C1074" s="904"/>
      <c r="D1074" s="658"/>
      <c r="E1074" s="865"/>
      <c r="F1074" s="865"/>
      <c r="G1074" s="554"/>
      <c r="H1074" s="905"/>
      <c r="I1074" s="906"/>
      <c r="J1074" s="910"/>
      <c r="K1074" s="920"/>
      <c r="L1074" s="946"/>
    </row>
    <row r="1075" spans="1:15" ht="12.75" customHeight="1">
      <c r="A1075" s="991">
        <v>524</v>
      </c>
      <c r="B1075" s="1042"/>
      <c r="C1075" s="904" t="s">
        <v>6</v>
      </c>
      <c r="D1075" s="658" t="s">
        <v>1853</v>
      </c>
      <c r="E1075" s="865" t="s">
        <v>605</v>
      </c>
      <c r="F1075" s="865" t="s">
        <v>1852</v>
      </c>
      <c r="G1075" s="551"/>
      <c r="H1075" s="905">
        <v>1150000</v>
      </c>
      <c r="I1075" s="916">
        <f>H1075</f>
        <v>1150000</v>
      </c>
      <c r="J1075" s="909"/>
      <c r="K1075" s="919">
        <v>1150000</v>
      </c>
      <c r="L1075" s="951">
        <f>K1075-I1075</f>
        <v>0</v>
      </c>
    </row>
    <row r="1076" spans="1:15" ht="13.5" customHeight="1" thickBot="1">
      <c r="A1076" s="994"/>
      <c r="B1076" s="1058"/>
      <c r="C1076" s="938"/>
      <c r="D1076" s="939"/>
      <c r="E1076" s="937"/>
      <c r="F1076" s="937"/>
      <c r="G1076" s="553"/>
      <c r="H1076" s="942"/>
      <c r="I1076" s="943"/>
      <c r="J1076" s="944"/>
      <c r="K1076" s="1041"/>
      <c r="L1076" s="947"/>
    </row>
    <row r="1077" spans="1:15">
      <c r="A1077" s="991">
        <v>525</v>
      </c>
      <c r="B1077" s="1043" t="s">
        <v>1843</v>
      </c>
      <c r="C1077" s="969" t="s">
        <v>1866</v>
      </c>
      <c r="D1077" s="970" t="s">
        <v>1841</v>
      </c>
      <c r="E1077" s="968" t="s">
        <v>8</v>
      </c>
      <c r="F1077" s="968"/>
      <c r="G1077" s="525"/>
      <c r="H1077" s="973">
        <v>2278900</v>
      </c>
      <c r="I1077" s="973">
        <f>H1077</f>
        <v>2278900</v>
      </c>
      <c r="J1077" s="974"/>
      <c r="K1077" s="1001">
        <v>2278900</v>
      </c>
      <c r="L1077" s="967">
        <f>K1077-I1077</f>
        <v>0</v>
      </c>
    </row>
    <row r="1078" spans="1:15" ht="13.5" thickBot="1">
      <c r="A1078" s="992"/>
      <c r="B1078" s="1026"/>
      <c r="C1078" s="904"/>
      <c r="D1078" s="658"/>
      <c r="E1078" s="865"/>
      <c r="F1078" s="865"/>
      <c r="G1078" s="522"/>
      <c r="H1078" s="905"/>
      <c r="I1078" s="906"/>
      <c r="J1078" s="910"/>
      <c r="K1078" s="920"/>
      <c r="L1078" s="946"/>
    </row>
    <row r="1079" spans="1:15">
      <c r="A1079" s="991">
        <v>526</v>
      </c>
      <c r="B1079" s="1039"/>
      <c r="C1079" s="904" t="s">
        <v>6</v>
      </c>
      <c r="D1079" s="658" t="s">
        <v>1841</v>
      </c>
      <c r="E1079" s="1044" t="s">
        <v>308</v>
      </c>
      <c r="F1079" s="1046"/>
      <c r="G1079" s="517"/>
      <c r="H1079" s="1048">
        <v>5193</v>
      </c>
      <c r="I1079" s="1050">
        <f>H1079*J1079</f>
        <v>1051582.5</v>
      </c>
      <c r="J1079" s="1052">
        <v>202.5</v>
      </c>
      <c r="K1079" s="1054"/>
      <c r="L1079" s="1056">
        <f>K1079-I1079</f>
        <v>-1051582.5</v>
      </c>
    </row>
    <row r="1080" spans="1:15" ht="13.5" thickBot="1">
      <c r="A1080" s="994"/>
      <c r="B1080" s="1040"/>
      <c r="C1080" s="938"/>
      <c r="D1080" s="939"/>
      <c r="E1080" s="1045"/>
      <c r="F1080" s="1047"/>
      <c r="G1080" s="518"/>
      <c r="H1080" s="1049"/>
      <c r="I1080" s="1051"/>
      <c r="J1080" s="1053"/>
      <c r="K1080" s="1055"/>
      <c r="L1080" s="1057"/>
      <c r="O1080">
        <f>7000000/15000</f>
        <v>466.66666666666669</v>
      </c>
    </row>
    <row r="1081" spans="1:15">
      <c r="A1081" s="991">
        <v>528</v>
      </c>
      <c r="B1081" s="1043" t="s">
        <v>1845</v>
      </c>
      <c r="C1081" s="969" t="s">
        <v>1849</v>
      </c>
      <c r="D1081" s="970" t="s">
        <v>1841</v>
      </c>
      <c r="E1081" s="968" t="s">
        <v>20</v>
      </c>
      <c r="F1081" s="968"/>
      <c r="G1081" s="555"/>
      <c r="H1081" s="973">
        <v>10700000</v>
      </c>
      <c r="I1081" s="973">
        <f>H1081</f>
        <v>10700000</v>
      </c>
      <c r="J1081" s="974"/>
      <c r="K1081" s="1001">
        <v>10700000</v>
      </c>
      <c r="L1081" s="967">
        <f>K1081-I1081</f>
        <v>0</v>
      </c>
    </row>
    <row r="1082" spans="1:15" ht="13.5" thickBot="1">
      <c r="A1082" s="992"/>
      <c r="B1082" s="1026"/>
      <c r="C1082" s="904"/>
      <c r="D1082" s="658"/>
      <c r="E1082" s="865"/>
      <c r="F1082" s="865"/>
      <c r="G1082" s="554"/>
      <c r="H1082" s="905"/>
      <c r="I1082" s="906"/>
      <c r="J1082" s="910"/>
      <c r="K1082" s="920"/>
      <c r="L1082" s="946"/>
    </row>
    <row r="1083" spans="1:15">
      <c r="A1083" s="991">
        <v>529</v>
      </c>
      <c r="B1083" s="1039"/>
      <c r="C1083" s="904" t="s">
        <v>6</v>
      </c>
      <c r="D1083" s="658" t="s">
        <v>1848</v>
      </c>
      <c r="E1083" s="865" t="s">
        <v>1846</v>
      </c>
      <c r="F1083" s="865">
        <v>200</v>
      </c>
      <c r="G1083" s="527"/>
      <c r="H1083" s="905">
        <v>4700000</v>
      </c>
      <c r="I1083" s="916">
        <f>H1083</f>
        <v>4700000</v>
      </c>
      <c r="J1083" s="909"/>
      <c r="K1083" s="919">
        <v>4700000</v>
      </c>
      <c r="L1083" s="951">
        <f>K1083-I1083</f>
        <v>0</v>
      </c>
    </row>
    <row r="1084" spans="1:15" ht="13.5" thickBot="1">
      <c r="A1084" s="994"/>
      <c r="B1084" s="1040"/>
      <c r="C1084" s="938"/>
      <c r="D1084" s="939"/>
      <c r="E1084" s="937"/>
      <c r="F1084" s="937"/>
      <c r="G1084" s="528"/>
      <c r="H1084" s="942"/>
      <c r="I1084" s="943"/>
      <c r="J1084" s="944"/>
      <c r="K1084" s="1041"/>
      <c r="L1084" s="947"/>
    </row>
    <row r="1085" spans="1:15">
      <c r="A1085" s="991">
        <v>530</v>
      </c>
      <c r="B1085" s="1043" t="s">
        <v>1844</v>
      </c>
      <c r="C1085" s="969" t="s">
        <v>1850</v>
      </c>
      <c r="D1085" s="970" t="s">
        <v>1841</v>
      </c>
      <c r="E1085" s="968" t="s">
        <v>20</v>
      </c>
      <c r="F1085" s="968"/>
      <c r="G1085" s="555"/>
      <c r="H1085" s="973">
        <v>10700000</v>
      </c>
      <c r="I1085" s="973">
        <f>H1085</f>
        <v>10700000</v>
      </c>
      <c r="J1085" s="974"/>
      <c r="K1085" s="1001">
        <v>10700000</v>
      </c>
      <c r="L1085" s="967">
        <f>K1085-I1085</f>
        <v>0</v>
      </c>
    </row>
    <row r="1086" spans="1:15" ht="13.5" thickBot="1">
      <c r="A1086" s="992"/>
      <c r="B1086" s="1026"/>
      <c r="C1086" s="904"/>
      <c r="D1086" s="658"/>
      <c r="E1086" s="865"/>
      <c r="F1086" s="865"/>
      <c r="G1086" s="554"/>
      <c r="H1086" s="905"/>
      <c r="I1086" s="906"/>
      <c r="J1086" s="910"/>
      <c r="K1086" s="920"/>
      <c r="L1086" s="946"/>
    </row>
    <row r="1087" spans="1:15">
      <c r="A1087" s="991">
        <v>531</v>
      </c>
      <c r="B1087" s="1039"/>
      <c r="C1087" s="904" t="s">
        <v>6</v>
      </c>
      <c r="D1087" s="658" t="s">
        <v>1848</v>
      </c>
      <c r="E1087" s="865" t="s">
        <v>1847</v>
      </c>
      <c r="F1087" s="865"/>
      <c r="G1087" s="534"/>
      <c r="H1087" s="905">
        <v>2600000</v>
      </c>
      <c r="I1087" s="916">
        <f>H1087</f>
        <v>2600000</v>
      </c>
      <c r="J1087" s="909"/>
      <c r="K1087" s="919">
        <v>2600000</v>
      </c>
      <c r="L1087" s="951">
        <f>K1087-I1087</f>
        <v>0</v>
      </c>
      <c r="M1087">
        <v>12</v>
      </c>
    </row>
    <row r="1088" spans="1:15" ht="13.5" thickBot="1">
      <c r="A1088" s="994"/>
      <c r="B1088" s="1040"/>
      <c r="C1088" s="938"/>
      <c r="D1088" s="939"/>
      <c r="E1088" s="937"/>
      <c r="F1088" s="937"/>
      <c r="G1088" s="535"/>
      <c r="H1088" s="942"/>
      <c r="I1088" s="943"/>
      <c r="J1088" s="944"/>
      <c r="K1088" s="1041"/>
      <c r="L1088" s="947"/>
    </row>
    <row r="1090" spans="2:4" ht="18">
      <c r="B1090" s="539">
        <f>L432+L607+L675+L875+L913+L955+L965+L993+L1001+L1011+L1021+L1027+L1029+L1037+L1041+L1047+L1053+L1063+L1067+L1069+L1073+L1075+L1079+L1081+L1085</f>
        <v>-11343765.5</v>
      </c>
      <c r="D1090" s="5">
        <f>L1001+L1021+L1029+L1037+L1047+L1053+L1063+L1069+L1073+L1081+L1085</f>
        <v>0</v>
      </c>
    </row>
    <row r="1091" spans="2:4">
      <c r="C1091" s="5">
        <f>B1090-D1090</f>
        <v>-11343765.5</v>
      </c>
    </row>
  </sheetData>
  <mergeCells count="5898">
    <mergeCell ref="A1019:A1020"/>
    <mergeCell ref="B1019:B1020"/>
    <mergeCell ref="C1019:C1020"/>
    <mergeCell ref="D1019:D1020"/>
    <mergeCell ref="E1019:E1020"/>
    <mergeCell ref="F1019:F1020"/>
    <mergeCell ref="H1019:H1020"/>
    <mergeCell ref="I1019:I1020"/>
    <mergeCell ref="J1019:J1020"/>
    <mergeCell ref="K1019:K1020"/>
    <mergeCell ref="L1019:L1020"/>
    <mergeCell ref="A931:A932"/>
    <mergeCell ref="B931:B932"/>
    <mergeCell ref="C931:C932"/>
    <mergeCell ref="D931:D932"/>
    <mergeCell ref="E931:E932"/>
    <mergeCell ref="F931:F932"/>
    <mergeCell ref="H931:H932"/>
    <mergeCell ref="I931:I932"/>
    <mergeCell ref="J931:J932"/>
    <mergeCell ref="K931:K932"/>
    <mergeCell ref="L931:L932"/>
    <mergeCell ref="A939:A940"/>
    <mergeCell ref="B939:B940"/>
    <mergeCell ref="C939:C940"/>
    <mergeCell ref="D939:D940"/>
    <mergeCell ref="E939:E940"/>
    <mergeCell ref="F939:F940"/>
    <mergeCell ref="H939:H940"/>
    <mergeCell ref="I939:I940"/>
    <mergeCell ref="J939:J940"/>
    <mergeCell ref="K939:K940"/>
    <mergeCell ref="H933:H934"/>
    <mergeCell ref="I933:I934"/>
    <mergeCell ref="J933:J934"/>
    <mergeCell ref="M925:M926"/>
    <mergeCell ref="A769:A770"/>
    <mergeCell ref="B769:B770"/>
    <mergeCell ref="C769:C770"/>
    <mergeCell ref="D769:D770"/>
    <mergeCell ref="E769:E770"/>
    <mergeCell ref="F769:F770"/>
    <mergeCell ref="F809:F810"/>
    <mergeCell ref="H809:H810"/>
    <mergeCell ref="I809:I810"/>
    <mergeCell ref="J809:J810"/>
    <mergeCell ref="K809:K810"/>
    <mergeCell ref="F807:F808"/>
    <mergeCell ref="F805:F806"/>
    <mergeCell ref="H805:H806"/>
    <mergeCell ref="I805:I806"/>
    <mergeCell ref="L809:L810"/>
    <mergeCell ref="H807:H808"/>
    <mergeCell ref="I807:I808"/>
    <mergeCell ref="J807:J808"/>
    <mergeCell ref="K807:K808"/>
    <mergeCell ref="L807:L808"/>
    <mergeCell ref="A809:A810"/>
    <mergeCell ref="B809:B810"/>
    <mergeCell ref="C809:C810"/>
    <mergeCell ref="D809:D810"/>
    <mergeCell ref="E809:E810"/>
    <mergeCell ref="A807:A808"/>
    <mergeCell ref="B807:B808"/>
    <mergeCell ref="C807:C808"/>
    <mergeCell ref="D807:D808"/>
    <mergeCell ref="E807:E808"/>
    <mergeCell ref="J805:J806"/>
    <mergeCell ref="K805:K806"/>
    <mergeCell ref="L805:L806"/>
    <mergeCell ref="H803:H804"/>
    <mergeCell ref="I803:I804"/>
    <mergeCell ref="J803:J804"/>
    <mergeCell ref="K803:K804"/>
    <mergeCell ref="L803:L804"/>
    <mergeCell ref="A805:A806"/>
    <mergeCell ref="B805:B806"/>
    <mergeCell ref="C805:C806"/>
    <mergeCell ref="D805:D806"/>
    <mergeCell ref="E805:E806"/>
    <mergeCell ref="A803:A804"/>
    <mergeCell ref="B803:B804"/>
    <mergeCell ref="C803:C804"/>
    <mergeCell ref="D803:D804"/>
    <mergeCell ref="E803:E804"/>
    <mergeCell ref="F803:F804"/>
    <mergeCell ref="F801:F802"/>
    <mergeCell ref="H801:H802"/>
    <mergeCell ref="I801:I802"/>
    <mergeCell ref="J801:J802"/>
    <mergeCell ref="K801:K802"/>
    <mergeCell ref="L801:L802"/>
    <mergeCell ref="H799:H800"/>
    <mergeCell ref="I799:I800"/>
    <mergeCell ref="J799:J800"/>
    <mergeCell ref="K799:K800"/>
    <mergeCell ref="L799:L800"/>
    <mergeCell ref="A801:A802"/>
    <mergeCell ref="B801:B802"/>
    <mergeCell ref="C801:C802"/>
    <mergeCell ref="D801:D802"/>
    <mergeCell ref="E801:E802"/>
    <mergeCell ref="A799:A800"/>
    <mergeCell ref="B799:B800"/>
    <mergeCell ref="C799:C800"/>
    <mergeCell ref="D799:D800"/>
    <mergeCell ref="E799:E800"/>
    <mergeCell ref="F799:F800"/>
    <mergeCell ref="F797:F798"/>
    <mergeCell ref="H797:H798"/>
    <mergeCell ref="I797:I798"/>
    <mergeCell ref="J797:J798"/>
    <mergeCell ref="K797:K798"/>
    <mergeCell ref="L797:L798"/>
    <mergeCell ref="H793:H794"/>
    <mergeCell ref="I793:I794"/>
    <mergeCell ref="J793:J794"/>
    <mergeCell ref="K793:K794"/>
    <mergeCell ref="L793:L794"/>
    <mergeCell ref="A797:A798"/>
    <mergeCell ref="B797:B798"/>
    <mergeCell ref="C797:C798"/>
    <mergeCell ref="D797:D798"/>
    <mergeCell ref="E797:E798"/>
    <mergeCell ref="A793:A794"/>
    <mergeCell ref="B793:B794"/>
    <mergeCell ref="C793:C794"/>
    <mergeCell ref="D793:D794"/>
    <mergeCell ref="E793:E794"/>
    <mergeCell ref="F795:F796"/>
    <mergeCell ref="H795:H796"/>
    <mergeCell ref="I795:I796"/>
    <mergeCell ref="J795:J796"/>
    <mergeCell ref="K795:K796"/>
    <mergeCell ref="L795:L796"/>
    <mergeCell ref="A795:A796"/>
    <mergeCell ref="B795:B796"/>
    <mergeCell ref="C795:C796"/>
    <mergeCell ref="D795:D796"/>
    <mergeCell ref="E795:E796"/>
    <mergeCell ref="F787:F788"/>
    <mergeCell ref="I789:I790"/>
    <mergeCell ref="J789:J790"/>
    <mergeCell ref="K789:K790"/>
    <mergeCell ref="L789:L790"/>
    <mergeCell ref="F793:F794"/>
    <mergeCell ref="F791:F792"/>
    <mergeCell ref="H791:H792"/>
    <mergeCell ref="I791:I792"/>
    <mergeCell ref="J791:J792"/>
    <mergeCell ref="K791:K792"/>
    <mergeCell ref="A791:A792"/>
    <mergeCell ref="B791:B792"/>
    <mergeCell ref="C791:C792"/>
    <mergeCell ref="D791:D792"/>
    <mergeCell ref="E791:E792"/>
    <mergeCell ref="A789:A790"/>
    <mergeCell ref="B789:B790"/>
    <mergeCell ref="C789:C790"/>
    <mergeCell ref="D789:D790"/>
    <mergeCell ref="E789:E790"/>
    <mergeCell ref="F789:F790"/>
    <mergeCell ref="L791:L792"/>
    <mergeCell ref="H789:H790"/>
    <mergeCell ref="F785:F786"/>
    <mergeCell ref="H785:H786"/>
    <mergeCell ref="I785:I786"/>
    <mergeCell ref="J785:J786"/>
    <mergeCell ref="K785:K786"/>
    <mergeCell ref="H787:H788"/>
    <mergeCell ref="I787:I788"/>
    <mergeCell ref="J787:J788"/>
    <mergeCell ref="K787:K788"/>
    <mergeCell ref="L785:L786"/>
    <mergeCell ref="H783:H784"/>
    <mergeCell ref="I783:I784"/>
    <mergeCell ref="J783:J784"/>
    <mergeCell ref="K783:K784"/>
    <mergeCell ref="L783:L784"/>
    <mergeCell ref="A785:A786"/>
    <mergeCell ref="B785:B786"/>
    <mergeCell ref="C785:C786"/>
    <mergeCell ref="D785:D786"/>
    <mergeCell ref="E785:E786"/>
    <mergeCell ref="A783:A784"/>
    <mergeCell ref="B783:B784"/>
    <mergeCell ref="C783:C784"/>
    <mergeCell ref="D783:D784"/>
    <mergeCell ref="E783:E784"/>
    <mergeCell ref="F783:F784"/>
    <mergeCell ref="L787:L788"/>
    <mergeCell ref="A787:A788"/>
    <mergeCell ref="B787:B788"/>
    <mergeCell ref="C787:C788"/>
    <mergeCell ref="D787:D788"/>
    <mergeCell ref="E787:E788"/>
    <mergeCell ref="D777:D778"/>
    <mergeCell ref="E777:E778"/>
    <mergeCell ref="A775:A776"/>
    <mergeCell ref="B775:B776"/>
    <mergeCell ref="C775:C776"/>
    <mergeCell ref="D775:D776"/>
    <mergeCell ref="E775:E776"/>
    <mergeCell ref="F775:F776"/>
    <mergeCell ref="F781:F782"/>
    <mergeCell ref="H781:H782"/>
    <mergeCell ref="I781:I782"/>
    <mergeCell ref="J781:J782"/>
    <mergeCell ref="K781:K782"/>
    <mergeCell ref="L781:L782"/>
    <mergeCell ref="H779:H780"/>
    <mergeCell ref="I779:I780"/>
    <mergeCell ref="J779:J780"/>
    <mergeCell ref="K779:K780"/>
    <mergeCell ref="L779:L780"/>
    <mergeCell ref="A781:A782"/>
    <mergeCell ref="B781:B782"/>
    <mergeCell ref="C781:C782"/>
    <mergeCell ref="D781:D782"/>
    <mergeCell ref="E781:E782"/>
    <mergeCell ref="A779:A780"/>
    <mergeCell ref="B779:B780"/>
    <mergeCell ref="C779:C780"/>
    <mergeCell ref="D779:D780"/>
    <mergeCell ref="E779:E780"/>
    <mergeCell ref="F779:F780"/>
    <mergeCell ref="A817:A818"/>
    <mergeCell ref="B817:B818"/>
    <mergeCell ref="C817:C818"/>
    <mergeCell ref="I771:I772"/>
    <mergeCell ref="J771:J772"/>
    <mergeCell ref="K771:K772"/>
    <mergeCell ref="A773:A774"/>
    <mergeCell ref="B773:B774"/>
    <mergeCell ref="C773:C774"/>
    <mergeCell ref="D773:D774"/>
    <mergeCell ref="E773:E774"/>
    <mergeCell ref="L771:L772"/>
    <mergeCell ref="H825:H826"/>
    <mergeCell ref="I825:I826"/>
    <mergeCell ref="J825:J826"/>
    <mergeCell ref="K825:K826"/>
    <mergeCell ref="L825:L826"/>
    <mergeCell ref="H821:H822"/>
    <mergeCell ref="I821:I822"/>
    <mergeCell ref="J821:J822"/>
    <mergeCell ref="L773:L774"/>
    <mergeCell ref="A771:A772"/>
    <mergeCell ref="B771:B772"/>
    <mergeCell ref="C771:C772"/>
    <mergeCell ref="D771:D772"/>
    <mergeCell ref="E771:E772"/>
    <mergeCell ref="A825:A826"/>
    <mergeCell ref="B825:B826"/>
    <mergeCell ref="F777:F778"/>
    <mergeCell ref="H777:H778"/>
    <mergeCell ref="I777:I778"/>
    <mergeCell ref="C777:C778"/>
    <mergeCell ref="C825:C826"/>
    <mergeCell ref="D825:D826"/>
    <mergeCell ref="E825:E826"/>
    <mergeCell ref="K821:K822"/>
    <mergeCell ref="L821:L822"/>
    <mergeCell ref="A821:A822"/>
    <mergeCell ref="B821:B822"/>
    <mergeCell ref="C821:C822"/>
    <mergeCell ref="F825:F826"/>
    <mergeCell ref="D821:D822"/>
    <mergeCell ref="E821:E822"/>
    <mergeCell ref="F821:F822"/>
    <mergeCell ref="F819:F820"/>
    <mergeCell ref="H819:H820"/>
    <mergeCell ref="I819:I820"/>
    <mergeCell ref="K819:K820"/>
    <mergeCell ref="L819:L820"/>
    <mergeCell ref="D819:D820"/>
    <mergeCell ref="E819:E820"/>
    <mergeCell ref="K719:K720"/>
    <mergeCell ref="J719:J720"/>
    <mergeCell ref="J721:J722"/>
    <mergeCell ref="E845:E846"/>
    <mergeCell ref="A841:A842"/>
    <mergeCell ref="K813:K814"/>
    <mergeCell ref="L813:L814"/>
    <mergeCell ref="A815:A816"/>
    <mergeCell ref="B815:B816"/>
    <mergeCell ref="C815:C816"/>
    <mergeCell ref="D815:D816"/>
    <mergeCell ref="E815:E816"/>
    <mergeCell ref="F815:F816"/>
    <mergeCell ref="H815:H816"/>
    <mergeCell ref="J815:J816"/>
    <mergeCell ref="L811:L812"/>
    <mergeCell ref="A813:A814"/>
    <mergeCell ref="B813:B814"/>
    <mergeCell ref="C813:C814"/>
    <mergeCell ref="D813:D814"/>
    <mergeCell ref="E813:E814"/>
    <mergeCell ref="F813:F814"/>
    <mergeCell ref="H813:H814"/>
    <mergeCell ref="I813:I814"/>
    <mergeCell ref="J813:J814"/>
    <mergeCell ref="A811:A812"/>
    <mergeCell ref="B811:B812"/>
    <mergeCell ref="C811:C812"/>
    <mergeCell ref="D811:D812"/>
    <mergeCell ref="E811:E812"/>
    <mergeCell ref="F811:F812"/>
    <mergeCell ref="A819:A820"/>
    <mergeCell ref="F663:F664"/>
    <mergeCell ref="H663:H664"/>
    <mergeCell ref="I663:I664"/>
    <mergeCell ref="K663:K664"/>
    <mergeCell ref="L663:L664"/>
    <mergeCell ref="J663:J664"/>
    <mergeCell ref="F669:F670"/>
    <mergeCell ref="H669:H670"/>
    <mergeCell ref="I669:I670"/>
    <mergeCell ref="J669:J670"/>
    <mergeCell ref="K669:K670"/>
    <mergeCell ref="L669:L670"/>
    <mergeCell ref="H667:H668"/>
    <mergeCell ref="I667:I668"/>
    <mergeCell ref="J667:J668"/>
    <mergeCell ref="K667:K668"/>
    <mergeCell ref="L667:L668"/>
    <mergeCell ref="F667:F668"/>
    <mergeCell ref="I665:I666"/>
    <mergeCell ref="K665:K666"/>
    <mergeCell ref="L665:L666"/>
    <mergeCell ref="F665:F666"/>
    <mergeCell ref="H665:H666"/>
    <mergeCell ref="L841:L842"/>
    <mergeCell ref="A845:A846"/>
    <mergeCell ref="B845:B846"/>
    <mergeCell ref="C845:C846"/>
    <mergeCell ref="D845:D846"/>
    <mergeCell ref="I853:I854"/>
    <mergeCell ref="J853:J854"/>
    <mergeCell ref="A853:A854"/>
    <mergeCell ref="B853:B854"/>
    <mergeCell ref="C853:C854"/>
    <mergeCell ref="F845:F846"/>
    <mergeCell ref="A851:A852"/>
    <mergeCell ref="B851:B852"/>
    <mergeCell ref="C851:C852"/>
    <mergeCell ref="D851:D852"/>
    <mergeCell ref="E851:E852"/>
    <mergeCell ref="A849:A850"/>
    <mergeCell ref="B849:B850"/>
    <mergeCell ref="L849:L850"/>
    <mergeCell ref="E849:E850"/>
    <mergeCell ref="F849:F850"/>
    <mergeCell ref="H849:H850"/>
    <mergeCell ref="I849:I850"/>
    <mergeCell ref="J849:J850"/>
    <mergeCell ref="K849:K850"/>
    <mergeCell ref="C849:C850"/>
    <mergeCell ref="D849:D850"/>
    <mergeCell ref="B841:B842"/>
    <mergeCell ref="E847:E848"/>
    <mergeCell ref="F847:F848"/>
    <mergeCell ref="H847:H848"/>
    <mergeCell ref="I847:I848"/>
    <mergeCell ref="C841:C842"/>
    <mergeCell ref="E841:E842"/>
    <mergeCell ref="F841:F842"/>
    <mergeCell ref="H841:H842"/>
    <mergeCell ref="I717:I718"/>
    <mergeCell ref="J717:J718"/>
    <mergeCell ref="K717:K718"/>
    <mergeCell ref="K723:K724"/>
    <mergeCell ref="I731:I732"/>
    <mergeCell ref="J731:J732"/>
    <mergeCell ref="I735:I736"/>
    <mergeCell ref="H719:H720"/>
    <mergeCell ref="K721:K722"/>
    <mergeCell ref="F713:F714"/>
    <mergeCell ref="H713:H714"/>
    <mergeCell ref="I713:I714"/>
    <mergeCell ref="J713:J714"/>
    <mergeCell ref="K713:K714"/>
    <mergeCell ref="H737:H738"/>
    <mergeCell ref="I737:I738"/>
    <mergeCell ref="J737:J738"/>
    <mergeCell ref="K737:K738"/>
    <mergeCell ref="H749:H750"/>
    <mergeCell ref="I749:I750"/>
    <mergeCell ref="J749:J750"/>
    <mergeCell ref="K749:K750"/>
    <mergeCell ref="C717:C718"/>
    <mergeCell ref="D717:D718"/>
    <mergeCell ref="E717:E718"/>
    <mergeCell ref="J725:J726"/>
    <mergeCell ref="K725:K726"/>
    <mergeCell ref="K733:K734"/>
    <mergeCell ref="L713:L714"/>
    <mergeCell ref="K639:K640"/>
    <mergeCell ref="L639:L640"/>
    <mergeCell ref="A711:A712"/>
    <mergeCell ref="B711:B712"/>
    <mergeCell ref="C711:C712"/>
    <mergeCell ref="D711:D712"/>
    <mergeCell ref="E711:E712"/>
    <mergeCell ref="F711:F712"/>
    <mergeCell ref="H711:H712"/>
    <mergeCell ref="I711:I712"/>
    <mergeCell ref="L635:L636"/>
    <mergeCell ref="A639:A640"/>
    <mergeCell ref="B639:B640"/>
    <mergeCell ref="C639:C640"/>
    <mergeCell ref="D639:D640"/>
    <mergeCell ref="E639:E640"/>
    <mergeCell ref="F639:F640"/>
    <mergeCell ref="H639:H640"/>
    <mergeCell ref="I639:I640"/>
    <mergeCell ref="J639:J640"/>
    <mergeCell ref="E635:E636"/>
    <mergeCell ref="F635:F636"/>
    <mergeCell ref="H635:H636"/>
    <mergeCell ref="I635:I636"/>
    <mergeCell ref="J635:J636"/>
    <mergeCell ref="K635:K636"/>
    <mergeCell ref="H661:H662"/>
    <mergeCell ref="I661:I662"/>
    <mergeCell ref="A657:A658"/>
    <mergeCell ref="B657:B658"/>
    <mergeCell ref="C657:C658"/>
    <mergeCell ref="L651:L652"/>
    <mergeCell ref="H649:H650"/>
    <mergeCell ref="I649:I650"/>
    <mergeCell ref="J649:J650"/>
    <mergeCell ref="H651:H652"/>
    <mergeCell ref="L643:L644"/>
    <mergeCell ref="L641:L642"/>
    <mergeCell ref="D643:D644"/>
    <mergeCell ref="E643:E644"/>
    <mergeCell ref="I583:I584"/>
    <mergeCell ref="J583:J584"/>
    <mergeCell ref="K583:K584"/>
    <mergeCell ref="L583:L584"/>
    <mergeCell ref="H643:H644"/>
    <mergeCell ref="I643:I644"/>
    <mergeCell ref="J643:J644"/>
    <mergeCell ref="K643:K644"/>
    <mergeCell ref="H641:H642"/>
    <mergeCell ref="I641:I642"/>
    <mergeCell ref="J641:J642"/>
    <mergeCell ref="K641:K642"/>
    <mergeCell ref="H637:H638"/>
    <mergeCell ref="I637:I638"/>
    <mergeCell ref="J637:J638"/>
    <mergeCell ref="K637:K638"/>
    <mergeCell ref="L637:L638"/>
    <mergeCell ref="H633:H634"/>
    <mergeCell ref="I633:I634"/>
    <mergeCell ref="J633:J634"/>
    <mergeCell ref="K633:K634"/>
    <mergeCell ref="L633:L634"/>
    <mergeCell ref="E637:E638"/>
    <mergeCell ref="A583:A584"/>
    <mergeCell ref="B583:B584"/>
    <mergeCell ref="C583:C584"/>
    <mergeCell ref="D583:D584"/>
    <mergeCell ref="E583:E584"/>
    <mergeCell ref="A641:A642"/>
    <mergeCell ref="B641:B642"/>
    <mergeCell ref="C641:C642"/>
    <mergeCell ref="D641:D642"/>
    <mergeCell ref="E641:E642"/>
    <mergeCell ref="F643:F644"/>
    <mergeCell ref="F641:F642"/>
    <mergeCell ref="A643:A644"/>
    <mergeCell ref="B643:B644"/>
    <mergeCell ref="C643:C644"/>
    <mergeCell ref="F637:F638"/>
    <mergeCell ref="A637:A638"/>
    <mergeCell ref="B637:B638"/>
    <mergeCell ref="C637:C638"/>
    <mergeCell ref="D637:D638"/>
    <mergeCell ref="D629:D630"/>
    <mergeCell ref="E629:E630"/>
    <mergeCell ref="F623:F624"/>
    <mergeCell ref="A623:A624"/>
    <mergeCell ref="B623:B624"/>
    <mergeCell ref="C623:C624"/>
    <mergeCell ref="D623:D624"/>
    <mergeCell ref="E623:E624"/>
    <mergeCell ref="A617:A618"/>
    <mergeCell ref="B617:B618"/>
    <mergeCell ref="C617:C618"/>
    <mergeCell ref="D617:D618"/>
    <mergeCell ref="A633:A634"/>
    <mergeCell ref="B633:B634"/>
    <mergeCell ref="C633:C634"/>
    <mergeCell ref="D633:D634"/>
    <mergeCell ref="E633:E634"/>
    <mergeCell ref="A635:A636"/>
    <mergeCell ref="B635:B636"/>
    <mergeCell ref="C635:C636"/>
    <mergeCell ref="D635:D636"/>
    <mergeCell ref="F633:F634"/>
    <mergeCell ref="F631:F632"/>
    <mergeCell ref="H631:H632"/>
    <mergeCell ref="I631:I632"/>
    <mergeCell ref="J631:J632"/>
    <mergeCell ref="K631:K632"/>
    <mergeCell ref="L631:L632"/>
    <mergeCell ref="H629:H630"/>
    <mergeCell ref="I629:I630"/>
    <mergeCell ref="J629:J630"/>
    <mergeCell ref="K629:K630"/>
    <mergeCell ref="L629:L630"/>
    <mergeCell ref="A631:A632"/>
    <mergeCell ref="B631:B632"/>
    <mergeCell ref="C631:C632"/>
    <mergeCell ref="D631:D632"/>
    <mergeCell ref="A629:A630"/>
    <mergeCell ref="B629:B630"/>
    <mergeCell ref="C629:C630"/>
    <mergeCell ref="A625:A626"/>
    <mergeCell ref="B625:B626"/>
    <mergeCell ref="C625:C626"/>
    <mergeCell ref="D625:D626"/>
    <mergeCell ref="E625:E626"/>
    <mergeCell ref="A627:A628"/>
    <mergeCell ref="B627:B628"/>
    <mergeCell ref="C627:C628"/>
    <mergeCell ref="D627:D628"/>
    <mergeCell ref="B613:B614"/>
    <mergeCell ref="C613:C614"/>
    <mergeCell ref="D613:D614"/>
    <mergeCell ref="E613:E614"/>
    <mergeCell ref="A619:A620"/>
    <mergeCell ref="B619:B620"/>
    <mergeCell ref="C619:C620"/>
    <mergeCell ref="E627:E628"/>
    <mergeCell ref="D621:D622"/>
    <mergeCell ref="A621:A622"/>
    <mergeCell ref="B621:B622"/>
    <mergeCell ref="C621:C622"/>
    <mergeCell ref="I625:I626"/>
    <mergeCell ref="J625:J626"/>
    <mergeCell ref="K625:K626"/>
    <mergeCell ref="L623:L624"/>
    <mergeCell ref="H617:H618"/>
    <mergeCell ref="I617:I618"/>
    <mergeCell ref="J617:J618"/>
    <mergeCell ref="K617:K618"/>
    <mergeCell ref="L617:L618"/>
    <mergeCell ref="H619:H620"/>
    <mergeCell ref="I619:I620"/>
    <mergeCell ref="J619:J620"/>
    <mergeCell ref="K619:K620"/>
    <mergeCell ref="L619:L620"/>
    <mergeCell ref="L625:L626"/>
    <mergeCell ref="F625:F626"/>
    <mergeCell ref="E631:E632"/>
    <mergeCell ref="L627:L628"/>
    <mergeCell ref="F627:F628"/>
    <mergeCell ref="H627:H628"/>
    <mergeCell ref="I627:I628"/>
    <mergeCell ref="J627:J628"/>
    <mergeCell ref="K627:K628"/>
    <mergeCell ref="K621:K622"/>
    <mergeCell ref="L621:L622"/>
    <mergeCell ref="E621:E622"/>
    <mergeCell ref="F621:F622"/>
    <mergeCell ref="H621:H622"/>
    <mergeCell ref="I621:I622"/>
    <mergeCell ref="J621:J622"/>
    <mergeCell ref="A651:A652"/>
    <mergeCell ref="B651:B652"/>
    <mergeCell ref="C651:C652"/>
    <mergeCell ref="D651:D652"/>
    <mergeCell ref="E651:E652"/>
    <mergeCell ref="E649:E650"/>
    <mergeCell ref="F649:F650"/>
    <mergeCell ref="D607:D608"/>
    <mergeCell ref="E607:E608"/>
    <mergeCell ref="L609:L610"/>
    <mergeCell ref="H607:H608"/>
    <mergeCell ref="I607:I608"/>
    <mergeCell ref="J607:J608"/>
    <mergeCell ref="K607:K608"/>
    <mergeCell ref="L607:L608"/>
    <mergeCell ref="F609:F610"/>
    <mergeCell ref="K609:K610"/>
    <mergeCell ref="A609:A610"/>
    <mergeCell ref="B609:B610"/>
    <mergeCell ref="C609:C610"/>
    <mergeCell ref="D609:D610"/>
    <mergeCell ref="E609:E610"/>
    <mergeCell ref="A607:A608"/>
    <mergeCell ref="B607:B608"/>
    <mergeCell ref="C607:C608"/>
    <mergeCell ref="F607:F608"/>
    <mergeCell ref="H609:H610"/>
    <mergeCell ref="I609:I610"/>
    <mergeCell ref="J609:J610"/>
    <mergeCell ref="E617:E618"/>
    <mergeCell ref="F617:F618"/>
    <mergeCell ref="H615:H616"/>
    <mergeCell ref="B645:B646"/>
    <mergeCell ref="C645:C646"/>
    <mergeCell ref="D645:D646"/>
    <mergeCell ref="E645:E646"/>
    <mergeCell ref="L645:L646"/>
    <mergeCell ref="A611:A612"/>
    <mergeCell ref="B611:L612"/>
    <mergeCell ref="J605:J606"/>
    <mergeCell ref="K605:K606"/>
    <mergeCell ref="A605:A606"/>
    <mergeCell ref="B605:B606"/>
    <mergeCell ref="C605:C606"/>
    <mergeCell ref="D605:D606"/>
    <mergeCell ref="E605:E606"/>
    <mergeCell ref="F615:F616"/>
    <mergeCell ref="L649:L650"/>
    <mergeCell ref="I615:I616"/>
    <mergeCell ref="J615:J616"/>
    <mergeCell ref="K615:K616"/>
    <mergeCell ref="L615:L616"/>
    <mergeCell ref="H613:H614"/>
    <mergeCell ref="I613:I614"/>
    <mergeCell ref="J613:J614"/>
    <mergeCell ref="K613:K614"/>
    <mergeCell ref="L613:L614"/>
    <mergeCell ref="A615:A616"/>
    <mergeCell ref="B615:B616"/>
    <mergeCell ref="C615:C616"/>
    <mergeCell ref="D615:D616"/>
    <mergeCell ref="E615:E616"/>
    <mergeCell ref="A613:A614"/>
    <mergeCell ref="F613:F614"/>
    <mergeCell ref="J581:J582"/>
    <mergeCell ref="H579:H580"/>
    <mergeCell ref="I579:I580"/>
    <mergeCell ref="J579:J580"/>
    <mergeCell ref="K579:K580"/>
    <mergeCell ref="L567:L568"/>
    <mergeCell ref="H565:H566"/>
    <mergeCell ref="I565:I566"/>
    <mergeCell ref="J565:J566"/>
    <mergeCell ref="K565:K566"/>
    <mergeCell ref="L565:L566"/>
    <mergeCell ref="A567:A568"/>
    <mergeCell ref="B567:B568"/>
    <mergeCell ref="C567:C568"/>
    <mergeCell ref="D567:D568"/>
    <mergeCell ref="E567:E568"/>
    <mergeCell ref="A565:A566"/>
    <mergeCell ref="B565:B566"/>
    <mergeCell ref="C565:C566"/>
    <mergeCell ref="D565:D566"/>
    <mergeCell ref="E565:E566"/>
    <mergeCell ref="F565:F566"/>
    <mergeCell ref="F571:F572"/>
    <mergeCell ref="L569:L570"/>
    <mergeCell ref="H571:H572"/>
    <mergeCell ref="I571:I572"/>
    <mergeCell ref="J571:J572"/>
    <mergeCell ref="A581:A582"/>
    <mergeCell ref="B581:B582"/>
    <mergeCell ref="C581:C582"/>
    <mergeCell ref="E581:E582"/>
    <mergeCell ref="L579:L580"/>
    <mergeCell ref="I559:I560"/>
    <mergeCell ref="J559:J560"/>
    <mergeCell ref="K559:K560"/>
    <mergeCell ref="L519:L520"/>
    <mergeCell ref="H525:H526"/>
    <mergeCell ref="I525:I526"/>
    <mergeCell ref="J525:J526"/>
    <mergeCell ref="K525:K526"/>
    <mergeCell ref="L525:L526"/>
    <mergeCell ref="H523:H524"/>
    <mergeCell ref="A519:A520"/>
    <mergeCell ref="B519:B520"/>
    <mergeCell ref="C519:C520"/>
    <mergeCell ref="D519:D520"/>
    <mergeCell ref="E519:E520"/>
    <mergeCell ref="A525:A526"/>
    <mergeCell ref="B525:B526"/>
    <mergeCell ref="C525:C526"/>
    <mergeCell ref="D525:D526"/>
    <mergeCell ref="E525:E526"/>
    <mergeCell ref="B523:B524"/>
    <mergeCell ref="C523:C524"/>
    <mergeCell ref="D527:D528"/>
    <mergeCell ref="E523:E524"/>
    <mergeCell ref="F523:F524"/>
    <mergeCell ref="A527:A528"/>
    <mergeCell ref="B527:B528"/>
    <mergeCell ref="C527:C528"/>
    <mergeCell ref="E527:E528"/>
    <mergeCell ref="D523:D524"/>
    <mergeCell ref="A529:A530"/>
    <mergeCell ref="B529:B530"/>
    <mergeCell ref="H502:H503"/>
    <mergeCell ref="I502:I503"/>
    <mergeCell ref="J502:J503"/>
    <mergeCell ref="K502:K503"/>
    <mergeCell ref="L502:L503"/>
    <mergeCell ref="B425:L425"/>
    <mergeCell ref="F500:F501"/>
    <mergeCell ref="H500:H501"/>
    <mergeCell ref="I500:I501"/>
    <mergeCell ref="J500:J501"/>
    <mergeCell ref="A502:A503"/>
    <mergeCell ref="B502:B503"/>
    <mergeCell ref="C502:C503"/>
    <mergeCell ref="D502:D503"/>
    <mergeCell ref="E502:E503"/>
    <mergeCell ref="F502:F503"/>
    <mergeCell ref="K500:K501"/>
    <mergeCell ref="L500:L501"/>
    <mergeCell ref="H498:H499"/>
    <mergeCell ref="I498:I499"/>
    <mergeCell ref="J498:J499"/>
    <mergeCell ref="K498:K499"/>
    <mergeCell ref="L498:L499"/>
    <mergeCell ref="A500:A501"/>
    <mergeCell ref="B500:B501"/>
    <mergeCell ref="C500:C501"/>
    <mergeCell ref="D500:D501"/>
    <mergeCell ref="E500:E501"/>
    <mergeCell ref="A498:A499"/>
    <mergeCell ref="B498:B499"/>
    <mergeCell ref="C498:C499"/>
    <mergeCell ref="D498:D499"/>
    <mergeCell ref="E498:E499"/>
    <mergeCell ref="F498:F499"/>
    <mergeCell ref="F496:F497"/>
    <mergeCell ref="H496:H497"/>
    <mergeCell ref="I496:I497"/>
    <mergeCell ref="J496:J497"/>
    <mergeCell ref="K496:K497"/>
    <mergeCell ref="L496:L497"/>
    <mergeCell ref="H494:H495"/>
    <mergeCell ref="I494:I495"/>
    <mergeCell ref="J494:J495"/>
    <mergeCell ref="K494:K495"/>
    <mergeCell ref="L494:L495"/>
    <mergeCell ref="A496:A497"/>
    <mergeCell ref="B496:B497"/>
    <mergeCell ref="C496:C497"/>
    <mergeCell ref="D496:D497"/>
    <mergeCell ref="E496:E497"/>
    <mergeCell ref="A494:A495"/>
    <mergeCell ref="B494:B495"/>
    <mergeCell ref="C494:C495"/>
    <mergeCell ref="D494:D495"/>
    <mergeCell ref="E494:E495"/>
    <mergeCell ref="F494:F495"/>
    <mergeCell ref="F492:F493"/>
    <mergeCell ref="H492:H493"/>
    <mergeCell ref="I492:I493"/>
    <mergeCell ref="J492:J493"/>
    <mergeCell ref="K492:K493"/>
    <mergeCell ref="L492:L493"/>
    <mergeCell ref="H490:H491"/>
    <mergeCell ref="I490:I491"/>
    <mergeCell ref="J490:J491"/>
    <mergeCell ref="K490:K491"/>
    <mergeCell ref="L490:L491"/>
    <mergeCell ref="A492:A493"/>
    <mergeCell ref="B492:B493"/>
    <mergeCell ref="C492:C493"/>
    <mergeCell ref="D492:D493"/>
    <mergeCell ref="E492:E493"/>
    <mergeCell ref="A490:A491"/>
    <mergeCell ref="B490:B491"/>
    <mergeCell ref="C490:C491"/>
    <mergeCell ref="D490:D491"/>
    <mergeCell ref="E490:E491"/>
    <mergeCell ref="L488:L489"/>
    <mergeCell ref="F490:F491"/>
    <mergeCell ref="F488:F489"/>
    <mergeCell ref="H488:H489"/>
    <mergeCell ref="I488:I489"/>
    <mergeCell ref="J488:J489"/>
    <mergeCell ref="K488:K489"/>
    <mergeCell ref="F486:F487"/>
    <mergeCell ref="H486:H487"/>
    <mergeCell ref="I486:I487"/>
    <mergeCell ref="J486:J487"/>
    <mergeCell ref="K486:K487"/>
    <mergeCell ref="A488:A489"/>
    <mergeCell ref="B488:B489"/>
    <mergeCell ref="C488:C489"/>
    <mergeCell ref="D488:D489"/>
    <mergeCell ref="E488:E489"/>
    <mergeCell ref="L486:L487"/>
    <mergeCell ref="H484:H485"/>
    <mergeCell ref="I484:I485"/>
    <mergeCell ref="J484:J485"/>
    <mergeCell ref="K484:K485"/>
    <mergeCell ref="L484:L485"/>
    <mergeCell ref="A486:A487"/>
    <mergeCell ref="B486:B487"/>
    <mergeCell ref="C486:C487"/>
    <mergeCell ref="D486:D487"/>
    <mergeCell ref="E486:E487"/>
    <mergeCell ref="A484:A485"/>
    <mergeCell ref="B484:B485"/>
    <mergeCell ref="C484:C485"/>
    <mergeCell ref="D484:D485"/>
    <mergeCell ref="E484:E485"/>
    <mergeCell ref="F484:F485"/>
    <mergeCell ref="F482:F483"/>
    <mergeCell ref="H482:H483"/>
    <mergeCell ref="I482:I483"/>
    <mergeCell ref="J482:J483"/>
    <mergeCell ref="K482:K483"/>
    <mergeCell ref="L482:L483"/>
    <mergeCell ref="H478:H479"/>
    <mergeCell ref="I478:I479"/>
    <mergeCell ref="J478:J479"/>
    <mergeCell ref="K478:K479"/>
    <mergeCell ref="L478:L479"/>
    <mergeCell ref="H480:H481"/>
    <mergeCell ref="I480:I481"/>
    <mergeCell ref="J480:J481"/>
    <mergeCell ref="K480:K481"/>
    <mergeCell ref="A482:A483"/>
    <mergeCell ref="B482:B483"/>
    <mergeCell ref="C482:C483"/>
    <mergeCell ref="D482:D483"/>
    <mergeCell ref="E482:E483"/>
    <mergeCell ref="A478:A479"/>
    <mergeCell ref="B478:B479"/>
    <mergeCell ref="C478:C479"/>
    <mergeCell ref="D478:D479"/>
    <mergeCell ref="E478:E479"/>
    <mergeCell ref="F478:F479"/>
    <mergeCell ref="F476:F477"/>
    <mergeCell ref="H476:H477"/>
    <mergeCell ref="I476:I477"/>
    <mergeCell ref="J476:J477"/>
    <mergeCell ref="K476:K477"/>
    <mergeCell ref="L476:L477"/>
    <mergeCell ref="H474:H475"/>
    <mergeCell ref="I474:I475"/>
    <mergeCell ref="J474:J475"/>
    <mergeCell ref="K474:K475"/>
    <mergeCell ref="L474:L475"/>
    <mergeCell ref="A476:A477"/>
    <mergeCell ref="B476:B477"/>
    <mergeCell ref="C476:C477"/>
    <mergeCell ref="D476:D477"/>
    <mergeCell ref="E476:E477"/>
    <mergeCell ref="A474:A475"/>
    <mergeCell ref="B474:B475"/>
    <mergeCell ref="C474:C475"/>
    <mergeCell ref="D474:D475"/>
    <mergeCell ref="E474:E475"/>
    <mergeCell ref="F474:F475"/>
    <mergeCell ref="F472:F473"/>
    <mergeCell ref="H472:H473"/>
    <mergeCell ref="I472:I473"/>
    <mergeCell ref="J472:J473"/>
    <mergeCell ref="K472:K473"/>
    <mergeCell ref="L472:L473"/>
    <mergeCell ref="H470:H471"/>
    <mergeCell ref="I470:I471"/>
    <mergeCell ref="J470:J471"/>
    <mergeCell ref="K470:K471"/>
    <mergeCell ref="L470:L471"/>
    <mergeCell ref="A472:A473"/>
    <mergeCell ref="B472:B473"/>
    <mergeCell ref="C472:C473"/>
    <mergeCell ref="D472:D473"/>
    <mergeCell ref="E472:E473"/>
    <mergeCell ref="A470:A471"/>
    <mergeCell ref="B470:B471"/>
    <mergeCell ref="C470:C471"/>
    <mergeCell ref="D470:D471"/>
    <mergeCell ref="E470:E471"/>
    <mergeCell ref="F470:F471"/>
    <mergeCell ref="F468:F469"/>
    <mergeCell ref="H468:H469"/>
    <mergeCell ref="I468:I469"/>
    <mergeCell ref="J468:J469"/>
    <mergeCell ref="K468:K469"/>
    <mergeCell ref="L468:L469"/>
    <mergeCell ref="H466:H467"/>
    <mergeCell ref="I466:I467"/>
    <mergeCell ref="J466:J467"/>
    <mergeCell ref="K466:K467"/>
    <mergeCell ref="L466:L467"/>
    <mergeCell ref="A468:A469"/>
    <mergeCell ref="B468:B469"/>
    <mergeCell ref="C468:C469"/>
    <mergeCell ref="D468:D469"/>
    <mergeCell ref="E468:E469"/>
    <mergeCell ref="A466:A467"/>
    <mergeCell ref="B466:B467"/>
    <mergeCell ref="C466:C467"/>
    <mergeCell ref="D466:D467"/>
    <mergeCell ref="E466:E467"/>
    <mergeCell ref="F466:F467"/>
    <mergeCell ref="F464:F465"/>
    <mergeCell ref="H464:H465"/>
    <mergeCell ref="I464:I465"/>
    <mergeCell ref="J464:J465"/>
    <mergeCell ref="K464:K465"/>
    <mergeCell ref="L464:L465"/>
    <mergeCell ref="H462:H463"/>
    <mergeCell ref="I462:I463"/>
    <mergeCell ref="J462:J463"/>
    <mergeCell ref="K462:K463"/>
    <mergeCell ref="L462:L463"/>
    <mergeCell ref="A464:A465"/>
    <mergeCell ref="B464:B465"/>
    <mergeCell ref="C464:C465"/>
    <mergeCell ref="D464:D465"/>
    <mergeCell ref="E464:E465"/>
    <mergeCell ref="A462:A463"/>
    <mergeCell ref="B462:B463"/>
    <mergeCell ref="C462:C463"/>
    <mergeCell ref="D462:D463"/>
    <mergeCell ref="E462:E463"/>
    <mergeCell ref="F462:F463"/>
    <mergeCell ref="F460:F461"/>
    <mergeCell ref="H460:H461"/>
    <mergeCell ref="I460:I461"/>
    <mergeCell ref="J460:J461"/>
    <mergeCell ref="K460:K461"/>
    <mergeCell ref="L458:L459"/>
    <mergeCell ref="A460:A461"/>
    <mergeCell ref="B460:B461"/>
    <mergeCell ref="C460:C461"/>
    <mergeCell ref="D460:D461"/>
    <mergeCell ref="E460:E461"/>
    <mergeCell ref="L460:L461"/>
    <mergeCell ref="A458:A459"/>
    <mergeCell ref="B458:B459"/>
    <mergeCell ref="C458:C459"/>
    <mergeCell ref="D458:D459"/>
    <mergeCell ref="E458:E459"/>
    <mergeCell ref="H458:H459"/>
    <mergeCell ref="L456:L457"/>
    <mergeCell ref="F458:F459"/>
    <mergeCell ref="F456:F457"/>
    <mergeCell ref="H456:H457"/>
    <mergeCell ref="I456:I457"/>
    <mergeCell ref="J456:J457"/>
    <mergeCell ref="K456:K457"/>
    <mergeCell ref="I458:I459"/>
    <mergeCell ref="J458:J459"/>
    <mergeCell ref="K458:K459"/>
    <mergeCell ref="I454:I455"/>
    <mergeCell ref="J454:J455"/>
    <mergeCell ref="K454:K455"/>
    <mergeCell ref="A456:A457"/>
    <mergeCell ref="B456:B457"/>
    <mergeCell ref="C456:C457"/>
    <mergeCell ref="D456:D457"/>
    <mergeCell ref="E456:E457"/>
    <mergeCell ref="D452:D453"/>
    <mergeCell ref="E452:E453"/>
    <mergeCell ref="B452:B453"/>
    <mergeCell ref="C452:C453"/>
    <mergeCell ref="L454:L455"/>
    <mergeCell ref="H452:H453"/>
    <mergeCell ref="I452:I453"/>
    <mergeCell ref="J452:J453"/>
    <mergeCell ref="K452:K453"/>
    <mergeCell ref="L452:L453"/>
    <mergeCell ref="F454:F455"/>
    <mergeCell ref="H454:H455"/>
    <mergeCell ref="L450:L451"/>
    <mergeCell ref="F452:F453"/>
    <mergeCell ref="A454:A455"/>
    <mergeCell ref="B454:B455"/>
    <mergeCell ref="C454:C455"/>
    <mergeCell ref="D454:D455"/>
    <mergeCell ref="E454:E455"/>
    <mergeCell ref="A452:A453"/>
    <mergeCell ref="A450:A451"/>
    <mergeCell ref="B450:B451"/>
    <mergeCell ref="C450:C451"/>
    <mergeCell ref="D450:D451"/>
    <mergeCell ref="E450:E451"/>
    <mergeCell ref="H450:H451"/>
    <mergeCell ref="F450:F451"/>
    <mergeCell ref="F448:F449"/>
    <mergeCell ref="H448:H449"/>
    <mergeCell ref="I448:I449"/>
    <mergeCell ref="J448:J449"/>
    <mergeCell ref="K448:K449"/>
    <mergeCell ref="I450:I451"/>
    <mergeCell ref="J450:J451"/>
    <mergeCell ref="K450:K451"/>
    <mergeCell ref="L448:L449"/>
    <mergeCell ref="H446:H447"/>
    <mergeCell ref="I446:I447"/>
    <mergeCell ref="J446:J447"/>
    <mergeCell ref="K446:K447"/>
    <mergeCell ref="L446:L447"/>
    <mergeCell ref="A448:A449"/>
    <mergeCell ref="B448:B449"/>
    <mergeCell ref="C448:C449"/>
    <mergeCell ref="D448:D449"/>
    <mergeCell ref="E448:E449"/>
    <mergeCell ref="A446:A447"/>
    <mergeCell ref="B446:B447"/>
    <mergeCell ref="C446:C447"/>
    <mergeCell ref="D446:D447"/>
    <mergeCell ref="E446:E447"/>
    <mergeCell ref="F446:F447"/>
    <mergeCell ref="K440:K441"/>
    <mergeCell ref="H444:H445"/>
    <mergeCell ref="I444:I445"/>
    <mergeCell ref="J444:J445"/>
    <mergeCell ref="K444:K445"/>
    <mergeCell ref="L440:L441"/>
    <mergeCell ref="H438:H439"/>
    <mergeCell ref="I438:I439"/>
    <mergeCell ref="J438:J439"/>
    <mergeCell ref="K438:K439"/>
    <mergeCell ref="L438:L439"/>
    <mergeCell ref="A440:A441"/>
    <mergeCell ref="B440:B441"/>
    <mergeCell ref="C440:C441"/>
    <mergeCell ref="D440:D441"/>
    <mergeCell ref="E440:E441"/>
    <mergeCell ref="A438:A439"/>
    <mergeCell ref="B438:B439"/>
    <mergeCell ref="C438:C439"/>
    <mergeCell ref="D438:D439"/>
    <mergeCell ref="E438:E439"/>
    <mergeCell ref="F438:F439"/>
    <mergeCell ref="A444:A445"/>
    <mergeCell ref="B444:B445"/>
    <mergeCell ref="C444:C445"/>
    <mergeCell ref="D444:D445"/>
    <mergeCell ref="E444:E445"/>
    <mergeCell ref="F444:F445"/>
    <mergeCell ref="L444:L445"/>
    <mergeCell ref="F440:F441"/>
    <mergeCell ref="H440:H441"/>
    <mergeCell ref="I440:I441"/>
    <mergeCell ref="H432:H433"/>
    <mergeCell ref="I432:I433"/>
    <mergeCell ref="J432:J433"/>
    <mergeCell ref="K432:K433"/>
    <mergeCell ref="H434:H435"/>
    <mergeCell ref="I434:I435"/>
    <mergeCell ref="J434:J435"/>
    <mergeCell ref="K434:K435"/>
    <mergeCell ref="A432:A433"/>
    <mergeCell ref="B432:B433"/>
    <mergeCell ref="C432:C433"/>
    <mergeCell ref="D432:D433"/>
    <mergeCell ref="E432:E433"/>
    <mergeCell ref="F436:F437"/>
    <mergeCell ref="H436:H437"/>
    <mergeCell ref="I436:I437"/>
    <mergeCell ref="J436:J437"/>
    <mergeCell ref="K436:K437"/>
    <mergeCell ref="B442:B443"/>
    <mergeCell ref="C442:C443"/>
    <mergeCell ref="D442:D443"/>
    <mergeCell ref="E442:E443"/>
    <mergeCell ref="A428:A429"/>
    <mergeCell ref="B428:B429"/>
    <mergeCell ref="A436:A437"/>
    <mergeCell ref="B436:B437"/>
    <mergeCell ref="C436:C437"/>
    <mergeCell ref="D436:D437"/>
    <mergeCell ref="E436:E437"/>
    <mergeCell ref="A434:A435"/>
    <mergeCell ref="B434:B435"/>
    <mergeCell ref="C434:C435"/>
    <mergeCell ref="D434:D435"/>
    <mergeCell ref="E434:E435"/>
    <mergeCell ref="F434:F435"/>
    <mergeCell ref="F432:F433"/>
    <mergeCell ref="L426:L427"/>
    <mergeCell ref="H423:H424"/>
    <mergeCell ref="I423:I424"/>
    <mergeCell ref="J423:J424"/>
    <mergeCell ref="K423:K424"/>
    <mergeCell ref="L423:L424"/>
    <mergeCell ref="A430:A431"/>
    <mergeCell ref="B430:B431"/>
    <mergeCell ref="C430:C431"/>
    <mergeCell ref="D430:D431"/>
    <mergeCell ref="E430:E431"/>
    <mergeCell ref="F430:F431"/>
    <mergeCell ref="F442:F443"/>
    <mergeCell ref="H442:H443"/>
    <mergeCell ref="I442:I443"/>
    <mergeCell ref="J442:J443"/>
    <mergeCell ref="K442:K443"/>
    <mergeCell ref="H430:H431"/>
    <mergeCell ref="I430:I431"/>
    <mergeCell ref="J430:J431"/>
    <mergeCell ref="K430:K431"/>
    <mergeCell ref="L442:L443"/>
    <mergeCell ref="H428:H429"/>
    <mergeCell ref="I428:I429"/>
    <mergeCell ref="J428:J429"/>
    <mergeCell ref="K428:K429"/>
    <mergeCell ref="L428:L429"/>
    <mergeCell ref="L432:L433"/>
    <mergeCell ref="L430:L431"/>
    <mergeCell ref="L436:L437"/>
    <mergeCell ref="L434:L435"/>
    <mergeCell ref="A442:A443"/>
    <mergeCell ref="C421:C422"/>
    <mergeCell ref="D421:D422"/>
    <mergeCell ref="E421:E422"/>
    <mergeCell ref="A419:A420"/>
    <mergeCell ref="B419:B420"/>
    <mergeCell ref="C419:C420"/>
    <mergeCell ref="D419:D420"/>
    <mergeCell ref="E419:E420"/>
    <mergeCell ref="C428:C429"/>
    <mergeCell ref="D428:D429"/>
    <mergeCell ref="E428:E429"/>
    <mergeCell ref="F428:F429"/>
    <mergeCell ref="F426:F427"/>
    <mergeCell ref="H426:H427"/>
    <mergeCell ref="I426:I427"/>
    <mergeCell ref="J426:J427"/>
    <mergeCell ref="K426:K427"/>
    <mergeCell ref="D423:D424"/>
    <mergeCell ref="E423:E424"/>
    <mergeCell ref="L419:L420"/>
    <mergeCell ref="F423:F424"/>
    <mergeCell ref="F421:F422"/>
    <mergeCell ref="H421:H422"/>
    <mergeCell ref="F417:F418"/>
    <mergeCell ref="H417:H418"/>
    <mergeCell ref="I417:I418"/>
    <mergeCell ref="J417:J418"/>
    <mergeCell ref="K417:K418"/>
    <mergeCell ref="L417:L418"/>
    <mergeCell ref="H415:H416"/>
    <mergeCell ref="I415:I416"/>
    <mergeCell ref="J415:J416"/>
    <mergeCell ref="K415:K416"/>
    <mergeCell ref="L415:L416"/>
    <mergeCell ref="I421:I422"/>
    <mergeCell ref="J421:J422"/>
    <mergeCell ref="J440:J441"/>
    <mergeCell ref="A417:A418"/>
    <mergeCell ref="B417:B418"/>
    <mergeCell ref="C417:C418"/>
    <mergeCell ref="D417:D418"/>
    <mergeCell ref="E417:E418"/>
    <mergeCell ref="A415:A416"/>
    <mergeCell ref="B415:B416"/>
    <mergeCell ref="C415:C416"/>
    <mergeCell ref="D415:D416"/>
    <mergeCell ref="E415:E416"/>
    <mergeCell ref="F415:F416"/>
    <mergeCell ref="F413:F414"/>
    <mergeCell ref="H413:H414"/>
    <mergeCell ref="I413:I414"/>
    <mergeCell ref="J413:J414"/>
    <mergeCell ref="K413:K414"/>
    <mergeCell ref="F419:F420"/>
    <mergeCell ref="H419:H420"/>
    <mergeCell ref="I419:I420"/>
    <mergeCell ref="J419:J420"/>
    <mergeCell ref="K419:K420"/>
    <mergeCell ref="A426:A427"/>
    <mergeCell ref="B426:B427"/>
    <mergeCell ref="C426:C427"/>
    <mergeCell ref="D426:D427"/>
    <mergeCell ref="E426:E427"/>
    <mergeCell ref="A423:A424"/>
    <mergeCell ref="B423:B424"/>
    <mergeCell ref="C423:C424"/>
    <mergeCell ref="A421:A422"/>
    <mergeCell ref="B421:B422"/>
    <mergeCell ref="C405:C406"/>
    <mergeCell ref="D405:D406"/>
    <mergeCell ref="L413:L414"/>
    <mergeCell ref="H411:H412"/>
    <mergeCell ref="I411:I412"/>
    <mergeCell ref="J411:J412"/>
    <mergeCell ref="K411:K412"/>
    <mergeCell ref="L411:L412"/>
    <mergeCell ref="A413:A414"/>
    <mergeCell ref="B413:B414"/>
    <mergeCell ref="C413:C414"/>
    <mergeCell ref="D413:D414"/>
    <mergeCell ref="E413:E414"/>
    <mergeCell ref="A411:A412"/>
    <mergeCell ref="B411:B412"/>
    <mergeCell ref="C411:C412"/>
    <mergeCell ref="D411:D412"/>
    <mergeCell ref="E411:E412"/>
    <mergeCell ref="F411:F412"/>
    <mergeCell ref="I401:I402"/>
    <mergeCell ref="J401:J402"/>
    <mergeCell ref="F399:F400"/>
    <mergeCell ref="H409:H410"/>
    <mergeCell ref="I409:I410"/>
    <mergeCell ref="F407:F408"/>
    <mergeCell ref="J409:J410"/>
    <mergeCell ref="K409:K410"/>
    <mergeCell ref="L409:L410"/>
    <mergeCell ref="H407:H408"/>
    <mergeCell ref="J407:J408"/>
    <mergeCell ref="K407:K408"/>
    <mergeCell ref="L407:L408"/>
    <mergeCell ref="A409:A410"/>
    <mergeCell ref="B409:B410"/>
    <mergeCell ref="C409:C410"/>
    <mergeCell ref="D409:D410"/>
    <mergeCell ref="E409:E410"/>
    <mergeCell ref="F409:F410"/>
    <mergeCell ref="I405:I406"/>
    <mergeCell ref="J405:J406"/>
    <mergeCell ref="K405:K406"/>
    <mergeCell ref="L405:L406"/>
    <mergeCell ref="A407:A408"/>
    <mergeCell ref="B407:B408"/>
    <mergeCell ref="C407:C408"/>
    <mergeCell ref="D407:D408"/>
    <mergeCell ref="E407:E408"/>
    <mergeCell ref="I407:I408"/>
    <mergeCell ref="L403:L404"/>
    <mergeCell ref="A405:A406"/>
    <mergeCell ref="B405:B406"/>
    <mergeCell ref="L379:L380"/>
    <mergeCell ref="K381:K382"/>
    <mergeCell ref="H387:H388"/>
    <mergeCell ref="E385:E386"/>
    <mergeCell ref="L381:L382"/>
    <mergeCell ref="L383:L384"/>
    <mergeCell ref="K391:K392"/>
    <mergeCell ref="B375:B376"/>
    <mergeCell ref="C375:C376"/>
    <mergeCell ref="D375:D376"/>
    <mergeCell ref="E375:E376"/>
    <mergeCell ref="L254:L255"/>
    <mergeCell ref="A254:A255"/>
    <mergeCell ref="B254:B255"/>
    <mergeCell ref="C254:C255"/>
    <mergeCell ref="D254:D255"/>
    <mergeCell ref="I375:I376"/>
    <mergeCell ref="L367:L368"/>
    <mergeCell ref="J365:J366"/>
    <mergeCell ref="K365:K366"/>
    <mergeCell ref="I365:I366"/>
    <mergeCell ref="L369:L370"/>
    <mergeCell ref="I377:I378"/>
    <mergeCell ref="I367:I368"/>
    <mergeCell ref="J367:J368"/>
    <mergeCell ref="K369:K370"/>
    <mergeCell ref="L377:L378"/>
    <mergeCell ref="K377:K378"/>
    <mergeCell ref="I371:I372"/>
    <mergeCell ref="I276:I277"/>
    <mergeCell ref="I270:I271"/>
    <mergeCell ref="I262:I263"/>
    <mergeCell ref="F250:F251"/>
    <mergeCell ref="F242:F243"/>
    <mergeCell ref="J240:J241"/>
    <mergeCell ref="K240:K241"/>
    <mergeCell ref="F232:F233"/>
    <mergeCell ref="H232:H233"/>
    <mergeCell ref="I232:I233"/>
    <mergeCell ref="J232:J233"/>
    <mergeCell ref="K232:K233"/>
    <mergeCell ref="K238:K239"/>
    <mergeCell ref="H236:H237"/>
    <mergeCell ref="I236:I237"/>
    <mergeCell ref="J236:J237"/>
    <mergeCell ref="K236:K237"/>
    <mergeCell ref="I242:I243"/>
    <mergeCell ref="J242:J243"/>
    <mergeCell ref="K242:K243"/>
    <mergeCell ref="J234:J235"/>
    <mergeCell ref="K234:K235"/>
    <mergeCell ref="F236:F237"/>
    <mergeCell ref="H244:H245"/>
    <mergeCell ref="H238:H239"/>
    <mergeCell ref="H240:H241"/>
    <mergeCell ref="L244:L245"/>
    <mergeCell ref="I240:I241"/>
    <mergeCell ref="A242:A243"/>
    <mergeCell ref="L248:L249"/>
    <mergeCell ref="H246:H247"/>
    <mergeCell ref="I246:I247"/>
    <mergeCell ref="J246:J247"/>
    <mergeCell ref="K246:K247"/>
    <mergeCell ref="L246:L247"/>
    <mergeCell ref="K248:K249"/>
    <mergeCell ref="A248:A249"/>
    <mergeCell ref="B248:B249"/>
    <mergeCell ref="C248:C249"/>
    <mergeCell ref="D248:D249"/>
    <mergeCell ref="E248:E249"/>
    <mergeCell ref="A246:A247"/>
    <mergeCell ref="B246:B247"/>
    <mergeCell ref="C246:C247"/>
    <mergeCell ref="D246:D247"/>
    <mergeCell ref="E246:E247"/>
    <mergeCell ref="F248:F249"/>
    <mergeCell ref="H248:H249"/>
    <mergeCell ref="I248:I249"/>
    <mergeCell ref="J248:J249"/>
    <mergeCell ref="J244:J245"/>
    <mergeCell ref="K244:K245"/>
    <mergeCell ref="F246:F247"/>
    <mergeCell ref="F244:F245"/>
    <mergeCell ref="I244:I245"/>
    <mergeCell ref="F240:F241"/>
    <mergeCell ref="A244:A245"/>
    <mergeCell ref="B244:B245"/>
    <mergeCell ref="L167:L168"/>
    <mergeCell ref="H167:H168"/>
    <mergeCell ref="I167:I168"/>
    <mergeCell ref="B167:B168"/>
    <mergeCell ref="C167:C168"/>
    <mergeCell ref="C244:C245"/>
    <mergeCell ref="D244:D245"/>
    <mergeCell ref="E244:E245"/>
    <mergeCell ref="A240:A241"/>
    <mergeCell ref="B240:B241"/>
    <mergeCell ref="C240:C241"/>
    <mergeCell ref="D240:D241"/>
    <mergeCell ref="E240:E241"/>
    <mergeCell ref="A178:A179"/>
    <mergeCell ref="B178:B179"/>
    <mergeCell ref="C178:C179"/>
    <mergeCell ref="D178:D179"/>
    <mergeCell ref="E178:E179"/>
    <mergeCell ref="F178:F179"/>
    <mergeCell ref="D186:D187"/>
    <mergeCell ref="E186:E187"/>
    <mergeCell ref="F186:F187"/>
    <mergeCell ref="C222:C223"/>
    <mergeCell ref="D222:D223"/>
    <mergeCell ref="E222:E223"/>
    <mergeCell ref="F196:F197"/>
    <mergeCell ref="D182:D183"/>
    <mergeCell ref="E182:E183"/>
    <mergeCell ref="F182:F183"/>
    <mergeCell ref="A184:A185"/>
    <mergeCell ref="B184:B185"/>
    <mergeCell ref="C184:C185"/>
    <mergeCell ref="I141:I142"/>
    <mergeCell ref="J141:J142"/>
    <mergeCell ref="A147:A148"/>
    <mergeCell ref="F169:F170"/>
    <mergeCell ref="F171:F172"/>
    <mergeCell ref="A230:A231"/>
    <mergeCell ref="B230:B231"/>
    <mergeCell ref="K153:K154"/>
    <mergeCell ref="I149:I150"/>
    <mergeCell ref="A153:A154"/>
    <mergeCell ref="B153:B154"/>
    <mergeCell ref="C153:C154"/>
    <mergeCell ref="D153:D154"/>
    <mergeCell ref="E153:E154"/>
    <mergeCell ref="K161:K162"/>
    <mergeCell ref="L161:L162"/>
    <mergeCell ref="K159:K160"/>
    <mergeCell ref="E157:E158"/>
    <mergeCell ref="A159:A160"/>
    <mergeCell ref="H159:H160"/>
    <mergeCell ref="I159:I160"/>
    <mergeCell ref="J159:J160"/>
    <mergeCell ref="K151:K152"/>
    <mergeCell ref="C151:C152"/>
    <mergeCell ref="D151:D152"/>
    <mergeCell ref="K149:K150"/>
    <mergeCell ref="L153:L154"/>
    <mergeCell ref="B159:B160"/>
    <mergeCell ref="C159:C160"/>
    <mergeCell ref="A151:A152"/>
    <mergeCell ref="E151:E152"/>
    <mergeCell ref="F151:F152"/>
    <mergeCell ref="E149:E150"/>
    <mergeCell ref="F149:F150"/>
    <mergeCell ref="H143:H144"/>
    <mergeCell ref="J149:J150"/>
    <mergeCell ref="C145:C146"/>
    <mergeCell ref="D145:D146"/>
    <mergeCell ref="E145:E146"/>
    <mergeCell ref="F145:F146"/>
    <mergeCell ref="A232:A233"/>
    <mergeCell ref="B232:B233"/>
    <mergeCell ref="H155:H156"/>
    <mergeCell ref="A143:A144"/>
    <mergeCell ref="A145:A146"/>
    <mergeCell ref="C157:C158"/>
    <mergeCell ref="J153:J154"/>
    <mergeCell ref="D184:D185"/>
    <mergeCell ref="C226:C227"/>
    <mergeCell ref="D226:D227"/>
    <mergeCell ref="F143:F144"/>
    <mergeCell ref="B145:B146"/>
    <mergeCell ref="E143:E144"/>
    <mergeCell ref="H149:H150"/>
    <mergeCell ref="B149:B150"/>
    <mergeCell ref="H153:H154"/>
    <mergeCell ref="F153:F154"/>
    <mergeCell ref="A149:A150"/>
    <mergeCell ref="C149:C150"/>
    <mergeCell ref="D149:D150"/>
    <mergeCell ref="C230:C231"/>
    <mergeCell ref="D230:D231"/>
    <mergeCell ref="E230:E231"/>
    <mergeCell ref="F230:F231"/>
    <mergeCell ref="C139:C140"/>
    <mergeCell ref="D139:D140"/>
    <mergeCell ref="K147:K148"/>
    <mergeCell ref="L147:L148"/>
    <mergeCell ref="K145:K146"/>
    <mergeCell ref="J147:J148"/>
    <mergeCell ref="F147:F148"/>
    <mergeCell ref="B147:B148"/>
    <mergeCell ref="F139:F140"/>
    <mergeCell ref="H139:H140"/>
    <mergeCell ref="I139:I140"/>
    <mergeCell ref="J139:J140"/>
    <mergeCell ref="K139:K140"/>
    <mergeCell ref="B139:B140"/>
    <mergeCell ref="A139:A140"/>
    <mergeCell ref="L139:L140"/>
    <mergeCell ref="K143:K144"/>
    <mergeCell ref="L143:L144"/>
    <mergeCell ref="H147:H148"/>
    <mergeCell ref="I147:I148"/>
    <mergeCell ref="J145:J146"/>
    <mergeCell ref="B143:B144"/>
    <mergeCell ref="C143:C144"/>
    <mergeCell ref="I143:I144"/>
    <mergeCell ref="D143:D144"/>
    <mergeCell ref="A141:A142"/>
    <mergeCell ref="B141:B142"/>
    <mergeCell ref="C141:C142"/>
    <mergeCell ref="D141:D142"/>
    <mergeCell ref="E141:E142"/>
    <mergeCell ref="F141:F142"/>
    <mergeCell ref="H141:H142"/>
    <mergeCell ref="L22:L23"/>
    <mergeCell ref="I30:I31"/>
    <mergeCell ref="J30:J31"/>
    <mergeCell ref="L28:L29"/>
    <mergeCell ref="L97:L98"/>
    <mergeCell ref="L123:L124"/>
    <mergeCell ref="J123:J124"/>
    <mergeCell ref="K123:K124"/>
    <mergeCell ref="I115:I116"/>
    <mergeCell ref="J115:J116"/>
    <mergeCell ref="K115:K116"/>
    <mergeCell ref="H109:H110"/>
    <mergeCell ref="I109:I110"/>
    <mergeCell ref="J109:J110"/>
    <mergeCell ref="K109:K110"/>
    <mergeCell ref="L109:L110"/>
    <mergeCell ref="H103:H104"/>
    <mergeCell ref="I103:I104"/>
    <mergeCell ref="K103:K104"/>
    <mergeCell ref="L103:L104"/>
    <mergeCell ref="J34:J35"/>
    <mergeCell ref="I121:I122"/>
    <mergeCell ref="J121:J122"/>
    <mergeCell ref="K121:K122"/>
    <mergeCell ref="L121:L122"/>
    <mergeCell ref="L115:L116"/>
    <mergeCell ref="H117:H118"/>
    <mergeCell ref="I117:I118"/>
    <mergeCell ref="J117:J118"/>
    <mergeCell ref="H115:H116"/>
    <mergeCell ref="K64:K65"/>
    <mergeCell ref="H123:H124"/>
    <mergeCell ref="L262:L263"/>
    <mergeCell ref="H250:H251"/>
    <mergeCell ref="I250:I251"/>
    <mergeCell ref="J250:J251"/>
    <mergeCell ref="K250:K251"/>
    <mergeCell ref="L250:L251"/>
    <mergeCell ref="L256:L257"/>
    <mergeCell ref="H252:H253"/>
    <mergeCell ref="I252:I253"/>
    <mergeCell ref="L258:L259"/>
    <mergeCell ref="E133:E134"/>
    <mergeCell ref="J151:J152"/>
    <mergeCell ref="K141:K142"/>
    <mergeCell ref="L141:L142"/>
    <mergeCell ref="L151:L152"/>
    <mergeCell ref="L145:L146"/>
    <mergeCell ref="K167:K168"/>
    <mergeCell ref="L159:L160"/>
    <mergeCell ref="J143:J144"/>
    <mergeCell ref="E226:E227"/>
    <mergeCell ref="E220:E221"/>
    <mergeCell ref="H220:H221"/>
    <mergeCell ref="I220:I221"/>
    <mergeCell ref="F155:F156"/>
    <mergeCell ref="E147:E148"/>
    <mergeCell ref="I155:I156"/>
    <mergeCell ref="L149:L150"/>
    <mergeCell ref="J161:J162"/>
    <mergeCell ref="F238:F239"/>
    <mergeCell ref="F137:F138"/>
    <mergeCell ref="H145:H146"/>
    <mergeCell ref="I145:I146"/>
    <mergeCell ref="L240:L241"/>
    <mergeCell ref="H242:H243"/>
    <mergeCell ref="N17:P17"/>
    <mergeCell ref="I28:I29"/>
    <mergeCell ref="H22:H23"/>
    <mergeCell ref="I22:I23"/>
    <mergeCell ref="F30:F31"/>
    <mergeCell ref="L20:L21"/>
    <mergeCell ref="L234:L235"/>
    <mergeCell ref="L238:L239"/>
    <mergeCell ref="F226:F227"/>
    <mergeCell ref="L224:L225"/>
    <mergeCell ref="J224:J225"/>
    <mergeCell ref="K224:K225"/>
    <mergeCell ref="L232:L233"/>
    <mergeCell ref="H230:H231"/>
    <mergeCell ref="I230:I231"/>
    <mergeCell ref="J230:J231"/>
    <mergeCell ref="K230:K231"/>
    <mergeCell ref="L230:L231"/>
    <mergeCell ref="F220:F221"/>
    <mergeCell ref="H127:H128"/>
    <mergeCell ref="I127:I128"/>
    <mergeCell ref="J127:J128"/>
    <mergeCell ref="K127:K128"/>
    <mergeCell ref="L127:L128"/>
    <mergeCell ref="H20:H21"/>
    <mergeCell ref="I20:I21"/>
    <mergeCell ref="F20:F21"/>
    <mergeCell ref="K218:K219"/>
    <mergeCell ref="H24:H25"/>
    <mergeCell ref="L218:L219"/>
    <mergeCell ref="C22:C23"/>
    <mergeCell ref="H18:H19"/>
    <mergeCell ref="I26:I27"/>
    <mergeCell ref="J24:J25"/>
    <mergeCell ref="J26:J27"/>
    <mergeCell ref="J20:J21"/>
    <mergeCell ref="F22:F23"/>
    <mergeCell ref="K20:K21"/>
    <mergeCell ref="K24:K25"/>
    <mergeCell ref="J22:J23"/>
    <mergeCell ref="K22:K23"/>
    <mergeCell ref="J18:J19"/>
    <mergeCell ref="C20:C21"/>
    <mergeCell ref="D22:D23"/>
    <mergeCell ref="E22:E23"/>
    <mergeCell ref="I24:I25"/>
    <mergeCell ref="F24:F25"/>
    <mergeCell ref="H581:H582"/>
    <mergeCell ref="F585:F586"/>
    <mergeCell ref="H585:H586"/>
    <mergeCell ref="D585:D586"/>
    <mergeCell ref="F581:F582"/>
    <mergeCell ref="D581:D582"/>
    <mergeCell ref="H395:H396"/>
    <mergeCell ref="F272:F273"/>
    <mergeCell ref="F270:F271"/>
    <mergeCell ref="H397:H398"/>
    <mergeCell ref="F365:F366"/>
    <mergeCell ref="A379:A380"/>
    <mergeCell ref="B379:B380"/>
    <mergeCell ref="C379:C380"/>
    <mergeCell ref="D379:D380"/>
    <mergeCell ref="E379:E380"/>
    <mergeCell ref="H270:H271"/>
    <mergeCell ref="E405:E406"/>
    <mergeCell ref="F405:F406"/>
    <mergeCell ref="H405:H406"/>
    <mergeCell ref="A403:A404"/>
    <mergeCell ref="B403:B404"/>
    <mergeCell ref="C403:C404"/>
    <mergeCell ref="D403:D404"/>
    <mergeCell ref="E403:E404"/>
    <mergeCell ref="F403:F404"/>
    <mergeCell ref="A401:A402"/>
    <mergeCell ref="B401:B402"/>
    <mergeCell ref="C401:C402"/>
    <mergeCell ref="D401:D402"/>
    <mergeCell ref="E401:E402"/>
    <mergeCell ref="F401:F402"/>
    <mergeCell ref="L581:L582"/>
    <mergeCell ref="L561:L562"/>
    <mergeCell ref="L563:L564"/>
    <mergeCell ref="K395:K396"/>
    <mergeCell ref="L395:L396"/>
    <mergeCell ref="K397:K398"/>
    <mergeCell ref="L397:L398"/>
    <mergeCell ref="L421:L422"/>
    <mergeCell ref="K421:K422"/>
    <mergeCell ref="L559:L560"/>
    <mergeCell ref="L527:L528"/>
    <mergeCell ref="H399:H400"/>
    <mergeCell ref="I399:I400"/>
    <mergeCell ref="J399:J400"/>
    <mergeCell ref="K399:K400"/>
    <mergeCell ref="L399:L400"/>
    <mergeCell ref="H401:H402"/>
    <mergeCell ref="J395:J396"/>
    <mergeCell ref="L523:L524"/>
    <mergeCell ref="J527:J528"/>
    <mergeCell ref="K527:K528"/>
    <mergeCell ref="I523:I524"/>
    <mergeCell ref="J523:J524"/>
    <mergeCell ref="K523:K524"/>
    <mergeCell ref="I527:I528"/>
    <mergeCell ref="K539:K540"/>
    <mergeCell ref="L539:L540"/>
    <mergeCell ref="K541:K542"/>
    <mergeCell ref="L541:L542"/>
    <mergeCell ref="H545:H546"/>
    <mergeCell ref="I545:I546"/>
    <mergeCell ref="J545:J546"/>
    <mergeCell ref="J397:J398"/>
    <mergeCell ref="L515:L516"/>
    <mergeCell ref="K401:K402"/>
    <mergeCell ref="L401:L402"/>
    <mergeCell ref="H403:H404"/>
    <mergeCell ref="I403:I404"/>
    <mergeCell ref="J510:J511"/>
    <mergeCell ref="L480:L481"/>
    <mergeCell ref="A381:A382"/>
    <mergeCell ref="B381:B382"/>
    <mergeCell ref="C381:C382"/>
    <mergeCell ref="D381:D382"/>
    <mergeCell ref="A383:A384"/>
    <mergeCell ref="B383:B384"/>
    <mergeCell ref="C383:C384"/>
    <mergeCell ref="D383:D384"/>
    <mergeCell ref="H391:H392"/>
    <mergeCell ref="I391:I392"/>
    <mergeCell ref="F391:F392"/>
    <mergeCell ref="J387:J388"/>
    <mergeCell ref="I387:I388"/>
    <mergeCell ref="K387:K388"/>
    <mergeCell ref="L387:L388"/>
    <mergeCell ref="A385:A386"/>
    <mergeCell ref="A387:A388"/>
    <mergeCell ref="C385:C386"/>
    <mergeCell ref="D385:D386"/>
    <mergeCell ref="B387:B388"/>
    <mergeCell ref="B385:B386"/>
    <mergeCell ref="E397:E398"/>
    <mergeCell ref="J403:J404"/>
    <mergeCell ref="K403:K404"/>
    <mergeCell ref="L328:L329"/>
    <mergeCell ref="A328:A329"/>
    <mergeCell ref="B328:B329"/>
    <mergeCell ref="C328:C329"/>
    <mergeCell ref="D328:D329"/>
    <mergeCell ref="E328:E329"/>
    <mergeCell ref="F328:F329"/>
    <mergeCell ref="H328:H329"/>
    <mergeCell ref="I328:I329"/>
    <mergeCell ref="K328:K329"/>
    <mergeCell ref="K272:K273"/>
    <mergeCell ref="L272:L273"/>
    <mergeCell ref="H272:H273"/>
    <mergeCell ref="I272:I273"/>
    <mergeCell ref="J272:J273"/>
    <mergeCell ref="A272:A273"/>
    <mergeCell ref="B272:B273"/>
    <mergeCell ref="C272:C273"/>
    <mergeCell ref="D272:D273"/>
    <mergeCell ref="E272:E273"/>
    <mergeCell ref="A274:A275"/>
    <mergeCell ref="B274:B275"/>
    <mergeCell ref="A276:A277"/>
    <mergeCell ref="B276:B277"/>
    <mergeCell ref="C276:C277"/>
    <mergeCell ref="D276:D277"/>
    <mergeCell ref="E276:E277"/>
    <mergeCell ref="F276:F277"/>
    <mergeCell ref="H276:H277"/>
    <mergeCell ref="J276:J277"/>
    <mergeCell ref="K276:K277"/>
    <mergeCell ref="L276:L277"/>
    <mergeCell ref="J270:J271"/>
    <mergeCell ref="K270:K271"/>
    <mergeCell ref="L270:L271"/>
    <mergeCell ref="H268:H269"/>
    <mergeCell ref="I268:I269"/>
    <mergeCell ref="J268:J269"/>
    <mergeCell ref="K268:K269"/>
    <mergeCell ref="L268:L269"/>
    <mergeCell ref="A270:A271"/>
    <mergeCell ref="B270:B271"/>
    <mergeCell ref="C270:C271"/>
    <mergeCell ref="D270:D271"/>
    <mergeCell ref="E270:E271"/>
    <mergeCell ref="A268:A269"/>
    <mergeCell ref="B268:B269"/>
    <mergeCell ref="C268:C269"/>
    <mergeCell ref="D268:D269"/>
    <mergeCell ref="E268:E269"/>
    <mergeCell ref="F268:F269"/>
    <mergeCell ref="L266:L267"/>
    <mergeCell ref="H264:H265"/>
    <mergeCell ref="I264:I265"/>
    <mergeCell ref="J264:J265"/>
    <mergeCell ref="K264:K265"/>
    <mergeCell ref="L264:L265"/>
    <mergeCell ref="A266:A267"/>
    <mergeCell ref="B266:B267"/>
    <mergeCell ref="C266:C267"/>
    <mergeCell ref="D266:D267"/>
    <mergeCell ref="E266:E267"/>
    <mergeCell ref="A264:A265"/>
    <mergeCell ref="B264:B265"/>
    <mergeCell ref="C264:C265"/>
    <mergeCell ref="D264:D265"/>
    <mergeCell ref="E264:E265"/>
    <mergeCell ref="F264:F265"/>
    <mergeCell ref="F266:F267"/>
    <mergeCell ref="H266:H267"/>
    <mergeCell ref="H254:H255"/>
    <mergeCell ref="I254:I255"/>
    <mergeCell ref="E254:E255"/>
    <mergeCell ref="I266:I267"/>
    <mergeCell ref="J266:J267"/>
    <mergeCell ref="K266:K267"/>
    <mergeCell ref="J254:J255"/>
    <mergeCell ref="K254:K255"/>
    <mergeCell ref="F252:F253"/>
    <mergeCell ref="J252:J253"/>
    <mergeCell ref="E258:E259"/>
    <mergeCell ref="F258:F259"/>
    <mergeCell ref="H258:H259"/>
    <mergeCell ref="I258:I259"/>
    <mergeCell ref="I256:I257"/>
    <mergeCell ref="J256:J257"/>
    <mergeCell ref="K256:K257"/>
    <mergeCell ref="K258:K259"/>
    <mergeCell ref="F262:F263"/>
    <mergeCell ref="H262:H263"/>
    <mergeCell ref="F254:F255"/>
    <mergeCell ref="J262:J263"/>
    <mergeCell ref="K262:K263"/>
    <mergeCell ref="A262:A263"/>
    <mergeCell ref="B262:B263"/>
    <mergeCell ref="C262:C263"/>
    <mergeCell ref="D262:D263"/>
    <mergeCell ref="E262:E263"/>
    <mergeCell ref="A250:A251"/>
    <mergeCell ref="B250:B251"/>
    <mergeCell ref="C250:C251"/>
    <mergeCell ref="D250:D251"/>
    <mergeCell ref="E250:E251"/>
    <mergeCell ref="A258:A259"/>
    <mergeCell ref="B258:B259"/>
    <mergeCell ref="C258:C259"/>
    <mergeCell ref="A238:A239"/>
    <mergeCell ref="D258:D259"/>
    <mergeCell ref="A256:A257"/>
    <mergeCell ref="B256:B257"/>
    <mergeCell ref="C256:C257"/>
    <mergeCell ref="D256:D257"/>
    <mergeCell ref="E256:E257"/>
    <mergeCell ref="A252:A253"/>
    <mergeCell ref="B252:B253"/>
    <mergeCell ref="C252:C253"/>
    <mergeCell ref="D252:D253"/>
    <mergeCell ref="E252:E253"/>
    <mergeCell ref="D238:D239"/>
    <mergeCell ref="E238:E239"/>
    <mergeCell ref="E242:E243"/>
    <mergeCell ref="B238:B239"/>
    <mergeCell ref="E224:E225"/>
    <mergeCell ref="F224:F225"/>
    <mergeCell ref="L236:L237"/>
    <mergeCell ref="H234:H235"/>
    <mergeCell ref="I234:I235"/>
    <mergeCell ref="H222:H223"/>
    <mergeCell ref="A236:A237"/>
    <mergeCell ref="B236:B237"/>
    <mergeCell ref="C236:C237"/>
    <mergeCell ref="D236:D237"/>
    <mergeCell ref="E236:E237"/>
    <mergeCell ref="A234:A235"/>
    <mergeCell ref="B234:B235"/>
    <mergeCell ref="C234:C235"/>
    <mergeCell ref="D234:D235"/>
    <mergeCell ref="E234:E235"/>
    <mergeCell ref="F234:F235"/>
    <mergeCell ref="F222:F223"/>
    <mergeCell ref="F228:F229"/>
    <mergeCell ref="H228:H229"/>
    <mergeCell ref="I228:I229"/>
    <mergeCell ref="C232:C233"/>
    <mergeCell ref="D232:D233"/>
    <mergeCell ref="E232:E233"/>
    <mergeCell ref="H224:H225"/>
    <mergeCell ref="I224:I225"/>
    <mergeCell ref="L228:L229"/>
    <mergeCell ref="H226:H227"/>
    <mergeCell ref="I204:I205"/>
    <mergeCell ref="J204:J205"/>
    <mergeCell ref="K204:K205"/>
    <mergeCell ref="I226:I227"/>
    <mergeCell ref="J226:J227"/>
    <mergeCell ref="K226:K227"/>
    <mergeCell ref="L226:L227"/>
    <mergeCell ref="A228:A229"/>
    <mergeCell ref="B228:B229"/>
    <mergeCell ref="C228:C229"/>
    <mergeCell ref="D228:D229"/>
    <mergeCell ref="E228:E229"/>
    <mergeCell ref="I222:I223"/>
    <mergeCell ref="A224:A225"/>
    <mergeCell ref="B224:B225"/>
    <mergeCell ref="C224:C225"/>
    <mergeCell ref="D224:D225"/>
    <mergeCell ref="A226:A227"/>
    <mergeCell ref="B226:B227"/>
    <mergeCell ref="A222:A223"/>
    <mergeCell ref="A210:A211"/>
    <mergeCell ref="B210:B211"/>
    <mergeCell ref="C210:C211"/>
    <mergeCell ref="E218:E219"/>
    <mergeCell ref="F218:F219"/>
    <mergeCell ref="H218:H219"/>
    <mergeCell ref="I214:I215"/>
    <mergeCell ref="A212:A213"/>
    <mergeCell ref="A214:A215"/>
    <mergeCell ref="A216:A217"/>
    <mergeCell ref="A220:A221"/>
    <mergeCell ref="B220:B221"/>
    <mergeCell ref="I202:I203"/>
    <mergeCell ref="J202:J203"/>
    <mergeCell ref="K202:K203"/>
    <mergeCell ref="C220:C221"/>
    <mergeCell ref="D220:D221"/>
    <mergeCell ref="J228:J229"/>
    <mergeCell ref="K228:K229"/>
    <mergeCell ref="J208:J209"/>
    <mergeCell ref="A208:A209"/>
    <mergeCell ref="B173:L173"/>
    <mergeCell ref="K208:K209"/>
    <mergeCell ref="L208:L209"/>
    <mergeCell ref="H208:H209"/>
    <mergeCell ref="B208:B209"/>
    <mergeCell ref="C208:C209"/>
    <mergeCell ref="D208:D209"/>
    <mergeCell ref="L186:L187"/>
    <mergeCell ref="E208:E209"/>
    <mergeCell ref="F208:F209"/>
    <mergeCell ref="H206:H207"/>
    <mergeCell ref="F206:F207"/>
    <mergeCell ref="I206:I207"/>
    <mergeCell ref="I208:I209"/>
    <mergeCell ref="K206:K207"/>
    <mergeCell ref="L206:L207"/>
    <mergeCell ref="A206:A207"/>
    <mergeCell ref="B206:B207"/>
    <mergeCell ref="C206:C207"/>
    <mergeCell ref="D206:D207"/>
    <mergeCell ref="E206:E207"/>
    <mergeCell ref="F204:F205"/>
    <mergeCell ref="H204:H205"/>
    <mergeCell ref="D202:D203"/>
    <mergeCell ref="E202:E203"/>
    <mergeCell ref="F202:F203"/>
    <mergeCell ref="L204:L205"/>
    <mergeCell ref="H198:H199"/>
    <mergeCell ref="I198:I199"/>
    <mergeCell ref="J198:J199"/>
    <mergeCell ref="K198:K199"/>
    <mergeCell ref="L198:L199"/>
    <mergeCell ref="A204:A205"/>
    <mergeCell ref="B204:B205"/>
    <mergeCell ref="C204:C205"/>
    <mergeCell ref="D204:D205"/>
    <mergeCell ref="E204:E205"/>
    <mergeCell ref="A198:A199"/>
    <mergeCell ref="B198:B199"/>
    <mergeCell ref="C198:C199"/>
    <mergeCell ref="D198:D199"/>
    <mergeCell ref="E198:E199"/>
    <mergeCell ref="F198:F199"/>
    <mergeCell ref="H200:H201"/>
    <mergeCell ref="A200:A201"/>
    <mergeCell ref="B200:B201"/>
    <mergeCell ref="C200:C201"/>
    <mergeCell ref="D200:D201"/>
    <mergeCell ref="E200:E201"/>
    <mergeCell ref="F200:F201"/>
    <mergeCell ref="I200:I201"/>
    <mergeCell ref="J200:J201"/>
    <mergeCell ref="K200:K201"/>
    <mergeCell ref="L200:L201"/>
    <mergeCell ref="H202:H203"/>
    <mergeCell ref="J135:J136"/>
    <mergeCell ref="K135:K136"/>
    <mergeCell ref="L135:L136"/>
    <mergeCell ref="A135:A136"/>
    <mergeCell ref="B135:B136"/>
    <mergeCell ref="C135:C136"/>
    <mergeCell ref="D135:D136"/>
    <mergeCell ref="E135:E136"/>
    <mergeCell ref="L202:L203"/>
    <mergeCell ref="A202:A203"/>
    <mergeCell ref="B202:B203"/>
    <mergeCell ref="C202:C203"/>
    <mergeCell ref="H196:H197"/>
    <mergeCell ref="I196:I197"/>
    <mergeCell ref="J196:J197"/>
    <mergeCell ref="K196:K197"/>
    <mergeCell ref="L196:L197"/>
    <mergeCell ref="A196:A197"/>
    <mergeCell ref="B196:B197"/>
    <mergeCell ref="C196:C197"/>
    <mergeCell ref="D196:D197"/>
    <mergeCell ref="E196:E197"/>
    <mergeCell ref="F194:F195"/>
    <mergeCell ref="A194:A195"/>
    <mergeCell ref="B194:B195"/>
    <mergeCell ref="C194:C195"/>
    <mergeCell ref="D194:D195"/>
    <mergeCell ref="H194:H195"/>
    <mergeCell ref="I194:I195"/>
    <mergeCell ref="J194:J195"/>
    <mergeCell ref="K194:K195"/>
    <mergeCell ref="L194:L195"/>
    <mergeCell ref="H163:H164"/>
    <mergeCell ref="C129:C130"/>
    <mergeCell ref="C137:C138"/>
    <mergeCell ref="D129:D130"/>
    <mergeCell ref="E129:E130"/>
    <mergeCell ref="E101:E102"/>
    <mergeCell ref="F101:F102"/>
    <mergeCell ref="H101:H102"/>
    <mergeCell ref="H192:H193"/>
    <mergeCell ref="I192:I193"/>
    <mergeCell ref="J192:J193"/>
    <mergeCell ref="K192:K193"/>
    <mergeCell ref="L192:L193"/>
    <mergeCell ref="E194:E195"/>
    <mergeCell ref="A192:A193"/>
    <mergeCell ref="B192:B193"/>
    <mergeCell ref="C192:C193"/>
    <mergeCell ref="D192:D193"/>
    <mergeCell ref="E192:E193"/>
    <mergeCell ref="F192:F193"/>
    <mergeCell ref="K129:K130"/>
    <mergeCell ref="L129:L130"/>
    <mergeCell ref="L165:L166"/>
    <mergeCell ref="H174:H175"/>
    <mergeCell ref="F163:F164"/>
    <mergeCell ref="F129:F130"/>
    <mergeCell ref="I163:I164"/>
    <mergeCell ref="J163:J164"/>
    <mergeCell ref="L163:L164"/>
    <mergeCell ref="F135:F136"/>
    <mergeCell ref="H135:H136"/>
    <mergeCell ref="I135:I136"/>
    <mergeCell ref="A125:A126"/>
    <mergeCell ref="B125:B126"/>
    <mergeCell ref="C125:C126"/>
    <mergeCell ref="D125:D126"/>
    <mergeCell ref="F125:F126"/>
    <mergeCell ref="H125:H126"/>
    <mergeCell ref="I125:I126"/>
    <mergeCell ref="E125:E126"/>
    <mergeCell ref="F115:F116"/>
    <mergeCell ref="I123:I124"/>
    <mergeCell ref="A115:A116"/>
    <mergeCell ref="J214:J215"/>
    <mergeCell ref="K214:K215"/>
    <mergeCell ref="L214:L215"/>
    <mergeCell ref="J56:J57"/>
    <mergeCell ref="K56:K57"/>
    <mergeCell ref="L56:L57"/>
    <mergeCell ref="K99:K100"/>
    <mergeCell ref="L99:L100"/>
    <mergeCell ref="K97:K98"/>
    <mergeCell ref="C214:C215"/>
    <mergeCell ref="D214:D215"/>
    <mergeCell ref="E214:E215"/>
    <mergeCell ref="F214:F215"/>
    <mergeCell ref="H214:H215"/>
    <mergeCell ref="C212:C213"/>
    <mergeCell ref="D212:D213"/>
    <mergeCell ref="E212:E213"/>
    <mergeCell ref="F212:F213"/>
    <mergeCell ref="H212:H213"/>
    <mergeCell ref="J212:J213"/>
    <mergeCell ref="L101:L102"/>
    <mergeCell ref="D137:D138"/>
    <mergeCell ref="E137:E138"/>
    <mergeCell ref="H161:H162"/>
    <mergeCell ref="I161:I162"/>
    <mergeCell ref="A161:A162"/>
    <mergeCell ref="B161:B162"/>
    <mergeCell ref="C161:C162"/>
    <mergeCell ref="D161:D162"/>
    <mergeCell ref="E161:E162"/>
    <mergeCell ref="F161:F162"/>
    <mergeCell ref="E139:E140"/>
    <mergeCell ref="B137:B138"/>
    <mergeCell ref="A56:A57"/>
    <mergeCell ref="B56:B57"/>
    <mergeCell ref="C56:C57"/>
    <mergeCell ref="D56:D57"/>
    <mergeCell ref="E56:E57"/>
    <mergeCell ref="F56:F57"/>
    <mergeCell ref="A129:A130"/>
    <mergeCell ref="B129:B130"/>
    <mergeCell ref="I101:I102"/>
    <mergeCell ref="A97:A98"/>
    <mergeCell ref="B97:B98"/>
    <mergeCell ref="A101:A102"/>
    <mergeCell ref="B101:B102"/>
    <mergeCell ref="C101:C102"/>
    <mergeCell ref="D101:D102"/>
    <mergeCell ref="D97:D98"/>
    <mergeCell ref="C97:C98"/>
    <mergeCell ref="A88:A89"/>
    <mergeCell ref="B88:B89"/>
    <mergeCell ref="C88:C89"/>
    <mergeCell ref="J125:J126"/>
    <mergeCell ref="K125:K126"/>
    <mergeCell ref="L125:L126"/>
    <mergeCell ref="F133:F134"/>
    <mergeCell ref="A133:A134"/>
    <mergeCell ref="B133:B134"/>
    <mergeCell ref="C133:C134"/>
    <mergeCell ref="D133:D134"/>
    <mergeCell ref="H133:H134"/>
    <mergeCell ref="I133:I134"/>
    <mergeCell ref="J133:J134"/>
    <mergeCell ref="K133:K134"/>
    <mergeCell ref="K212:K213"/>
    <mergeCell ref="L212:L213"/>
    <mergeCell ref="I174:I175"/>
    <mergeCell ref="K174:K175"/>
    <mergeCell ref="I176:I177"/>
    <mergeCell ref="J176:J177"/>
    <mergeCell ref="K176:K177"/>
    <mergeCell ref="L176:L177"/>
    <mergeCell ref="J206:J207"/>
    <mergeCell ref="H137:H138"/>
    <mergeCell ref="I137:I138"/>
    <mergeCell ref="J137:J138"/>
    <mergeCell ref="K137:K138"/>
    <mergeCell ref="L137:L138"/>
    <mergeCell ref="A163:A164"/>
    <mergeCell ref="B163:B164"/>
    <mergeCell ref="C163:C164"/>
    <mergeCell ref="D163:D164"/>
    <mergeCell ref="E163:E164"/>
    <mergeCell ref="A137:A138"/>
    <mergeCell ref="A127:A128"/>
    <mergeCell ref="B127:B128"/>
    <mergeCell ref="C127:C128"/>
    <mergeCell ref="D127:D128"/>
    <mergeCell ref="E127:E128"/>
    <mergeCell ref="F127:F128"/>
    <mergeCell ref="L133:L134"/>
    <mergeCell ref="H131:H132"/>
    <mergeCell ref="I131:I132"/>
    <mergeCell ref="J131:J132"/>
    <mergeCell ref="K131:K132"/>
    <mergeCell ref="A131:A132"/>
    <mergeCell ref="B131:B132"/>
    <mergeCell ref="C131:C132"/>
    <mergeCell ref="D131:D132"/>
    <mergeCell ref="E131:E132"/>
    <mergeCell ref="F131:F132"/>
    <mergeCell ref="L131:L132"/>
    <mergeCell ref="H129:H130"/>
    <mergeCell ref="I129:I130"/>
    <mergeCell ref="J129:J130"/>
    <mergeCell ref="K117:K118"/>
    <mergeCell ref="L117:L118"/>
    <mergeCell ref="A119:A120"/>
    <mergeCell ref="B119:B120"/>
    <mergeCell ref="C119:C120"/>
    <mergeCell ref="D119:D120"/>
    <mergeCell ref="E119:E120"/>
    <mergeCell ref="F119:F120"/>
    <mergeCell ref="H119:H120"/>
    <mergeCell ref="I119:I120"/>
    <mergeCell ref="A117:A118"/>
    <mergeCell ref="C117:C118"/>
    <mergeCell ref="D117:D118"/>
    <mergeCell ref="E117:E118"/>
    <mergeCell ref="F117:F118"/>
    <mergeCell ref="B117:B118"/>
    <mergeCell ref="B123:B124"/>
    <mergeCell ref="C123:C124"/>
    <mergeCell ref="D123:D124"/>
    <mergeCell ref="E123:E124"/>
    <mergeCell ref="F123:F124"/>
    <mergeCell ref="J119:J120"/>
    <mergeCell ref="K119:K120"/>
    <mergeCell ref="L119:L120"/>
    <mergeCell ref="A121:A122"/>
    <mergeCell ref="B121:B122"/>
    <mergeCell ref="C121:C122"/>
    <mergeCell ref="D121:D122"/>
    <mergeCell ref="E121:E122"/>
    <mergeCell ref="F121:F122"/>
    <mergeCell ref="H121:H122"/>
    <mergeCell ref="A123:A124"/>
    <mergeCell ref="B115:B116"/>
    <mergeCell ref="C115:C116"/>
    <mergeCell ref="D115:D116"/>
    <mergeCell ref="E115:E116"/>
    <mergeCell ref="H113:H114"/>
    <mergeCell ref="F113:F114"/>
    <mergeCell ref="A113:A114"/>
    <mergeCell ref="B113:B114"/>
    <mergeCell ref="C113:C114"/>
    <mergeCell ref="D113:D114"/>
    <mergeCell ref="E113:E114"/>
    <mergeCell ref="H111:H112"/>
    <mergeCell ref="B111:B112"/>
    <mergeCell ref="L113:L114"/>
    <mergeCell ref="L111:L112"/>
    <mergeCell ref="I113:I114"/>
    <mergeCell ref="J113:J114"/>
    <mergeCell ref="K113:K114"/>
    <mergeCell ref="I111:I112"/>
    <mergeCell ref="J111:J112"/>
    <mergeCell ref="K111:K112"/>
    <mergeCell ref="A111:A112"/>
    <mergeCell ref="C111:C112"/>
    <mergeCell ref="D111:D112"/>
    <mergeCell ref="E111:E112"/>
    <mergeCell ref="F111:F112"/>
    <mergeCell ref="A109:A110"/>
    <mergeCell ref="B109:B110"/>
    <mergeCell ref="C109:C110"/>
    <mergeCell ref="D109:D110"/>
    <mergeCell ref="E109:E110"/>
    <mergeCell ref="F109:F110"/>
    <mergeCell ref="F107:F108"/>
    <mergeCell ref="H107:H108"/>
    <mergeCell ref="I107:I108"/>
    <mergeCell ref="J107:J108"/>
    <mergeCell ref="K107:K108"/>
    <mergeCell ref="L107:L108"/>
    <mergeCell ref="K105:K106"/>
    <mergeCell ref="L105:L106"/>
    <mergeCell ref="A107:A108"/>
    <mergeCell ref="B107:B108"/>
    <mergeCell ref="C107:C108"/>
    <mergeCell ref="D107:D108"/>
    <mergeCell ref="E107:E108"/>
    <mergeCell ref="A105:A106"/>
    <mergeCell ref="B105:B106"/>
    <mergeCell ref="C105:C106"/>
    <mergeCell ref="D105:D106"/>
    <mergeCell ref="E105:E106"/>
    <mergeCell ref="F105:F106"/>
    <mergeCell ref="A103:A104"/>
    <mergeCell ref="B103:B104"/>
    <mergeCell ref="C103:C104"/>
    <mergeCell ref="D103:D104"/>
    <mergeCell ref="E103:E104"/>
    <mergeCell ref="F103:F104"/>
    <mergeCell ref="A95:A96"/>
    <mergeCell ref="B95:B96"/>
    <mergeCell ref="C95:C96"/>
    <mergeCell ref="D95:D96"/>
    <mergeCell ref="E95:E96"/>
    <mergeCell ref="H95:H96"/>
    <mergeCell ref="K95:K96"/>
    <mergeCell ref="H99:H100"/>
    <mergeCell ref="I99:I100"/>
    <mergeCell ref="J99:J100"/>
    <mergeCell ref="A99:A100"/>
    <mergeCell ref="B99:B100"/>
    <mergeCell ref="C99:C100"/>
    <mergeCell ref="D99:D100"/>
    <mergeCell ref="E99:E100"/>
    <mergeCell ref="F99:F100"/>
    <mergeCell ref="E97:E98"/>
    <mergeCell ref="F95:F96"/>
    <mergeCell ref="F97:F98"/>
    <mergeCell ref="J101:J102"/>
    <mergeCell ref="K101:K102"/>
    <mergeCell ref="F4:F5"/>
    <mergeCell ref="H4:H5"/>
    <mergeCell ref="I4:I5"/>
    <mergeCell ref="J4:J5"/>
    <mergeCell ref="G4:G5"/>
    <mergeCell ref="B2:L2"/>
    <mergeCell ref="F38:F39"/>
    <mergeCell ref="F40:F41"/>
    <mergeCell ref="F10:F11"/>
    <mergeCell ref="F12:F13"/>
    <mergeCell ref="F18:F19"/>
    <mergeCell ref="B32:B33"/>
    <mergeCell ref="C32:C33"/>
    <mergeCell ref="B4:B5"/>
    <mergeCell ref="I16:I17"/>
    <mergeCell ref="C4:C5"/>
    <mergeCell ref="C18:C19"/>
    <mergeCell ref="D18:D19"/>
    <mergeCell ref="E18:E19"/>
    <mergeCell ref="H28:H29"/>
    <mergeCell ref="F8:F9"/>
    <mergeCell ref="H8:H9"/>
    <mergeCell ref="H10:H11"/>
    <mergeCell ref="D14:D15"/>
    <mergeCell ref="H12:H13"/>
    <mergeCell ref="H30:H31"/>
    <mergeCell ref="B22:B23"/>
    <mergeCell ref="L10:L11"/>
    <mergeCell ref="J12:J13"/>
    <mergeCell ref="J14:J15"/>
    <mergeCell ref="I14:I15"/>
    <mergeCell ref="I12:I13"/>
    <mergeCell ref="B10:B11"/>
    <mergeCell ref="C10:C11"/>
    <mergeCell ref="D10:D11"/>
    <mergeCell ref="E10:E11"/>
    <mergeCell ref="B12:B13"/>
    <mergeCell ref="C12:C13"/>
    <mergeCell ref="D12:D13"/>
    <mergeCell ref="E12:E13"/>
    <mergeCell ref="H14:H15"/>
    <mergeCell ref="F14:F15"/>
    <mergeCell ref="E14:E15"/>
    <mergeCell ref="K18:K19"/>
    <mergeCell ref="L18:L19"/>
    <mergeCell ref="K14:K15"/>
    <mergeCell ref="L14:L15"/>
    <mergeCell ref="J16:J17"/>
    <mergeCell ref="K16:K17"/>
    <mergeCell ref="L16:L17"/>
    <mergeCell ref="I18:I19"/>
    <mergeCell ref="B16:B17"/>
    <mergeCell ref="C16:C17"/>
    <mergeCell ref="C14:C15"/>
    <mergeCell ref="B14:B15"/>
    <mergeCell ref="E16:E17"/>
    <mergeCell ref="F16:F17"/>
    <mergeCell ref="B18:B19"/>
    <mergeCell ref="H16:H17"/>
    <mergeCell ref="E36:E37"/>
    <mergeCell ref="K34:K35"/>
    <mergeCell ref="D32:D33"/>
    <mergeCell ref="E32:E33"/>
    <mergeCell ref="F34:F35"/>
    <mergeCell ref="K32:K33"/>
    <mergeCell ref="K36:K37"/>
    <mergeCell ref="I36:I37"/>
    <mergeCell ref="J36:J37"/>
    <mergeCell ref="C30:C31"/>
    <mergeCell ref="D30:D31"/>
    <mergeCell ref="E30:E31"/>
    <mergeCell ref="L24:L25"/>
    <mergeCell ref="B26:B27"/>
    <mergeCell ref="C26:C27"/>
    <mergeCell ref="D26:D27"/>
    <mergeCell ref="E26:E27"/>
    <mergeCell ref="F26:F27"/>
    <mergeCell ref="H26:H27"/>
    <mergeCell ref="K26:K27"/>
    <mergeCell ref="L26:L27"/>
    <mergeCell ref="J28:J29"/>
    <mergeCell ref="L30:L31"/>
    <mergeCell ref="B28:B29"/>
    <mergeCell ref="C28:C29"/>
    <mergeCell ref="D28:D29"/>
    <mergeCell ref="E28:E29"/>
    <mergeCell ref="K28:K29"/>
    <mergeCell ref="H32:H33"/>
    <mergeCell ref="C24:C25"/>
    <mergeCell ref="D24:D25"/>
    <mergeCell ref="E24:E25"/>
    <mergeCell ref="J38:J39"/>
    <mergeCell ref="J40:J41"/>
    <mergeCell ref="J32:J33"/>
    <mergeCell ref="I50:I51"/>
    <mergeCell ref="F50:F51"/>
    <mergeCell ref="K50:K51"/>
    <mergeCell ref="L50:L51"/>
    <mergeCell ref="L46:L47"/>
    <mergeCell ref="B48:B49"/>
    <mergeCell ref="C48:C49"/>
    <mergeCell ref="D48:D49"/>
    <mergeCell ref="E48:E49"/>
    <mergeCell ref="H48:H49"/>
    <mergeCell ref="I48:I49"/>
    <mergeCell ref="C40:C41"/>
    <mergeCell ref="D40:D41"/>
    <mergeCell ref="E40:E41"/>
    <mergeCell ref="H40:H41"/>
    <mergeCell ref="K40:K41"/>
    <mergeCell ref="J44:J45"/>
    <mergeCell ref="K44:K45"/>
    <mergeCell ref="L40:L41"/>
    <mergeCell ref="B42:B43"/>
    <mergeCell ref="C42:C43"/>
    <mergeCell ref="D42:D43"/>
    <mergeCell ref="E42:E43"/>
    <mergeCell ref="H42:H43"/>
    <mergeCell ref="H34:H35"/>
    <mergeCell ref="I34:I35"/>
    <mergeCell ref="I38:I39"/>
    <mergeCell ref="I32:I33"/>
    <mergeCell ref="L34:L35"/>
    <mergeCell ref="J48:J49"/>
    <mergeCell ref="K48:K49"/>
    <mergeCell ref="L44:L45"/>
    <mergeCell ref="B46:B47"/>
    <mergeCell ref="C46:C47"/>
    <mergeCell ref="D46:D47"/>
    <mergeCell ref="E46:E47"/>
    <mergeCell ref="H46:H47"/>
    <mergeCell ref="I46:I47"/>
    <mergeCell ref="F46:F47"/>
    <mergeCell ref="J42:J43"/>
    <mergeCell ref="K42:K43"/>
    <mergeCell ref="K30:K31"/>
    <mergeCell ref="I42:I43"/>
    <mergeCell ref="B40:B41"/>
    <mergeCell ref="K38:K39"/>
    <mergeCell ref="B38:B39"/>
    <mergeCell ref="C38:C39"/>
    <mergeCell ref="D44:D45"/>
    <mergeCell ref="E44:E45"/>
    <mergeCell ref="H44:H45"/>
    <mergeCell ref="I44:I45"/>
    <mergeCell ref="F44:F45"/>
    <mergeCell ref="B34:B35"/>
    <mergeCell ref="C34:C35"/>
    <mergeCell ref="D34:D35"/>
    <mergeCell ref="E34:E35"/>
    <mergeCell ref="L32:L33"/>
    <mergeCell ref="L36:L37"/>
    <mergeCell ref="F36:F37"/>
    <mergeCell ref="H36:H37"/>
    <mergeCell ref="L38:L39"/>
    <mergeCell ref="A4:A5"/>
    <mergeCell ref="A6:A7"/>
    <mergeCell ref="A8:A9"/>
    <mergeCell ref="E6:E7"/>
    <mergeCell ref="F6:F7"/>
    <mergeCell ref="A10:A11"/>
    <mergeCell ref="C6:C7"/>
    <mergeCell ref="D6:D7"/>
    <mergeCell ref="B6:B7"/>
    <mergeCell ref="A12:A13"/>
    <mergeCell ref="K10:K11"/>
    <mergeCell ref="K4:K5"/>
    <mergeCell ref="L8:L9"/>
    <mergeCell ref="B8:B9"/>
    <mergeCell ref="C8:C9"/>
    <mergeCell ref="D8:D9"/>
    <mergeCell ref="E8:E9"/>
    <mergeCell ref="K12:K13"/>
    <mergeCell ref="L12:L13"/>
    <mergeCell ref="I10:I11"/>
    <mergeCell ref="J10:J11"/>
    <mergeCell ref="L6:L7"/>
    <mergeCell ref="I6:I7"/>
    <mergeCell ref="J6:J7"/>
    <mergeCell ref="K6:K7"/>
    <mergeCell ref="H6:H7"/>
    <mergeCell ref="I8:I9"/>
    <mergeCell ref="J8:J9"/>
    <mergeCell ref="K8:K9"/>
    <mergeCell ref="L4:L5"/>
    <mergeCell ref="D4:D5"/>
    <mergeCell ref="E4:E5"/>
    <mergeCell ref="A40:A41"/>
    <mergeCell ref="A42:A43"/>
    <mergeCell ref="A44:A45"/>
    <mergeCell ref="A14:A15"/>
    <mergeCell ref="A16:A17"/>
    <mergeCell ref="A18:A19"/>
    <mergeCell ref="A20:A21"/>
    <mergeCell ref="A24:A25"/>
    <mergeCell ref="A26:A27"/>
    <mergeCell ref="A22:A23"/>
    <mergeCell ref="A28:A29"/>
    <mergeCell ref="A30:A31"/>
    <mergeCell ref="A32:A33"/>
    <mergeCell ref="A34:A35"/>
    <mergeCell ref="A36:A37"/>
    <mergeCell ref="A38:A39"/>
    <mergeCell ref="F32:F33"/>
    <mergeCell ref="B44:B45"/>
    <mergeCell ref="C44:C45"/>
    <mergeCell ref="D16:D17"/>
    <mergeCell ref="D38:D39"/>
    <mergeCell ref="E38:E39"/>
    <mergeCell ref="B30:B31"/>
    <mergeCell ref="F42:F43"/>
    <mergeCell ref="B20:B21"/>
    <mergeCell ref="F28:F29"/>
    <mergeCell ref="B24:B25"/>
    <mergeCell ref="D20:D21"/>
    <mergeCell ref="E20:E21"/>
    <mergeCell ref="B36:B37"/>
    <mergeCell ref="C36:C37"/>
    <mergeCell ref="D36:D37"/>
    <mergeCell ref="A54:A55"/>
    <mergeCell ref="F54:F55"/>
    <mergeCell ref="I56:I57"/>
    <mergeCell ref="F52:F53"/>
    <mergeCell ref="A52:A53"/>
    <mergeCell ref="J54:J55"/>
    <mergeCell ref="K54:K55"/>
    <mergeCell ref="L54:L55"/>
    <mergeCell ref="A58:A59"/>
    <mergeCell ref="B58:B59"/>
    <mergeCell ref="C58:C59"/>
    <mergeCell ref="D58:D59"/>
    <mergeCell ref="E58:E59"/>
    <mergeCell ref="A46:A47"/>
    <mergeCell ref="A48:A49"/>
    <mergeCell ref="A50:A51"/>
    <mergeCell ref="B54:B55"/>
    <mergeCell ref="C54:C55"/>
    <mergeCell ref="J52:J53"/>
    <mergeCell ref="D54:D55"/>
    <mergeCell ref="E54:E55"/>
    <mergeCell ref="H54:H55"/>
    <mergeCell ref="I54:I55"/>
    <mergeCell ref="E52:E53"/>
    <mergeCell ref="F48:F49"/>
    <mergeCell ref="L48:L49"/>
    <mergeCell ref="B50:B51"/>
    <mergeCell ref="C50:C51"/>
    <mergeCell ref="D50:D51"/>
    <mergeCell ref="E50:E51"/>
    <mergeCell ref="H50:H51"/>
    <mergeCell ref="J46:J47"/>
    <mergeCell ref="A60:A61"/>
    <mergeCell ref="A165:A166"/>
    <mergeCell ref="B165:B166"/>
    <mergeCell ref="C165:C166"/>
    <mergeCell ref="D165:D166"/>
    <mergeCell ref="E165:E166"/>
    <mergeCell ref="F174:F175"/>
    <mergeCell ref="F165:F166"/>
    <mergeCell ref="J174:J175"/>
    <mergeCell ref="H171:H172"/>
    <mergeCell ref="I171:I172"/>
    <mergeCell ref="J171:J172"/>
    <mergeCell ref="H169:H170"/>
    <mergeCell ref="H165:H166"/>
    <mergeCell ref="I165:I166"/>
    <mergeCell ref="J165:J166"/>
    <mergeCell ref="A86:A87"/>
    <mergeCell ref="B86:B87"/>
    <mergeCell ref="A68:A69"/>
    <mergeCell ref="I95:I96"/>
    <mergeCell ref="J95:J96"/>
    <mergeCell ref="A93:A94"/>
    <mergeCell ref="B93:B94"/>
    <mergeCell ref="D91:D92"/>
    <mergeCell ref="E91:E92"/>
    <mergeCell ref="H105:H106"/>
    <mergeCell ref="I105:I106"/>
    <mergeCell ref="J105:J106"/>
    <mergeCell ref="H97:H98"/>
    <mergeCell ref="I97:I98"/>
    <mergeCell ref="J97:J98"/>
    <mergeCell ref="J103:J104"/>
    <mergeCell ref="H60:H61"/>
    <mergeCell ref="I60:I61"/>
    <mergeCell ref="J60:J61"/>
    <mergeCell ref="L95:L96"/>
    <mergeCell ref="L93:L94"/>
    <mergeCell ref="C93:C94"/>
    <mergeCell ref="D93:D94"/>
    <mergeCell ref="E93:E94"/>
    <mergeCell ref="F93:F94"/>
    <mergeCell ref="H93:H94"/>
    <mergeCell ref="I93:I94"/>
    <mergeCell ref="J93:J94"/>
    <mergeCell ref="F91:F92"/>
    <mergeCell ref="H91:H92"/>
    <mergeCell ref="I91:I92"/>
    <mergeCell ref="J91:J92"/>
    <mergeCell ref="K91:K92"/>
    <mergeCell ref="L91:L92"/>
    <mergeCell ref="D60:D61"/>
    <mergeCell ref="E60:E61"/>
    <mergeCell ref="K93:K94"/>
    <mergeCell ref="D88:D89"/>
    <mergeCell ref="E88:E89"/>
    <mergeCell ref="C86:C87"/>
    <mergeCell ref="D86:D87"/>
    <mergeCell ref="L64:L65"/>
    <mergeCell ref="C72:C73"/>
    <mergeCell ref="D72:D73"/>
    <mergeCell ref="E72:E73"/>
    <mergeCell ref="F72:F73"/>
    <mergeCell ref="H72:H73"/>
    <mergeCell ref="I72:I73"/>
    <mergeCell ref="L184:L185"/>
    <mergeCell ref="K165:K166"/>
    <mergeCell ref="K171:K172"/>
    <mergeCell ref="L171:L172"/>
    <mergeCell ref="I169:I170"/>
    <mergeCell ref="J169:J170"/>
    <mergeCell ref="J167:J168"/>
    <mergeCell ref="K180:K181"/>
    <mergeCell ref="L180:L181"/>
    <mergeCell ref="H178:H179"/>
    <mergeCell ref="K178:K179"/>
    <mergeCell ref="L178:L179"/>
    <mergeCell ref="A180:A181"/>
    <mergeCell ref="B180:B181"/>
    <mergeCell ref="C180:C181"/>
    <mergeCell ref="D180:D181"/>
    <mergeCell ref="E180:E181"/>
    <mergeCell ref="F180:F181"/>
    <mergeCell ref="A174:A175"/>
    <mergeCell ref="B174:B175"/>
    <mergeCell ref="C174:C175"/>
    <mergeCell ref="D174:D175"/>
    <mergeCell ref="E174:E175"/>
    <mergeCell ref="E169:E170"/>
    <mergeCell ref="A171:A172"/>
    <mergeCell ref="B171:B172"/>
    <mergeCell ref="C171:C172"/>
    <mergeCell ref="D171:D172"/>
    <mergeCell ref="E171:E172"/>
    <mergeCell ref="D167:D168"/>
    <mergeCell ref="E167:E168"/>
    <mergeCell ref="F167:F168"/>
    <mergeCell ref="L188:L189"/>
    <mergeCell ref="B190:B191"/>
    <mergeCell ref="C190:C191"/>
    <mergeCell ref="D190:D191"/>
    <mergeCell ref="E190:E191"/>
    <mergeCell ref="F190:F191"/>
    <mergeCell ref="L190:L191"/>
    <mergeCell ref="I188:I189"/>
    <mergeCell ref="J188:J189"/>
    <mergeCell ref="K169:K170"/>
    <mergeCell ref="L169:L170"/>
    <mergeCell ref="I178:I179"/>
    <mergeCell ref="J178:J179"/>
    <mergeCell ref="L174:L175"/>
    <mergeCell ref="H176:H177"/>
    <mergeCell ref="B169:B170"/>
    <mergeCell ref="C169:C170"/>
    <mergeCell ref="D169:D170"/>
    <mergeCell ref="B186:B187"/>
    <mergeCell ref="C186:C187"/>
    <mergeCell ref="H182:H183"/>
    <mergeCell ref="I182:I183"/>
    <mergeCell ref="J182:J183"/>
    <mergeCell ref="K182:K183"/>
    <mergeCell ref="L182:L183"/>
    <mergeCell ref="J190:J191"/>
    <mergeCell ref="K190:K191"/>
    <mergeCell ref="K186:K187"/>
    <mergeCell ref="K188:K189"/>
    <mergeCell ref="K184:K185"/>
    <mergeCell ref="I186:I187"/>
    <mergeCell ref="J186:J187"/>
    <mergeCell ref="H186:H187"/>
    <mergeCell ref="C188:C189"/>
    <mergeCell ref="A186:A187"/>
    <mergeCell ref="F188:F189"/>
    <mergeCell ref="H188:H189"/>
    <mergeCell ref="A188:A189"/>
    <mergeCell ref="D188:D189"/>
    <mergeCell ref="E188:E189"/>
    <mergeCell ref="B188:B189"/>
    <mergeCell ref="K163:K164"/>
    <mergeCell ref="F184:F185"/>
    <mergeCell ref="H184:H185"/>
    <mergeCell ref="I184:I185"/>
    <mergeCell ref="J184:J185"/>
    <mergeCell ref="A167:A168"/>
    <mergeCell ref="A169:A170"/>
    <mergeCell ref="D159:D160"/>
    <mergeCell ref="E159:E160"/>
    <mergeCell ref="F159:F160"/>
    <mergeCell ref="A182:A183"/>
    <mergeCell ref="B182:B183"/>
    <mergeCell ref="C182:C183"/>
    <mergeCell ref="E184:E185"/>
    <mergeCell ref="A176:A177"/>
    <mergeCell ref="B176:B177"/>
    <mergeCell ref="C176:C177"/>
    <mergeCell ref="D176:D177"/>
    <mergeCell ref="E176:E177"/>
    <mergeCell ref="F176:F177"/>
    <mergeCell ref="H180:H181"/>
    <mergeCell ref="I180:I181"/>
    <mergeCell ref="J180:J181"/>
    <mergeCell ref="H274:H275"/>
    <mergeCell ref="I274:I275"/>
    <mergeCell ref="J274:J275"/>
    <mergeCell ref="K274:K275"/>
    <mergeCell ref="L274:L275"/>
    <mergeCell ref="C216:C217"/>
    <mergeCell ref="D216:D217"/>
    <mergeCell ref="E216:E217"/>
    <mergeCell ref="F216:F217"/>
    <mergeCell ref="H216:H217"/>
    <mergeCell ref="C274:C275"/>
    <mergeCell ref="D274:D275"/>
    <mergeCell ref="E274:E275"/>
    <mergeCell ref="F274:F275"/>
    <mergeCell ref="J258:J259"/>
    <mergeCell ref="B260:L260"/>
    <mergeCell ref="F256:F257"/>
    <mergeCell ref="H256:H257"/>
    <mergeCell ref="J220:J221"/>
    <mergeCell ref="K220:K221"/>
    <mergeCell ref="L220:L221"/>
    <mergeCell ref="J222:J223"/>
    <mergeCell ref="K222:K223"/>
    <mergeCell ref="L222:L223"/>
    <mergeCell ref="B242:B243"/>
    <mergeCell ref="C242:C243"/>
    <mergeCell ref="D242:D243"/>
    <mergeCell ref="L242:L243"/>
    <mergeCell ref="I238:I239"/>
    <mergeCell ref="J238:J239"/>
    <mergeCell ref="C238:C239"/>
    <mergeCell ref="B222:B223"/>
    <mergeCell ref="H278:H279"/>
    <mergeCell ref="I278:I279"/>
    <mergeCell ref="J278:J279"/>
    <mergeCell ref="K278:K279"/>
    <mergeCell ref="L278:L279"/>
    <mergeCell ref="A278:A279"/>
    <mergeCell ref="B278:B279"/>
    <mergeCell ref="C278:C279"/>
    <mergeCell ref="D278:D279"/>
    <mergeCell ref="E278:E279"/>
    <mergeCell ref="F278:F279"/>
    <mergeCell ref="A280:A281"/>
    <mergeCell ref="B280:B281"/>
    <mergeCell ref="C280:C281"/>
    <mergeCell ref="D280:D281"/>
    <mergeCell ref="E280:E281"/>
    <mergeCell ref="F280:F281"/>
    <mergeCell ref="H280:H281"/>
    <mergeCell ref="I280:I281"/>
    <mergeCell ref="J280:J281"/>
    <mergeCell ref="K280:K281"/>
    <mergeCell ref="L280:L281"/>
    <mergeCell ref="H282:H283"/>
    <mergeCell ref="I282:I283"/>
    <mergeCell ref="J282:J283"/>
    <mergeCell ref="K282:K283"/>
    <mergeCell ref="L282:L283"/>
    <mergeCell ref="F284:F285"/>
    <mergeCell ref="A282:A283"/>
    <mergeCell ref="B282:B283"/>
    <mergeCell ref="C282:C283"/>
    <mergeCell ref="D282:D283"/>
    <mergeCell ref="E282:E283"/>
    <mergeCell ref="F282:F283"/>
    <mergeCell ref="H284:H285"/>
    <mergeCell ref="I284:I285"/>
    <mergeCell ref="J284:J285"/>
    <mergeCell ref="K284:K285"/>
    <mergeCell ref="L284:L285"/>
    <mergeCell ref="A284:A285"/>
    <mergeCell ref="B284:B285"/>
    <mergeCell ref="C284:C285"/>
    <mergeCell ref="D284:D285"/>
    <mergeCell ref="E284:E285"/>
    <mergeCell ref="A286:A287"/>
    <mergeCell ref="B286:B287"/>
    <mergeCell ref="C286:C287"/>
    <mergeCell ref="D286:D287"/>
    <mergeCell ref="E286:E287"/>
    <mergeCell ref="F286:F287"/>
    <mergeCell ref="H286:H287"/>
    <mergeCell ref="I286:I287"/>
    <mergeCell ref="J286:J287"/>
    <mergeCell ref="K286:K287"/>
    <mergeCell ref="L286:L287"/>
    <mergeCell ref="A288:A289"/>
    <mergeCell ref="B288:B289"/>
    <mergeCell ref="C288:C289"/>
    <mergeCell ref="D288:D289"/>
    <mergeCell ref="E288:E289"/>
    <mergeCell ref="F288:F289"/>
    <mergeCell ref="H288:H289"/>
    <mergeCell ref="I288:I289"/>
    <mergeCell ref="J288:J289"/>
    <mergeCell ref="K288:K289"/>
    <mergeCell ref="L288:L289"/>
    <mergeCell ref="A290:A291"/>
    <mergeCell ref="B290:B291"/>
    <mergeCell ref="C290:C291"/>
    <mergeCell ref="D290:D291"/>
    <mergeCell ref="E290:E291"/>
    <mergeCell ref="F290:F291"/>
    <mergeCell ref="H292:H293"/>
    <mergeCell ref="I292:I293"/>
    <mergeCell ref="J292:J293"/>
    <mergeCell ref="K292:K293"/>
    <mergeCell ref="L292:L293"/>
    <mergeCell ref="H290:H291"/>
    <mergeCell ref="I290:I291"/>
    <mergeCell ref="J290:J291"/>
    <mergeCell ref="K290:K291"/>
    <mergeCell ref="L290:L291"/>
    <mergeCell ref="A292:A293"/>
    <mergeCell ref="B292:B293"/>
    <mergeCell ref="C292:C293"/>
    <mergeCell ref="D292:D293"/>
    <mergeCell ref="E292:E293"/>
    <mergeCell ref="F292:F293"/>
    <mergeCell ref="A294:A295"/>
    <mergeCell ref="B294:B295"/>
    <mergeCell ref="C294:C295"/>
    <mergeCell ref="D294:D295"/>
    <mergeCell ref="E294:E295"/>
    <mergeCell ref="F294:F295"/>
    <mergeCell ref="H294:H295"/>
    <mergeCell ref="I294:I295"/>
    <mergeCell ref="J294:J295"/>
    <mergeCell ref="K294:K295"/>
    <mergeCell ref="L294:L295"/>
    <mergeCell ref="H296:H297"/>
    <mergeCell ref="I296:I297"/>
    <mergeCell ref="J296:J297"/>
    <mergeCell ref="K296:K297"/>
    <mergeCell ref="L296:L297"/>
    <mergeCell ref="A296:A297"/>
    <mergeCell ref="B296:B297"/>
    <mergeCell ref="C296:C297"/>
    <mergeCell ref="D296:D297"/>
    <mergeCell ref="E296:E297"/>
    <mergeCell ref="F296:F297"/>
    <mergeCell ref="I308:I309"/>
    <mergeCell ref="J308:J309"/>
    <mergeCell ref="K308:K309"/>
    <mergeCell ref="L308:L309"/>
    <mergeCell ref="A308:A309"/>
    <mergeCell ref="B308:B309"/>
    <mergeCell ref="C308:C309"/>
    <mergeCell ref="D308:D309"/>
    <mergeCell ref="E308:E309"/>
    <mergeCell ref="F308:F309"/>
    <mergeCell ref="A310:A311"/>
    <mergeCell ref="B310:B311"/>
    <mergeCell ref="C310:C311"/>
    <mergeCell ref="D310:D311"/>
    <mergeCell ref="E310:E311"/>
    <mergeCell ref="F310:F311"/>
    <mergeCell ref="H310:H311"/>
    <mergeCell ref="I310:I311"/>
    <mergeCell ref="J310:J311"/>
    <mergeCell ref="K310:K311"/>
    <mergeCell ref="L310:L311"/>
    <mergeCell ref="A316:A317"/>
    <mergeCell ref="B316:B317"/>
    <mergeCell ref="C316:C317"/>
    <mergeCell ref="D316:D317"/>
    <mergeCell ref="E316:E317"/>
    <mergeCell ref="F316:F317"/>
    <mergeCell ref="L318:L319"/>
    <mergeCell ref="A318:A319"/>
    <mergeCell ref="B318:B319"/>
    <mergeCell ref="C318:C319"/>
    <mergeCell ref="D318:D319"/>
    <mergeCell ref="E318:E319"/>
    <mergeCell ref="F318:F319"/>
    <mergeCell ref="H312:H313"/>
    <mergeCell ref="I312:I313"/>
    <mergeCell ref="J312:J313"/>
    <mergeCell ref="K312:K313"/>
    <mergeCell ref="L312:L313"/>
    <mergeCell ref="A312:A313"/>
    <mergeCell ref="B312:B313"/>
    <mergeCell ref="C312:C313"/>
    <mergeCell ref="D312:D313"/>
    <mergeCell ref="E312:E313"/>
    <mergeCell ref="F312:F313"/>
    <mergeCell ref="A314:A315"/>
    <mergeCell ref="B314:B315"/>
    <mergeCell ref="C314:C315"/>
    <mergeCell ref="D314:D315"/>
    <mergeCell ref="E314:E315"/>
    <mergeCell ref="F314:F315"/>
    <mergeCell ref="H314:H315"/>
    <mergeCell ref="I314:I315"/>
    <mergeCell ref="A322:A323"/>
    <mergeCell ref="B322:B323"/>
    <mergeCell ref="C322:C323"/>
    <mergeCell ref="D322:D323"/>
    <mergeCell ref="E322:E323"/>
    <mergeCell ref="F322:F323"/>
    <mergeCell ref="A320:A321"/>
    <mergeCell ref="B320:B321"/>
    <mergeCell ref="C320:C321"/>
    <mergeCell ref="H322:H323"/>
    <mergeCell ref="I322:I323"/>
    <mergeCell ref="F320:F321"/>
    <mergeCell ref="J322:J323"/>
    <mergeCell ref="K322:K323"/>
    <mergeCell ref="L322:L323"/>
    <mergeCell ref="H320:H321"/>
    <mergeCell ref="I320:I321"/>
    <mergeCell ref="J320:J321"/>
    <mergeCell ref="K320:K321"/>
    <mergeCell ref="A330:A331"/>
    <mergeCell ref="B330:B331"/>
    <mergeCell ref="C330:C331"/>
    <mergeCell ref="D330:D331"/>
    <mergeCell ref="E330:E331"/>
    <mergeCell ref="F330:F331"/>
    <mergeCell ref="A332:A333"/>
    <mergeCell ref="B332:B333"/>
    <mergeCell ref="C332:C333"/>
    <mergeCell ref="D332:D333"/>
    <mergeCell ref="E332:E333"/>
    <mergeCell ref="F332:F333"/>
    <mergeCell ref="A324:A325"/>
    <mergeCell ref="B324:B325"/>
    <mergeCell ref="A326:A327"/>
    <mergeCell ref="B326:B327"/>
    <mergeCell ref="C326:C327"/>
    <mergeCell ref="C324:C325"/>
    <mergeCell ref="A336:A337"/>
    <mergeCell ref="B334:B335"/>
    <mergeCell ref="C336:C337"/>
    <mergeCell ref="D336:D337"/>
    <mergeCell ref="E336:E337"/>
    <mergeCell ref="F336:F337"/>
    <mergeCell ref="B336:B337"/>
    <mergeCell ref="A334:A335"/>
    <mergeCell ref="C334:C335"/>
    <mergeCell ref="D334:D335"/>
    <mergeCell ref="H336:H337"/>
    <mergeCell ref="I336:I337"/>
    <mergeCell ref="J336:J337"/>
    <mergeCell ref="K336:K337"/>
    <mergeCell ref="L336:L337"/>
    <mergeCell ref="H338:H339"/>
    <mergeCell ref="I338:I339"/>
    <mergeCell ref="J338:J339"/>
    <mergeCell ref="K338:K339"/>
    <mergeCell ref="L338:L339"/>
    <mergeCell ref="A338:A339"/>
    <mergeCell ref="B338:B339"/>
    <mergeCell ref="C338:C339"/>
    <mergeCell ref="D338:D339"/>
    <mergeCell ref="E338:E339"/>
    <mergeCell ref="F338:F339"/>
    <mergeCell ref="F334:F335"/>
    <mergeCell ref="H334:H335"/>
    <mergeCell ref="I334:I335"/>
    <mergeCell ref="K334:K335"/>
    <mergeCell ref="L334:L335"/>
    <mergeCell ref="A350:A351"/>
    <mergeCell ref="B350:B351"/>
    <mergeCell ref="C350:C351"/>
    <mergeCell ref="D350:D351"/>
    <mergeCell ref="E350:E351"/>
    <mergeCell ref="F350:F351"/>
    <mergeCell ref="H350:H351"/>
    <mergeCell ref="I350:I351"/>
    <mergeCell ref="J350:J351"/>
    <mergeCell ref="K350:K351"/>
    <mergeCell ref="L350:L351"/>
    <mergeCell ref="H352:H353"/>
    <mergeCell ref="I352:I353"/>
    <mergeCell ref="J352:J353"/>
    <mergeCell ref="K352:K353"/>
    <mergeCell ref="L352:L353"/>
    <mergeCell ref="A352:A353"/>
    <mergeCell ref="B352:B353"/>
    <mergeCell ref="C352:C353"/>
    <mergeCell ref="D352:D353"/>
    <mergeCell ref="E352:E353"/>
    <mergeCell ref="F352:F353"/>
    <mergeCell ref="A354:A355"/>
    <mergeCell ref="B354:B355"/>
    <mergeCell ref="C354:C355"/>
    <mergeCell ref="D354:D355"/>
    <mergeCell ref="E354:E355"/>
    <mergeCell ref="F354:F355"/>
    <mergeCell ref="H354:H355"/>
    <mergeCell ref="I354:I355"/>
    <mergeCell ref="J354:J355"/>
    <mergeCell ref="K354:K355"/>
    <mergeCell ref="L354:L355"/>
    <mergeCell ref="J357:J358"/>
    <mergeCell ref="I357:I358"/>
    <mergeCell ref="K357:K358"/>
    <mergeCell ref="L357:L358"/>
    <mergeCell ref="H357:H358"/>
    <mergeCell ref="A357:A358"/>
    <mergeCell ref="B357:B358"/>
    <mergeCell ref="C357:C358"/>
    <mergeCell ref="D357:D358"/>
    <mergeCell ref="E357:E358"/>
    <mergeCell ref="F357:F358"/>
    <mergeCell ref="B356:L356"/>
    <mergeCell ref="A359:A360"/>
    <mergeCell ref="B359:B360"/>
    <mergeCell ref="C359:C360"/>
    <mergeCell ref="D359:D360"/>
    <mergeCell ref="E359:E360"/>
    <mergeCell ref="F359:F360"/>
    <mergeCell ref="H359:H360"/>
    <mergeCell ref="I359:I360"/>
    <mergeCell ref="J359:J360"/>
    <mergeCell ref="K359:K360"/>
    <mergeCell ref="L359:L360"/>
    <mergeCell ref="H361:H362"/>
    <mergeCell ref="I361:I362"/>
    <mergeCell ref="J361:J362"/>
    <mergeCell ref="K361:K362"/>
    <mergeCell ref="L361:L362"/>
    <mergeCell ref="A361:A362"/>
    <mergeCell ref="B361:B362"/>
    <mergeCell ref="C361:C362"/>
    <mergeCell ref="D361:D362"/>
    <mergeCell ref="E361:E362"/>
    <mergeCell ref="F361:F362"/>
    <mergeCell ref="L371:L372"/>
    <mergeCell ref="A373:A374"/>
    <mergeCell ref="B373:B374"/>
    <mergeCell ref="C373:C374"/>
    <mergeCell ref="D373:D374"/>
    <mergeCell ref="E373:E374"/>
    <mergeCell ref="F373:F374"/>
    <mergeCell ref="A363:A364"/>
    <mergeCell ref="B363:B364"/>
    <mergeCell ref="C363:C364"/>
    <mergeCell ref="D363:D364"/>
    <mergeCell ref="E363:E364"/>
    <mergeCell ref="H363:H364"/>
    <mergeCell ref="F363:F364"/>
    <mergeCell ref="L363:L364"/>
    <mergeCell ref="I363:I364"/>
    <mergeCell ref="J363:J364"/>
    <mergeCell ref="K363:K364"/>
    <mergeCell ref="L365:L366"/>
    <mergeCell ref="H365:H366"/>
    <mergeCell ref="A367:A368"/>
    <mergeCell ref="B367:B368"/>
    <mergeCell ref="C367:C368"/>
    <mergeCell ref="E367:E368"/>
    <mergeCell ref="F367:F368"/>
    <mergeCell ref="A365:A366"/>
    <mergeCell ref="B365:B366"/>
    <mergeCell ref="C365:C366"/>
    <mergeCell ref="D365:D366"/>
    <mergeCell ref="E365:E366"/>
    <mergeCell ref="H371:H372"/>
    <mergeCell ref="J371:J372"/>
    <mergeCell ref="F369:F370"/>
    <mergeCell ref="H369:H370"/>
    <mergeCell ref="D367:D368"/>
    <mergeCell ref="K367:K368"/>
    <mergeCell ref="I369:I370"/>
    <mergeCell ref="J369:J370"/>
    <mergeCell ref="H367:H368"/>
    <mergeCell ref="E369:E370"/>
    <mergeCell ref="F371:F372"/>
    <mergeCell ref="A369:A370"/>
    <mergeCell ref="A371:A372"/>
    <mergeCell ref="B371:B372"/>
    <mergeCell ref="C371:C372"/>
    <mergeCell ref="D371:D372"/>
    <mergeCell ref="E371:E372"/>
    <mergeCell ref="B369:B370"/>
    <mergeCell ref="C369:C370"/>
    <mergeCell ref="D369:D370"/>
    <mergeCell ref="K371:K372"/>
    <mergeCell ref="D377:D378"/>
    <mergeCell ref="E377:E378"/>
    <mergeCell ref="F377:F378"/>
    <mergeCell ref="H377:H378"/>
    <mergeCell ref="A375:A376"/>
    <mergeCell ref="K389:K390"/>
    <mergeCell ref="E381:E382"/>
    <mergeCell ref="E383:E384"/>
    <mergeCell ref="F383:F384"/>
    <mergeCell ref="C387:C388"/>
    <mergeCell ref="H381:H382"/>
    <mergeCell ref="F381:F382"/>
    <mergeCell ref="F385:F386"/>
    <mergeCell ref="H385:H386"/>
    <mergeCell ref="F387:F388"/>
    <mergeCell ref="F379:F380"/>
    <mergeCell ref="K385:K386"/>
    <mergeCell ref="J381:J382"/>
    <mergeCell ref="J379:J380"/>
    <mergeCell ref="I383:I384"/>
    <mergeCell ref="J383:J384"/>
    <mergeCell ref="K383:K384"/>
    <mergeCell ref="J385:J386"/>
    <mergeCell ref="I385:I386"/>
    <mergeCell ref="H379:H380"/>
    <mergeCell ref="J377:J378"/>
    <mergeCell ref="H389:H390"/>
    <mergeCell ref="H383:H384"/>
    <mergeCell ref="D387:D388"/>
    <mergeCell ref="K379:K380"/>
    <mergeCell ref="E515:E516"/>
    <mergeCell ref="B510:B511"/>
    <mergeCell ref="C510:C511"/>
    <mergeCell ref="J512:J513"/>
    <mergeCell ref="I515:I516"/>
    <mergeCell ref="K512:K513"/>
    <mergeCell ref="D517:D518"/>
    <mergeCell ref="D515:D516"/>
    <mergeCell ref="H515:H516"/>
    <mergeCell ref="K504:K505"/>
    <mergeCell ref="L504:L505"/>
    <mergeCell ref="B514:L514"/>
    <mergeCell ref="K508:K509"/>
    <mergeCell ref="H373:H374"/>
    <mergeCell ref="I373:I374"/>
    <mergeCell ref="F389:F390"/>
    <mergeCell ref="L373:L374"/>
    <mergeCell ref="L385:L386"/>
    <mergeCell ref="K373:K374"/>
    <mergeCell ref="J373:J374"/>
    <mergeCell ref="L375:L376"/>
    <mergeCell ref="E387:E388"/>
    <mergeCell ref="F375:F376"/>
    <mergeCell ref="H375:H376"/>
    <mergeCell ref="I379:I380"/>
    <mergeCell ref="I381:I382"/>
    <mergeCell ref="J375:J376"/>
    <mergeCell ref="K375:K376"/>
    <mergeCell ref="I397:I398"/>
    <mergeCell ref="C389:C390"/>
    <mergeCell ref="D393:D394"/>
    <mergeCell ref="K510:K511"/>
    <mergeCell ref="A517:A518"/>
    <mergeCell ref="B517:B518"/>
    <mergeCell ref="C517:C518"/>
    <mergeCell ref="I517:I518"/>
    <mergeCell ref="J517:J518"/>
    <mergeCell ref="K517:K518"/>
    <mergeCell ref="E517:E518"/>
    <mergeCell ref="F517:F518"/>
    <mergeCell ref="H517:H518"/>
    <mergeCell ref="D521:D522"/>
    <mergeCell ref="J515:J516"/>
    <mergeCell ref="K515:K516"/>
    <mergeCell ref="F515:F516"/>
    <mergeCell ref="J521:J522"/>
    <mergeCell ref="L517:L518"/>
    <mergeCell ref="A521:A522"/>
    <mergeCell ref="B521:B522"/>
    <mergeCell ref="C521:C522"/>
    <mergeCell ref="K521:K522"/>
    <mergeCell ref="L521:L522"/>
    <mergeCell ref="E521:E522"/>
    <mergeCell ref="F521:F522"/>
    <mergeCell ref="H521:H522"/>
    <mergeCell ref="I521:I522"/>
    <mergeCell ref="A515:A516"/>
    <mergeCell ref="F519:F520"/>
    <mergeCell ref="H519:H520"/>
    <mergeCell ref="I519:I520"/>
    <mergeCell ref="J519:J520"/>
    <mergeCell ref="K519:K520"/>
    <mergeCell ref="B515:B516"/>
    <mergeCell ref="C515:C516"/>
    <mergeCell ref="C529:C530"/>
    <mergeCell ref="E529:E530"/>
    <mergeCell ref="I533:I534"/>
    <mergeCell ref="J533:J534"/>
    <mergeCell ref="K533:K534"/>
    <mergeCell ref="L533:L534"/>
    <mergeCell ref="L529:L530"/>
    <mergeCell ref="A533:A534"/>
    <mergeCell ref="B533:B534"/>
    <mergeCell ref="C533:C534"/>
    <mergeCell ref="E533:E534"/>
    <mergeCell ref="F533:F534"/>
    <mergeCell ref="H533:H534"/>
    <mergeCell ref="A523:A524"/>
    <mergeCell ref="F527:F528"/>
    <mergeCell ref="L531:L532"/>
    <mergeCell ref="H527:H528"/>
    <mergeCell ref="D531:D532"/>
    <mergeCell ref="D529:D530"/>
    <mergeCell ref="J529:J530"/>
    <mergeCell ref="K529:K530"/>
    <mergeCell ref="I531:I532"/>
    <mergeCell ref="J531:J532"/>
    <mergeCell ref="K531:K532"/>
    <mergeCell ref="A531:A532"/>
    <mergeCell ref="B531:B532"/>
    <mergeCell ref="F529:F530"/>
    <mergeCell ref="H529:H530"/>
    <mergeCell ref="I529:I530"/>
    <mergeCell ref="F525:F526"/>
    <mergeCell ref="B537:B538"/>
    <mergeCell ref="C537:C538"/>
    <mergeCell ref="E537:E538"/>
    <mergeCell ref="F537:F538"/>
    <mergeCell ref="J535:J536"/>
    <mergeCell ref="K535:K536"/>
    <mergeCell ref="L535:L536"/>
    <mergeCell ref="H537:H538"/>
    <mergeCell ref="I537:I538"/>
    <mergeCell ref="J537:J538"/>
    <mergeCell ref="K537:K538"/>
    <mergeCell ref="L537:L538"/>
    <mergeCell ref="I535:I536"/>
    <mergeCell ref="D533:D534"/>
    <mergeCell ref="E531:E532"/>
    <mergeCell ref="F531:F532"/>
    <mergeCell ref="H531:H532"/>
    <mergeCell ref="C531:C532"/>
    <mergeCell ref="A539:A540"/>
    <mergeCell ref="B539:B540"/>
    <mergeCell ref="C539:C540"/>
    <mergeCell ref="H535:H536"/>
    <mergeCell ref="A535:A536"/>
    <mergeCell ref="B535:B536"/>
    <mergeCell ref="C535:C536"/>
    <mergeCell ref="D537:D538"/>
    <mergeCell ref="H539:H540"/>
    <mergeCell ref="I539:I540"/>
    <mergeCell ref="J539:J540"/>
    <mergeCell ref="D539:D540"/>
    <mergeCell ref="E539:E540"/>
    <mergeCell ref="F539:F540"/>
    <mergeCell ref="D543:D544"/>
    <mergeCell ref="A543:A544"/>
    <mergeCell ref="B543:B544"/>
    <mergeCell ref="C543:C544"/>
    <mergeCell ref="E543:E544"/>
    <mergeCell ref="A541:A542"/>
    <mergeCell ref="B541:B542"/>
    <mergeCell ref="C541:C542"/>
    <mergeCell ref="E541:E542"/>
    <mergeCell ref="D541:D542"/>
    <mergeCell ref="H541:H542"/>
    <mergeCell ref="I541:I542"/>
    <mergeCell ref="J541:J542"/>
    <mergeCell ref="F541:F542"/>
    <mergeCell ref="E535:E536"/>
    <mergeCell ref="F535:F536"/>
    <mergeCell ref="D535:D536"/>
    <mergeCell ref="A537:A538"/>
    <mergeCell ref="K545:K546"/>
    <mergeCell ref="L545:L546"/>
    <mergeCell ref="F543:F544"/>
    <mergeCell ref="H543:H544"/>
    <mergeCell ref="I543:I544"/>
    <mergeCell ref="J543:J544"/>
    <mergeCell ref="K543:K544"/>
    <mergeCell ref="A545:A546"/>
    <mergeCell ref="B545:B546"/>
    <mergeCell ref="C545:C546"/>
    <mergeCell ref="D547:D548"/>
    <mergeCell ref="E545:E546"/>
    <mergeCell ref="F545:F546"/>
    <mergeCell ref="D545:D546"/>
    <mergeCell ref="A547:A548"/>
    <mergeCell ref="B547:B548"/>
    <mergeCell ref="C547:C548"/>
    <mergeCell ref="E547:E548"/>
    <mergeCell ref="F547:F548"/>
    <mergeCell ref="H547:H548"/>
    <mergeCell ref="I547:I548"/>
    <mergeCell ref="J547:J548"/>
    <mergeCell ref="L543:L544"/>
    <mergeCell ref="F549:F550"/>
    <mergeCell ref="L547:L548"/>
    <mergeCell ref="H549:H550"/>
    <mergeCell ref="I549:I550"/>
    <mergeCell ref="J549:J550"/>
    <mergeCell ref="K549:K550"/>
    <mergeCell ref="I551:I552"/>
    <mergeCell ref="J551:J552"/>
    <mergeCell ref="L549:L550"/>
    <mergeCell ref="K547:K548"/>
    <mergeCell ref="A549:A550"/>
    <mergeCell ref="B549:B550"/>
    <mergeCell ref="C549:C550"/>
    <mergeCell ref="D551:D552"/>
    <mergeCell ref="E549:E550"/>
    <mergeCell ref="A551:A552"/>
    <mergeCell ref="B551:B552"/>
    <mergeCell ref="C551:C552"/>
    <mergeCell ref="E551:E552"/>
    <mergeCell ref="D549:D550"/>
    <mergeCell ref="D553:D554"/>
    <mergeCell ref="K551:K552"/>
    <mergeCell ref="L551:L552"/>
    <mergeCell ref="H553:H554"/>
    <mergeCell ref="I553:I554"/>
    <mergeCell ref="J553:J554"/>
    <mergeCell ref="K553:K554"/>
    <mergeCell ref="L553:L554"/>
    <mergeCell ref="F551:F552"/>
    <mergeCell ref="H551:H552"/>
    <mergeCell ref="I557:I558"/>
    <mergeCell ref="J557:J558"/>
    <mergeCell ref="K557:K558"/>
    <mergeCell ref="L557:L558"/>
    <mergeCell ref="D557:D558"/>
    <mergeCell ref="A553:A554"/>
    <mergeCell ref="B553:B554"/>
    <mergeCell ref="C553:C554"/>
    <mergeCell ref="E553:E554"/>
    <mergeCell ref="F553:F554"/>
    <mergeCell ref="F557:F558"/>
    <mergeCell ref="D555:D556"/>
    <mergeCell ref="E555:E556"/>
    <mergeCell ref="F555:F556"/>
    <mergeCell ref="H555:H556"/>
    <mergeCell ref="I555:I556"/>
    <mergeCell ref="J555:J556"/>
    <mergeCell ref="K555:K556"/>
    <mergeCell ref="L555:L556"/>
    <mergeCell ref="A555:A556"/>
    <mergeCell ref="B555:B556"/>
    <mergeCell ref="C555:C556"/>
    <mergeCell ref="A559:A560"/>
    <mergeCell ref="B559:B560"/>
    <mergeCell ref="C559:C560"/>
    <mergeCell ref="E559:E560"/>
    <mergeCell ref="H557:H558"/>
    <mergeCell ref="F559:F560"/>
    <mergeCell ref="H559:H560"/>
    <mergeCell ref="D561:D562"/>
    <mergeCell ref="A561:A562"/>
    <mergeCell ref="B561:B562"/>
    <mergeCell ref="C561:C562"/>
    <mergeCell ref="E561:E562"/>
    <mergeCell ref="A557:A558"/>
    <mergeCell ref="B557:B558"/>
    <mergeCell ref="C557:C558"/>
    <mergeCell ref="D559:D560"/>
    <mergeCell ref="E557:E558"/>
    <mergeCell ref="F561:F562"/>
    <mergeCell ref="F563:F564"/>
    <mergeCell ref="H561:H562"/>
    <mergeCell ref="I561:I562"/>
    <mergeCell ref="J561:J562"/>
    <mergeCell ref="K561:K562"/>
    <mergeCell ref="H563:H564"/>
    <mergeCell ref="I563:I564"/>
    <mergeCell ref="J563:J564"/>
    <mergeCell ref="K563:K564"/>
    <mergeCell ref="A563:A564"/>
    <mergeCell ref="B563:B564"/>
    <mergeCell ref="C563:C564"/>
    <mergeCell ref="D569:D570"/>
    <mergeCell ref="E563:E564"/>
    <mergeCell ref="A569:A570"/>
    <mergeCell ref="B569:B570"/>
    <mergeCell ref="C569:C570"/>
    <mergeCell ref="E569:E570"/>
    <mergeCell ref="D563:D564"/>
    <mergeCell ref="F569:F570"/>
    <mergeCell ref="H569:H570"/>
    <mergeCell ref="I569:I570"/>
    <mergeCell ref="J569:J570"/>
    <mergeCell ref="K569:K570"/>
    <mergeCell ref="F567:F568"/>
    <mergeCell ref="H567:H568"/>
    <mergeCell ref="I567:I568"/>
    <mergeCell ref="J567:J568"/>
    <mergeCell ref="K567:K568"/>
    <mergeCell ref="K571:K572"/>
    <mergeCell ref="L571:L572"/>
    <mergeCell ref="A571:A572"/>
    <mergeCell ref="B571:B572"/>
    <mergeCell ref="C571:C572"/>
    <mergeCell ref="D573:D574"/>
    <mergeCell ref="E571:E572"/>
    <mergeCell ref="A573:A574"/>
    <mergeCell ref="B573:B574"/>
    <mergeCell ref="C573:C574"/>
    <mergeCell ref="E573:E574"/>
    <mergeCell ref="D571:D572"/>
    <mergeCell ref="K577:K578"/>
    <mergeCell ref="F573:F574"/>
    <mergeCell ref="F575:F576"/>
    <mergeCell ref="H573:H574"/>
    <mergeCell ref="I573:I574"/>
    <mergeCell ref="J573:J574"/>
    <mergeCell ref="K573:K574"/>
    <mergeCell ref="L573:L574"/>
    <mergeCell ref="H575:H576"/>
    <mergeCell ref="I575:I576"/>
    <mergeCell ref="J575:J576"/>
    <mergeCell ref="K575:K576"/>
    <mergeCell ref="L575:L576"/>
    <mergeCell ref="A575:A576"/>
    <mergeCell ref="B575:B576"/>
    <mergeCell ref="C575:C576"/>
    <mergeCell ref="D577:D578"/>
    <mergeCell ref="E575:E576"/>
    <mergeCell ref="D575:D576"/>
    <mergeCell ref="L577:L578"/>
    <mergeCell ref="A577:A578"/>
    <mergeCell ref="B577:B578"/>
    <mergeCell ref="C577:C578"/>
    <mergeCell ref="D579:D580"/>
    <mergeCell ref="E577:E578"/>
    <mergeCell ref="F577:F578"/>
    <mergeCell ref="I577:I578"/>
    <mergeCell ref="H577:H578"/>
    <mergeCell ref="J577:J578"/>
    <mergeCell ref="F583:F584"/>
    <mergeCell ref="H583:H584"/>
    <mergeCell ref="H587:H588"/>
    <mergeCell ref="I587:I588"/>
    <mergeCell ref="J587:J588"/>
    <mergeCell ref="K581:K582"/>
    <mergeCell ref="I585:I586"/>
    <mergeCell ref="J585:J586"/>
    <mergeCell ref="K585:K586"/>
    <mergeCell ref="I581:I582"/>
    <mergeCell ref="A585:A586"/>
    <mergeCell ref="B585:B586"/>
    <mergeCell ref="C585:C586"/>
    <mergeCell ref="D587:D588"/>
    <mergeCell ref="E585:E586"/>
    <mergeCell ref="A587:A588"/>
    <mergeCell ref="B587:B588"/>
    <mergeCell ref="C587:C588"/>
    <mergeCell ref="A579:A580"/>
    <mergeCell ref="B579:B580"/>
    <mergeCell ref="C579:C580"/>
    <mergeCell ref="E579:E580"/>
    <mergeCell ref="F579:F580"/>
    <mergeCell ref="L587:L588"/>
    <mergeCell ref="D589:D590"/>
    <mergeCell ref="E587:E588"/>
    <mergeCell ref="F587:F588"/>
    <mergeCell ref="F589:F590"/>
    <mergeCell ref="K587:K588"/>
    <mergeCell ref="A589:A590"/>
    <mergeCell ref="B589:B590"/>
    <mergeCell ref="C589:C590"/>
    <mergeCell ref="E589:E590"/>
    <mergeCell ref="L585:L586"/>
    <mergeCell ref="H589:H590"/>
    <mergeCell ref="I589:I590"/>
    <mergeCell ref="J589:J590"/>
    <mergeCell ref="K589:K590"/>
    <mergeCell ref="L589:L590"/>
    <mergeCell ref="K591:K592"/>
    <mergeCell ref="L593:L594"/>
    <mergeCell ref="A591:A592"/>
    <mergeCell ref="B591:B592"/>
    <mergeCell ref="C591:C592"/>
    <mergeCell ref="I591:I592"/>
    <mergeCell ref="J591:J592"/>
    <mergeCell ref="H591:H592"/>
    <mergeCell ref="C595:C596"/>
    <mergeCell ref="D593:D594"/>
    <mergeCell ref="E591:E592"/>
    <mergeCell ref="F591:F592"/>
    <mergeCell ref="D591:D592"/>
    <mergeCell ref="L591:L592"/>
    <mergeCell ref="H593:H594"/>
    <mergeCell ref="I593:I594"/>
    <mergeCell ref="J593:J594"/>
    <mergeCell ref="K593:K594"/>
    <mergeCell ref="L595:L596"/>
    <mergeCell ref="A595:A596"/>
    <mergeCell ref="H595:H596"/>
    <mergeCell ref="A593:A594"/>
    <mergeCell ref="B593:B594"/>
    <mergeCell ref="C593:C594"/>
    <mergeCell ref="E593:E594"/>
    <mergeCell ref="F593:F594"/>
    <mergeCell ref="B595:B596"/>
    <mergeCell ref="A649:A650"/>
    <mergeCell ref="B649:B650"/>
    <mergeCell ref="C649:C650"/>
    <mergeCell ref="D649:D650"/>
    <mergeCell ref="I651:I652"/>
    <mergeCell ref="J651:J652"/>
    <mergeCell ref="K651:K652"/>
    <mergeCell ref="K649:K650"/>
    <mergeCell ref="L597:L598"/>
    <mergeCell ref="A597:A598"/>
    <mergeCell ref="B597:B598"/>
    <mergeCell ref="C597:C598"/>
    <mergeCell ref="E597:E598"/>
    <mergeCell ref="F597:F598"/>
    <mergeCell ref="A599:A600"/>
    <mergeCell ref="B599:B600"/>
    <mergeCell ref="C599:C600"/>
    <mergeCell ref="L647:L648"/>
    <mergeCell ref="A647:A648"/>
    <mergeCell ref="B647:B648"/>
    <mergeCell ref="C647:C648"/>
    <mergeCell ref="D647:D648"/>
    <mergeCell ref="E647:E648"/>
    <mergeCell ref="L605:L606"/>
    <mergeCell ref="F605:F606"/>
    <mergeCell ref="H605:H606"/>
    <mergeCell ref="F647:F648"/>
    <mergeCell ref="F645:F646"/>
    <mergeCell ref="H645:H646"/>
    <mergeCell ref="I645:I646"/>
    <mergeCell ref="J645:J646"/>
    <mergeCell ref="A645:A646"/>
    <mergeCell ref="H597:H598"/>
    <mergeCell ref="I597:I598"/>
    <mergeCell ref="J597:J598"/>
    <mergeCell ref="K597:K598"/>
    <mergeCell ref="I595:I596"/>
    <mergeCell ref="D597:D598"/>
    <mergeCell ref="E595:E596"/>
    <mergeCell ref="F595:F596"/>
    <mergeCell ref="J595:J596"/>
    <mergeCell ref="K595:K596"/>
    <mergeCell ref="D599:D600"/>
    <mergeCell ref="H599:H600"/>
    <mergeCell ref="I599:I600"/>
    <mergeCell ref="J599:J600"/>
    <mergeCell ref="D595:D596"/>
    <mergeCell ref="H647:H648"/>
    <mergeCell ref="I647:I648"/>
    <mergeCell ref="J647:J648"/>
    <mergeCell ref="K647:K648"/>
    <mergeCell ref="K645:K646"/>
    <mergeCell ref="I605:I606"/>
    <mergeCell ref="F629:F630"/>
    <mergeCell ref="E599:E600"/>
    <mergeCell ref="D601:D602"/>
    <mergeCell ref="D619:D620"/>
    <mergeCell ref="E619:E620"/>
    <mergeCell ref="F619:F620"/>
    <mergeCell ref="H623:H624"/>
    <mergeCell ref="I623:I624"/>
    <mergeCell ref="J623:J624"/>
    <mergeCell ref="K623:K624"/>
    <mergeCell ref="H625:H626"/>
    <mergeCell ref="L599:L600"/>
    <mergeCell ref="A601:A602"/>
    <mergeCell ref="B601:B602"/>
    <mergeCell ref="C601:C602"/>
    <mergeCell ref="F599:F600"/>
    <mergeCell ref="D603:D604"/>
    <mergeCell ref="E601:E602"/>
    <mergeCell ref="F601:F602"/>
    <mergeCell ref="H601:H602"/>
    <mergeCell ref="I601:I602"/>
    <mergeCell ref="J601:J602"/>
    <mergeCell ref="K599:K600"/>
    <mergeCell ref="J603:J604"/>
    <mergeCell ref="F655:F656"/>
    <mergeCell ref="H655:H656"/>
    <mergeCell ref="J655:J656"/>
    <mergeCell ref="K655:K656"/>
    <mergeCell ref="K603:K604"/>
    <mergeCell ref="I603:I604"/>
    <mergeCell ref="F603:F604"/>
    <mergeCell ref="H603:H604"/>
    <mergeCell ref="L601:L602"/>
    <mergeCell ref="A603:A604"/>
    <mergeCell ref="B603:B604"/>
    <mergeCell ref="C603:C604"/>
    <mergeCell ref="C653:C654"/>
    <mergeCell ref="D653:D654"/>
    <mergeCell ref="E653:E654"/>
    <mergeCell ref="E603:E604"/>
    <mergeCell ref="A655:A656"/>
    <mergeCell ref="B655:B656"/>
    <mergeCell ref="K601:K602"/>
    <mergeCell ref="H709:H710"/>
    <mergeCell ref="L603:L604"/>
    <mergeCell ref="A709:A710"/>
    <mergeCell ref="B709:B710"/>
    <mergeCell ref="L709:L710"/>
    <mergeCell ref="L655:L656"/>
    <mergeCell ref="K709:K710"/>
    <mergeCell ref="I709:I710"/>
    <mergeCell ref="J709:J710"/>
    <mergeCell ref="F709:F710"/>
    <mergeCell ref="A719:A720"/>
    <mergeCell ref="B719:B720"/>
    <mergeCell ref="C719:C720"/>
    <mergeCell ref="A717:A718"/>
    <mergeCell ref="B717:B718"/>
    <mergeCell ref="A713:A714"/>
    <mergeCell ref="B713:B714"/>
    <mergeCell ref="C713:C714"/>
    <mergeCell ref="D713:D714"/>
    <mergeCell ref="E719:E720"/>
    <mergeCell ref="D709:D710"/>
    <mergeCell ref="E655:E656"/>
    <mergeCell ref="C709:C710"/>
    <mergeCell ref="E709:E710"/>
    <mergeCell ref="E713:E714"/>
    <mergeCell ref="A653:A654"/>
    <mergeCell ref="B653:B654"/>
    <mergeCell ref="D667:D668"/>
    <mergeCell ref="H653:H654"/>
    <mergeCell ref="F653:F654"/>
    <mergeCell ref="K653:K654"/>
    <mergeCell ref="F651:F652"/>
    <mergeCell ref="L723:L724"/>
    <mergeCell ref="E721:E722"/>
    <mergeCell ref="F721:F722"/>
    <mergeCell ref="D719:D720"/>
    <mergeCell ref="C723:C724"/>
    <mergeCell ref="H721:H722"/>
    <mergeCell ref="I721:I722"/>
    <mergeCell ref="E723:E724"/>
    <mergeCell ref="F723:F724"/>
    <mergeCell ref="D721:D722"/>
    <mergeCell ref="A721:A722"/>
    <mergeCell ref="B721:B722"/>
    <mergeCell ref="C721:C722"/>
    <mergeCell ref="D723:D724"/>
    <mergeCell ref="H723:H724"/>
    <mergeCell ref="I723:I724"/>
    <mergeCell ref="E731:E732"/>
    <mergeCell ref="F731:F732"/>
    <mergeCell ref="H731:H732"/>
    <mergeCell ref="A725:A726"/>
    <mergeCell ref="B725:B726"/>
    <mergeCell ref="C725:C726"/>
    <mergeCell ref="D725:D726"/>
    <mergeCell ref="E725:E726"/>
    <mergeCell ref="F725:F726"/>
    <mergeCell ref="H725:H726"/>
    <mergeCell ref="I725:I726"/>
    <mergeCell ref="A727:A728"/>
    <mergeCell ref="L725:L726"/>
    <mergeCell ref="H727:H728"/>
    <mergeCell ref="I727:I728"/>
    <mergeCell ref="L719:L720"/>
    <mergeCell ref="L741:L742"/>
    <mergeCell ref="L743:L744"/>
    <mergeCell ref="A743:A744"/>
    <mergeCell ref="B743:B744"/>
    <mergeCell ref="C743:C744"/>
    <mergeCell ref="E743:E744"/>
    <mergeCell ref="A731:A732"/>
    <mergeCell ref="B731:B732"/>
    <mergeCell ref="C731:C732"/>
    <mergeCell ref="D731:D732"/>
    <mergeCell ref="F733:F734"/>
    <mergeCell ref="B735:B736"/>
    <mergeCell ref="C735:C736"/>
    <mergeCell ref="E735:E736"/>
    <mergeCell ref="F735:F736"/>
    <mergeCell ref="B733:B734"/>
    <mergeCell ref="D735:D736"/>
    <mergeCell ref="E733:E734"/>
    <mergeCell ref="D733:D734"/>
    <mergeCell ref="K731:K732"/>
    <mergeCell ref="J735:J736"/>
    <mergeCell ref="K735:K736"/>
    <mergeCell ref="L731:L732"/>
    <mergeCell ref="H733:H734"/>
    <mergeCell ref="I733:I734"/>
    <mergeCell ref="J733:J734"/>
    <mergeCell ref="L733:L734"/>
    <mergeCell ref="H735:H736"/>
    <mergeCell ref="A735:A736"/>
    <mergeCell ref="L735:L736"/>
    <mergeCell ref="F743:F744"/>
    <mergeCell ref="H743:H744"/>
    <mergeCell ref="D747:D748"/>
    <mergeCell ref="E745:E746"/>
    <mergeCell ref="A747:A748"/>
    <mergeCell ref="K747:K748"/>
    <mergeCell ref="L747:L748"/>
    <mergeCell ref="D745:D746"/>
    <mergeCell ref="K743:K744"/>
    <mergeCell ref="L737:L738"/>
    <mergeCell ref="A737:A738"/>
    <mergeCell ref="B737:B738"/>
    <mergeCell ref="C737:C738"/>
    <mergeCell ref="E737:E738"/>
    <mergeCell ref="F737:F738"/>
    <mergeCell ref="A739:A740"/>
    <mergeCell ref="B739:B740"/>
    <mergeCell ref="C739:C740"/>
    <mergeCell ref="D737:D738"/>
    <mergeCell ref="D741:D742"/>
    <mergeCell ref="E739:E740"/>
    <mergeCell ref="F739:F740"/>
    <mergeCell ref="H739:H740"/>
    <mergeCell ref="I739:I740"/>
    <mergeCell ref="J739:J740"/>
    <mergeCell ref="F741:F742"/>
    <mergeCell ref="D739:D740"/>
    <mergeCell ref="E741:E742"/>
    <mergeCell ref="K739:K740"/>
    <mergeCell ref="L739:L740"/>
    <mergeCell ref="H741:H742"/>
    <mergeCell ref="I741:I742"/>
    <mergeCell ref="J741:J742"/>
    <mergeCell ref="K741:K742"/>
    <mergeCell ref="I743:I744"/>
    <mergeCell ref="J743:J744"/>
    <mergeCell ref="F745:F746"/>
    <mergeCell ref="D743:D744"/>
    <mergeCell ref="B747:B748"/>
    <mergeCell ref="C747:C748"/>
    <mergeCell ref="L749:L750"/>
    <mergeCell ref="A749:A750"/>
    <mergeCell ref="B749:B750"/>
    <mergeCell ref="C749:C750"/>
    <mergeCell ref="D751:D752"/>
    <mergeCell ref="E749:E750"/>
    <mergeCell ref="F749:F750"/>
    <mergeCell ref="A751:A752"/>
    <mergeCell ref="B751:B752"/>
    <mergeCell ref="C751:C752"/>
    <mergeCell ref="D749:D750"/>
    <mergeCell ref="H745:H746"/>
    <mergeCell ref="I745:I746"/>
    <mergeCell ref="J745:J746"/>
    <mergeCell ref="K745:K746"/>
    <mergeCell ref="E747:E748"/>
    <mergeCell ref="L745:L746"/>
    <mergeCell ref="F747:F748"/>
    <mergeCell ref="H747:H748"/>
    <mergeCell ref="I747:I748"/>
    <mergeCell ref="J747:J748"/>
    <mergeCell ref="A745:A746"/>
    <mergeCell ref="B745:B746"/>
    <mergeCell ref="C745:C746"/>
    <mergeCell ref="F751:F752"/>
    <mergeCell ref="H751:H752"/>
    <mergeCell ref="I751:I752"/>
    <mergeCell ref="J751:J752"/>
    <mergeCell ref="F753:F754"/>
    <mergeCell ref="K751:K752"/>
    <mergeCell ref="L751:L752"/>
    <mergeCell ref="H753:H754"/>
    <mergeCell ref="I753:I754"/>
    <mergeCell ref="J753:J754"/>
    <mergeCell ref="K753:K754"/>
    <mergeCell ref="L753:L754"/>
    <mergeCell ref="L761:L762"/>
    <mergeCell ref="H763:H764"/>
    <mergeCell ref="I763:I764"/>
    <mergeCell ref="J763:J764"/>
    <mergeCell ref="K763:K764"/>
    <mergeCell ref="L763:L764"/>
    <mergeCell ref="J761:J762"/>
    <mergeCell ref="F755:F756"/>
    <mergeCell ref="H755:H756"/>
    <mergeCell ref="I755:I756"/>
    <mergeCell ref="J755:J756"/>
    <mergeCell ref="K759:K760"/>
    <mergeCell ref="F771:F772"/>
    <mergeCell ref="H771:H772"/>
    <mergeCell ref="I815:I816"/>
    <mergeCell ref="K815:K816"/>
    <mergeCell ref="J777:J778"/>
    <mergeCell ref="K777:K778"/>
    <mergeCell ref="A777:A778"/>
    <mergeCell ref="B777:B778"/>
    <mergeCell ref="A753:A754"/>
    <mergeCell ref="B753:B754"/>
    <mergeCell ref="C753:C754"/>
    <mergeCell ref="D755:D756"/>
    <mergeCell ref="E753:E754"/>
    <mergeCell ref="A755:A756"/>
    <mergeCell ref="K755:K756"/>
    <mergeCell ref="L755:L756"/>
    <mergeCell ref="H757:H758"/>
    <mergeCell ref="I757:I758"/>
    <mergeCell ref="J757:J758"/>
    <mergeCell ref="K757:K758"/>
    <mergeCell ref="L757:L758"/>
    <mergeCell ref="L759:L760"/>
    <mergeCell ref="D759:D760"/>
    <mergeCell ref="F759:F760"/>
    <mergeCell ref="A757:A758"/>
    <mergeCell ref="B757:B758"/>
    <mergeCell ref="C757:C758"/>
    <mergeCell ref="E757:E758"/>
    <mergeCell ref="D753:D754"/>
    <mergeCell ref="B755:B756"/>
    <mergeCell ref="C755:C756"/>
    <mergeCell ref="E755:E756"/>
    <mergeCell ref="E761:E762"/>
    <mergeCell ref="F761:F762"/>
    <mergeCell ref="H761:H762"/>
    <mergeCell ref="I761:I762"/>
    <mergeCell ref="K761:K762"/>
    <mergeCell ref="A759:A760"/>
    <mergeCell ref="B759:B760"/>
    <mergeCell ref="C759:C760"/>
    <mergeCell ref="D761:D762"/>
    <mergeCell ref="E759:E760"/>
    <mergeCell ref="A761:A762"/>
    <mergeCell ref="B761:B762"/>
    <mergeCell ref="C761:C762"/>
    <mergeCell ref="A767:A768"/>
    <mergeCell ref="B767:B768"/>
    <mergeCell ref="C767:C768"/>
    <mergeCell ref="D767:D768"/>
    <mergeCell ref="E767:E768"/>
    <mergeCell ref="F767:F768"/>
    <mergeCell ref="H767:H768"/>
    <mergeCell ref="I767:I768"/>
    <mergeCell ref="H759:H760"/>
    <mergeCell ref="J759:J760"/>
    <mergeCell ref="E829:E830"/>
    <mergeCell ref="E817:E818"/>
    <mergeCell ref="F817:F818"/>
    <mergeCell ref="F773:F774"/>
    <mergeCell ref="H773:H774"/>
    <mergeCell ref="I773:I774"/>
    <mergeCell ref="J773:J774"/>
    <mergeCell ref="K773:K774"/>
    <mergeCell ref="D827:D828"/>
    <mergeCell ref="K829:K830"/>
    <mergeCell ref="L829:L830"/>
    <mergeCell ref="D765:D766"/>
    <mergeCell ref="A765:A766"/>
    <mergeCell ref="B765:B766"/>
    <mergeCell ref="C765:C766"/>
    <mergeCell ref="J767:J768"/>
    <mergeCell ref="H817:H818"/>
    <mergeCell ref="I817:I818"/>
    <mergeCell ref="J817:J818"/>
    <mergeCell ref="K817:K818"/>
    <mergeCell ref="L817:L818"/>
    <mergeCell ref="H765:H766"/>
    <mergeCell ref="I765:I766"/>
    <mergeCell ref="J765:J766"/>
    <mergeCell ref="F827:F828"/>
    <mergeCell ref="J811:J812"/>
    <mergeCell ref="H811:H812"/>
    <mergeCell ref="I811:I812"/>
    <mergeCell ref="J819:J820"/>
    <mergeCell ref="B819:B820"/>
    <mergeCell ref="C819:C820"/>
    <mergeCell ref="D817:D818"/>
    <mergeCell ref="I837:I838"/>
    <mergeCell ref="J837:J838"/>
    <mergeCell ref="K837:K838"/>
    <mergeCell ref="L837:L838"/>
    <mergeCell ref="I835:I836"/>
    <mergeCell ref="J835:J836"/>
    <mergeCell ref="K835:K836"/>
    <mergeCell ref="L835:L836"/>
    <mergeCell ref="H833:H834"/>
    <mergeCell ref="I833:I834"/>
    <mergeCell ref="K765:K766"/>
    <mergeCell ref="L765:L766"/>
    <mergeCell ref="H827:H828"/>
    <mergeCell ref="I827:I828"/>
    <mergeCell ref="J827:J828"/>
    <mergeCell ref="K827:K828"/>
    <mergeCell ref="L827:L828"/>
    <mergeCell ref="K767:K768"/>
    <mergeCell ref="L767:L768"/>
    <mergeCell ref="K811:K812"/>
    <mergeCell ref="L777:L778"/>
    <mergeCell ref="H775:H776"/>
    <mergeCell ref="I775:I776"/>
    <mergeCell ref="J775:J776"/>
    <mergeCell ref="K775:K776"/>
    <mergeCell ref="L775:L776"/>
    <mergeCell ref="H769:H770"/>
    <mergeCell ref="I769:I770"/>
    <mergeCell ref="J769:J770"/>
    <mergeCell ref="K769:K770"/>
    <mergeCell ref="L769:L770"/>
    <mergeCell ref="L815:L816"/>
    <mergeCell ref="I326:I327"/>
    <mergeCell ref="E334:E335"/>
    <mergeCell ref="L324:L325"/>
    <mergeCell ref="L326:L327"/>
    <mergeCell ref="J326:J327"/>
    <mergeCell ref="K326:K327"/>
    <mergeCell ref="J328:J329"/>
    <mergeCell ref="D326:D327"/>
    <mergeCell ref="D324:D325"/>
    <mergeCell ref="J334:J335"/>
    <mergeCell ref="H210:H211"/>
    <mergeCell ref="I210:I211"/>
    <mergeCell ref="J210:J211"/>
    <mergeCell ref="H332:H333"/>
    <mergeCell ref="E326:E327"/>
    <mergeCell ref="H326:H327"/>
    <mergeCell ref="F326:F327"/>
    <mergeCell ref="E320:E321"/>
    <mergeCell ref="H318:H319"/>
    <mergeCell ref="I318:I319"/>
    <mergeCell ref="J318:J319"/>
    <mergeCell ref="K318:K319"/>
    <mergeCell ref="L320:L321"/>
    <mergeCell ref="H316:H317"/>
    <mergeCell ref="I316:I317"/>
    <mergeCell ref="J316:J317"/>
    <mergeCell ref="K316:K317"/>
    <mergeCell ref="L316:L317"/>
    <mergeCell ref="J314:J315"/>
    <mergeCell ref="K314:K315"/>
    <mergeCell ref="L314:L315"/>
    <mergeCell ref="H308:H309"/>
    <mergeCell ref="I324:I325"/>
    <mergeCell ref="J324:J325"/>
    <mergeCell ref="K324:K325"/>
    <mergeCell ref="E324:E325"/>
    <mergeCell ref="F324:F325"/>
    <mergeCell ref="H324:H325"/>
    <mergeCell ref="I332:I333"/>
    <mergeCell ref="J332:J333"/>
    <mergeCell ref="H330:H331"/>
    <mergeCell ref="J330:J331"/>
    <mergeCell ref="K332:K333"/>
    <mergeCell ref="D320:D321"/>
    <mergeCell ref="A512:A513"/>
    <mergeCell ref="B512:B513"/>
    <mergeCell ref="C512:C513"/>
    <mergeCell ref="H512:H513"/>
    <mergeCell ref="I512:I513"/>
    <mergeCell ref="I330:I331"/>
    <mergeCell ref="F510:F511"/>
    <mergeCell ref="A510:A511"/>
    <mergeCell ref="E340:E341"/>
    <mergeCell ref="J340:J341"/>
    <mergeCell ref="K340:K341"/>
    <mergeCell ref="D389:D390"/>
    <mergeCell ref="E389:E390"/>
    <mergeCell ref="A391:A392"/>
    <mergeCell ref="B391:B392"/>
    <mergeCell ref="C391:C392"/>
    <mergeCell ref="D391:D392"/>
    <mergeCell ref="E391:E392"/>
    <mergeCell ref="A508:A509"/>
    <mergeCell ref="H508:H509"/>
    <mergeCell ref="L155:L156"/>
    <mergeCell ref="J157:J158"/>
    <mergeCell ref="K157:K158"/>
    <mergeCell ref="L157:L158"/>
    <mergeCell ref="D512:D513"/>
    <mergeCell ref="J342:J343"/>
    <mergeCell ref="K342:K343"/>
    <mergeCell ref="L342:L343"/>
    <mergeCell ref="L344:L345"/>
    <mergeCell ref="F348:F349"/>
    <mergeCell ref="F346:F347"/>
    <mergeCell ref="F344:F345"/>
    <mergeCell ref="F342:F343"/>
    <mergeCell ref="H342:H343"/>
    <mergeCell ref="I342:I343"/>
    <mergeCell ref="I340:I341"/>
    <mergeCell ref="A389:A390"/>
    <mergeCell ref="B389:B390"/>
    <mergeCell ref="H510:H511"/>
    <mergeCell ref="I510:I511"/>
    <mergeCell ref="L510:L511"/>
    <mergeCell ref="D510:D511"/>
    <mergeCell ref="E510:E511"/>
    <mergeCell ref="L508:L509"/>
    <mergeCell ref="E508:E509"/>
    <mergeCell ref="B342:B343"/>
    <mergeCell ref="C342:C343"/>
    <mergeCell ref="D342:D343"/>
    <mergeCell ref="E342:E343"/>
    <mergeCell ref="A340:A341"/>
    <mergeCell ref="B340:B341"/>
    <mergeCell ref="C340:C341"/>
    <mergeCell ref="L512:L513"/>
    <mergeCell ref="A72:A73"/>
    <mergeCell ref="B72:B73"/>
    <mergeCell ref="E512:E513"/>
    <mergeCell ref="F512:F513"/>
    <mergeCell ref="B3:L3"/>
    <mergeCell ref="B261:L261"/>
    <mergeCell ref="B52:B53"/>
    <mergeCell ref="C52:C53"/>
    <mergeCell ref="D52:D53"/>
    <mergeCell ref="J66:J67"/>
    <mergeCell ref="H66:H67"/>
    <mergeCell ref="I66:I67"/>
    <mergeCell ref="H52:H53"/>
    <mergeCell ref="I52:I53"/>
    <mergeCell ref="E62:E63"/>
    <mergeCell ref="F62:F63"/>
    <mergeCell ref="H62:H63"/>
    <mergeCell ref="I62:I63"/>
    <mergeCell ref="I68:I69"/>
    <mergeCell ref="E68:E69"/>
    <mergeCell ref="I64:I65"/>
    <mergeCell ref="J68:J69"/>
    <mergeCell ref="H70:H71"/>
    <mergeCell ref="I70:I71"/>
    <mergeCell ref="J70:J71"/>
    <mergeCell ref="K70:K71"/>
    <mergeCell ref="D64:D65"/>
    <mergeCell ref="F64:F65"/>
    <mergeCell ref="B70:B71"/>
    <mergeCell ref="C70:C71"/>
    <mergeCell ref="D70:D71"/>
    <mergeCell ref="D841:D842"/>
    <mergeCell ref="F839:F840"/>
    <mergeCell ref="F60:F61"/>
    <mergeCell ref="A66:A67"/>
    <mergeCell ref="B66:B67"/>
    <mergeCell ref="C66:C67"/>
    <mergeCell ref="D66:D67"/>
    <mergeCell ref="A62:A63"/>
    <mergeCell ref="B62:B63"/>
    <mergeCell ref="C62:C63"/>
    <mergeCell ref="D62:D63"/>
    <mergeCell ref="F68:F69"/>
    <mergeCell ref="H68:H69"/>
    <mergeCell ref="E66:E67"/>
    <mergeCell ref="F66:F67"/>
    <mergeCell ref="B68:B69"/>
    <mergeCell ref="C68:C69"/>
    <mergeCell ref="D68:D69"/>
    <mergeCell ref="B60:B61"/>
    <mergeCell ref="C60:C61"/>
    <mergeCell ref="H64:H65"/>
    <mergeCell ref="A64:A65"/>
    <mergeCell ref="B64:B65"/>
    <mergeCell ref="E64:E65"/>
    <mergeCell ref="C64:C65"/>
    <mergeCell ref="E70:E71"/>
    <mergeCell ref="D340:D341"/>
    <mergeCell ref="A377:A378"/>
    <mergeCell ref="B377:B378"/>
    <mergeCell ref="C377:C378"/>
    <mergeCell ref="H837:H838"/>
    <mergeCell ref="E827:E828"/>
    <mergeCell ref="K72:K73"/>
    <mergeCell ref="L72:L73"/>
    <mergeCell ref="A78:A79"/>
    <mergeCell ref="C78:C79"/>
    <mergeCell ref="D78:D79"/>
    <mergeCell ref="E78:E79"/>
    <mergeCell ref="F78:F79"/>
    <mergeCell ref="H78:H79"/>
    <mergeCell ref="L78:L79"/>
    <mergeCell ref="K78:K79"/>
    <mergeCell ref="J74:J75"/>
    <mergeCell ref="K74:K75"/>
    <mergeCell ref="L74:L75"/>
    <mergeCell ref="F76:F77"/>
    <mergeCell ref="K76:K77"/>
    <mergeCell ref="L76:L77"/>
    <mergeCell ref="J78:J79"/>
    <mergeCell ref="A74:A75"/>
    <mergeCell ref="B74:B75"/>
    <mergeCell ref="C74:C75"/>
    <mergeCell ref="D74:D75"/>
    <mergeCell ref="E74:E75"/>
    <mergeCell ref="F74:F75"/>
    <mergeCell ref="K46:K47"/>
    <mergeCell ref="L42:L43"/>
    <mergeCell ref="J50:J51"/>
    <mergeCell ref="I40:I41"/>
    <mergeCell ref="H38:H39"/>
    <mergeCell ref="J58:J59"/>
    <mergeCell ref="K60:K61"/>
    <mergeCell ref="L60:L61"/>
    <mergeCell ref="L52:L53"/>
    <mergeCell ref="B90:L90"/>
    <mergeCell ref="K52:K53"/>
    <mergeCell ref="K68:K69"/>
    <mergeCell ref="L68:L69"/>
    <mergeCell ref="B84:B85"/>
    <mergeCell ref="C84:C85"/>
    <mergeCell ref="D84:D85"/>
    <mergeCell ref="D82:D83"/>
    <mergeCell ref="E82:E83"/>
    <mergeCell ref="F82:F83"/>
    <mergeCell ref="H74:H75"/>
    <mergeCell ref="I74:I75"/>
    <mergeCell ref="I78:I79"/>
    <mergeCell ref="B76:B77"/>
    <mergeCell ref="C76:C77"/>
    <mergeCell ref="D76:D77"/>
    <mergeCell ref="L88:L89"/>
    <mergeCell ref="B78:B79"/>
    <mergeCell ref="K66:K67"/>
    <mergeCell ref="K62:K63"/>
    <mergeCell ref="H82:H83"/>
    <mergeCell ref="I82:I83"/>
    <mergeCell ref="J82:J83"/>
    <mergeCell ref="K86:K87"/>
    <mergeCell ref="F88:F89"/>
    <mergeCell ref="H88:H89"/>
    <mergeCell ref="I88:I89"/>
    <mergeCell ref="J88:J89"/>
    <mergeCell ref="K88:K89"/>
    <mergeCell ref="F86:F87"/>
    <mergeCell ref="L86:L87"/>
    <mergeCell ref="A84:A85"/>
    <mergeCell ref="F84:F85"/>
    <mergeCell ref="C80:C81"/>
    <mergeCell ref="D80:D81"/>
    <mergeCell ref="E80:E81"/>
    <mergeCell ref="H56:H57"/>
    <mergeCell ref="J64:J65"/>
    <mergeCell ref="H58:H59"/>
    <mergeCell ref="I58:I59"/>
    <mergeCell ref="L58:L59"/>
    <mergeCell ref="K82:K83"/>
    <mergeCell ref="L82:L83"/>
    <mergeCell ref="H80:H81"/>
    <mergeCell ref="I80:I81"/>
    <mergeCell ref="J80:J81"/>
    <mergeCell ref="K80:K81"/>
    <mergeCell ref="K58:K59"/>
    <mergeCell ref="L80:L81"/>
    <mergeCell ref="H76:H77"/>
    <mergeCell ref="I76:I77"/>
    <mergeCell ref="J76:J77"/>
    <mergeCell ref="L62:L63"/>
    <mergeCell ref="L70:L71"/>
    <mergeCell ref="J72:J73"/>
    <mergeCell ref="F70:F71"/>
    <mergeCell ref="A70:A71"/>
    <mergeCell ref="E84:E85"/>
    <mergeCell ref="I84:I85"/>
    <mergeCell ref="J84:J85"/>
    <mergeCell ref="K84:K85"/>
    <mergeCell ref="L66:L67"/>
    <mergeCell ref="H84:H85"/>
    <mergeCell ref="C147:C148"/>
    <mergeCell ref="I153:I154"/>
    <mergeCell ref="F58:F59"/>
    <mergeCell ref="A80:A81"/>
    <mergeCell ref="I151:I152"/>
    <mergeCell ref="D147:D148"/>
    <mergeCell ref="A91:A92"/>
    <mergeCell ref="H151:H152"/>
    <mergeCell ref="B151:B152"/>
    <mergeCell ref="B91:B92"/>
    <mergeCell ref="C91:C92"/>
    <mergeCell ref="J62:J63"/>
    <mergeCell ref="A76:A77"/>
    <mergeCell ref="E76:E77"/>
    <mergeCell ref="B80:B81"/>
    <mergeCell ref="L84:L85"/>
    <mergeCell ref="A82:A83"/>
    <mergeCell ref="B82:B83"/>
    <mergeCell ref="C82:C83"/>
    <mergeCell ref="E86:E87"/>
    <mergeCell ref="F80:F81"/>
    <mergeCell ref="H86:H87"/>
    <mergeCell ref="I86:I87"/>
    <mergeCell ref="J86:J87"/>
    <mergeCell ref="A155:A156"/>
    <mergeCell ref="B155:B156"/>
    <mergeCell ref="C155:C156"/>
    <mergeCell ref="D155:D156"/>
    <mergeCell ref="E155:E156"/>
    <mergeCell ref="I157:I158"/>
    <mergeCell ref="F157:F158"/>
    <mergeCell ref="H157:H158"/>
    <mergeCell ref="K252:K253"/>
    <mergeCell ref="L252:L253"/>
    <mergeCell ref="J155:J156"/>
    <mergeCell ref="K155:K156"/>
    <mergeCell ref="L216:L217"/>
    <mergeCell ref="K210:K211"/>
    <mergeCell ref="L210:L211"/>
    <mergeCell ref="J216:J217"/>
    <mergeCell ref="A190:A191"/>
    <mergeCell ref="H190:H191"/>
    <mergeCell ref="A157:A158"/>
    <mergeCell ref="B157:B158"/>
    <mergeCell ref="K216:K217"/>
    <mergeCell ref="I212:I213"/>
    <mergeCell ref="C218:C219"/>
    <mergeCell ref="D157:D158"/>
    <mergeCell ref="J218:J219"/>
    <mergeCell ref="I190:I191"/>
    <mergeCell ref="D210:D211"/>
    <mergeCell ref="E210:E211"/>
    <mergeCell ref="F210:F211"/>
    <mergeCell ref="I218:I219"/>
    <mergeCell ref="I216:I217"/>
    <mergeCell ref="D218:D219"/>
    <mergeCell ref="B214:B215"/>
    <mergeCell ref="B212:B213"/>
    <mergeCell ref="B218:B219"/>
    <mergeCell ref="B216:B217"/>
    <mergeCell ref="A218:A219"/>
    <mergeCell ref="L340:L341"/>
    <mergeCell ref="A346:A347"/>
    <mergeCell ref="B346:B347"/>
    <mergeCell ref="C346:C347"/>
    <mergeCell ref="D346:D347"/>
    <mergeCell ref="E346:E347"/>
    <mergeCell ref="A344:A345"/>
    <mergeCell ref="A342:A343"/>
    <mergeCell ref="B344:B345"/>
    <mergeCell ref="C344:C345"/>
    <mergeCell ref="D344:D345"/>
    <mergeCell ref="E344:E345"/>
    <mergeCell ref="L346:L347"/>
    <mergeCell ref="H344:H345"/>
    <mergeCell ref="I344:I345"/>
    <mergeCell ref="J344:J345"/>
    <mergeCell ref="K344:K345"/>
    <mergeCell ref="F340:F341"/>
    <mergeCell ref="H340:H341"/>
    <mergeCell ref="A298:A299"/>
    <mergeCell ref="B298:B299"/>
    <mergeCell ref="C298:C299"/>
    <mergeCell ref="D298:D299"/>
    <mergeCell ref="E298:E299"/>
    <mergeCell ref="F298:F299"/>
    <mergeCell ref="H298:H299"/>
    <mergeCell ref="I298:I299"/>
    <mergeCell ref="J298:J299"/>
    <mergeCell ref="H300:H301"/>
    <mergeCell ref="L302:L303"/>
    <mergeCell ref="A348:A349"/>
    <mergeCell ref="B348:B349"/>
    <mergeCell ref="C348:C349"/>
    <mergeCell ref="D348:D349"/>
    <mergeCell ref="E348:E349"/>
    <mergeCell ref="F300:F301"/>
    <mergeCell ref="F304:F305"/>
    <mergeCell ref="L298:L299"/>
    <mergeCell ref="H348:H349"/>
    <mergeCell ref="I348:I349"/>
    <mergeCell ref="J348:J349"/>
    <mergeCell ref="K348:K349"/>
    <mergeCell ref="L348:L349"/>
    <mergeCell ref="H346:H347"/>
    <mergeCell ref="I346:I347"/>
    <mergeCell ref="J346:J347"/>
    <mergeCell ref="K346:K347"/>
    <mergeCell ref="J302:J303"/>
    <mergeCell ref="K302:K303"/>
    <mergeCell ref="K306:K307"/>
    <mergeCell ref="K298:K299"/>
    <mergeCell ref="A302:A303"/>
    <mergeCell ref="B302:B303"/>
    <mergeCell ref="C302:C303"/>
    <mergeCell ref="D302:D303"/>
    <mergeCell ref="E302:E303"/>
    <mergeCell ref="A300:A301"/>
    <mergeCell ref="B300:B301"/>
    <mergeCell ref="C300:C301"/>
    <mergeCell ref="D300:D301"/>
    <mergeCell ref="E300:E301"/>
    <mergeCell ref="L332:L333"/>
    <mergeCell ref="J300:J301"/>
    <mergeCell ref="K300:K301"/>
    <mergeCell ref="L300:L301"/>
    <mergeCell ref="F302:F303"/>
    <mergeCell ref="H302:H303"/>
    <mergeCell ref="I302:I303"/>
    <mergeCell ref="A306:A307"/>
    <mergeCell ref="B306:B307"/>
    <mergeCell ref="C306:C307"/>
    <mergeCell ref="D306:D307"/>
    <mergeCell ref="E306:E307"/>
    <mergeCell ref="A304:A305"/>
    <mergeCell ref="B304:B305"/>
    <mergeCell ref="C304:C305"/>
    <mergeCell ref="D304:D305"/>
    <mergeCell ref="E304:E305"/>
    <mergeCell ref="L306:L307"/>
    <mergeCell ref="H304:H305"/>
    <mergeCell ref="I304:I305"/>
    <mergeCell ref="J304:J305"/>
    <mergeCell ref="K304:K305"/>
    <mergeCell ref="L304:L305"/>
    <mergeCell ref="F306:F307"/>
    <mergeCell ref="H306:H307"/>
    <mergeCell ref="I306:I307"/>
    <mergeCell ref="J306:J307"/>
    <mergeCell ref="I300:I301"/>
    <mergeCell ref="L330:L331"/>
    <mergeCell ref="K330:K331"/>
    <mergeCell ref="I508:I509"/>
    <mergeCell ref="E506:E507"/>
    <mergeCell ref="F506:F507"/>
    <mergeCell ref="I506:I507"/>
    <mergeCell ref="B508:B509"/>
    <mergeCell ref="C508:C509"/>
    <mergeCell ref="A506:A507"/>
    <mergeCell ref="D506:D507"/>
    <mergeCell ref="A393:A394"/>
    <mergeCell ref="H504:H505"/>
    <mergeCell ref="I504:I505"/>
    <mergeCell ref="B506:B507"/>
    <mergeCell ref="C506:C507"/>
    <mergeCell ref="D508:D509"/>
    <mergeCell ref="E393:E394"/>
    <mergeCell ref="F393:F394"/>
    <mergeCell ref="E395:E396"/>
    <mergeCell ref="F395:F396"/>
    <mergeCell ref="A397:A398"/>
    <mergeCell ref="B397:B398"/>
    <mergeCell ref="C397:C398"/>
    <mergeCell ref="D397:D398"/>
    <mergeCell ref="I395:I396"/>
    <mergeCell ref="B395:B396"/>
    <mergeCell ref="C395:C396"/>
    <mergeCell ref="D395:D396"/>
    <mergeCell ref="F397:F398"/>
    <mergeCell ref="A399:A400"/>
    <mergeCell ref="B399:B400"/>
    <mergeCell ref="C399:C400"/>
    <mergeCell ref="D399:D400"/>
    <mergeCell ref="E399:E400"/>
    <mergeCell ref="J393:J394"/>
    <mergeCell ref="K393:K394"/>
    <mergeCell ref="B393:B394"/>
    <mergeCell ref="C393:C394"/>
    <mergeCell ref="J508:J509"/>
    <mergeCell ref="H393:H394"/>
    <mergeCell ref="I393:I394"/>
    <mergeCell ref="F508:F509"/>
    <mergeCell ref="A395:A396"/>
    <mergeCell ref="L389:L390"/>
    <mergeCell ref="H506:H507"/>
    <mergeCell ref="J506:J507"/>
    <mergeCell ref="K506:K507"/>
    <mergeCell ref="J391:J392"/>
    <mergeCell ref="L393:L394"/>
    <mergeCell ref="L506:L507"/>
    <mergeCell ref="L391:L392"/>
    <mergeCell ref="I389:I390"/>
    <mergeCell ref="J389:J390"/>
    <mergeCell ref="A480:A481"/>
    <mergeCell ref="B480:B481"/>
    <mergeCell ref="C480:C481"/>
    <mergeCell ref="D480:D481"/>
    <mergeCell ref="E480:E481"/>
    <mergeCell ref="F480:F481"/>
    <mergeCell ref="A504:A505"/>
    <mergeCell ref="B504:B505"/>
    <mergeCell ref="C504:C505"/>
    <mergeCell ref="D504:D505"/>
    <mergeCell ref="E504:E505"/>
    <mergeCell ref="F504:F505"/>
    <mergeCell ref="J504:J505"/>
    <mergeCell ref="L653:L654"/>
    <mergeCell ref="A659:A660"/>
    <mergeCell ref="B659:B660"/>
    <mergeCell ref="C659:C660"/>
    <mergeCell ref="D659:D660"/>
    <mergeCell ref="E659:E660"/>
    <mergeCell ref="F659:F660"/>
    <mergeCell ref="H659:H660"/>
    <mergeCell ref="I659:I660"/>
    <mergeCell ref="A661:A662"/>
    <mergeCell ref="B661:B662"/>
    <mergeCell ref="C661:C662"/>
    <mergeCell ref="D661:D662"/>
    <mergeCell ref="E661:E662"/>
    <mergeCell ref="F661:F662"/>
    <mergeCell ref="K661:K662"/>
    <mergeCell ref="L661:L662"/>
    <mergeCell ref="I653:I654"/>
    <mergeCell ref="J653:J654"/>
    <mergeCell ref="J659:J660"/>
    <mergeCell ref="J661:J662"/>
    <mergeCell ref="D655:D656"/>
    <mergeCell ref="C655:C656"/>
    <mergeCell ref="H657:H658"/>
    <mergeCell ref="I657:I658"/>
    <mergeCell ref="J657:J658"/>
    <mergeCell ref="K657:K658"/>
    <mergeCell ref="L657:L658"/>
    <mergeCell ref="K659:K660"/>
    <mergeCell ref="L659:L660"/>
    <mergeCell ref="I655:I656"/>
    <mergeCell ref="D657:D658"/>
    <mergeCell ref="A671:A672"/>
    <mergeCell ref="B671:B672"/>
    <mergeCell ref="C671:C672"/>
    <mergeCell ref="D671:D672"/>
    <mergeCell ref="E671:E672"/>
    <mergeCell ref="F671:F672"/>
    <mergeCell ref="H671:H672"/>
    <mergeCell ref="I671:I672"/>
    <mergeCell ref="J665:J666"/>
    <mergeCell ref="A669:A670"/>
    <mergeCell ref="B669:B670"/>
    <mergeCell ref="C669:C670"/>
    <mergeCell ref="D669:D670"/>
    <mergeCell ref="E669:E670"/>
    <mergeCell ref="A667:A668"/>
    <mergeCell ref="B667:B668"/>
    <mergeCell ref="C667:C668"/>
    <mergeCell ref="E667:E668"/>
    <mergeCell ref="J671:J672"/>
    <mergeCell ref="A665:A666"/>
    <mergeCell ref="B665:B666"/>
    <mergeCell ref="C665:C666"/>
    <mergeCell ref="D665:D666"/>
    <mergeCell ref="E665:E666"/>
    <mergeCell ref="K671:K672"/>
    <mergeCell ref="L671:L672"/>
    <mergeCell ref="E657:E658"/>
    <mergeCell ref="F657:F658"/>
    <mergeCell ref="A663:A664"/>
    <mergeCell ref="B663:B664"/>
    <mergeCell ref="C663:C664"/>
    <mergeCell ref="D663:D664"/>
    <mergeCell ref="E663:E664"/>
    <mergeCell ref="H679:H680"/>
    <mergeCell ref="I679:I680"/>
    <mergeCell ref="J679:J680"/>
    <mergeCell ref="K679:K680"/>
    <mergeCell ref="L679:L680"/>
    <mergeCell ref="A673:A674"/>
    <mergeCell ref="B673:B674"/>
    <mergeCell ref="C673:C674"/>
    <mergeCell ref="D673:D674"/>
    <mergeCell ref="E673:E674"/>
    <mergeCell ref="F673:F674"/>
    <mergeCell ref="L673:L674"/>
    <mergeCell ref="A675:A676"/>
    <mergeCell ref="B675:B676"/>
    <mergeCell ref="C675:C676"/>
    <mergeCell ref="D675:D676"/>
    <mergeCell ref="E675:E676"/>
    <mergeCell ref="F675:F676"/>
    <mergeCell ref="H675:H676"/>
    <mergeCell ref="I675:I676"/>
    <mergeCell ref="J675:J676"/>
    <mergeCell ref="L675:L676"/>
    <mergeCell ref="K673:K674"/>
    <mergeCell ref="K675:K676"/>
    <mergeCell ref="H673:H674"/>
    <mergeCell ref="I673:I674"/>
    <mergeCell ref="J673:J674"/>
    <mergeCell ref="L689:L690"/>
    <mergeCell ref="L695:L696"/>
    <mergeCell ref="L691:L692"/>
    <mergeCell ref="L699:L700"/>
    <mergeCell ref="F685:F686"/>
    <mergeCell ref="H683:H684"/>
    <mergeCell ref="I683:I684"/>
    <mergeCell ref="H685:H686"/>
    <mergeCell ref="I685:I686"/>
    <mergeCell ref="J685:J686"/>
    <mergeCell ref="A683:A684"/>
    <mergeCell ref="B683:B684"/>
    <mergeCell ref="C683:C684"/>
    <mergeCell ref="D683:D684"/>
    <mergeCell ref="E683:E684"/>
    <mergeCell ref="A677:A678"/>
    <mergeCell ref="B677:B678"/>
    <mergeCell ref="C677:C678"/>
    <mergeCell ref="D677:D678"/>
    <mergeCell ref="E677:E678"/>
    <mergeCell ref="F677:F678"/>
    <mergeCell ref="H677:H678"/>
    <mergeCell ref="I677:I678"/>
    <mergeCell ref="J677:J678"/>
    <mergeCell ref="K677:K678"/>
    <mergeCell ref="L677:L678"/>
    <mergeCell ref="A679:A680"/>
    <mergeCell ref="B679:B680"/>
    <mergeCell ref="C679:C680"/>
    <mergeCell ref="D679:D680"/>
    <mergeCell ref="E679:E680"/>
    <mergeCell ref="F679:F680"/>
    <mergeCell ref="K685:K686"/>
    <mergeCell ref="L685:L686"/>
    <mergeCell ref="H687:H688"/>
    <mergeCell ref="I687:I688"/>
    <mergeCell ref="J687:J688"/>
    <mergeCell ref="K687:K688"/>
    <mergeCell ref="L687:L688"/>
    <mergeCell ref="A687:A688"/>
    <mergeCell ref="B687:B688"/>
    <mergeCell ref="C687:C688"/>
    <mergeCell ref="D687:D688"/>
    <mergeCell ref="E687:E688"/>
    <mergeCell ref="F687:F688"/>
    <mergeCell ref="A681:A682"/>
    <mergeCell ref="B681:B682"/>
    <mergeCell ref="C681:C682"/>
    <mergeCell ref="D681:D682"/>
    <mergeCell ref="E681:E682"/>
    <mergeCell ref="F681:F682"/>
    <mergeCell ref="H681:H682"/>
    <mergeCell ref="I681:I682"/>
    <mergeCell ref="J681:J682"/>
    <mergeCell ref="K681:K682"/>
    <mergeCell ref="L681:L682"/>
    <mergeCell ref="J683:J684"/>
    <mergeCell ref="K683:K684"/>
    <mergeCell ref="L683:L684"/>
    <mergeCell ref="I701:I702"/>
    <mergeCell ref="J701:J702"/>
    <mergeCell ref="K701:K702"/>
    <mergeCell ref="I689:I690"/>
    <mergeCell ref="J689:J690"/>
    <mergeCell ref="K689:K690"/>
    <mergeCell ref="H691:H692"/>
    <mergeCell ref="I691:I692"/>
    <mergeCell ref="J691:J692"/>
    <mergeCell ref="K691:K692"/>
    <mergeCell ref="A695:A696"/>
    <mergeCell ref="B695:B696"/>
    <mergeCell ref="C695:C696"/>
    <mergeCell ref="D695:D696"/>
    <mergeCell ref="E695:E696"/>
    <mergeCell ref="A691:A692"/>
    <mergeCell ref="B691:B692"/>
    <mergeCell ref="C691:C692"/>
    <mergeCell ref="D691:D692"/>
    <mergeCell ref="E691:E692"/>
    <mergeCell ref="F695:F696"/>
    <mergeCell ref="H695:H696"/>
    <mergeCell ref="I695:I696"/>
    <mergeCell ref="J695:J696"/>
    <mergeCell ref="K695:K696"/>
    <mergeCell ref="I693:I694"/>
    <mergeCell ref="J693:J694"/>
    <mergeCell ref="K693:K694"/>
    <mergeCell ref="A689:A690"/>
    <mergeCell ref="B689:B690"/>
    <mergeCell ref="C689:C690"/>
    <mergeCell ref="D689:D690"/>
    <mergeCell ref="K703:K704"/>
    <mergeCell ref="L693:L694"/>
    <mergeCell ref="F707:F708"/>
    <mergeCell ref="H707:H708"/>
    <mergeCell ref="I707:I708"/>
    <mergeCell ref="H697:H698"/>
    <mergeCell ref="I697:I698"/>
    <mergeCell ref="J697:J698"/>
    <mergeCell ref="K697:K698"/>
    <mergeCell ref="A699:A700"/>
    <mergeCell ref="L697:L698"/>
    <mergeCell ref="F701:F702"/>
    <mergeCell ref="F699:F700"/>
    <mergeCell ref="H699:H700"/>
    <mergeCell ref="I699:I700"/>
    <mergeCell ref="J699:J700"/>
    <mergeCell ref="K699:K700"/>
    <mergeCell ref="F697:F698"/>
    <mergeCell ref="L701:L702"/>
    <mergeCell ref="A701:A702"/>
    <mergeCell ref="B701:B702"/>
    <mergeCell ref="C693:C694"/>
    <mergeCell ref="D693:D694"/>
    <mergeCell ref="E693:E694"/>
    <mergeCell ref="F693:F694"/>
    <mergeCell ref="H693:H694"/>
    <mergeCell ref="A703:A704"/>
    <mergeCell ref="B703:B704"/>
    <mergeCell ref="C703:C704"/>
    <mergeCell ref="D703:D704"/>
    <mergeCell ref="E703:E704"/>
    <mergeCell ref="H703:H704"/>
    <mergeCell ref="B699:B700"/>
    <mergeCell ref="C699:C700"/>
    <mergeCell ref="D699:D700"/>
    <mergeCell ref="E699:E700"/>
    <mergeCell ref="A697:A698"/>
    <mergeCell ref="B697:B698"/>
    <mergeCell ref="C697:C698"/>
    <mergeCell ref="D697:D698"/>
    <mergeCell ref="E697:E698"/>
    <mergeCell ref="C701:C702"/>
    <mergeCell ref="D701:D702"/>
    <mergeCell ref="E701:E702"/>
    <mergeCell ref="H701:H702"/>
    <mergeCell ref="F691:F692"/>
    <mergeCell ref="F689:F690"/>
    <mergeCell ref="H689:H690"/>
    <mergeCell ref="F683:F684"/>
    <mergeCell ref="E689:E690"/>
    <mergeCell ref="A693:A694"/>
    <mergeCell ref="B693:B694"/>
    <mergeCell ref="A685:A686"/>
    <mergeCell ref="B685:B686"/>
    <mergeCell ref="C685:C686"/>
    <mergeCell ref="D685:D686"/>
    <mergeCell ref="E685:E686"/>
    <mergeCell ref="F705:F706"/>
    <mergeCell ref="F703:F704"/>
    <mergeCell ref="L721:L722"/>
    <mergeCell ref="J723:J724"/>
    <mergeCell ref="A715:A716"/>
    <mergeCell ref="B715:B716"/>
    <mergeCell ref="C715:C716"/>
    <mergeCell ref="D715:D716"/>
    <mergeCell ref="E715:E716"/>
    <mergeCell ref="F715:F716"/>
    <mergeCell ref="A723:A724"/>
    <mergeCell ref="B723:B724"/>
    <mergeCell ref="H715:H716"/>
    <mergeCell ref="I715:I716"/>
    <mergeCell ref="J715:J716"/>
    <mergeCell ref="K715:K716"/>
    <mergeCell ref="L715:L716"/>
    <mergeCell ref="F719:F720"/>
    <mergeCell ref="I719:I720"/>
    <mergeCell ref="F717:F718"/>
    <mergeCell ref="H717:H718"/>
    <mergeCell ref="L717:L718"/>
    <mergeCell ref="L707:L708"/>
    <mergeCell ref="H705:H706"/>
    <mergeCell ref="I705:I706"/>
    <mergeCell ref="J705:J706"/>
    <mergeCell ref="K705:K706"/>
    <mergeCell ref="L705:L706"/>
    <mergeCell ref="I703:I704"/>
    <mergeCell ref="A707:A708"/>
    <mergeCell ref="B707:B708"/>
    <mergeCell ref="C707:C708"/>
    <mergeCell ref="D707:D708"/>
    <mergeCell ref="E707:E708"/>
    <mergeCell ref="D833:D834"/>
    <mergeCell ref="E831:E832"/>
    <mergeCell ref="F831:F832"/>
    <mergeCell ref="A833:A834"/>
    <mergeCell ref="B833:B834"/>
    <mergeCell ref="C833:C834"/>
    <mergeCell ref="D831:D832"/>
    <mergeCell ref="A763:A764"/>
    <mergeCell ref="B763:B764"/>
    <mergeCell ref="C763:C764"/>
    <mergeCell ref="E751:E752"/>
    <mergeCell ref="J711:J712"/>
    <mergeCell ref="K711:K712"/>
    <mergeCell ref="L711:L712"/>
    <mergeCell ref="K833:K834"/>
    <mergeCell ref="H831:H832"/>
    <mergeCell ref="I831:I832"/>
    <mergeCell ref="J831:J832"/>
    <mergeCell ref="K831:K832"/>
    <mergeCell ref="L831:L832"/>
    <mergeCell ref="H829:H830"/>
    <mergeCell ref="I829:I830"/>
    <mergeCell ref="L833:L834"/>
    <mergeCell ref="A827:A828"/>
    <mergeCell ref="B827:B828"/>
    <mergeCell ref="C827:C828"/>
    <mergeCell ref="D829:D830"/>
    <mergeCell ref="A829:A830"/>
    <mergeCell ref="B829:B830"/>
    <mergeCell ref="C829:C830"/>
    <mergeCell ref="B741:B742"/>
    <mergeCell ref="C741:C742"/>
    <mergeCell ref="A733:A734"/>
    <mergeCell ref="C733:C734"/>
    <mergeCell ref="D839:D840"/>
    <mergeCell ref="A831:A832"/>
    <mergeCell ref="B831:B832"/>
    <mergeCell ref="C831:C832"/>
    <mergeCell ref="B727:B728"/>
    <mergeCell ref="C727:C728"/>
    <mergeCell ref="D727:D728"/>
    <mergeCell ref="E727:E728"/>
    <mergeCell ref="F727:F728"/>
    <mergeCell ref="E833:E834"/>
    <mergeCell ref="F833:F834"/>
    <mergeCell ref="A835:A836"/>
    <mergeCell ref="F835:F836"/>
    <mergeCell ref="F829:F830"/>
    <mergeCell ref="B835:B836"/>
    <mergeCell ref="C835:C836"/>
    <mergeCell ref="E835:E836"/>
    <mergeCell ref="A729:A730"/>
    <mergeCell ref="B729:L730"/>
    <mergeCell ref="K839:K840"/>
    <mergeCell ref="L839:L840"/>
    <mergeCell ref="H839:H840"/>
    <mergeCell ref="I839:I840"/>
    <mergeCell ref="J839:J840"/>
    <mergeCell ref="A837:A838"/>
    <mergeCell ref="B837:B838"/>
    <mergeCell ref="C837:C838"/>
    <mergeCell ref="D837:D838"/>
    <mergeCell ref="J727:J728"/>
    <mergeCell ref="K727:K728"/>
    <mergeCell ref="L727:L728"/>
    <mergeCell ref="I759:I760"/>
    <mergeCell ref="I841:I842"/>
    <mergeCell ref="J841:J842"/>
    <mergeCell ref="K841:K842"/>
    <mergeCell ref="L845:L846"/>
    <mergeCell ref="C705:C706"/>
    <mergeCell ref="D705:D706"/>
    <mergeCell ref="E705:E706"/>
    <mergeCell ref="A705:A706"/>
    <mergeCell ref="B705:B706"/>
    <mergeCell ref="J707:J708"/>
    <mergeCell ref="J703:J704"/>
    <mergeCell ref="K707:K708"/>
    <mergeCell ref="L703:L704"/>
    <mergeCell ref="J833:J834"/>
    <mergeCell ref="J829:J830"/>
    <mergeCell ref="A839:A840"/>
    <mergeCell ref="B839:B840"/>
    <mergeCell ref="C839:C840"/>
    <mergeCell ref="E839:E840"/>
    <mergeCell ref="D835:D836"/>
    <mergeCell ref="E763:E764"/>
    <mergeCell ref="F763:F764"/>
    <mergeCell ref="D763:D764"/>
    <mergeCell ref="E765:E766"/>
    <mergeCell ref="F765:F766"/>
    <mergeCell ref="F757:F758"/>
    <mergeCell ref="D757:D758"/>
    <mergeCell ref="A741:A742"/>
    <mergeCell ref="L843:L844"/>
    <mergeCell ref="F843:F844"/>
    <mergeCell ref="H843:H844"/>
    <mergeCell ref="I843:I844"/>
    <mergeCell ref="J843:J844"/>
    <mergeCell ref="K843:K844"/>
    <mergeCell ref="H845:H846"/>
    <mergeCell ref="I845:I846"/>
    <mergeCell ref="J845:J846"/>
    <mergeCell ref="K845:K846"/>
    <mergeCell ref="J851:J852"/>
    <mergeCell ref="K851:K852"/>
    <mergeCell ref="F851:F852"/>
    <mergeCell ref="F853:F854"/>
    <mergeCell ref="J847:J848"/>
    <mergeCell ref="K847:K848"/>
    <mergeCell ref="L847:L848"/>
    <mergeCell ref="H835:H836"/>
    <mergeCell ref="E855:E856"/>
    <mergeCell ref="F855:F856"/>
    <mergeCell ref="A857:A858"/>
    <mergeCell ref="B857:B858"/>
    <mergeCell ref="C857:C858"/>
    <mergeCell ref="D857:D858"/>
    <mergeCell ref="E857:E858"/>
    <mergeCell ref="A843:A844"/>
    <mergeCell ref="B843:B844"/>
    <mergeCell ref="C843:C844"/>
    <mergeCell ref="D843:D844"/>
    <mergeCell ref="E843:E844"/>
    <mergeCell ref="D853:D854"/>
    <mergeCell ref="E853:E854"/>
    <mergeCell ref="H851:H852"/>
    <mergeCell ref="I851:I852"/>
    <mergeCell ref="A847:A848"/>
    <mergeCell ref="B847:B848"/>
    <mergeCell ref="C847:C848"/>
    <mergeCell ref="D847:D848"/>
    <mergeCell ref="H855:H856"/>
    <mergeCell ref="I855:I856"/>
    <mergeCell ref="A855:A856"/>
    <mergeCell ref="B855:B856"/>
    <mergeCell ref="C855:C856"/>
    <mergeCell ref="D855:D856"/>
    <mergeCell ref="F857:F858"/>
    <mergeCell ref="H857:H858"/>
    <mergeCell ref="I857:I858"/>
    <mergeCell ref="E837:E838"/>
    <mergeCell ref="F837:F838"/>
    <mergeCell ref="D863:D864"/>
    <mergeCell ref="E863:E864"/>
    <mergeCell ref="F859:F860"/>
    <mergeCell ref="C859:C860"/>
    <mergeCell ref="D859:D860"/>
    <mergeCell ref="E859:E860"/>
    <mergeCell ref="L861:L862"/>
    <mergeCell ref="H859:H860"/>
    <mergeCell ref="I859:I860"/>
    <mergeCell ref="J859:J860"/>
    <mergeCell ref="K859:K860"/>
    <mergeCell ref="L859:L860"/>
    <mergeCell ref="K853:K854"/>
    <mergeCell ref="H853:H854"/>
    <mergeCell ref="L851:L852"/>
    <mergeCell ref="L853:L854"/>
    <mergeCell ref="L857:L858"/>
    <mergeCell ref="J855:J856"/>
    <mergeCell ref="K855:K856"/>
    <mergeCell ref="L855:L856"/>
    <mergeCell ref="J857:J858"/>
    <mergeCell ref="K857:K858"/>
    <mergeCell ref="A861:A862"/>
    <mergeCell ref="B861:B862"/>
    <mergeCell ref="C861:C862"/>
    <mergeCell ref="D861:D862"/>
    <mergeCell ref="E861:E862"/>
    <mergeCell ref="A859:A860"/>
    <mergeCell ref="B859:B860"/>
    <mergeCell ref="L865:L866"/>
    <mergeCell ref="H863:H864"/>
    <mergeCell ref="I863:I864"/>
    <mergeCell ref="J863:J864"/>
    <mergeCell ref="K863:K864"/>
    <mergeCell ref="L863:L864"/>
    <mergeCell ref="F865:F866"/>
    <mergeCell ref="H865:H866"/>
    <mergeCell ref="I865:I866"/>
    <mergeCell ref="J865:J866"/>
    <mergeCell ref="K865:K866"/>
    <mergeCell ref="F863:F864"/>
    <mergeCell ref="F861:F862"/>
    <mergeCell ref="H861:H862"/>
    <mergeCell ref="I861:I862"/>
    <mergeCell ref="J861:J862"/>
    <mergeCell ref="K861:K862"/>
    <mergeCell ref="A865:A866"/>
    <mergeCell ref="B865:B866"/>
    <mergeCell ref="C865:C866"/>
    <mergeCell ref="D865:D866"/>
    <mergeCell ref="E865:E866"/>
    <mergeCell ref="A863:A864"/>
    <mergeCell ref="B863:B864"/>
    <mergeCell ref="C863:C864"/>
    <mergeCell ref="A867:A868"/>
    <mergeCell ref="B867:B868"/>
    <mergeCell ref="C867:C868"/>
    <mergeCell ref="D867:D868"/>
    <mergeCell ref="E867:E868"/>
    <mergeCell ref="L867:L868"/>
    <mergeCell ref="F869:F870"/>
    <mergeCell ref="F867:F868"/>
    <mergeCell ref="H867:H868"/>
    <mergeCell ref="I867:I868"/>
    <mergeCell ref="J867:J868"/>
    <mergeCell ref="K867:K868"/>
    <mergeCell ref="A871:A872"/>
    <mergeCell ref="B871:B872"/>
    <mergeCell ref="C871:C872"/>
    <mergeCell ref="D871:D872"/>
    <mergeCell ref="E871:E872"/>
    <mergeCell ref="A869:A870"/>
    <mergeCell ref="B869:B870"/>
    <mergeCell ref="C869:C870"/>
    <mergeCell ref="D869:D870"/>
    <mergeCell ref="E869:E870"/>
    <mergeCell ref="L871:L872"/>
    <mergeCell ref="H869:H870"/>
    <mergeCell ref="I869:I870"/>
    <mergeCell ref="J869:J870"/>
    <mergeCell ref="K869:K870"/>
    <mergeCell ref="L869:L870"/>
    <mergeCell ref="F873:F874"/>
    <mergeCell ref="F871:F872"/>
    <mergeCell ref="H871:H872"/>
    <mergeCell ref="I871:I872"/>
    <mergeCell ref="J871:J872"/>
    <mergeCell ref="K871:K872"/>
    <mergeCell ref="A875:A876"/>
    <mergeCell ref="B875:B876"/>
    <mergeCell ref="C875:C876"/>
    <mergeCell ref="D875:D876"/>
    <mergeCell ref="E875:E876"/>
    <mergeCell ref="A873:A874"/>
    <mergeCell ref="B873:B874"/>
    <mergeCell ref="C873:C874"/>
    <mergeCell ref="D873:D874"/>
    <mergeCell ref="E873:E874"/>
    <mergeCell ref="L875:L876"/>
    <mergeCell ref="H873:H874"/>
    <mergeCell ref="I873:I874"/>
    <mergeCell ref="J873:J874"/>
    <mergeCell ref="K873:K874"/>
    <mergeCell ref="L873:L874"/>
    <mergeCell ref="F877:F878"/>
    <mergeCell ref="F875:F876"/>
    <mergeCell ref="H875:H876"/>
    <mergeCell ref="I875:I876"/>
    <mergeCell ref="J875:J876"/>
    <mergeCell ref="K875:K876"/>
    <mergeCell ref="A879:A880"/>
    <mergeCell ref="B879:B880"/>
    <mergeCell ref="C879:C880"/>
    <mergeCell ref="D879:D880"/>
    <mergeCell ref="E879:E880"/>
    <mergeCell ref="A877:A878"/>
    <mergeCell ref="B877:B878"/>
    <mergeCell ref="C877:C878"/>
    <mergeCell ref="D877:D878"/>
    <mergeCell ref="E877:E878"/>
    <mergeCell ref="L879:L880"/>
    <mergeCell ref="H877:H878"/>
    <mergeCell ref="I877:I878"/>
    <mergeCell ref="J877:J878"/>
    <mergeCell ref="K877:K878"/>
    <mergeCell ref="L877:L878"/>
    <mergeCell ref="F881:F882"/>
    <mergeCell ref="F879:F880"/>
    <mergeCell ref="H879:H880"/>
    <mergeCell ref="I879:I880"/>
    <mergeCell ref="J879:J880"/>
    <mergeCell ref="K879:K880"/>
    <mergeCell ref="A883:A884"/>
    <mergeCell ref="B883:B884"/>
    <mergeCell ref="C883:C884"/>
    <mergeCell ref="D883:D884"/>
    <mergeCell ref="E883:E884"/>
    <mergeCell ref="A881:A882"/>
    <mergeCell ref="B881:B882"/>
    <mergeCell ref="C881:C882"/>
    <mergeCell ref="D881:D882"/>
    <mergeCell ref="E881:E882"/>
    <mergeCell ref="L883:L884"/>
    <mergeCell ref="H881:H882"/>
    <mergeCell ref="I881:I882"/>
    <mergeCell ref="J881:J882"/>
    <mergeCell ref="K881:K882"/>
    <mergeCell ref="L881:L882"/>
    <mergeCell ref="F885:F886"/>
    <mergeCell ref="F883:F884"/>
    <mergeCell ref="H883:H884"/>
    <mergeCell ref="I883:I884"/>
    <mergeCell ref="J883:J884"/>
    <mergeCell ref="K883:K884"/>
    <mergeCell ref="A887:A888"/>
    <mergeCell ref="B887:B888"/>
    <mergeCell ref="C887:C888"/>
    <mergeCell ref="D887:D888"/>
    <mergeCell ref="E887:E888"/>
    <mergeCell ref="A885:A886"/>
    <mergeCell ref="B885:B886"/>
    <mergeCell ref="C885:C886"/>
    <mergeCell ref="D885:D886"/>
    <mergeCell ref="E885:E886"/>
    <mergeCell ref="L887:L888"/>
    <mergeCell ref="H885:H886"/>
    <mergeCell ref="I885:I886"/>
    <mergeCell ref="J885:J886"/>
    <mergeCell ref="K885:K886"/>
    <mergeCell ref="L885:L886"/>
    <mergeCell ref="F887:F888"/>
    <mergeCell ref="H887:H888"/>
    <mergeCell ref="I887:I888"/>
    <mergeCell ref="J887:J888"/>
    <mergeCell ref="K887:K888"/>
    <mergeCell ref="F889:F890"/>
    <mergeCell ref="A891:A892"/>
    <mergeCell ref="B891:B892"/>
    <mergeCell ref="C891:C892"/>
    <mergeCell ref="D891:D892"/>
    <mergeCell ref="E891:E892"/>
    <mergeCell ref="A889:A890"/>
    <mergeCell ref="B889:B890"/>
    <mergeCell ref="C889:C890"/>
    <mergeCell ref="D889:D890"/>
    <mergeCell ref="E889:E890"/>
    <mergeCell ref="L891:L892"/>
    <mergeCell ref="H889:H890"/>
    <mergeCell ref="I889:I890"/>
    <mergeCell ref="J889:J890"/>
    <mergeCell ref="K889:K890"/>
    <mergeCell ref="L889:L890"/>
    <mergeCell ref="F893:F894"/>
    <mergeCell ref="F891:F892"/>
    <mergeCell ref="H891:H892"/>
    <mergeCell ref="I891:I892"/>
    <mergeCell ref="J891:J892"/>
    <mergeCell ref="K891:K892"/>
    <mergeCell ref="A895:A896"/>
    <mergeCell ref="B895:B896"/>
    <mergeCell ref="C895:C896"/>
    <mergeCell ref="D895:D896"/>
    <mergeCell ref="E895:E896"/>
    <mergeCell ref="A893:A894"/>
    <mergeCell ref="B893:B894"/>
    <mergeCell ref="C893:C894"/>
    <mergeCell ref="D893:D894"/>
    <mergeCell ref="E893:E894"/>
    <mergeCell ref="L895:L896"/>
    <mergeCell ref="H893:H894"/>
    <mergeCell ref="I893:I894"/>
    <mergeCell ref="J893:J894"/>
    <mergeCell ref="K893:K894"/>
    <mergeCell ref="L893:L894"/>
    <mergeCell ref="F897:F898"/>
    <mergeCell ref="F895:F896"/>
    <mergeCell ref="H895:H896"/>
    <mergeCell ref="I895:I896"/>
    <mergeCell ref="J895:J896"/>
    <mergeCell ref="K895:K896"/>
    <mergeCell ref="A897:A898"/>
    <mergeCell ref="B897:B898"/>
    <mergeCell ref="C897:C898"/>
    <mergeCell ref="D897:D898"/>
    <mergeCell ref="E897:E898"/>
    <mergeCell ref="H897:H898"/>
    <mergeCell ref="I897:I898"/>
    <mergeCell ref="J897:J898"/>
    <mergeCell ref="K897:K898"/>
    <mergeCell ref="L897:L898"/>
    <mergeCell ref="F899:F900"/>
    <mergeCell ref="A901:A902"/>
    <mergeCell ref="B901:B902"/>
    <mergeCell ref="C901:C902"/>
    <mergeCell ref="D901:D902"/>
    <mergeCell ref="E901:E902"/>
    <mergeCell ref="A899:A900"/>
    <mergeCell ref="B899:B900"/>
    <mergeCell ref="C899:C900"/>
    <mergeCell ref="D899:D900"/>
    <mergeCell ref="E899:E900"/>
    <mergeCell ref="L901:L902"/>
    <mergeCell ref="H899:H900"/>
    <mergeCell ref="I899:I900"/>
    <mergeCell ref="J899:J900"/>
    <mergeCell ref="K899:K900"/>
    <mergeCell ref="L899:L900"/>
    <mergeCell ref="F903:F904"/>
    <mergeCell ref="F901:F902"/>
    <mergeCell ref="H901:H902"/>
    <mergeCell ref="I901:I902"/>
    <mergeCell ref="J901:J902"/>
    <mergeCell ref="K901:K902"/>
    <mergeCell ref="A905:A906"/>
    <mergeCell ref="B905:B906"/>
    <mergeCell ref="C905:C906"/>
    <mergeCell ref="D905:D906"/>
    <mergeCell ref="E905:E906"/>
    <mergeCell ref="A903:A904"/>
    <mergeCell ref="B903:B904"/>
    <mergeCell ref="C903:C904"/>
    <mergeCell ref="D903:D904"/>
    <mergeCell ref="E903:E904"/>
    <mergeCell ref="L905:L906"/>
    <mergeCell ref="H903:H904"/>
    <mergeCell ref="I903:I904"/>
    <mergeCell ref="J903:J904"/>
    <mergeCell ref="K903:K904"/>
    <mergeCell ref="L903:L904"/>
    <mergeCell ref="F907:F908"/>
    <mergeCell ref="F905:F906"/>
    <mergeCell ref="H905:H906"/>
    <mergeCell ref="I905:I906"/>
    <mergeCell ref="J905:J906"/>
    <mergeCell ref="K905:K906"/>
    <mergeCell ref="A909:A910"/>
    <mergeCell ref="B909:B910"/>
    <mergeCell ref="C909:C910"/>
    <mergeCell ref="D909:D910"/>
    <mergeCell ref="E909:E910"/>
    <mergeCell ref="A907:A908"/>
    <mergeCell ref="B907:B908"/>
    <mergeCell ref="C907:C908"/>
    <mergeCell ref="D907:D908"/>
    <mergeCell ref="E907:E908"/>
    <mergeCell ref="L909:L910"/>
    <mergeCell ref="H907:H908"/>
    <mergeCell ref="I907:I908"/>
    <mergeCell ref="J907:J908"/>
    <mergeCell ref="K907:K908"/>
    <mergeCell ref="L907:L908"/>
    <mergeCell ref="F911:F912"/>
    <mergeCell ref="F909:F910"/>
    <mergeCell ref="H909:H910"/>
    <mergeCell ref="I909:I910"/>
    <mergeCell ref="J909:J910"/>
    <mergeCell ref="K909:K910"/>
    <mergeCell ref="A913:A914"/>
    <mergeCell ref="B913:B914"/>
    <mergeCell ref="C913:C914"/>
    <mergeCell ref="D913:D914"/>
    <mergeCell ref="E913:E914"/>
    <mergeCell ref="A911:A912"/>
    <mergeCell ref="B911:B912"/>
    <mergeCell ref="C911:C912"/>
    <mergeCell ref="D911:D912"/>
    <mergeCell ref="E911:E912"/>
    <mergeCell ref="L913:L914"/>
    <mergeCell ref="H911:H912"/>
    <mergeCell ref="I911:I912"/>
    <mergeCell ref="J911:J912"/>
    <mergeCell ref="K911:K912"/>
    <mergeCell ref="L911:L912"/>
    <mergeCell ref="F915:F916"/>
    <mergeCell ref="F913:F914"/>
    <mergeCell ref="H913:H914"/>
    <mergeCell ref="I913:I914"/>
    <mergeCell ref="J913:J914"/>
    <mergeCell ref="K913:K914"/>
    <mergeCell ref="A917:A918"/>
    <mergeCell ref="B917:B918"/>
    <mergeCell ref="C917:C918"/>
    <mergeCell ref="D917:D918"/>
    <mergeCell ref="E917:E918"/>
    <mergeCell ref="A915:A916"/>
    <mergeCell ref="B915:B916"/>
    <mergeCell ref="C915:C916"/>
    <mergeCell ref="D915:D916"/>
    <mergeCell ref="E915:E916"/>
    <mergeCell ref="L917:L918"/>
    <mergeCell ref="H915:H916"/>
    <mergeCell ref="I915:I916"/>
    <mergeCell ref="J915:J916"/>
    <mergeCell ref="K915:K916"/>
    <mergeCell ref="L915:L916"/>
    <mergeCell ref="F917:F918"/>
    <mergeCell ref="H917:H918"/>
    <mergeCell ref="I917:I918"/>
    <mergeCell ref="J917:J918"/>
    <mergeCell ref="K917:K918"/>
    <mergeCell ref="A919:A920"/>
    <mergeCell ref="B919:B920"/>
    <mergeCell ref="C919:C920"/>
    <mergeCell ref="D919:D920"/>
    <mergeCell ref="E919:E920"/>
    <mergeCell ref="L919:L920"/>
    <mergeCell ref="F921:F922"/>
    <mergeCell ref="F919:F920"/>
    <mergeCell ref="H919:H920"/>
    <mergeCell ref="I919:I920"/>
    <mergeCell ref="J919:J920"/>
    <mergeCell ref="K919:K920"/>
    <mergeCell ref="A923:A924"/>
    <mergeCell ref="B923:B924"/>
    <mergeCell ref="C923:C924"/>
    <mergeCell ref="D923:D924"/>
    <mergeCell ref="E923:E924"/>
    <mergeCell ref="A921:A922"/>
    <mergeCell ref="B921:B922"/>
    <mergeCell ref="C921:C922"/>
    <mergeCell ref="D921:D922"/>
    <mergeCell ref="E921:E922"/>
    <mergeCell ref="L923:L924"/>
    <mergeCell ref="H921:H922"/>
    <mergeCell ref="I921:I922"/>
    <mergeCell ref="J921:J922"/>
    <mergeCell ref="K921:K922"/>
    <mergeCell ref="L921:L922"/>
    <mergeCell ref="F927:F928"/>
    <mergeCell ref="F923:F924"/>
    <mergeCell ref="H923:H924"/>
    <mergeCell ref="I923:I924"/>
    <mergeCell ref="J923:J924"/>
    <mergeCell ref="K923:K924"/>
    <mergeCell ref="A925:A926"/>
    <mergeCell ref="B925:L926"/>
    <mergeCell ref="A929:A930"/>
    <mergeCell ref="B929:B930"/>
    <mergeCell ref="C929:C930"/>
    <mergeCell ref="D929:D930"/>
    <mergeCell ref="E929:E930"/>
    <mergeCell ref="A927:A928"/>
    <mergeCell ref="B927:B928"/>
    <mergeCell ref="C927:C928"/>
    <mergeCell ref="D927:D928"/>
    <mergeCell ref="E927:E928"/>
    <mergeCell ref="L929:L930"/>
    <mergeCell ref="H927:H928"/>
    <mergeCell ref="I927:I928"/>
    <mergeCell ref="J927:J928"/>
    <mergeCell ref="K927:K928"/>
    <mergeCell ref="L927:L928"/>
    <mergeCell ref="F929:F930"/>
    <mergeCell ref="H929:H930"/>
    <mergeCell ref="I929:I930"/>
    <mergeCell ref="J929:J930"/>
    <mergeCell ref="K929:K930"/>
    <mergeCell ref="L943:L944"/>
    <mergeCell ref="H941:H942"/>
    <mergeCell ref="I941:I942"/>
    <mergeCell ref="J941:J942"/>
    <mergeCell ref="K941:K942"/>
    <mergeCell ref="L941:L942"/>
    <mergeCell ref="K933:K934"/>
    <mergeCell ref="A937:A938"/>
    <mergeCell ref="B937:B938"/>
    <mergeCell ref="C937:C938"/>
    <mergeCell ref="D937:D938"/>
    <mergeCell ref="E937:E938"/>
    <mergeCell ref="A935:A936"/>
    <mergeCell ref="B935:B936"/>
    <mergeCell ref="C935:C936"/>
    <mergeCell ref="D935:D936"/>
    <mergeCell ref="E935:E936"/>
    <mergeCell ref="L937:L938"/>
    <mergeCell ref="H935:H936"/>
    <mergeCell ref="I935:I936"/>
    <mergeCell ref="J935:J936"/>
    <mergeCell ref="K935:K936"/>
    <mergeCell ref="L935:L936"/>
    <mergeCell ref="L933:L934"/>
    <mergeCell ref="L939:L940"/>
    <mergeCell ref="F935:F936"/>
    <mergeCell ref="A933:A934"/>
    <mergeCell ref="B933:B934"/>
    <mergeCell ref="C933:C934"/>
    <mergeCell ref="D933:D934"/>
    <mergeCell ref="E933:E934"/>
    <mergeCell ref="F933:F934"/>
    <mergeCell ref="C945:C946"/>
    <mergeCell ref="D945:D946"/>
    <mergeCell ref="E945:E946"/>
    <mergeCell ref="F945:F946"/>
    <mergeCell ref="H945:H946"/>
    <mergeCell ref="I945:I946"/>
    <mergeCell ref="J945:J946"/>
    <mergeCell ref="K945:K946"/>
    <mergeCell ref="F941:F942"/>
    <mergeCell ref="F937:F938"/>
    <mergeCell ref="H937:H938"/>
    <mergeCell ref="I937:I938"/>
    <mergeCell ref="J937:J938"/>
    <mergeCell ref="K937:K938"/>
    <mergeCell ref="A943:A944"/>
    <mergeCell ref="B943:B944"/>
    <mergeCell ref="C943:C944"/>
    <mergeCell ref="D943:D944"/>
    <mergeCell ref="E943:E944"/>
    <mergeCell ref="A941:A942"/>
    <mergeCell ref="B941:B942"/>
    <mergeCell ref="C941:C942"/>
    <mergeCell ref="D941:D942"/>
    <mergeCell ref="E941:E942"/>
    <mergeCell ref="D953:D954"/>
    <mergeCell ref="E953:E954"/>
    <mergeCell ref="L957:L958"/>
    <mergeCell ref="H953:H954"/>
    <mergeCell ref="I953:I954"/>
    <mergeCell ref="J953:J954"/>
    <mergeCell ref="K953:K954"/>
    <mergeCell ref="L953:L954"/>
    <mergeCell ref="F949:F950"/>
    <mergeCell ref="F943:F944"/>
    <mergeCell ref="H943:H944"/>
    <mergeCell ref="I943:I944"/>
    <mergeCell ref="J943:J944"/>
    <mergeCell ref="K943:K944"/>
    <mergeCell ref="A951:A952"/>
    <mergeCell ref="B951:B952"/>
    <mergeCell ref="C951:C952"/>
    <mergeCell ref="D951:D952"/>
    <mergeCell ref="E951:E952"/>
    <mergeCell ref="A949:A950"/>
    <mergeCell ref="B949:B950"/>
    <mergeCell ref="C949:C950"/>
    <mergeCell ref="D949:D950"/>
    <mergeCell ref="E949:E950"/>
    <mergeCell ref="L951:L952"/>
    <mergeCell ref="H949:H950"/>
    <mergeCell ref="I949:I950"/>
    <mergeCell ref="J949:J950"/>
    <mergeCell ref="K949:K950"/>
    <mergeCell ref="L949:L950"/>
    <mergeCell ref="A945:A946"/>
    <mergeCell ref="B945:B946"/>
    <mergeCell ref="F959:F960"/>
    <mergeCell ref="F957:F958"/>
    <mergeCell ref="H957:H958"/>
    <mergeCell ref="I957:I958"/>
    <mergeCell ref="J957:J958"/>
    <mergeCell ref="K957:K958"/>
    <mergeCell ref="A959:A960"/>
    <mergeCell ref="B959:B960"/>
    <mergeCell ref="C959:C960"/>
    <mergeCell ref="D959:D960"/>
    <mergeCell ref="E959:E960"/>
    <mergeCell ref="H959:H960"/>
    <mergeCell ref="I959:I960"/>
    <mergeCell ref="J959:J960"/>
    <mergeCell ref="K959:K960"/>
    <mergeCell ref="L959:L960"/>
    <mergeCell ref="A957:A958"/>
    <mergeCell ref="B957:B958"/>
    <mergeCell ref="C957:C958"/>
    <mergeCell ref="D957:D958"/>
    <mergeCell ref="E957:E958"/>
    <mergeCell ref="F963:F964"/>
    <mergeCell ref="H963:H964"/>
    <mergeCell ref="I963:I964"/>
    <mergeCell ref="J963:J964"/>
    <mergeCell ref="K963:K964"/>
    <mergeCell ref="A965:A966"/>
    <mergeCell ref="B965:B966"/>
    <mergeCell ref="C965:C966"/>
    <mergeCell ref="D965:D966"/>
    <mergeCell ref="E965:E966"/>
    <mergeCell ref="L965:L966"/>
    <mergeCell ref="F961:F962"/>
    <mergeCell ref="A963:A964"/>
    <mergeCell ref="B963:B964"/>
    <mergeCell ref="C963:C964"/>
    <mergeCell ref="D963:D964"/>
    <mergeCell ref="E963:E964"/>
    <mergeCell ref="A961:A962"/>
    <mergeCell ref="B961:B962"/>
    <mergeCell ref="C961:C962"/>
    <mergeCell ref="D961:D962"/>
    <mergeCell ref="E961:E962"/>
    <mergeCell ref="L963:L964"/>
    <mergeCell ref="H961:H962"/>
    <mergeCell ref="I961:I962"/>
    <mergeCell ref="J961:J962"/>
    <mergeCell ref="K961:K962"/>
    <mergeCell ref="L961:L962"/>
    <mergeCell ref="F967:F968"/>
    <mergeCell ref="F965:F966"/>
    <mergeCell ref="H965:H966"/>
    <mergeCell ref="I965:I966"/>
    <mergeCell ref="J965:J966"/>
    <mergeCell ref="K965:K966"/>
    <mergeCell ref="A969:A970"/>
    <mergeCell ref="B969:B970"/>
    <mergeCell ref="C969:C970"/>
    <mergeCell ref="D969:D970"/>
    <mergeCell ref="E969:E970"/>
    <mergeCell ref="A967:A968"/>
    <mergeCell ref="B967:B968"/>
    <mergeCell ref="C967:C968"/>
    <mergeCell ref="D967:D968"/>
    <mergeCell ref="E967:E968"/>
    <mergeCell ref="L969:L970"/>
    <mergeCell ref="H967:H968"/>
    <mergeCell ref="I967:I968"/>
    <mergeCell ref="J967:J968"/>
    <mergeCell ref="K967:K968"/>
    <mergeCell ref="L967:L968"/>
    <mergeCell ref="F971:F972"/>
    <mergeCell ref="F969:F970"/>
    <mergeCell ref="H969:H970"/>
    <mergeCell ref="I969:I970"/>
    <mergeCell ref="J969:J970"/>
    <mergeCell ref="K969:K970"/>
    <mergeCell ref="A973:A974"/>
    <mergeCell ref="B973:B974"/>
    <mergeCell ref="C973:C974"/>
    <mergeCell ref="D973:D974"/>
    <mergeCell ref="E973:E974"/>
    <mergeCell ref="A971:A972"/>
    <mergeCell ref="B971:B972"/>
    <mergeCell ref="C971:C972"/>
    <mergeCell ref="D971:D972"/>
    <mergeCell ref="E971:E972"/>
    <mergeCell ref="L973:L974"/>
    <mergeCell ref="H971:H972"/>
    <mergeCell ref="I971:I972"/>
    <mergeCell ref="J971:J972"/>
    <mergeCell ref="K971:K972"/>
    <mergeCell ref="L971:L972"/>
    <mergeCell ref="F977:F978"/>
    <mergeCell ref="F973:F974"/>
    <mergeCell ref="H973:H974"/>
    <mergeCell ref="I973:I974"/>
    <mergeCell ref="J973:J974"/>
    <mergeCell ref="K973:K974"/>
    <mergeCell ref="A979:A980"/>
    <mergeCell ref="B979:B980"/>
    <mergeCell ref="C979:C980"/>
    <mergeCell ref="D979:D980"/>
    <mergeCell ref="E979:E980"/>
    <mergeCell ref="A977:A978"/>
    <mergeCell ref="B977:B978"/>
    <mergeCell ref="C977:C978"/>
    <mergeCell ref="D977:D978"/>
    <mergeCell ref="E977:E978"/>
    <mergeCell ref="L979:L980"/>
    <mergeCell ref="H977:H978"/>
    <mergeCell ref="I977:I978"/>
    <mergeCell ref="J977:J978"/>
    <mergeCell ref="K977:K978"/>
    <mergeCell ref="L977:L978"/>
    <mergeCell ref="A975:A976"/>
    <mergeCell ref="B975:B976"/>
    <mergeCell ref="C975:C976"/>
    <mergeCell ref="D975:D976"/>
    <mergeCell ref="E975:E976"/>
    <mergeCell ref="F975:F976"/>
    <mergeCell ref="H975:H976"/>
    <mergeCell ref="I975:I976"/>
    <mergeCell ref="J975:J976"/>
    <mergeCell ref="K975:K976"/>
    <mergeCell ref="F981:F982"/>
    <mergeCell ref="F979:F980"/>
    <mergeCell ref="H979:H980"/>
    <mergeCell ref="I979:I980"/>
    <mergeCell ref="J979:J980"/>
    <mergeCell ref="K979:K980"/>
    <mergeCell ref="A983:A984"/>
    <mergeCell ref="B983:B984"/>
    <mergeCell ref="C983:C984"/>
    <mergeCell ref="D983:D984"/>
    <mergeCell ref="E983:E984"/>
    <mergeCell ref="A981:A982"/>
    <mergeCell ref="B981:B982"/>
    <mergeCell ref="C981:C982"/>
    <mergeCell ref="D981:D982"/>
    <mergeCell ref="E981:E982"/>
    <mergeCell ref="L983:L984"/>
    <mergeCell ref="H981:H982"/>
    <mergeCell ref="I981:I982"/>
    <mergeCell ref="J981:J982"/>
    <mergeCell ref="K981:K982"/>
    <mergeCell ref="L981:L982"/>
    <mergeCell ref="F987:F988"/>
    <mergeCell ref="E989:E990"/>
    <mergeCell ref="A987:A988"/>
    <mergeCell ref="B987:B988"/>
    <mergeCell ref="C987:C988"/>
    <mergeCell ref="D987:D988"/>
    <mergeCell ref="E987:E988"/>
    <mergeCell ref="L989:L990"/>
    <mergeCell ref="H987:H988"/>
    <mergeCell ref="I987:I988"/>
    <mergeCell ref="J987:J988"/>
    <mergeCell ref="K987:K988"/>
    <mergeCell ref="L987:L988"/>
    <mergeCell ref="K993:K994"/>
    <mergeCell ref="F985:F986"/>
    <mergeCell ref="F983:F984"/>
    <mergeCell ref="H983:H984"/>
    <mergeCell ref="I983:I984"/>
    <mergeCell ref="J983:J984"/>
    <mergeCell ref="K983:K984"/>
    <mergeCell ref="A985:A986"/>
    <mergeCell ref="B985:B986"/>
    <mergeCell ref="C985:C986"/>
    <mergeCell ref="D985:D986"/>
    <mergeCell ref="E985:E986"/>
    <mergeCell ref="E993:E994"/>
    <mergeCell ref="A991:A992"/>
    <mergeCell ref="B991:B992"/>
    <mergeCell ref="C991:C992"/>
    <mergeCell ref="D991:D992"/>
    <mergeCell ref="E991:E992"/>
    <mergeCell ref="H991:H992"/>
    <mergeCell ref="F1001:F1002"/>
    <mergeCell ref="F997:F998"/>
    <mergeCell ref="H997:H998"/>
    <mergeCell ref="I997:I998"/>
    <mergeCell ref="J997:J998"/>
    <mergeCell ref="K997:K998"/>
    <mergeCell ref="H1001:H1002"/>
    <mergeCell ref="I1001:I1002"/>
    <mergeCell ref="J1001:J1002"/>
    <mergeCell ref="K1001:K1002"/>
    <mergeCell ref="L1001:L1002"/>
    <mergeCell ref="A1001:A1002"/>
    <mergeCell ref="B1001:B1002"/>
    <mergeCell ref="C1001:C1002"/>
    <mergeCell ref="D1001:D1002"/>
    <mergeCell ref="E1001:E1002"/>
    <mergeCell ref="A823:A824"/>
    <mergeCell ref="B823:L824"/>
    <mergeCell ref="F995:F996"/>
    <mergeCell ref="F993:F994"/>
    <mergeCell ref="H993:H994"/>
    <mergeCell ref="I993:I994"/>
    <mergeCell ref="J993:J994"/>
    <mergeCell ref="C995:C996"/>
    <mergeCell ref="D995:D996"/>
    <mergeCell ref="E995:E996"/>
    <mergeCell ref="L997:L998"/>
    <mergeCell ref="H985:H986"/>
    <mergeCell ref="I985:I986"/>
    <mergeCell ref="J985:J986"/>
    <mergeCell ref="K985:K986"/>
    <mergeCell ref="L985:L986"/>
    <mergeCell ref="A997:A998"/>
    <mergeCell ref="B997:B998"/>
    <mergeCell ref="C997:C998"/>
    <mergeCell ref="D997:D998"/>
    <mergeCell ref="E997:E998"/>
    <mergeCell ref="A995:A996"/>
    <mergeCell ref="B995:B996"/>
    <mergeCell ref="I991:I992"/>
    <mergeCell ref="J991:J992"/>
    <mergeCell ref="K991:K992"/>
    <mergeCell ref="L991:L992"/>
    <mergeCell ref="A989:A990"/>
    <mergeCell ref="B989:B990"/>
    <mergeCell ref="C989:C990"/>
    <mergeCell ref="D989:D990"/>
    <mergeCell ref="M823:M824"/>
    <mergeCell ref="H995:H996"/>
    <mergeCell ref="I995:I996"/>
    <mergeCell ref="J995:J996"/>
    <mergeCell ref="K995:K996"/>
    <mergeCell ref="L995:L996"/>
    <mergeCell ref="F991:F992"/>
    <mergeCell ref="F989:F990"/>
    <mergeCell ref="H989:H990"/>
    <mergeCell ref="I989:I990"/>
    <mergeCell ref="J989:J990"/>
    <mergeCell ref="K989:K990"/>
    <mergeCell ref="A993:A994"/>
    <mergeCell ref="B993:B994"/>
    <mergeCell ref="C993:C994"/>
    <mergeCell ref="D993:D994"/>
    <mergeCell ref="L993:L994"/>
    <mergeCell ref="L945:L946"/>
    <mergeCell ref="A955:A956"/>
    <mergeCell ref="B955:B956"/>
    <mergeCell ref="C955:C956"/>
    <mergeCell ref="D955:D956"/>
    <mergeCell ref="E955:E956"/>
    <mergeCell ref="F955:F956"/>
    <mergeCell ref="H955:H956"/>
    <mergeCell ref="I955:I956"/>
    <mergeCell ref="J955:J956"/>
    <mergeCell ref="K955:K956"/>
    <mergeCell ref="L955:L956"/>
    <mergeCell ref="A947:A948"/>
    <mergeCell ref="B947:B948"/>
    <mergeCell ref="C947:C948"/>
    <mergeCell ref="D947:D948"/>
    <mergeCell ref="E947:E948"/>
    <mergeCell ref="F947:F948"/>
    <mergeCell ref="H947:H948"/>
    <mergeCell ref="I947:I948"/>
    <mergeCell ref="J947:J948"/>
    <mergeCell ref="K947:K948"/>
    <mergeCell ref="L947:L948"/>
    <mergeCell ref="F953:F954"/>
    <mergeCell ref="F951:F952"/>
    <mergeCell ref="H951:H952"/>
    <mergeCell ref="I951:I952"/>
    <mergeCell ref="J951:J952"/>
    <mergeCell ref="K951:K952"/>
    <mergeCell ref="A953:A954"/>
    <mergeCell ref="B953:B954"/>
    <mergeCell ref="C953:C954"/>
    <mergeCell ref="A1003:A1004"/>
    <mergeCell ref="B1003:B1004"/>
    <mergeCell ref="C1003:C1004"/>
    <mergeCell ref="D1003:D1004"/>
    <mergeCell ref="E1003:E1004"/>
    <mergeCell ref="F1003:F1004"/>
    <mergeCell ref="H1003:H1004"/>
    <mergeCell ref="I1003:I1004"/>
    <mergeCell ref="J1003:J1004"/>
    <mergeCell ref="K1003:K1004"/>
    <mergeCell ref="L1003:L1004"/>
    <mergeCell ref="A1005:A1006"/>
    <mergeCell ref="B1005:B1006"/>
    <mergeCell ref="C1005:C1006"/>
    <mergeCell ref="D1005:D1006"/>
    <mergeCell ref="E1005:E1006"/>
    <mergeCell ref="F1005:F1006"/>
    <mergeCell ref="H1005:H1006"/>
    <mergeCell ref="I1005:I1006"/>
    <mergeCell ref="J1005:J1006"/>
    <mergeCell ref="K1005:K1006"/>
    <mergeCell ref="L1005:L1006"/>
    <mergeCell ref="L1013:L1014"/>
    <mergeCell ref="A1007:A1008"/>
    <mergeCell ref="B1007:B1008"/>
    <mergeCell ref="C1007:C1008"/>
    <mergeCell ref="D1007:D1008"/>
    <mergeCell ref="E1007:E1008"/>
    <mergeCell ref="F1007:F1008"/>
    <mergeCell ref="H1007:H1008"/>
    <mergeCell ref="I1007:I1008"/>
    <mergeCell ref="J1007:J1008"/>
    <mergeCell ref="K1007:K1008"/>
    <mergeCell ref="L1007:L1008"/>
    <mergeCell ref="A1009:A1010"/>
    <mergeCell ref="B1009:B1010"/>
    <mergeCell ref="C1009:C1010"/>
    <mergeCell ref="D1009:D1010"/>
    <mergeCell ref="E1009:E1010"/>
    <mergeCell ref="F1009:F1010"/>
    <mergeCell ref="H1009:H1010"/>
    <mergeCell ref="I1009:I1010"/>
    <mergeCell ref="J1009:J1010"/>
    <mergeCell ref="K1009:K1010"/>
    <mergeCell ref="L1009:L1010"/>
    <mergeCell ref="L1021:L1022"/>
    <mergeCell ref="A1017:A1018"/>
    <mergeCell ref="B1017:B1018"/>
    <mergeCell ref="C1017:C1018"/>
    <mergeCell ref="D1017:D1018"/>
    <mergeCell ref="E1017:E1018"/>
    <mergeCell ref="F1017:F1018"/>
    <mergeCell ref="H1017:H1018"/>
    <mergeCell ref="I1017:I1018"/>
    <mergeCell ref="J1017:J1018"/>
    <mergeCell ref="K1017:K1018"/>
    <mergeCell ref="A1011:A1012"/>
    <mergeCell ref="B1011:B1012"/>
    <mergeCell ref="C1011:C1012"/>
    <mergeCell ref="D1011:D1012"/>
    <mergeCell ref="E1011:E1012"/>
    <mergeCell ref="F1011:F1012"/>
    <mergeCell ref="H1011:H1012"/>
    <mergeCell ref="I1011:I1012"/>
    <mergeCell ref="J1011:J1012"/>
    <mergeCell ref="K1011:K1012"/>
    <mergeCell ref="L1011:L1012"/>
    <mergeCell ref="A1013:A1014"/>
    <mergeCell ref="B1013:B1014"/>
    <mergeCell ref="C1013:C1014"/>
    <mergeCell ref="D1013:D1014"/>
    <mergeCell ref="E1013:E1014"/>
    <mergeCell ref="F1013:F1014"/>
    <mergeCell ref="H1013:H1014"/>
    <mergeCell ref="I1013:I1014"/>
    <mergeCell ref="J1013:J1014"/>
    <mergeCell ref="K1013:K1014"/>
    <mergeCell ref="A1023:A1024"/>
    <mergeCell ref="B1023:B1024"/>
    <mergeCell ref="C1023:C1024"/>
    <mergeCell ref="D1023:D1024"/>
    <mergeCell ref="E1023:E1024"/>
    <mergeCell ref="F1023:F1024"/>
    <mergeCell ref="H1023:H1024"/>
    <mergeCell ref="I1023:I1024"/>
    <mergeCell ref="J1023:J1024"/>
    <mergeCell ref="K1023:K1024"/>
    <mergeCell ref="L1023:L1024"/>
    <mergeCell ref="A1015:A1016"/>
    <mergeCell ref="B1015:B1016"/>
    <mergeCell ref="C1015:C1016"/>
    <mergeCell ref="D1015:D1016"/>
    <mergeCell ref="E1015:E1016"/>
    <mergeCell ref="F1015:F1016"/>
    <mergeCell ref="H1015:H1016"/>
    <mergeCell ref="I1015:I1016"/>
    <mergeCell ref="J1015:J1016"/>
    <mergeCell ref="K1015:K1016"/>
    <mergeCell ref="L1015:L1016"/>
    <mergeCell ref="A1021:A1022"/>
    <mergeCell ref="B1021:B1022"/>
    <mergeCell ref="C1021:C1022"/>
    <mergeCell ref="D1021:D1022"/>
    <mergeCell ref="E1021:E1022"/>
    <mergeCell ref="F1021:F1022"/>
    <mergeCell ref="H1021:H1022"/>
    <mergeCell ref="I1021:I1022"/>
    <mergeCell ref="J1021:J1022"/>
    <mergeCell ref="K1021:K1022"/>
    <mergeCell ref="A1025:A1026"/>
    <mergeCell ref="B1025:B1026"/>
    <mergeCell ref="C1025:C1026"/>
    <mergeCell ref="D1025:D1026"/>
    <mergeCell ref="E1025:E1026"/>
    <mergeCell ref="F1025:F1026"/>
    <mergeCell ref="H1025:H1026"/>
    <mergeCell ref="I1025:I1026"/>
    <mergeCell ref="J1025:J1026"/>
    <mergeCell ref="K1025:K1026"/>
    <mergeCell ref="L1025:L1026"/>
    <mergeCell ref="A1027:A1028"/>
    <mergeCell ref="B1027:B1028"/>
    <mergeCell ref="C1027:C1028"/>
    <mergeCell ref="D1027:D1028"/>
    <mergeCell ref="E1027:E1028"/>
    <mergeCell ref="F1027:F1028"/>
    <mergeCell ref="H1027:H1028"/>
    <mergeCell ref="I1027:I1028"/>
    <mergeCell ref="J1027:J1028"/>
    <mergeCell ref="K1027:K1028"/>
    <mergeCell ref="L1027:L1028"/>
    <mergeCell ref="A1029:A1030"/>
    <mergeCell ref="B1029:B1030"/>
    <mergeCell ref="C1029:C1030"/>
    <mergeCell ref="D1029:D1030"/>
    <mergeCell ref="E1029:E1030"/>
    <mergeCell ref="F1029:F1030"/>
    <mergeCell ref="H1029:H1030"/>
    <mergeCell ref="I1029:I1030"/>
    <mergeCell ref="J1029:J1030"/>
    <mergeCell ref="K1029:K1030"/>
    <mergeCell ref="L1029:L1030"/>
    <mergeCell ref="A1031:A1032"/>
    <mergeCell ref="B1031:B1032"/>
    <mergeCell ref="C1031:C1032"/>
    <mergeCell ref="D1031:D1032"/>
    <mergeCell ref="E1031:E1032"/>
    <mergeCell ref="F1031:F1032"/>
    <mergeCell ref="H1031:H1032"/>
    <mergeCell ref="I1031:I1032"/>
    <mergeCell ref="J1031:J1032"/>
    <mergeCell ref="K1031:K1032"/>
    <mergeCell ref="L1031:L1032"/>
    <mergeCell ref="K1039:K1040"/>
    <mergeCell ref="L1039:L1040"/>
    <mergeCell ref="A1035:A1036"/>
    <mergeCell ref="B1035:B1036"/>
    <mergeCell ref="C1035:C1036"/>
    <mergeCell ref="D1035:D1036"/>
    <mergeCell ref="E1035:E1036"/>
    <mergeCell ref="F1035:F1036"/>
    <mergeCell ref="H1035:H1036"/>
    <mergeCell ref="I1035:I1036"/>
    <mergeCell ref="J1035:J1036"/>
    <mergeCell ref="K1035:K1036"/>
    <mergeCell ref="L1035:L1036"/>
    <mergeCell ref="A1033:A1034"/>
    <mergeCell ref="B1033:B1034"/>
    <mergeCell ref="C1033:C1034"/>
    <mergeCell ref="D1033:D1034"/>
    <mergeCell ref="E1033:E1034"/>
    <mergeCell ref="F1033:F1034"/>
    <mergeCell ref="H1033:H1034"/>
    <mergeCell ref="I1033:I1034"/>
    <mergeCell ref="J1033:J1034"/>
    <mergeCell ref="K1033:K1034"/>
    <mergeCell ref="L1033:L1034"/>
    <mergeCell ref="A1043:A1044"/>
    <mergeCell ref="B1043:B1044"/>
    <mergeCell ref="C1043:C1044"/>
    <mergeCell ref="D1043:D1044"/>
    <mergeCell ref="E1043:E1044"/>
    <mergeCell ref="F1043:F1044"/>
    <mergeCell ref="H1043:H1044"/>
    <mergeCell ref="I1043:I1044"/>
    <mergeCell ref="J1043:J1044"/>
    <mergeCell ref="K1043:K1044"/>
    <mergeCell ref="L1043:L1044"/>
    <mergeCell ref="A1045:A1046"/>
    <mergeCell ref="A1037:A1038"/>
    <mergeCell ref="B1037:B1038"/>
    <mergeCell ref="C1037:C1038"/>
    <mergeCell ref="D1037:D1038"/>
    <mergeCell ref="E1037:E1038"/>
    <mergeCell ref="F1037:F1038"/>
    <mergeCell ref="H1037:H1038"/>
    <mergeCell ref="I1037:I1038"/>
    <mergeCell ref="J1037:J1038"/>
    <mergeCell ref="K1037:K1038"/>
    <mergeCell ref="L1037:L1038"/>
    <mergeCell ref="A1039:A1040"/>
    <mergeCell ref="B1039:B1040"/>
    <mergeCell ref="C1039:C1040"/>
    <mergeCell ref="D1039:D1040"/>
    <mergeCell ref="E1039:E1040"/>
    <mergeCell ref="F1039:F1040"/>
    <mergeCell ref="H1039:H1040"/>
    <mergeCell ref="I1039:I1040"/>
    <mergeCell ref="J1039:J1040"/>
    <mergeCell ref="C1063:C1064"/>
    <mergeCell ref="D1063:D1064"/>
    <mergeCell ref="E1063:E1064"/>
    <mergeCell ref="F1063:F1064"/>
    <mergeCell ref="H1063:H1064"/>
    <mergeCell ref="I1063:I1064"/>
    <mergeCell ref="J1063:J1064"/>
    <mergeCell ref="K1063:K1064"/>
    <mergeCell ref="L1063:L1064"/>
    <mergeCell ref="A1065:A1066"/>
    <mergeCell ref="B1065:B1066"/>
    <mergeCell ref="C1065:C1066"/>
    <mergeCell ref="I1065:I1066"/>
    <mergeCell ref="J1065:J1066"/>
    <mergeCell ref="K1065:K1066"/>
    <mergeCell ref="L1065:L1066"/>
    <mergeCell ref="I1049:I1050"/>
    <mergeCell ref="J1049:J1050"/>
    <mergeCell ref="K1049:K1050"/>
    <mergeCell ref="L1049:L1050"/>
    <mergeCell ref="A1053:A1054"/>
    <mergeCell ref="B1053:B1054"/>
    <mergeCell ref="C1053:C1054"/>
    <mergeCell ref="D1053:D1054"/>
    <mergeCell ref="E1053:E1054"/>
    <mergeCell ref="F1053:F1054"/>
    <mergeCell ref="H1053:H1054"/>
    <mergeCell ref="I1053:I1054"/>
    <mergeCell ref="J1053:J1054"/>
    <mergeCell ref="K1053:K1054"/>
    <mergeCell ref="L1053:L1054"/>
    <mergeCell ref="A1057:A1058"/>
    <mergeCell ref="M999:M1000"/>
    <mergeCell ref="A1055:A1056"/>
    <mergeCell ref="B1055:B1056"/>
    <mergeCell ref="C1055:C1056"/>
    <mergeCell ref="D1055:D1056"/>
    <mergeCell ref="E1055:E1056"/>
    <mergeCell ref="F1055:F1056"/>
    <mergeCell ref="H1055:H1056"/>
    <mergeCell ref="I1055:I1056"/>
    <mergeCell ref="J1055:J1056"/>
    <mergeCell ref="K1055:K1056"/>
    <mergeCell ref="L1055:L1056"/>
    <mergeCell ref="A1049:A1050"/>
    <mergeCell ref="B1049:B1050"/>
    <mergeCell ref="C1049:C1050"/>
    <mergeCell ref="D1049:D1050"/>
    <mergeCell ref="E1049:E1050"/>
    <mergeCell ref="F1049:F1050"/>
    <mergeCell ref="H1049:H1050"/>
    <mergeCell ref="A1041:A1042"/>
    <mergeCell ref="B1041:B1042"/>
    <mergeCell ref="C1041:C1042"/>
    <mergeCell ref="D1041:D1042"/>
    <mergeCell ref="E1041:E1042"/>
    <mergeCell ref="F1041:F1042"/>
    <mergeCell ref="H1041:H1042"/>
    <mergeCell ref="I1041:I1042"/>
    <mergeCell ref="J1041:J1042"/>
    <mergeCell ref="K1041:K1042"/>
    <mergeCell ref="L1041:L1042"/>
    <mergeCell ref="A1047:A1048"/>
    <mergeCell ref="B1047:B1048"/>
    <mergeCell ref="L975:L976"/>
    <mergeCell ref="A1069:A1070"/>
    <mergeCell ref="B1069:B1070"/>
    <mergeCell ref="C1069:C1070"/>
    <mergeCell ref="D1069:D1070"/>
    <mergeCell ref="E1069:E1070"/>
    <mergeCell ref="F1069:F1070"/>
    <mergeCell ref="H1069:H1070"/>
    <mergeCell ref="I1069:I1070"/>
    <mergeCell ref="J1069:J1070"/>
    <mergeCell ref="K1069:K1070"/>
    <mergeCell ref="L1069:L1070"/>
    <mergeCell ref="A1067:A1068"/>
    <mergeCell ref="B1067:B1068"/>
    <mergeCell ref="C1067:C1068"/>
    <mergeCell ref="D1067:D1068"/>
    <mergeCell ref="E1067:E1068"/>
    <mergeCell ref="F1067:F1068"/>
    <mergeCell ref="L1017:L1018"/>
    <mergeCell ref="H1067:H1068"/>
    <mergeCell ref="I1067:I1068"/>
    <mergeCell ref="J1067:J1068"/>
    <mergeCell ref="K1067:K1068"/>
    <mergeCell ref="L1067:L1068"/>
    <mergeCell ref="D1065:D1066"/>
    <mergeCell ref="E1065:E1066"/>
    <mergeCell ref="F1065:F1066"/>
    <mergeCell ref="H1065:H1066"/>
    <mergeCell ref="A999:A1000"/>
    <mergeCell ref="B999:L1000"/>
    <mergeCell ref="A1063:A1064"/>
    <mergeCell ref="B1063:B1064"/>
    <mergeCell ref="L1077:L1078"/>
    <mergeCell ref="A1071:A1072"/>
    <mergeCell ref="B1071:B1072"/>
    <mergeCell ref="C1071:C1072"/>
    <mergeCell ref="D1071:D1072"/>
    <mergeCell ref="E1071:E1072"/>
    <mergeCell ref="F1071:F1072"/>
    <mergeCell ref="H1071:H1072"/>
    <mergeCell ref="I1071:I1072"/>
    <mergeCell ref="J1071:J1072"/>
    <mergeCell ref="K1071:K1072"/>
    <mergeCell ref="L1071:L1072"/>
    <mergeCell ref="A1073:A1074"/>
    <mergeCell ref="B1073:B1074"/>
    <mergeCell ref="C1073:C1074"/>
    <mergeCell ref="D1073:D1074"/>
    <mergeCell ref="E1073:E1074"/>
    <mergeCell ref="F1073:F1074"/>
    <mergeCell ref="H1073:H1074"/>
    <mergeCell ref="I1073:I1074"/>
    <mergeCell ref="J1073:J1074"/>
    <mergeCell ref="K1073:K1074"/>
    <mergeCell ref="L1073:L1074"/>
    <mergeCell ref="A1079:A1080"/>
    <mergeCell ref="B1079:B1080"/>
    <mergeCell ref="C1079:C1080"/>
    <mergeCell ref="D1079:D1080"/>
    <mergeCell ref="E1079:E1080"/>
    <mergeCell ref="F1079:F1080"/>
    <mergeCell ref="H1079:H1080"/>
    <mergeCell ref="I1079:I1080"/>
    <mergeCell ref="J1079:J1080"/>
    <mergeCell ref="K1079:K1080"/>
    <mergeCell ref="L1079:L1080"/>
    <mergeCell ref="A1075:A1076"/>
    <mergeCell ref="B1075:B1076"/>
    <mergeCell ref="C1075:C1076"/>
    <mergeCell ref="D1075:D1076"/>
    <mergeCell ref="E1075:E1076"/>
    <mergeCell ref="F1075:F1076"/>
    <mergeCell ref="H1075:H1076"/>
    <mergeCell ref="I1075:I1076"/>
    <mergeCell ref="J1075:J1076"/>
    <mergeCell ref="K1075:K1076"/>
    <mergeCell ref="L1075:L1076"/>
    <mergeCell ref="A1077:A1078"/>
    <mergeCell ref="B1077:B1078"/>
    <mergeCell ref="C1077:C1078"/>
    <mergeCell ref="D1077:D1078"/>
    <mergeCell ref="E1077:E1078"/>
    <mergeCell ref="F1077:F1078"/>
    <mergeCell ref="H1077:H1078"/>
    <mergeCell ref="I1077:I1078"/>
    <mergeCell ref="J1077:J1078"/>
    <mergeCell ref="K1077:K1078"/>
    <mergeCell ref="A1081:A1082"/>
    <mergeCell ref="B1081:B1082"/>
    <mergeCell ref="C1081:C1082"/>
    <mergeCell ref="D1081:D1082"/>
    <mergeCell ref="E1081:E1082"/>
    <mergeCell ref="F1081:F1082"/>
    <mergeCell ref="H1081:H1082"/>
    <mergeCell ref="I1081:I1082"/>
    <mergeCell ref="J1081:J1082"/>
    <mergeCell ref="K1081:K1082"/>
    <mergeCell ref="L1081:L1082"/>
    <mergeCell ref="A1083:A1084"/>
    <mergeCell ref="B1083:B1084"/>
    <mergeCell ref="C1083:C1084"/>
    <mergeCell ref="D1083:D1084"/>
    <mergeCell ref="E1083:E1084"/>
    <mergeCell ref="F1083:F1084"/>
    <mergeCell ref="H1083:H1084"/>
    <mergeCell ref="I1083:I1084"/>
    <mergeCell ref="J1083:J1084"/>
    <mergeCell ref="K1083:K1084"/>
    <mergeCell ref="L1083:L1084"/>
    <mergeCell ref="A1085:A1086"/>
    <mergeCell ref="B1085:B1086"/>
    <mergeCell ref="C1085:C1086"/>
    <mergeCell ref="D1085:D1086"/>
    <mergeCell ref="E1085:E1086"/>
    <mergeCell ref="F1085:F1086"/>
    <mergeCell ref="H1085:H1086"/>
    <mergeCell ref="I1085:I1086"/>
    <mergeCell ref="J1085:J1086"/>
    <mergeCell ref="K1085:K1086"/>
    <mergeCell ref="L1085:L1086"/>
    <mergeCell ref="A1087:A1088"/>
    <mergeCell ref="B1087:B1088"/>
    <mergeCell ref="C1087:C1088"/>
    <mergeCell ref="D1087:D1088"/>
    <mergeCell ref="E1087:E1088"/>
    <mergeCell ref="F1087:F1088"/>
    <mergeCell ref="H1087:H1088"/>
    <mergeCell ref="I1087:I1088"/>
    <mergeCell ref="J1087:J1088"/>
    <mergeCell ref="K1087:K1088"/>
    <mergeCell ref="L1087:L1088"/>
    <mergeCell ref="B1045:B1046"/>
    <mergeCell ref="C1045:C1046"/>
    <mergeCell ref="D1045:D1046"/>
    <mergeCell ref="E1045:E1046"/>
    <mergeCell ref="F1045:F1046"/>
    <mergeCell ref="H1045:H1046"/>
    <mergeCell ref="I1045:I1046"/>
    <mergeCell ref="J1045:J1046"/>
    <mergeCell ref="K1045:K1046"/>
    <mergeCell ref="L1045:L1046"/>
    <mergeCell ref="A1051:A1052"/>
    <mergeCell ref="B1051:B1052"/>
    <mergeCell ref="C1051:C1052"/>
    <mergeCell ref="D1051:D1052"/>
    <mergeCell ref="E1051:E1052"/>
    <mergeCell ref="F1051:F1052"/>
    <mergeCell ref="H1051:H1052"/>
    <mergeCell ref="I1051:I1052"/>
    <mergeCell ref="J1051:J1052"/>
    <mergeCell ref="K1051:K1052"/>
    <mergeCell ref="L1051:L1052"/>
    <mergeCell ref="C1047:C1048"/>
    <mergeCell ref="D1047:D1048"/>
    <mergeCell ref="E1047:E1048"/>
    <mergeCell ref="F1047:F1048"/>
    <mergeCell ref="H1047:H1048"/>
    <mergeCell ref="I1047:I1048"/>
    <mergeCell ref="J1047:J1048"/>
    <mergeCell ref="K1047:K1048"/>
    <mergeCell ref="L1047:L1048"/>
    <mergeCell ref="A1061:A1062"/>
    <mergeCell ref="B1061:B1062"/>
    <mergeCell ref="C1061:C1062"/>
    <mergeCell ref="D1061:D1062"/>
    <mergeCell ref="E1061:E1062"/>
    <mergeCell ref="F1061:F1062"/>
    <mergeCell ref="H1061:H1062"/>
    <mergeCell ref="I1061:I1062"/>
    <mergeCell ref="J1061:J1062"/>
    <mergeCell ref="K1061:K1062"/>
    <mergeCell ref="L1061:L1062"/>
    <mergeCell ref="B1057:B1058"/>
    <mergeCell ref="C1057:C1058"/>
    <mergeCell ref="D1057:D1058"/>
    <mergeCell ref="E1057:E1058"/>
    <mergeCell ref="F1057:F1058"/>
    <mergeCell ref="H1057:H1058"/>
    <mergeCell ref="I1057:I1058"/>
    <mergeCell ref="J1057:J1058"/>
    <mergeCell ref="K1057:K1058"/>
    <mergeCell ref="L1057:L1058"/>
    <mergeCell ref="A1059:A1060"/>
    <mergeCell ref="B1059:B1060"/>
    <mergeCell ref="C1059:C1060"/>
    <mergeCell ref="D1059:D1060"/>
    <mergeCell ref="E1059:E1060"/>
    <mergeCell ref="F1059:F1060"/>
    <mergeCell ref="H1059:H1060"/>
    <mergeCell ref="I1059:I1060"/>
    <mergeCell ref="J1059:J1060"/>
    <mergeCell ref="K1059:K1060"/>
    <mergeCell ref="L1059:L1060"/>
  </mergeCells>
  <pageMargins left="0.75" right="0.75" top="1" bottom="1" header="0.5" footer="0.5"/>
  <pageSetup paperSize="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33"/>
  <sheetViews>
    <sheetView topLeftCell="A675" workbookViewId="0">
      <selection activeCell="B554" sqref="B554:B555"/>
    </sheetView>
  </sheetViews>
  <sheetFormatPr defaultRowHeight="12.75"/>
  <cols>
    <col min="1" max="1" width="4.140625" style="10" customWidth="1"/>
    <col min="2" max="2" width="15.5703125" customWidth="1"/>
    <col min="3" max="3" width="12.7109375" customWidth="1"/>
    <col min="4" max="4" width="11.28515625" customWidth="1"/>
    <col min="5" max="5" width="24.140625" customWidth="1"/>
    <col min="6" max="6" width="12.5703125" customWidth="1"/>
    <col min="7" max="7" width="9.42578125" customWidth="1"/>
    <col min="8" max="9" width="12.85546875" customWidth="1"/>
    <col min="10" max="10" width="11.140625" customWidth="1"/>
    <col min="11" max="11" width="14.140625" customWidth="1"/>
    <col min="12" max="12" width="11" customWidth="1"/>
    <col min="13" max="13" width="12.140625" customWidth="1"/>
    <col min="14" max="14" width="15.28515625" customWidth="1"/>
    <col min="15" max="15" width="10.85546875" customWidth="1"/>
    <col min="16" max="16" width="15.28515625" customWidth="1"/>
  </cols>
  <sheetData>
    <row r="1" spans="1:16" ht="75.75" thickBot="1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3" t="s">
        <v>27</v>
      </c>
      <c r="G1" s="3" t="s">
        <v>7</v>
      </c>
      <c r="H1" s="3" t="s">
        <v>3</v>
      </c>
      <c r="I1" s="3" t="s">
        <v>21</v>
      </c>
      <c r="J1" s="3" t="s">
        <v>22</v>
      </c>
      <c r="K1" s="3" t="s">
        <v>4</v>
      </c>
      <c r="L1" s="3" t="s">
        <v>29</v>
      </c>
      <c r="M1" s="3" t="s">
        <v>5</v>
      </c>
      <c r="N1" s="1"/>
      <c r="O1" s="52" t="s">
        <v>28</v>
      </c>
      <c r="P1" s="6" t="s">
        <v>20</v>
      </c>
    </row>
    <row r="2" spans="1:16" ht="19.5" thickBot="1">
      <c r="A2" s="147"/>
      <c r="B2" s="1335" t="s">
        <v>33</v>
      </c>
      <c r="C2" s="1336"/>
      <c r="D2" s="1336"/>
      <c r="E2" s="1336"/>
      <c r="F2" s="1336"/>
      <c r="G2" s="1336"/>
      <c r="H2" s="1336"/>
      <c r="I2" s="1336"/>
      <c r="J2" s="1336"/>
      <c r="K2" s="1336"/>
      <c r="L2" s="1336"/>
      <c r="M2" s="1337"/>
      <c r="N2" s="7">
        <f>I4+I6+I8+I12+I14+I16+I18+I20+I22+I24+I26+I28+I30+I32+I36+I38+I40+I42+I44+I46+I48+I58+I66</f>
        <v>73491700</v>
      </c>
      <c r="O2" s="8"/>
      <c r="P2" s="5">
        <v>10500000</v>
      </c>
    </row>
    <row r="3" spans="1:16" ht="18.75">
      <c r="A3" s="147"/>
      <c r="B3" s="1405" t="s">
        <v>859</v>
      </c>
      <c r="C3" s="1406"/>
      <c r="D3" s="1406"/>
      <c r="E3" s="1406"/>
      <c r="F3" s="1406"/>
      <c r="G3" s="1406"/>
      <c r="H3" s="1406"/>
      <c r="I3" s="1406"/>
      <c r="J3" s="1406"/>
      <c r="K3" s="1406"/>
      <c r="L3" s="1406"/>
      <c r="M3" s="1407"/>
      <c r="N3" s="7">
        <f>I5+I7+I9+I13+I15+I17+I19+I21+I23+I25+I27+I29+I31+I33+I37+I39+I41+I43+I45+I47+I49+I59+I67</f>
        <v>0</v>
      </c>
      <c r="O3" s="8"/>
      <c r="P3" s="5">
        <v>10000000</v>
      </c>
    </row>
    <row r="4" spans="1:16" ht="13.5" thickBot="1">
      <c r="A4" s="924">
        <v>1</v>
      </c>
      <c r="B4" s="983" t="s">
        <v>30</v>
      </c>
      <c r="C4" s="986" t="s">
        <v>23</v>
      </c>
      <c r="D4" s="1315">
        <v>41277</v>
      </c>
      <c r="E4" s="983" t="s">
        <v>18</v>
      </c>
      <c r="F4" s="983"/>
      <c r="G4" s="144"/>
      <c r="H4" s="988">
        <v>2000000</v>
      </c>
      <c r="I4" s="916">
        <v>2000000</v>
      </c>
      <c r="J4" s="949"/>
      <c r="K4" s="984">
        <v>2000000</v>
      </c>
      <c r="L4" s="984">
        <v>2000000</v>
      </c>
      <c r="M4" s="1076">
        <f>K4-H4</f>
        <v>0</v>
      </c>
      <c r="O4">
        <v>2837707</v>
      </c>
      <c r="P4" s="5">
        <f>P3</f>
        <v>10000000</v>
      </c>
    </row>
    <row r="5" spans="1:16" ht="16.5" thickBot="1">
      <c r="A5" s="924"/>
      <c r="B5" s="879"/>
      <c r="C5" s="1249"/>
      <c r="D5" s="1197"/>
      <c r="E5" s="1197"/>
      <c r="F5" s="1197"/>
      <c r="G5" s="145" t="s">
        <v>83</v>
      </c>
      <c r="H5" s="1091"/>
      <c r="I5" s="943"/>
      <c r="J5" s="944"/>
      <c r="K5" s="1041"/>
      <c r="L5" s="1041"/>
      <c r="M5" s="1269"/>
      <c r="N5" s="17">
        <f>SUM(M4:M69)</f>
        <v>0</v>
      </c>
      <c r="O5">
        <v>2837707</v>
      </c>
      <c r="P5" s="5">
        <v>10800000</v>
      </c>
    </row>
    <row r="6" spans="1:16" ht="12.75" customHeight="1">
      <c r="A6" s="924">
        <v>2</v>
      </c>
      <c r="B6" s="983" t="s">
        <v>31</v>
      </c>
      <c r="C6" s="986" t="s">
        <v>6</v>
      </c>
      <c r="D6" s="987" t="s">
        <v>37</v>
      </c>
      <c r="E6" s="983" t="s">
        <v>13</v>
      </c>
      <c r="F6" s="983" t="s">
        <v>38</v>
      </c>
      <c r="G6" s="144"/>
      <c r="H6" s="988">
        <v>3300</v>
      </c>
      <c r="I6" s="916">
        <f>H6*J6</f>
        <v>943800</v>
      </c>
      <c r="J6" s="949">
        <v>286</v>
      </c>
      <c r="K6" s="984">
        <v>3300</v>
      </c>
      <c r="L6" s="984">
        <v>3300</v>
      </c>
      <c r="M6" s="1076">
        <f>K6-H6</f>
        <v>0</v>
      </c>
      <c r="N6" s="15"/>
      <c r="O6">
        <v>2837707</v>
      </c>
      <c r="P6" s="5">
        <f>P5</f>
        <v>10800000</v>
      </c>
    </row>
    <row r="7" spans="1:16" ht="12.75" customHeight="1">
      <c r="A7" s="924"/>
      <c r="B7" s="879"/>
      <c r="C7" s="914"/>
      <c r="D7" s="660"/>
      <c r="E7" s="879"/>
      <c r="F7" s="879"/>
      <c r="G7" s="144"/>
      <c r="H7" s="916"/>
      <c r="I7" s="906"/>
      <c r="J7" s="910"/>
      <c r="K7" s="920"/>
      <c r="L7" s="920"/>
      <c r="M7" s="901"/>
      <c r="N7" s="13"/>
      <c r="O7">
        <v>2837707</v>
      </c>
      <c r="P7" s="5">
        <v>10500000</v>
      </c>
    </row>
    <row r="8" spans="1:16" ht="12.75" customHeight="1">
      <c r="A8" s="924">
        <v>3</v>
      </c>
      <c r="B8" s="1343"/>
      <c r="C8" s="913" t="s">
        <v>39</v>
      </c>
      <c r="D8" s="659" t="s">
        <v>42</v>
      </c>
      <c r="E8" s="878" t="s">
        <v>40</v>
      </c>
      <c r="F8" s="878" t="s">
        <v>41</v>
      </c>
      <c r="G8" s="139"/>
      <c r="H8" s="915">
        <v>2080000</v>
      </c>
      <c r="I8" s="905">
        <v>2080000</v>
      </c>
      <c r="J8" s="909"/>
      <c r="K8" s="919">
        <v>2080000</v>
      </c>
      <c r="L8" s="919">
        <v>2080000</v>
      </c>
      <c r="M8" s="900">
        <f>K8-H8</f>
        <v>0</v>
      </c>
      <c r="N8" s="13"/>
      <c r="O8">
        <v>2837707</v>
      </c>
      <c r="P8" s="5">
        <v>10000000</v>
      </c>
    </row>
    <row r="9" spans="1:16" ht="12.75" customHeight="1" thickBot="1">
      <c r="A9" s="924"/>
      <c r="B9" s="1344"/>
      <c r="C9" s="1249"/>
      <c r="D9" s="1196"/>
      <c r="E9" s="1197"/>
      <c r="F9" s="1197"/>
      <c r="G9" s="143"/>
      <c r="H9" s="1091"/>
      <c r="I9" s="943"/>
      <c r="J9" s="944"/>
      <c r="K9" s="1041"/>
      <c r="L9" s="1041"/>
      <c r="M9" s="1309"/>
      <c r="N9" s="16"/>
      <c r="O9">
        <v>2837707</v>
      </c>
      <c r="P9" s="5">
        <v>9700000</v>
      </c>
    </row>
    <row r="10" spans="1:16" ht="12.75" hidden="1" customHeight="1">
      <c r="A10" s="924">
        <v>4</v>
      </c>
      <c r="B10" s="983"/>
      <c r="C10" s="986"/>
      <c r="D10" s="987"/>
      <c r="E10" s="983"/>
      <c r="F10" s="983"/>
      <c r="G10" s="144"/>
      <c r="H10" s="988"/>
      <c r="I10" s="916"/>
      <c r="J10" s="949"/>
      <c r="K10" s="984"/>
      <c r="L10" s="984"/>
      <c r="M10" s="1076">
        <f>K10-H10</f>
        <v>0</v>
      </c>
      <c r="N10" s="13"/>
      <c r="O10">
        <v>2837707</v>
      </c>
      <c r="P10" s="5"/>
    </row>
    <row r="11" spans="1:16" ht="13.5" hidden="1" customHeight="1" thickBot="1">
      <c r="A11" s="924"/>
      <c r="B11" s="1197"/>
      <c r="C11" s="1249"/>
      <c r="D11" s="1196"/>
      <c r="E11" s="1197"/>
      <c r="F11" s="1197"/>
      <c r="G11" s="143"/>
      <c r="H11" s="1091"/>
      <c r="I11" s="943"/>
      <c r="J11" s="944"/>
      <c r="K11" s="1041"/>
      <c r="L11" s="1041"/>
      <c r="M11" s="1309"/>
      <c r="N11" s="13"/>
      <c r="O11">
        <v>2837707</v>
      </c>
      <c r="P11" s="5"/>
    </row>
    <row r="12" spans="1:16">
      <c r="A12" s="924">
        <v>5</v>
      </c>
      <c r="B12" s="983" t="s">
        <v>32</v>
      </c>
      <c r="C12" s="986" t="s">
        <v>6</v>
      </c>
      <c r="D12" s="987" t="s">
        <v>37</v>
      </c>
      <c r="E12" s="983" t="s">
        <v>13</v>
      </c>
      <c r="F12" s="983" t="s">
        <v>38</v>
      </c>
      <c r="G12" s="144"/>
      <c r="H12" s="988">
        <v>3300</v>
      </c>
      <c r="I12" s="916">
        <f>H12*J12</f>
        <v>943800</v>
      </c>
      <c r="J12" s="949">
        <v>286</v>
      </c>
      <c r="K12" s="984">
        <v>3300</v>
      </c>
      <c r="L12" s="984">
        <v>3300</v>
      </c>
      <c r="M12" s="1076">
        <f>K12-H12</f>
        <v>0</v>
      </c>
      <c r="N12" s="13"/>
      <c r="O12">
        <v>2837707</v>
      </c>
      <c r="P12" s="5">
        <f>P7</f>
        <v>10500000</v>
      </c>
    </row>
    <row r="13" spans="1:16">
      <c r="A13" s="924"/>
      <c r="B13" s="879"/>
      <c r="C13" s="914"/>
      <c r="D13" s="660"/>
      <c r="E13" s="879"/>
      <c r="F13" s="879"/>
      <c r="G13" s="144"/>
      <c r="H13" s="916"/>
      <c r="I13" s="906"/>
      <c r="J13" s="910"/>
      <c r="K13" s="920"/>
      <c r="L13" s="920"/>
      <c r="M13" s="901"/>
      <c r="O13">
        <v>2837707</v>
      </c>
      <c r="P13" s="5">
        <f>P9</f>
        <v>9700000</v>
      </c>
    </row>
    <row r="14" spans="1:16">
      <c r="A14" s="924">
        <v>6</v>
      </c>
      <c r="B14" s="1339"/>
      <c r="C14" s="986" t="s">
        <v>43</v>
      </c>
      <c r="D14" s="987" t="s">
        <v>48</v>
      </c>
      <c r="E14" s="983" t="s">
        <v>40</v>
      </c>
      <c r="F14" s="878" t="s">
        <v>41</v>
      </c>
      <c r="G14" s="144"/>
      <c r="H14" s="988">
        <v>1800000</v>
      </c>
      <c r="I14" s="916">
        <v>1800000</v>
      </c>
      <c r="J14" s="909"/>
      <c r="K14" s="988">
        <v>1800000</v>
      </c>
      <c r="L14" s="988">
        <v>1800000</v>
      </c>
      <c r="M14" s="1076">
        <f>K14-H14</f>
        <v>0</v>
      </c>
      <c r="N14" s="5">
        <f>N5+N74+N138+N222+N317</f>
        <v>-2250000</v>
      </c>
      <c r="O14">
        <v>2837707</v>
      </c>
      <c r="P14" s="5">
        <f>P13</f>
        <v>9700000</v>
      </c>
    </row>
    <row r="15" spans="1:16">
      <c r="A15" s="924"/>
      <c r="B15" s="1340"/>
      <c r="C15" s="914"/>
      <c r="D15" s="660"/>
      <c r="E15" s="879"/>
      <c r="F15" s="879"/>
      <c r="G15" s="144"/>
      <c r="H15" s="916"/>
      <c r="I15" s="906"/>
      <c r="J15" s="910"/>
      <c r="K15" s="920"/>
      <c r="L15" s="920"/>
      <c r="M15" s="901"/>
      <c r="N15" s="5"/>
      <c r="O15">
        <v>2837707</v>
      </c>
      <c r="P15" s="5">
        <f>P8</f>
        <v>10000000</v>
      </c>
    </row>
    <row r="16" spans="1:16">
      <c r="A16" s="924">
        <v>7</v>
      </c>
      <c r="B16" s="983"/>
      <c r="C16" s="986" t="s">
        <v>44</v>
      </c>
      <c r="D16" s="987" t="s">
        <v>48</v>
      </c>
      <c r="E16" s="983" t="s">
        <v>47</v>
      </c>
      <c r="F16" s="1315">
        <v>41288</v>
      </c>
      <c r="G16" s="144"/>
      <c r="H16" s="988">
        <v>3200000</v>
      </c>
      <c r="I16" s="916">
        <v>3200000</v>
      </c>
      <c r="J16" s="909"/>
      <c r="K16" s="984">
        <v>3200000</v>
      </c>
      <c r="L16" s="984">
        <v>3200000</v>
      </c>
      <c r="M16" s="1076">
        <f>K16-H16</f>
        <v>0</v>
      </c>
      <c r="N16" s="5"/>
      <c r="O16">
        <v>2837707</v>
      </c>
      <c r="P16" s="5">
        <v>10800000</v>
      </c>
    </row>
    <row r="17" spans="1:16">
      <c r="A17" s="924"/>
      <c r="B17" s="879"/>
      <c r="C17" s="914"/>
      <c r="D17" s="660"/>
      <c r="E17" s="879"/>
      <c r="F17" s="879"/>
      <c r="G17" s="144"/>
      <c r="H17" s="916"/>
      <c r="I17" s="906"/>
      <c r="J17" s="910"/>
      <c r="K17" s="920"/>
      <c r="L17" s="920"/>
      <c r="M17" s="901"/>
      <c r="N17" s="5"/>
      <c r="O17">
        <v>2837707</v>
      </c>
      <c r="P17" s="5">
        <v>10300000</v>
      </c>
    </row>
    <row r="18" spans="1:16">
      <c r="A18" s="924">
        <v>8</v>
      </c>
      <c r="B18" s="983"/>
      <c r="C18" s="986" t="s">
        <v>45</v>
      </c>
      <c r="D18" s="987" t="s">
        <v>58</v>
      </c>
      <c r="E18" s="983" t="s">
        <v>57</v>
      </c>
      <c r="F18" s="1315">
        <v>41289</v>
      </c>
      <c r="G18" s="144"/>
      <c r="H18" s="988">
        <v>2600000</v>
      </c>
      <c r="I18" s="916">
        <v>2600000</v>
      </c>
      <c r="J18" s="909"/>
      <c r="K18" s="984">
        <v>2600000</v>
      </c>
      <c r="L18" s="984">
        <v>2600000</v>
      </c>
      <c r="M18" s="1076">
        <f>K18-H18</f>
        <v>0</v>
      </c>
      <c r="O18">
        <v>2837707</v>
      </c>
      <c r="P18" s="5">
        <f>P7</f>
        <v>10500000</v>
      </c>
    </row>
    <row r="19" spans="1:16">
      <c r="A19" s="924"/>
      <c r="B19" s="879"/>
      <c r="C19" s="914"/>
      <c r="D19" s="660"/>
      <c r="E19" s="879"/>
      <c r="F19" s="879"/>
      <c r="G19" s="144"/>
      <c r="H19" s="916"/>
      <c r="I19" s="906"/>
      <c r="J19" s="910"/>
      <c r="K19" s="920"/>
      <c r="L19" s="920"/>
      <c r="M19" s="901"/>
      <c r="O19">
        <v>2837707</v>
      </c>
      <c r="P19" s="5">
        <f>P18</f>
        <v>10500000</v>
      </c>
    </row>
    <row r="20" spans="1:16" ht="19.5" customHeight="1">
      <c r="A20" s="924">
        <v>9</v>
      </c>
      <c r="B20" s="878" t="s">
        <v>178</v>
      </c>
      <c r="C20" s="913" t="s">
        <v>46</v>
      </c>
      <c r="D20" s="659" t="s">
        <v>58</v>
      </c>
      <c r="E20" s="878" t="s">
        <v>62</v>
      </c>
      <c r="F20" s="1123">
        <v>41289</v>
      </c>
      <c r="G20" s="142" t="s">
        <v>64</v>
      </c>
      <c r="H20" s="915">
        <v>850000</v>
      </c>
      <c r="I20" s="905">
        <v>850000</v>
      </c>
      <c r="J20" s="909"/>
      <c r="K20" s="919">
        <v>850000</v>
      </c>
      <c r="L20" s="919">
        <v>850000</v>
      </c>
      <c r="M20" s="900">
        <f>K20-H20</f>
        <v>0</v>
      </c>
      <c r="O20">
        <v>2837707</v>
      </c>
      <c r="P20" s="5">
        <f>P19</f>
        <v>10500000</v>
      </c>
    </row>
    <row r="21" spans="1:16" ht="12" customHeight="1" thickBot="1">
      <c r="A21" s="924"/>
      <c r="B21" s="1197"/>
      <c r="C21" s="1249"/>
      <c r="D21" s="1196"/>
      <c r="E21" s="1197"/>
      <c r="F21" s="1197"/>
      <c r="G21" s="143"/>
      <c r="H21" s="1091"/>
      <c r="I21" s="943"/>
      <c r="J21" s="944"/>
      <c r="K21" s="1041"/>
      <c r="L21" s="1041"/>
      <c r="M21" s="1309"/>
      <c r="O21">
        <v>2837707</v>
      </c>
      <c r="P21" s="5">
        <f>P14</f>
        <v>9700000</v>
      </c>
    </row>
    <row r="22" spans="1:16" ht="12.75" customHeight="1">
      <c r="A22" s="924">
        <v>10</v>
      </c>
      <c r="B22" s="983" t="s">
        <v>34</v>
      </c>
      <c r="C22" s="1019" t="s">
        <v>59</v>
      </c>
      <c r="D22" s="987" t="s">
        <v>48</v>
      </c>
      <c r="E22" s="983" t="s">
        <v>20</v>
      </c>
      <c r="F22" s="878" t="s">
        <v>60</v>
      </c>
      <c r="G22" s="144"/>
      <c r="H22" s="988">
        <v>10500000</v>
      </c>
      <c r="I22" s="916">
        <v>10500000</v>
      </c>
      <c r="J22" s="949"/>
      <c r="K22" s="984">
        <v>10500000</v>
      </c>
      <c r="L22" s="984">
        <v>10500000</v>
      </c>
      <c r="M22" s="1076">
        <f>K22-H22</f>
        <v>0</v>
      </c>
      <c r="N22" s="5"/>
      <c r="O22">
        <v>2837707</v>
      </c>
      <c r="P22" s="5">
        <v>10800000</v>
      </c>
    </row>
    <row r="23" spans="1:16" ht="13.5" customHeight="1" thickBot="1">
      <c r="A23" s="924"/>
      <c r="B23" s="879"/>
      <c r="C23" s="660"/>
      <c r="D23" s="660"/>
      <c r="E23" s="879"/>
      <c r="F23" s="1197"/>
      <c r="G23" s="144"/>
      <c r="H23" s="916"/>
      <c r="I23" s="906"/>
      <c r="J23" s="910"/>
      <c r="K23" s="920"/>
      <c r="L23" s="920"/>
      <c r="M23" s="901"/>
      <c r="O23">
        <v>2837707</v>
      </c>
      <c r="P23" s="5">
        <f>P21</f>
        <v>9700000</v>
      </c>
    </row>
    <row r="24" spans="1:16">
      <c r="A24" s="924">
        <v>11</v>
      </c>
      <c r="B24" s="1341"/>
      <c r="C24" s="986" t="s">
        <v>50</v>
      </c>
      <c r="D24" s="987" t="s">
        <v>49</v>
      </c>
      <c r="E24" s="983" t="s">
        <v>14</v>
      </c>
      <c r="F24" s="1315">
        <v>41292</v>
      </c>
      <c r="G24" s="144"/>
      <c r="H24" s="988">
        <v>3400000</v>
      </c>
      <c r="I24" s="916">
        <v>3400000</v>
      </c>
      <c r="J24" s="909"/>
      <c r="K24" s="984">
        <v>3400000</v>
      </c>
      <c r="L24" s="984">
        <v>3400000</v>
      </c>
      <c r="M24" s="1076">
        <f>K24-H24</f>
        <v>0</v>
      </c>
      <c r="O24">
        <v>2837707</v>
      </c>
      <c r="P24" s="5">
        <f>P23</f>
        <v>9700000</v>
      </c>
    </row>
    <row r="25" spans="1:16">
      <c r="A25" s="924"/>
      <c r="B25" s="1342"/>
      <c r="C25" s="914"/>
      <c r="D25" s="660"/>
      <c r="E25" s="879"/>
      <c r="F25" s="879"/>
      <c r="G25" s="144"/>
      <c r="H25" s="916"/>
      <c r="I25" s="906"/>
      <c r="J25" s="910"/>
      <c r="K25" s="920"/>
      <c r="L25" s="920"/>
      <c r="M25" s="901"/>
      <c r="O25">
        <v>2837707</v>
      </c>
      <c r="P25" s="5">
        <f>P24</f>
        <v>9700000</v>
      </c>
    </row>
    <row r="26" spans="1:16">
      <c r="A26" s="924">
        <v>12</v>
      </c>
      <c r="B26" s="878"/>
      <c r="C26" s="913" t="s">
        <v>51</v>
      </c>
      <c r="D26" s="659" t="s">
        <v>49</v>
      </c>
      <c r="E26" s="878" t="s">
        <v>17</v>
      </c>
      <c r="F26" s="1123">
        <v>41292</v>
      </c>
      <c r="G26" s="139"/>
      <c r="H26" s="915">
        <v>2800000</v>
      </c>
      <c r="I26" s="905">
        <v>2800000</v>
      </c>
      <c r="J26" s="909"/>
      <c r="K26" s="919">
        <v>2800000</v>
      </c>
      <c r="L26" s="919">
        <v>2800000</v>
      </c>
      <c r="M26" s="900">
        <f>K26-H26</f>
        <v>0</v>
      </c>
      <c r="O26">
        <v>2837707</v>
      </c>
      <c r="P26" s="5">
        <v>11100000</v>
      </c>
    </row>
    <row r="27" spans="1:16" ht="13.5" thickBot="1">
      <c r="A27" s="924"/>
      <c r="B27" s="1197"/>
      <c r="C27" s="1249"/>
      <c r="D27" s="1196"/>
      <c r="E27" s="1197"/>
      <c r="F27" s="1197"/>
      <c r="G27" s="143"/>
      <c r="H27" s="1091"/>
      <c r="I27" s="943"/>
      <c r="J27" s="944"/>
      <c r="K27" s="1041"/>
      <c r="L27" s="1041"/>
      <c r="M27" s="1309"/>
      <c r="O27">
        <v>2837707</v>
      </c>
      <c r="P27" s="5">
        <f>P25</f>
        <v>9700000</v>
      </c>
    </row>
    <row r="28" spans="1:16">
      <c r="A28" s="924">
        <v>13</v>
      </c>
      <c r="B28" s="983" t="s">
        <v>35</v>
      </c>
      <c r="C28" s="986" t="s">
        <v>53</v>
      </c>
      <c r="D28" s="987" t="s">
        <v>49</v>
      </c>
      <c r="E28" s="983" t="s">
        <v>25</v>
      </c>
      <c r="F28" s="1315">
        <v>41292</v>
      </c>
      <c r="G28" s="144"/>
      <c r="H28" s="988">
        <v>583000</v>
      </c>
      <c r="I28" s="916">
        <v>583000</v>
      </c>
      <c r="J28" s="949"/>
      <c r="K28" s="984">
        <v>583000</v>
      </c>
      <c r="L28" s="984">
        <v>583000</v>
      </c>
      <c r="M28" s="1076">
        <f>K28-H28</f>
        <v>0</v>
      </c>
      <c r="O28">
        <v>2837707</v>
      </c>
      <c r="P28" s="5">
        <f>P27</f>
        <v>9700000</v>
      </c>
    </row>
    <row r="29" spans="1:16">
      <c r="A29" s="924"/>
      <c r="B29" s="879"/>
      <c r="C29" s="914"/>
      <c r="D29" s="660"/>
      <c r="E29" s="879"/>
      <c r="F29" s="879"/>
      <c r="G29" s="144"/>
      <c r="H29" s="916"/>
      <c r="I29" s="906"/>
      <c r="J29" s="910"/>
      <c r="K29" s="920"/>
      <c r="L29" s="920"/>
      <c r="M29" s="901"/>
      <c r="O29">
        <v>2837707</v>
      </c>
      <c r="P29" s="5">
        <v>10800000</v>
      </c>
    </row>
    <row r="30" spans="1:16">
      <c r="A30" s="924">
        <v>14</v>
      </c>
      <c r="B30" s="1338"/>
      <c r="C30" s="986" t="s">
        <v>54</v>
      </c>
      <c r="D30" s="987" t="s">
        <v>49</v>
      </c>
      <c r="E30" s="983" t="s">
        <v>52</v>
      </c>
      <c r="F30" s="1315">
        <v>41292</v>
      </c>
      <c r="G30" s="144"/>
      <c r="H30" s="988">
        <v>853000</v>
      </c>
      <c r="I30" s="916">
        <f>H30</f>
        <v>853000</v>
      </c>
      <c r="J30" s="909"/>
      <c r="K30" s="984">
        <v>853000</v>
      </c>
      <c r="L30" s="984">
        <v>853000</v>
      </c>
      <c r="M30" s="1076">
        <f>K30-H30</f>
        <v>0</v>
      </c>
      <c r="O30">
        <v>2837707</v>
      </c>
      <c r="P30" s="5">
        <v>9700000</v>
      </c>
    </row>
    <row r="31" spans="1:16">
      <c r="A31" s="924"/>
      <c r="B31" s="957"/>
      <c r="C31" s="914"/>
      <c r="D31" s="660"/>
      <c r="E31" s="879"/>
      <c r="F31" s="879"/>
      <c r="G31" s="144"/>
      <c r="H31" s="916"/>
      <c r="I31" s="906"/>
      <c r="J31" s="910"/>
      <c r="K31" s="920"/>
      <c r="L31" s="920"/>
      <c r="M31" s="901"/>
      <c r="O31">
        <v>2837707</v>
      </c>
      <c r="P31" s="5">
        <v>10000000</v>
      </c>
    </row>
    <row r="32" spans="1:16" ht="12.75" customHeight="1">
      <c r="A32" s="924">
        <v>15</v>
      </c>
      <c r="B32" s="878"/>
      <c r="C32" s="913" t="s">
        <v>56</v>
      </c>
      <c r="D32" s="659" t="s">
        <v>49</v>
      </c>
      <c r="E32" s="878" t="s">
        <v>55</v>
      </c>
      <c r="F32" s="1123">
        <v>41292</v>
      </c>
      <c r="G32" s="139"/>
      <c r="H32" s="915">
        <v>1980</v>
      </c>
      <c r="I32" s="905">
        <f>H32*J32</f>
        <v>564300</v>
      </c>
      <c r="J32" s="909">
        <v>285</v>
      </c>
      <c r="K32" s="919">
        <v>1980</v>
      </c>
      <c r="L32" s="919">
        <v>1980</v>
      </c>
      <c r="M32" s="900">
        <f>K32-H32</f>
        <v>0</v>
      </c>
      <c r="O32">
        <v>2837707</v>
      </c>
      <c r="P32" s="5">
        <f>P30</f>
        <v>9700000</v>
      </c>
    </row>
    <row r="33" spans="1:16" ht="13.5" customHeight="1" thickBot="1">
      <c r="A33" s="924"/>
      <c r="B33" s="1197"/>
      <c r="C33" s="1249"/>
      <c r="D33" s="1196"/>
      <c r="E33" s="1197"/>
      <c r="F33" s="1197"/>
      <c r="G33" s="143"/>
      <c r="H33" s="1091"/>
      <c r="I33" s="943"/>
      <c r="J33" s="944"/>
      <c r="K33" s="1041"/>
      <c r="L33" s="1041"/>
      <c r="M33" s="1309"/>
      <c r="O33">
        <v>2837707</v>
      </c>
      <c r="P33" s="5">
        <f>P32</f>
        <v>9700000</v>
      </c>
    </row>
    <row r="34" spans="1:16" ht="12.75" hidden="1" customHeight="1">
      <c r="A34" s="924">
        <v>16</v>
      </c>
      <c r="B34" s="983"/>
      <c r="C34" s="986"/>
      <c r="D34" s="987"/>
      <c r="E34" s="983"/>
      <c r="F34" s="983"/>
      <c r="G34" s="144"/>
      <c r="H34" s="988"/>
      <c r="I34" s="905">
        <f>H34*J34</f>
        <v>0</v>
      </c>
      <c r="J34" s="949"/>
      <c r="K34" s="984"/>
      <c r="L34" s="984"/>
      <c r="M34" s="1076">
        <f>K34-H34</f>
        <v>0</v>
      </c>
      <c r="O34">
        <v>2837707</v>
      </c>
      <c r="P34" s="5"/>
    </row>
    <row r="35" spans="1:16" ht="12.75" hidden="1" customHeight="1">
      <c r="A35" s="924"/>
      <c r="B35" s="879"/>
      <c r="C35" s="914"/>
      <c r="D35" s="660"/>
      <c r="E35" s="879"/>
      <c r="F35" s="879"/>
      <c r="G35" s="144"/>
      <c r="H35" s="916"/>
      <c r="I35" s="943"/>
      <c r="J35" s="910"/>
      <c r="K35" s="920"/>
      <c r="L35" s="920"/>
      <c r="M35" s="901"/>
      <c r="O35">
        <v>2837707</v>
      </c>
      <c r="P35" s="5"/>
    </row>
    <row r="36" spans="1:16">
      <c r="A36" s="924">
        <v>17</v>
      </c>
      <c r="B36" s="983" t="s">
        <v>36</v>
      </c>
      <c r="C36" s="986" t="s">
        <v>6</v>
      </c>
      <c r="D36" s="987" t="s">
        <v>61</v>
      </c>
      <c r="E36" s="983" t="s">
        <v>13</v>
      </c>
      <c r="F36" s="983" t="s">
        <v>38</v>
      </c>
      <c r="G36" s="144"/>
      <c r="H36" s="988">
        <v>3300</v>
      </c>
      <c r="I36" s="905">
        <f>H36*J36</f>
        <v>943800</v>
      </c>
      <c r="J36" s="909">
        <v>286</v>
      </c>
      <c r="K36" s="984">
        <v>3300</v>
      </c>
      <c r="L36" s="984">
        <v>3300</v>
      </c>
      <c r="M36" s="1076">
        <f>K36-H36</f>
        <v>0</v>
      </c>
      <c r="O36">
        <v>2837707</v>
      </c>
      <c r="P36" s="5">
        <f>P33</f>
        <v>9700000</v>
      </c>
    </row>
    <row r="37" spans="1:16" ht="13.5" thickBot="1">
      <c r="A37" s="924"/>
      <c r="B37" s="879"/>
      <c r="C37" s="914"/>
      <c r="D37" s="660"/>
      <c r="E37" s="879"/>
      <c r="F37" s="879"/>
      <c r="G37" s="144"/>
      <c r="H37" s="916"/>
      <c r="I37" s="943"/>
      <c r="J37" s="910"/>
      <c r="K37" s="920"/>
      <c r="L37" s="920"/>
      <c r="M37" s="901"/>
      <c r="O37">
        <v>2837707</v>
      </c>
      <c r="P37" s="5">
        <f>P36</f>
        <v>9700000</v>
      </c>
    </row>
    <row r="38" spans="1:16">
      <c r="A38" s="924">
        <v>18</v>
      </c>
      <c r="B38" s="956"/>
      <c r="C38" s="913" t="s">
        <v>66</v>
      </c>
      <c r="D38" s="659" t="s">
        <v>69</v>
      </c>
      <c r="E38" s="878" t="s">
        <v>40</v>
      </c>
      <c r="F38" s="878" t="s">
        <v>41</v>
      </c>
      <c r="G38" s="139"/>
      <c r="H38" s="915">
        <v>2330000</v>
      </c>
      <c r="I38" s="905">
        <f>H38</f>
        <v>2330000</v>
      </c>
      <c r="J38" s="909"/>
      <c r="K38" s="919">
        <v>2330000</v>
      </c>
      <c r="L38" s="919">
        <v>2330000</v>
      </c>
      <c r="M38" s="900">
        <f>K38-H38</f>
        <v>0</v>
      </c>
      <c r="O38">
        <v>2837707</v>
      </c>
      <c r="P38" s="5">
        <v>11400000</v>
      </c>
    </row>
    <row r="39" spans="1:16" ht="13.5" thickBot="1">
      <c r="A39" s="924"/>
      <c r="B39" s="1334"/>
      <c r="C39" s="1249"/>
      <c r="D39" s="1196"/>
      <c r="E39" s="1197"/>
      <c r="F39" s="1197"/>
      <c r="G39" s="143"/>
      <c r="H39" s="1091"/>
      <c r="I39" s="943"/>
      <c r="J39" s="944"/>
      <c r="K39" s="1041"/>
      <c r="L39" s="1041"/>
      <c r="M39" s="1309"/>
      <c r="O39">
        <v>2837707</v>
      </c>
      <c r="P39" s="5">
        <f>P37</f>
        <v>9700000</v>
      </c>
    </row>
    <row r="40" spans="1:16">
      <c r="A40" s="924">
        <v>19</v>
      </c>
      <c r="B40" s="983" t="s">
        <v>106</v>
      </c>
      <c r="C40" s="986" t="s">
        <v>65</v>
      </c>
      <c r="D40" s="987" t="s">
        <v>63</v>
      </c>
      <c r="E40" s="983" t="s">
        <v>20</v>
      </c>
      <c r="F40" s="878" t="s">
        <v>60</v>
      </c>
      <c r="G40" s="144"/>
      <c r="H40" s="988">
        <v>10000000</v>
      </c>
      <c r="I40" s="916">
        <v>10000000</v>
      </c>
      <c r="J40" s="949"/>
      <c r="K40" s="984">
        <v>10000000</v>
      </c>
      <c r="L40" s="984">
        <v>10000000</v>
      </c>
      <c r="M40" s="1076">
        <f>K40-H40</f>
        <v>0</v>
      </c>
      <c r="O40">
        <v>2837707</v>
      </c>
      <c r="P40" s="5">
        <v>10000000</v>
      </c>
    </row>
    <row r="41" spans="1:16" ht="13.5" thickBot="1">
      <c r="A41" s="924"/>
      <c r="B41" s="879"/>
      <c r="C41" s="914"/>
      <c r="D41" s="660"/>
      <c r="E41" s="879"/>
      <c r="F41" s="1197"/>
      <c r="G41" s="144"/>
      <c r="H41" s="916"/>
      <c r="I41" s="906"/>
      <c r="J41" s="910"/>
      <c r="K41" s="920"/>
      <c r="L41" s="920"/>
      <c r="M41" s="901"/>
      <c r="O41">
        <v>2837707</v>
      </c>
      <c r="P41" s="5">
        <f>P39</f>
        <v>9700000</v>
      </c>
    </row>
    <row r="42" spans="1:16">
      <c r="A42" s="924">
        <v>20</v>
      </c>
      <c r="B42" s="1339"/>
      <c r="C42" s="986" t="s">
        <v>67</v>
      </c>
      <c r="D42" s="987" t="s">
        <v>69</v>
      </c>
      <c r="E42" s="983" t="s">
        <v>68</v>
      </c>
      <c r="F42" s="1315">
        <v>41297</v>
      </c>
      <c r="G42" s="144"/>
      <c r="H42" s="988">
        <v>3300000</v>
      </c>
      <c r="I42" s="916">
        <v>3300000</v>
      </c>
      <c r="J42" s="909"/>
      <c r="K42" s="984">
        <v>3300000</v>
      </c>
      <c r="L42" s="984">
        <v>3300000</v>
      </c>
      <c r="M42" s="1076">
        <f>K42-H42</f>
        <v>0</v>
      </c>
      <c r="O42">
        <v>2837707</v>
      </c>
      <c r="P42" s="5">
        <f>P40</f>
        <v>10000000</v>
      </c>
    </row>
    <row r="43" spans="1:16" ht="25.5">
      <c r="A43" s="924"/>
      <c r="B43" s="1340"/>
      <c r="C43" s="914"/>
      <c r="D43" s="660"/>
      <c r="E43" s="879"/>
      <c r="F43" s="879"/>
      <c r="G43" s="148" t="s">
        <v>19</v>
      </c>
      <c r="H43" s="916"/>
      <c r="I43" s="906"/>
      <c r="J43" s="910"/>
      <c r="K43" s="920"/>
      <c r="L43" s="920"/>
      <c r="M43" s="901"/>
      <c r="O43">
        <v>2837707</v>
      </c>
      <c r="P43" s="5">
        <f>P42</f>
        <v>10000000</v>
      </c>
    </row>
    <row r="44" spans="1:16">
      <c r="A44" s="924">
        <v>21</v>
      </c>
      <c r="B44" s="983"/>
      <c r="C44" s="986" t="s">
        <v>70</v>
      </c>
      <c r="D44" s="987" t="s">
        <v>69</v>
      </c>
      <c r="E44" s="983" t="s">
        <v>26</v>
      </c>
      <c r="F44" s="1315">
        <v>41298</v>
      </c>
      <c r="G44" s="144"/>
      <c r="H44" s="988">
        <v>1050000</v>
      </c>
      <c r="I44" s="916">
        <f>H44</f>
        <v>1050000</v>
      </c>
      <c r="J44" s="909"/>
      <c r="K44" s="984">
        <v>1050000</v>
      </c>
      <c r="L44" s="984">
        <v>1050000</v>
      </c>
      <c r="M44" s="1076">
        <f>K44-H44</f>
        <v>0</v>
      </c>
      <c r="O44">
        <v>2837707</v>
      </c>
      <c r="P44" s="5">
        <f>P36</f>
        <v>9700000</v>
      </c>
    </row>
    <row r="45" spans="1:16">
      <c r="A45" s="924"/>
      <c r="B45" s="879"/>
      <c r="C45" s="914"/>
      <c r="D45" s="660"/>
      <c r="E45" s="879"/>
      <c r="F45" s="879"/>
      <c r="G45" s="144"/>
      <c r="H45" s="916"/>
      <c r="I45" s="906"/>
      <c r="J45" s="910"/>
      <c r="K45" s="920"/>
      <c r="L45" s="920"/>
      <c r="M45" s="901"/>
      <c r="O45">
        <v>2837707</v>
      </c>
      <c r="P45" s="5">
        <f>P44</f>
        <v>9700000</v>
      </c>
    </row>
    <row r="46" spans="1:16">
      <c r="A46" s="924">
        <v>22</v>
      </c>
      <c r="B46" s="878"/>
      <c r="C46" s="913" t="s">
        <v>71</v>
      </c>
      <c r="D46" s="659" t="s">
        <v>69</v>
      </c>
      <c r="E46" s="878" t="s">
        <v>16</v>
      </c>
      <c r="F46" s="878" t="s">
        <v>74</v>
      </c>
      <c r="G46" s="139"/>
      <c r="H46" s="915">
        <v>450000</v>
      </c>
      <c r="I46" s="905">
        <v>450000</v>
      </c>
      <c r="J46" s="909"/>
      <c r="K46" s="919">
        <v>450000</v>
      </c>
      <c r="L46" s="919">
        <v>450000</v>
      </c>
      <c r="M46" s="900">
        <f>K46-H46</f>
        <v>0</v>
      </c>
      <c r="O46">
        <v>2837707</v>
      </c>
      <c r="P46" s="5">
        <f>P43</f>
        <v>10000000</v>
      </c>
    </row>
    <row r="47" spans="1:16" ht="13.5" thickBot="1">
      <c r="A47" s="924"/>
      <c r="B47" s="1197"/>
      <c r="C47" s="1249"/>
      <c r="D47" s="1196"/>
      <c r="E47" s="1197"/>
      <c r="F47" s="1197"/>
      <c r="G47" s="143"/>
      <c r="H47" s="1091"/>
      <c r="I47" s="943"/>
      <c r="J47" s="944"/>
      <c r="K47" s="1041"/>
      <c r="L47" s="1041"/>
      <c r="M47" s="1309"/>
      <c r="O47">
        <v>2837707</v>
      </c>
      <c r="P47" s="5">
        <f>P46</f>
        <v>10000000</v>
      </c>
    </row>
    <row r="48" spans="1:16">
      <c r="A48" s="924">
        <v>23</v>
      </c>
      <c r="B48" s="983" t="s">
        <v>72</v>
      </c>
      <c r="C48" s="986" t="s">
        <v>101</v>
      </c>
      <c r="D48" s="987" t="s">
        <v>101</v>
      </c>
      <c r="E48" s="983" t="s">
        <v>20</v>
      </c>
      <c r="F48" s="983"/>
      <c r="G48" s="144"/>
      <c r="H48" s="988">
        <v>10000000</v>
      </c>
      <c r="I48" s="916">
        <f>H48</f>
        <v>10000000</v>
      </c>
      <c r="J48" s="949"/>
      <c r="K48" s="988">
        <v>10000000</v>
      </c>
      <c r="L48" s="984">
        <v>10000000</v>
      </c>
      <c r="M48" s="1076">
        <f>K48-H48</f>
        <v>0</v>
      </c>
      <c r="O48">
        <v>2837707</v>
      </c>
      <c r="P48" s="5">
        <f>P45</f>
        <v>9700000</v>
      </c>
    </row>
    <row r="49" spans="1:16">
      <c r="A49" s="924"/>
      <c r="B49" s="879"/>
      <c r="C49" s="914"/>
      <c r="D49" s="660"/>
      <c r="E49" s="879"/>
      <c r="F49" s="879"/>
      <c r="G49" s="144"/>
      <c r="H49" s="916"/>
      <c r="I49" s="906"/>
      <c r="J49" s="910"/>
      <c r="K49" s="920"/>
      <c r="L49" s="920"/>
      <c r="M49" s="901"/>
      <c r="O49">
        <v>2837707</v>
      </c>
      <c r="P49" s="5">
        <f>P48</f>
        <v>9700000</v>
      </c>
    </row>
    <row r="50" spans="1:16">
      <c r="A50" s="924">
        <v>24</v>
      </c>
      <c r="B50" s="1339"/>
      <c r="C50" s="986" t="s">
        <v>75</v>
      </c>
      <c r="D50" s="987" t="s">
        <v>97</v>
      </c>
      <c r="E50" s="983" t="s">
        <v>92</v>
      </c>
      <c r="F50" s="1315">
        <v>41305</v>
      </c>
      <c r="G50" s="144"/>
      <c r="H50" s="988">
        <v>2900000</v>
      </c>
      <c r="I50" s="916">
        <f>H50</f>
        <v>2900000</v>
      </c>
      <c r="J50" s="909"/>
      <c r="K50" s="984">
        <v>2900000</v>
      </c>
      <c r="L50" s="984">
        <f>K50</f>
        <v>2900000</v>
      </c>
      <c r="M50" s="1076">
        <f>K50-H50</f>
        <v>0</v>
      </c>
      <c r="O50">
        <v>2837707</v>
      </c>
      <c r="P50" s="5">
        <f>P49</f>
        <v>9700000</v>
      </c>
    </row>
    <row r="51" spans="1:16">
      <c r="A51" s="924"/>
      <c r="B51" s="1340"/>
      <c r="C51" s="914"/>
      <c r="D51" s="660"/>
      <c r="E51" s="879"/>
      <c r="F51" s="879"/>
      <c r="G51" s="144"/>
      <c r="H51" s="916"/>
      <c r="I51" s="906"/>
      <c r="J51" s="910"/>
      <c r="K51" s="920"/>
      <c r="L51" s="920"/>
      <c r="M51" s="901"/>
      <c r="O51">
        <v>2837707</v>
      </c>
      <c r="P51" s="5">
        <f>P47</f>
        <v>10000000</v>
      </c>
    </row>
    <row r="52" spans="1:16">
      <c r="A52" s="924">
        <v>25</v>
      </c>
      <c r="B52" s="983"/>
      <c r="C52" s="986" t="s">
        <v>76</v>
      </c>
      <c r="D52" s="987" t="s">
        <v>96</v>
      </c>
      <c r="E52" s="983" t="s">
        <v>18</v>
      </c>
      <c r="F52" s="983"/>
      <c r="G52" s="144"/>
      <c r="H52" s="988">
        <v>4500000</v>
      </c>
      <c r="I52" s="916">
        <f>H52</f>
        <v>4500000</v>
      </c>
      <c r="J52" s="909"/>
      <c r="K52" s="984">
        <v>4500000</v>
      </c>
      <c r="L52" s="984">
        <f>K52</f>
        <v>4500000</v>
      </c>
      <c r="M52" s="1076">
        <f>K52-H52</f>
        <v>0</v>
      </c>
      <c r="O52">
        <v>2837707</v>
      </c>
      <c r="P52" s="5">
        <f>P51</f>
        <v>10000000</v>
      </c>
    </row>
    <row r="53" spans="1:16">
      <c r="A53" s="924"/>
      <c r="B53" s="879"/>
      <c r="C53" s="914"/>
      <c r="D53" s="660"/>
      <c r="E53" s="879"/>
      <c r="F53" s="879"/>
      <c r="G53" s="144"/>
      <c r="H53" s="916"/>
      <c r="I53" s="906"/>
      <c r="J53" s="910"/>
      <c r="K53" s="920"/>
      <c r="L53" s="920"/>
      <c r="M53" s="901"/>
      <c r="O53">
        <v>2837707</v>
      </c>
      <c r="P53" s="5">
        <f>P50</f>
        <v>9700000</v>
      </c>
    </row>
    <row r="54" spans="1:16" ht="12.75" customHeight="1">
      <c r="A54" s="924">
        <v>26</v>
      </c>
      <c r="B54" s="983"/>
      <c r="C54" s="986" t="s">
        <v>77</v>
      </c>
      <c r="D54" s="987" t="s">
        <v>93</v>
      </c>
      <c r="E54" s="983" t="s">
        <v>91</v>
      </c>
      <c r="F54" s="1315">
        <v>41303</v>
      </c>
      <c r="G54" s="144"/>
      <c r="H54" s="988">
        <v>1850000</v>
      </c>
      <c r="I54" s="916">
        <v>1850000</v>
      </c>
      <c r="J54" s="909"/>
      <c r="K54" s="984">
        <v>1850000</v>
      </c>
      <c r="L54" s="984">
        <v>1850000</v>
      </c>
      <c r="M54" s="1076">
        <f>K54-H54</f>
        <v>0</v>
      </c>
      <c r="P54" s="5">
        <f>P52</f>
        <v>10000000</v>
      </c>
    </row>
    <row r="55" spans="1:16" ht="12.75" customHeight="1">
      <c r="A55" s="924"/>
      <c r="B55" s="879"/>
      <c r="C55" s="914"/>
      <c r="D55" s="660"/>
      <c r="E55" s="879"/>
      <c r="F55" s="879"/>
      <c r="G55" s="144"/>
      <c r="H55" s="916"/>
      <c r="I55" s="906"/>
      <c r="J55" s="910"/>
      <c r="K55" s="920"/>
      <c r="L55" s="920"/>
      <c r="M55" s="901"/>
      <c r="P55" s="5">
        <f>P54</f>
        <v>10000000</v>
      </c>
    </row>
    <row r="56" spans="1:16">
      <c r="A56" s="924">
        <v>27</v>
      </c>
      <c r="B56" s="878"/>
      <c r="C56" s="913" t="s">
        <v>78</v>
      </c>
      <c r="D56" s="659" t="s">
        <v>93</v>
      </c>
      <c r="E56" s="878" t="s">
        <v>15</v>
      </c>
      <c r="F56" s="1123">
        <v>41303</v>
      </c>
      <c r="G56" s="139"/>
      <c r="H56" s="915">
        <v>1850000</v>
      </c>
      <c r="I56" s="905">
        <f>H56</f>
        <v>1850000</v>
      </c>
      <c r="J56" s="909"/>
      <c r="K56" s="915">
        <v>1850000</v>
      </c>
      <c r="L56" s="919">
        <v>1850000</v>
      </c>
      <c r="M56" s="900">
        <f>K56-H56</f>
        <v>0</v>
      </c>
      <c r="O56">
        <v>2837707</v>
      </c>
      <c r="P56" s="5">
        <f>P55</f>
        <v>10000000</v>
      </c>
    </row>
    <row r="57" spans="1:16" ht="13.5" thickBot="1">
      <c r="A57" s="924"/>
      <c r="B57" s="1197"/>
      <c r="C57" s="1249"/>
      <c r="D57" s="1196"/>
      <c r="E57" s="1197"/>
      <c r="F57" s="1197"/>
      <c r="G57" s="143"/>
      <c r="H57" s="1091"/>
      <c r="I57" s="943"/>
      <c r="J57" s="944"/>
      <c r="K57" s="1041"/>
      <c r="L57" s="1041"/>
      <c r="M57" s="1309"/>
      <c r="O57">
        <v>2837707</v>
      </c>
      <c r="P57" s="5">
        <f>P53</f>
        <v>9700000</v>
      </c>
    </row>
    <row r="58" spans="1:16">
      <c r="A58" s="924">
        <v>28</v>
      </c>
      <c r="B58" s="983" t="s">
        <v>73</v>
      </c>
      <c r="C58" s="986" t="s">
        <v>100</v>
      </c>
      <c r="D58" s="987" t="s">
        <v>100</v>
      </c>
      <c r="E58" s="983" t="s">
        <v>20</v>
      </c>
      <c r="F58" s="983"/>
      <c r="G58" s="144"/>
      <c r="H58" s="988">
        <v>10800000</v>
      </c>
      <c r="I58" s="916">
        <f>H58</f>
        <v>10800000</v>
      </c>
      <c r="J58" s="949"/>
      <c r="K58" s="984">
        <v>10800000</v>
      </c>
      <c r="L58" s="984">
        <v>10800000</v>
      </c>
      <c r="M58" s="1076">
        <f>K58-H58</f>
        <v>0</v>
      </c>
      <c r="O58">
        <v>2837707</v>
      </c>
      <c r="P58" s="5">
        <f>P57</f>
        <v>9700000</v>
      </c>
    </row>
    <row r="59" spans="1:16">
      <c r="A59" s="924"/>
      <c r="B59" s="879"/>
      <c r="C59" s="914"/>
      <c r="D59" s="660"/>
      <c r="E59" s="879"/>
      <c r="F59" s="879"/>
      <c r="G59" s="144"/>
      <c r="H59" s="916"/>
      <c r="I59" s="906"/>
      <c r="J59" s="910"/>
      <c r="K59" s="920"/>
      <c r="L59" s="920"/>
      <c r="M59" s="901"/>
      <c r="O59">
        <v>2837707</v>
      </c>
      <c r="P59" s="5">
        <f>P56</f>
        <v>10000000</v>
      </c>
    </row>
    <row r="60" spans="1:16" ht="12.75" customHeight="1">
      <c r="A60" s="924">
        <v>29</v>
      </c>
      <c r="B60" s="1345"/>
      <c r="C60" s="986" t="s">
        <v>79</v>
      </c>
      <c r="D60" s="987" t="s">
        <v>96</v>
      </c>
      <c r="E60" s="983" t="s">
        <v>98</v>
      </c>
      <c r="F60" s="1315">
        <v>41306</v>
      </c>
      <c r="G60" s="144"/>
      <c r="H60" s="988">
        <v>450000</v>
      </c>
      <c r="I60" s="916">
        <f>H60</f>
        <v>450000</v>
      </c>
      <c r="J60" s="909"/>
      <c r="K60" s="984">
        <v>450000</v>
      </c>
      <c r="L60" s="984">
        <v>450000</v>
      </c>
      <c r="M60" s="1076">
        <f>K60-H60</f>
        <v>0</v>
      </c>
      <c r="O60">
        <v>2837707</v>
      </c>
      <c r="P60" s="5">
        <f>P59</f>
        <v>10000000</v>
      </c>
    </row>
    <row r="61" spans="1:16" ht="12.75" customHeight="1">
      <c r="A61" s="924"/>
      <c r="B61" s="1346"/>
      <c r="C61" s="914"/>
      <c r="D61" s="660"/>
      <c r="E61" s="879"/>
      <c r="F61" s="879"/>
      <c r="G61" s="144"/>
      <c r="H61" s="916"/>
      <c r="I61" s="906"/>
      <c r="J61" s="910"/>
      <c r="K61" s="920"/>
      <c r="L61" s="920"/>
      <c r="M61" s="901"/>
      <c r="O61">
        <v>2837707</v>
      </c>
      <c r="P61" s="5">
        <f>P58</f>
        <v>9700000</v>
      </c>
    </row>
    <row r="62" spans="1:16" ht="12.75" customHeight="1">
      <c r="A62" s="924">
        <v>30</v>
      </c>
      <c r="B62" s="983"/>
      <c r="C62" s="986" t="s">
        <v>80</v>
      </c>
      <c r="D62" s="987" t="s">
        <v>96</v>
      </c>
      <c r="E62" s="983" t="s">
        <v>99</v>
      </c>
      <c r="F62" s="1315">
        <v>41306</v>
      </c>
      <c r="G62" s="144"/>
      <c r="H62" s="988">
        <v>450000</v>
      </c>
      <c r="I62" s="916">
        <f>H62</f>
        <v>450000</v>
      </c>
      <c r="J62" s="909"/>
      <c r="K62" s="984">
        <v>450000</v>
      </c>
      <c r="L62" s="984">
        <v>450000</v>
      </c>
      <c r="M62" s="1076">
        <f>K62-H62</f>
        <v>0</v>
      </c>
      <c r="P62" s="5">
        <f>P61</f>
        <v>9700000</v>
      </c>
    </row>
    <row r="63" spans="1:16" ht="12.75" customHeight="1">
      <c r="A63" s="924"/>
      <c r="B63" s="879"/>
      <c r="C63" s="914"/>
      <c r="D63" s="660"/>
      <c r="E63" s="879"/>
      <c r="F63" s="879"/>
      <c r="G63" s="144"/>
      <c r="H63" s="916"/>
      <c r="I63" s="906"/>
      <c r="J63" s="910"/>
      <c r="K63" s="920"/>
      <c r="L63" s="920"/>
      <c r="M63" s="901"/>
      <c r="P63" s="5">
        <v>10300000</v>
      </c>
    </row>
    <row r="64" spans="1:16" ht="12.75" customHeight="1">
      <c r="A64" s="924">
        <v>31</v>
      </c>
      <c r="B64" s="878"/>
      <c r="C64" s="913" t="s">
        <v>81</v>
      </c>
      <c r="D64" s="659" t="s">
        <v>96</v>
      </c>
      <c r="E64" s="878" t="s">
        <v>17</v>
      </c>
      <c r="F64" s="878"/>
      <c r="G64" s="144"/>
      <c r="H64" s="988">
        <v>2550000</v>
      </c>
      <c r="I64" s="916">
        <f>H64</f>
        <v>2550000</v>
      </c>
      <c r="J64" s="909"/>
      <c r="K64" s="984">
        <v>2550000</v>
      </c>
      <c r="L64" s="984">
        <v>2550000</v>
      </c>
      <c r="M64" s="1076">
        <f>K64-H64</f>
        <v>0</v>
      </c>
      <c r="O64">
        <v>2837707</v>
      </c>
      <c r="P64" s="5">
        <v>10000000</v>
      </c>
    </row>
    <row r="65" spans="1:16" ht="12.75" customHeight="1" thickBot="1">
      <c r="A65" s="924"/>
      <c r="B65" s="1197"/>
      <c r="C65" s="1249"/>
      <c r="D65" s="1196"/>
      <c r="E65" s="1197"/>
      <c r="F65" s="1197"/>
      <c r="G65" s="144"/>
      <c r="H65" s="916"/>
      <c r="I65" s="906"/>
      <c r="J65" s="910"/>
      <c r="K65" s="920"/>
      <c r="L65" s="920"/>
      <c r="M65" s="901"/>
      <c r="O65">
        <v>2837707</v>
      </c>
      <c r="P65" s="5">
        <f>P64</f>
        <v>10000000</v>
      </c>
    </row>
    <row r="66" spans="1:16" ht="12.75" customHeight="1">
      <c r="A66" s="924">
        <v>32</v>
      </c>
      <c r="B66" s="983" t="s">
        <v>88</v>
      </c>
      <c r="C66" s="986"/>
      <c r="D66" s="987" t="s">
        <v>100</v>
      </c>
      <c r="E66" s="983" t="s">
        <v>94</v>
      </c>
      <c r="F66" s="983"/>
      <c r="G66" s="144"/>
      <c r="H66" s="988">
        <v>1500000</v>
      </c>
      <c r="I66" s="916">
        <f>H66</f>
        <v>1500000</v>
      </c>
      <c r="J66" s="909"/>
      <c r="K66" s="984">
        <v>1500000</v>
      </c>
      <c r="L66" s="984">
        <v>15000000</v>
      </c>
      <c r="M66" s="1076">
        <f>K66-H66</f>
        <v>0</v>
      </c>
      <c r="O66">
        <v>2837707</v>
      </c>
      <c r="P66" s="5">
        <f>P61</f>
        <v>9700000</v>
      </c>
    </row>
    <row r="67" spans="1:16" ht="12.75" customHeight="1">
      <c r="A67" s="924"/>
      <c r="B67" s="879"/>
      <c r="C67" s="914"/>
      <c r="D67" s="660"/>
      <c r="E67" s="879"/>
      <c r="F67" s="879"/>
      <c r="G67" s="144"/>
      <c r="H67" s="916"/>
      <c r="I67" s="906"/>
      <c r="J67" s="910"/>
      <c r="K67" s="920"/>
      <c r="L67" s="920"/>
      <c r="M67" s="901"/>
      <c r="O67">
        <v>2837707</v>
      </c>
      <c r="P67" s="5">
        <f>P65</f>
        <v>10000000</v>
      </c>
    </row>
    <row r="68" spans="1:16" ht="12.75" customHeight="1">
      <c r="A68" s="924">
        <v>33</v>
      </c>
      <c r="B68" s="1310"/>
      <c r="C68" s="986"/>
      <c r="D68" s="987"/>
      <c r="E68" s="983"/>
      <c r="F68" s="983"/>
      <c r="G68" s="144"/>
      <c r="H68" s="988"/>
      <c r="I68" s="916"/>
      <c r="J68" s="909"/>
      <c r="K68" s="984"/>
      <c r="L68" s="984"/>
      <c r="M68" s="1076">
        <f>K68-H68</f>
        <v>0</v>
      </c>
      <c r="O68">
        <v>2837707</v>
      </c>
      <c r="P68" s="5">
        <f>P67</f>
        <v>10000000</v>
      </c>
    </row>
    <row r="69" spans="1:16" ht="12.75" customHeight="1" thickBot="1">
      <c r="A69" s="924"/>
      <c r="B69" s="1311"/>
      <c r="C69" s="914"/>
      <c r="D69" s="660"/>
      <c r="E69" s="879"/>
      <c r="F69" s="879"/>
      <c r="G69" s="144"/>
      <c r="H69" s="916"/>
      <c r="I69" s="906"/>
      <c r="J69" s="910"/>
      <c r="K69" s="920"/>
      <c r="L69" s="920"/>
      <c r="M69" s="901"/>
      <c r="O69">
        <v>2837707</v>
      </c>
      <c r="P69" s="5">
        <f>P68</f>
        <v>10000000</v>
      </c>
    </row>
    <row r="70" spans="1:16" ht="20.25" thickTop="1" thickBot="1">
      <c r="A70" s="147"/>
      <c r="B70" s="1347" t="s">
        <v>90</v>
      </c>
      <c r="C70" s="1348"/>
      <c r="D70" s="1348"/>
      <c r="E70" s="1348"/>
      <c r="F70" s="1348"/>
      <c r="G70" s="1348"/>
      <c r="H70" s="1348"/>
      <c r="I70" s="1348"/>
      <c r="J70" s="1348"/>
      <c r="K70" s="1348"/>
      <c r="L70" s="1348"/>
      <c r="M70" s="1349"/>
      <c r="N70" s="7">
        <f>I50+I52+I54+I56+I60+I62+I64+I71+I73+I75+I77+I79+I81+I83+I87+I89+I91+I93+I97+I99+I101+I105+I107+I109+I113+I115+I119+I121+I125+I127+I129+I131+I133</f>
        <v>131513510</v>
      </c>
      <c r="O70" s="8"/>
      <c r="P70" s="5">
        <f>P66</f>
        <v>9700000</v>
      </c>
    </row>
    <row r="71" spans="1:16" ht="12.75" customHeight="1" thickTop="1">
      <c r="A71" s="867">
        <v>34</v>
      </c>
      <c r="B71" s="983" t="s">
        <v>89</v>
      </c>
      <c r="C71" s="986"/>
      <c r="D71" s="987" t="s">
        <v>113</v>
      </c>
      <c r="E71" s="983" t="s">
        <v>239</v>
      </c>
      <c r="F71" s="983"/>
      <c r="G71" s="144"/>
      <c r="H71" s="988">
        <v>10800000</v>
      </c>
      <c r="I71" s="916">
        <v>10800000</v>
      </c>
      <c r="J71" s="909"/>
      <c r="K71" s="984">
        <v>10800000</v>
      </c>
      <c r="L71" s="984">
        <v>10800000</v>
      </c>
      <c r="M71" s="1076">
        <f>K71-H71</f>
        <v>0</v>
      </c>
      <c r="O71">
        <v>2837707</v>
      </c>
      <c r="P71" s="5">
        <v>11100000</v>
      </c>
    </row>
    <row r="72" spans="1:16" ht="12.75" customHeight="1">
      <c r="A72" s="924"/>
      <c r="B72" s="879"/>
      <c r="C72" s="914"/>
      <c r="D72" s="660"/>
      <c r="E72" s="879"/>
      <c r="F72" s="879"/>
      <c r="G72" s="144"/>
      <c r="H72" s="916"/>
      <c r="I72" s="906"/>
      <c r="J72" s="910"/>
      <c r="K72" s="920"/>
      <c r="L72" s="920"/>
      <c r="M72" s="901"/>
      <c r="O72">
        <v>2837707</v>
      </c>
      <c r="P72" s="5">
        <v>11600000</v>
      </c>
    </row>
    <row r="73" spans="1:16" ht="11.25" customHeight="1" thickBot="1">
      <c r="A73" s="867">
        <v>35</v>
      </c>
      <c r="B73" s="1310"/>
      <c r="C73" s="986" t="s">
        <v>82</v>
      </c>
      <c r="D73" s="987" t="s">
        <v>108</v>
      </c>
      <c r="E73" s="983" t="s">
        <v>240</v>
      </c>
      <c r="F73" s="983"/>
      <c r="G73" s="144"/>
      <c r="H73" s="988">
        <v>2800000</v>
      </c>
      <c r="I73" s="916">
        <v>2800000</v>
      </c>
      <c r="J73" s="909"/>
      <c r="K73" s="984">
        <v>2800000</v>
      </c>
      <c r="L73" s="984">
        <v>2800000</v>
      </c>
      <c r="M73" s="1076">
        <f>K73-H73</f>
        <v>0</v>
      </c>
      <c r="O73">
        <v>2837707</v>
      </c>
      <c r="P73" s="5">
        <v>10700000</v>
      </c>
    </row>
    <row r="74" spans="1:16" ht="21.75" customHeight="1" thickBot="1">
      <c r="A74" s="924"/>
      <c r="B74" s="1311"/>
      <c r="C74" s="914"/>
      <c r="D74" s="660"/>
      <c r="E74" s="879"/>
      <c r="F74" s="879"/>
      <c r="G74" s="144"/>
      <c r="H74" s="916"/>
      <c r="I74" s="906"/>
      <c r="J74" s="910"/>
      <c r="K74" s="920"/>
      <c r="L74" s="920"/>
      <c r="M74" s="1142"/>
      <c r="N74" s="18">
        <f>SUM(M71:M134)</f>
        <v>-2250000</v>
      </c>
      <c r="O74">
        <v>2837707</v>
      </c>
      <c r="P74" s="5">
        <v>10700000</v>
      </c>
    </row>
    <row r="75" spans="1:16" ht="12.75" customHeight="1">
      <c r="A75" s="867">
        <v>36</v>
      </c>
      <c r="B75" s="956"/>
      <c r="C75" s="986" t="s">
        <v>84</v>
      </c>
      <c r="D75" s="987" t="s">
        <v>120</v>
      </c>
      <c r="E75" s="983" t="s">
        <v>241</v>
      </c>
      <c r="F75" s="983"/>
      <c r="G75" s="144"/>
      <c r="H75" s="988">
        <v>3000000</v>
      </c>
      <c r="I75" s="916">
        <v>3000000</v>
      </c>
      <c r="J75" s="909"/>
      <c r="K75" s="984">
        <v>3000000</v>
      </c>
      <c r="L75" s="984">
        <f>K75</f>
        <v>3000000</v>
      </c>
      <c r="M75" s="1076">
        <f>K75-H75</f>
        <v>0</v>
      </c>
      <c r="O75">
        <v>2837707</v>
      </c>
      <c r="P75" s="5">
        <f>P74</f>
        <v>10700000</v>
      </c>
    </row>
    <row r="76" spans="1:16" ht="12.75" customHeight="1">
      <c r="A76" s="924"/>
      <c r="B76" s="957"/>
      <c r="C76" s="914"/>
      <c r="D76" s="660"/>
      <c r="E76" s="879"/>
      <c r="F76" s="879"/>
      <c r="G76" s="144"/>
      <c r="H76" s="916"/>
      <c r="I76" s="906"/>
      <c r="J76" s="910"/>
      <c r="K76" s="920"/>
      <c r="L76" s="920"/>
      <c r="M76" s="901"/>
      <c r="O76">
        <v>2837707</v>
      </c>
      <c r="P76" s="5">
        <f>P75</f>
        <v>10700000</v>
      </c>
    </row>
    <row r="77" spans="1:16" ht="12.75" customHeight="1">
      <c r="A77" s="867">
        <v>37</v>
      </c>
      <c r="B77" s="983"/>
      <c r="C77" s="913" t="s">
        <v>85</v>
      </c>
      <c r="D77" s="659" t="s">
        <v>108</v>
      </c>
      <c r="E77" s="878" t="s">
        <v>242</v>
      </c>
      <c r="F77" s="878"/>
      <c r="G77" s="139"/>
      <c r="H77" s="915">
        <v>900000</v>
      </c>
      <c r="I77" s="905">
        <v>900000</v>
      </c>
      <c r="J77" s="909"/>
      <c r="K77" s="915">
        <v>900000</v>
      </c>
      <c r="L77" s="919">
        <v>900000</v>
      </c>
      <c r="M77" s="900">
        <f>K77-H77</f>
        <v>0</v>
      </c>
      <c r="O77">
        <v>2837707</v>
      </c>
      <c r="P77" s="5">
        <f>P71</f>
        <v>11100000</v>
      </c>
    </row>
    <row r="78" spans="1:16" ht="12.75" customHeight="1" thickBot="1">
      <c r="A78" s="924"/>
      <c r="B78" s="1197"/>
      <c r="C78" s="1249"/>
      <c r="D78" s="1196"/>
      <c r="E78" s="1197"/>
      <c r="F78" s="1197"/>
      <c r="G78" s="143"/>
      <c r="H78" s="1091"/>
      <c r="I78" s="943"/>
      <c r="J78" s="944"/>
      <c r="K78" s="1041"/>
      <c r="L78" s="1041"/>
      <c r="M78" s="1309"/>
      <c r="N78" s="14"/>
      <c r="O78">
        <v>2837707</v>
      </c>
      <c r="P78" s="5">
        <f>P76</f>
        <v>10700000</v>
      </c>
    </row>
    <row r="79" spans="1:16" ht="12.75" customHeight="1">
      <c r="A79" s="867">
        <v>38</v>
      </c>
      <c r="B79" s="983" t="s">
        <v>104</v>
      </c>
      <c r="C79" s="986" t="s">
        <v>132</v>
      </c>
      <c r="D79" s="987" t="s">
        <v>131</v>
      </c>
      <c r="E79" s="983" t="s">
        <v>239</v>
      </c>
      <c r="F79" s="983"/>
      <c r="G79" s="144"/>
      <c r="H79" s="988">
        <v>10500000</v>
      </c>
      <c r="I79" s="916">
        <f>H79</f>
        <v>10500000</v>
      </c>
      <c r="J79" s="949"/>
      <c r="K79" s="984">
        <v>10500000</v>
      </c>
      <c r="L79" s="984">
        <f>K79</f>
        <v>10500000</v>
      </c>
      <c r="M79" s="1076">
        <f>K79-H79</f>
        <v>0</v>
      </c>
      <c r="O79">
        <v>2837707</v>
      </c>
      <c r="P79" s="5">
        <f>P78</f>
        <v>10700000</v>
      </c>
    </row>
    <row r="80" spans="1:16" ht="12.75" customHeight="1">
      <c r="A80" s="924"/>
      <c r="B80" s="879"/>
      <c r="C80" s="914"/>
      <c r="D80" s="660"/>
      <c r="E80" s="879"/>
      <c r="F80" s="879"/>
      <c r="G80" s="144"/>
      <c r="H80" s="916"/>
      <c r="I80" s="906"/>
      <c r="J80" s="910"/>
      <c r="K80" s="920"/>
      <c r="L80" s="920"/>
      <c r="M80" s="901"/>
      <c r="N80" s="5">
        <f>I83+I105+I127+I156+I172+I196+I198</f>
        <v>5297210</v>
      </c>
      <c r="O80">
        <v>2837707</v>
      </c>
      <c r="P80" s="5">
        <f>P79</f>
        <v>10700000</v>
      </c>
    </row>
    <row r="81" spans="1:16" ht="12.75" customHeight="1">
      <c r="A81" s="867">
        <v>39</v>
      </c>
      <c r="B81" s="1042"/>
      <c r="C81" s="986" t="s">
        <v>86</v>
      </c>
      <c r="D81" s="987" t="s">
        <v>108</v>
      </c>
      <c r="E81" s="983" t="s">
        <v>243</v>
      </c>
      <c r="F81" s="983"/>
      <c r="G81" s="144"/>
      <c r="H81" s="988">
        <v>897000</v>
      </c>
      <c r="I81" s="916">
        <v>897000</v>
      </c>
      <c r="J81" s="909"/>
      <c r="K81" s="984">
        <v>897000</v>
      </c>
      <c r="L81" s="984">
        <v>897000</v>
      </c>
      <c r="M81" s="1076">
        <f>K81-H81</f>
        <v>0</v>
      </c>
      <c r="O81">
        <v>2837707</v>
      </c>
      <c r="P81" s="5">
        <f>P80</f>
        <v>10700000</v>
      </c>
    </row>
    <row r="82" spans="1:16" ht="12.75" customHeight="1">
      <c r="A82" s="924"/>
      <c r="B82" s="1058"/>
      <c r="C82" s="914"/>
      <c r="D82" s="660"/>
      <c r="E82" s="879"/>
      <c r="F82" s="879"/>
      <c r="G82" s="144"/>
      <c r="H82" s="916"/>
      <c r="I82" s="906"/>
      <c r="J82" s="910"/>
      <c r="K82" s="920"/>
      <c r="L82" s="920"/>
      <c r="M82" s="901"/>
      <c r="N82" s="5"/>
      <c r="O82">
        <v>2837707</v>
      </c>
      <c r="P82" s="5">
        <f>P81</f>
        <v>10700000</v>
      </c>
    </row>
    <row r="83" spans="1:16" ht="12.75" customHeight="1">
      <c r="A83" s="867">
        <v>40</v>
      </c>
      <c r="B83" s="983"/>
      <c r="C83" s="986" t="s">
        <v>87</v>
      </c>
      <c r="D83" s="987" t="s">
        <v>108</v>
      </c>
      <c r="E83" s="983" t="s">
        <v>244</v>
      </c>
      <c r="F83" s="983"/>
      <c r="G83" s="144"/>
      <c r="H83" s="988">
        <v>1960</v>
      </c>
      <c r="I83" s="916">
        <f>J83*H83</f>
        <v>565460</v>
      </c>
      <c r="J83" s="909">
        <v>288.5</v>
      </c>
      <c r="K83" s="984">
        <v>1960</v>
      </c>
      <c r="L83" s="984">
        <v>1960</v>
      </c>
      <c r="M83" s="1076">
        <f>K83-H83</f>
        <v>0</v>
      </c>
      <c r="O83">
        <v>2837707</v>
      </c>
      <c r="P83" s="5">
        <f>P82</f>
        <v>10700000</v>
      </c>
    </row>
    <row r="84" spans="1:16" ht="12.75" customHeight="1">
      <c r="A84" s="924"/>
      <c r="B84" s="879"/>
      <c r="C84" s="914"/>
      <c r="D84" s="660"/>
      <c r="E84" s="879"/>
      <c r="F84" s="879"/>
      <c r="G84" s="144"/>
      <c r="H84" s="916"/>
      <c r="I84" s="906"/>
      <c r="J84" s="910"/>
      <c r="K84" s="920"/>
      <c r="L84" s="920"/>
      <c r="M84" s="901"/>
      <c r="O84">
        <v>2837707</v>
      </c>
      <c r="P84" s="5">
        <f>P77</f>
        <v>11100000</v>
      </c>
    </row>
    <row r="85" spans="1:16" ht="12.75" customHeight="1">
      <c r="A85" s="867">
        <v>41</v>
      </c>
      <c r="B85" s="1042"/>
      <c r="C85" s="913"/>
      <c r="D85" s="659"/>
      <c r="E85" s="878"/>
      <c r="F85" s="878"/>
      <c r="G85" s="139"/>
      <c r="H85" s="915"/>
      <c r="I85" s="915"/>
      <c r="J85" s="948"/>
      <c r="K85" s="919"/>
      <c r="L85" s="919"/>
      <c r="M85" s="900">
        <f>K85-H85</f>
        <v>0</v>
      </c>
      <c r="O85">
        <v>2837707</v>
      </c>
      <c r="P85" s="5">
        <f>P84</f>
        <v>11100000</v>
      </c>
    </row>
    <row r="86" spans="1:16" ht="12.75" customHeight="1" thickBot="1">
      <c r="A86" s="924"/>
      <c r="B86" s="1250"/>
      <c r="C86" s="1249"/>
      <c r="D86" s="1196"/>
      <c r="E86" s="1197"/>
      <c r="F86" s="1197"/>
      <c r="G86" s="143"/>
      <c r="H86" s="1091"/>
      <c r="I86" s="1091"/>
      <c r="J86" s="1148"/>
      <c r="K86" s="1041"/>
      <c r="L86" s="1041"/>
      <c r="M86" s="1309"/>
      <c r="O86">
        <v>2837707</v>
      </c>
      <c r="P86" s="5">
        <f>P85</f>
        <v>11100000</v>
      </c>
    </row>
    <row r="87" spans="1:16" ht="12.75" customHeight="1">
      <c r="A87" s="867">
        <v>42</v>
      </c>
      <c r="B87" s="983" t="s">
        <v>107</v>
      </c>
      <c r="C87" s="986"/>
      <c r="D87" s="987" t="s">
        <v>111</v>
      </c>
      <c r="E87" s="983" t="s">
        <v>239</v>
      </c>
      <c r="F87" s="983"/>
      <c r="G87" s="144"/>
      <c r="H87" s="988">
        <v>10000000</v>
      </c>
      <c r="I87" s="916">
        <v>10000000</v>
      </c>
      <c r="J87" s="949"/>
      <c r="K87" s="984">
        <v>10000000</v>
      </c>
      <c r="L87" s="984">
        <v>10000000</v>
      </c>
      <c r="M87" s="1076">
        <f>K87-H87</f>
        <v>0</v>
      </c>
      <c r="O87">
        <v>2837707</v>
      </c>
      <c r="P87" s="5">
        <v>13600000</v>
      </c>
    </row>
    <row r="88" spans="1:16" ht="12.75" customHeight="1">
      <c r="A88" s="924"/>
      <c r="B88" s="879"/>
      <c r="C88" s="914"/>
      <c r="D88" s="660"/>
      <c r="E88" s="879"/>
      <c r="F88" s="879"/>
      <c r="G88" s="144"/>
      <c r="H88" s="916"/>
      <c r="I88" s="906"/>
      <c r="J88" s="910"/>
      <c r="K88" s="920"/>
      <c r="L88" s="920"/>
      <c r="M88" s="901"/>
      <c r="O88">
        <v>2837707</v>
      </c>
      <c r="P88" s="5">
        <f>P86</f>
        <v>11100000</v>
      </c>
    </row>
    <row r="89" spans="1:16" ht="12.75" customHeight="1">
      <c r="A89" s="867">
        <v>43</v>
      </c>
      <c r="B89" s="1310"/>
      <c r="C89" s="986" t="s">
        <v>103</v>
      </c>
      <c r="D89" s="987" t="s">
        <v>114</v>
      </c>
      <c r="E89" s="983" t="s">
        <v>245</v>
      </c>
      <c r="F89" s="983"/>
      <c r="G89" s="144"/>
      <c r="H89" s="988">
        <v>4100000</v>
      </c>
      <c r="I89" s="916">
        <v>4100000</v>
      </c>
      <c r="J89" s="909"/>
      <c r="K89" s="984">
        <v>4100000</v>
      </c>
      <c r="L89" s="984">
        <v>4100000</v>
      </c>
      <c r="M89" s="1076">
        <f>K89-H89</f>
        <v>0</v>
      </c>
      <c r="O89">
        <v>2837707</v>
      </c>
      <c r="P89" s="5">
        <f>P82</f>
        <v>10700000</v>
      </c>
    </row>
    <row r="90" spans="1:16" ht="12.75" customHeight="1">
      <c r="A90" s="924"/>
      <c r="B90" s="1311"/>
      <c r="C90" s="914"/>
      <c r="D90" s="660"/>
      <c r="E90" s="879"/>
      <c r="F90" s="879"/>
      <c r="G90" s="144"/>
      <c r="H90" s="916"/>
      <c r="I90" s="906"/>
      <c r="J90" s="910"/>
      <c r="K90" s="920"/>
      <c r="L90" s="920"/>
      <c r="M90" s="901"/>
      <c r="O90">
        <v>2837707</v>
      </c>
      <c r="P90" s="5">
        <f>P89</f>
        <v>10700000</v>
      </c>
    </row>
    <row r="91" spans="1:16" ht="12.75" customHeight="1">
      <c r="A91" s="867">
        <v>44</v>
      </c>
      <c r="B91" s="878"/>
      <c r="C91" s="986" t="s">
        <v>118</v>
      </c>
      <c r="D91" s="987" t="s">
        <v>116</v>
      </c>
      <c r="E91" s="983" t="s">
        <v>117</v>
      </c>
      <c r="F91" s="1315">
        <v>41316</v>
      </c>
      <c r="G91" s="139"/>
      <c r="H91" s="915">
        <v>450000</v>
      </c>
      <c r="I91" s="905">
        <v>450000</v>
      </c>
      <c r="J91" s="909"/>
      <c r="K91" s="919">
        <v>450000</v>
      </c>
      <c r="L91" s="919">
        <v>450000</v>
      </c>
      <c r="M91" s="900">
        <f>K91-H91</f>
        <v>0</v>
      </c>
      <c r="O91">
        <v>2837707</v>
      </c>
      <c r="P91" s="5">
        <f>P90</f>
        <v>10700000</v>
      </c>
    </row>
    <row r="92" spans="1:16" ht="12.75" customHeight="1" thickBot="1">
      <c r="A92" s="924"/>
      <c r="B92" s="1197"/>
      <c r="C92" s="914"/>
      <c r="D92" s="660"/>
      <c r="E92" s="879"/>
      <c r="F92" s="879"/>
      <c r="G92" s="143"/>
      <c r="H92" s="1091"/>
      <c r="I92" s="943"/>
      <c r="J92" s="944"/>
      <c r="K92" s="1041"/>
      <c r="L92" s="1041"/>
      <c r="M92" s="1309"/>
      <c r="O92">
        <v>2837707</v>
      </c>
      <c r="P92" s="5">
        <f>P91</f>
        <v>10700000</v>
      </c>
    </row>
    <row r="93" spans="1:16" ht="12.75" customHeight="1">
      <c r="A93" s="867">
        <v>45</v>
      </c>
      <c r="B93" s="983" t="s">
        <v>148</v>
      </c>
      <c r="C93" s="986" t="s">
        <v>95</v>
      </c>
      <c r="D93" s="987" t="s">
        <v>111</v>
      </c>
      <c r="E93" s="983" t="s">
        <v>246</v>
      </c>
      <c r="F93" s="983"/>
      <c r="G93" s="144"/>
      <c r="H93" s="988">
        <v>571000</v>
      </c>
      <c r="I93" s="916">
        <v>571000</v>
      </c>
      <c r="J93" s="949"/>
      <c r="K93" s="984">
        <v>571000</v>
      </c>
      <c r="L93" s="984">
        <v>571000</v>
      </c>
      <c r="M93" s="1076">
        <f>K93-H93</f>
        <v>0</v>
      </c>
      <c r="O93">
        <v>2837707</v>
      </c>
      <c r="P93" s="5">
        <f>11600000</f>
        <v>11600000</v>
      </c>
    </row>
    <row r="94" spans="1:16" ht="12.75" customHeight="1">
      <c r="A94" s="924"/>
      <c r="B94" s="879"/>
      <c r="C94" s="914"/>
      <c r="D94" s="660"/>
      <c r="E94" s="879"/>
      <c r="F94" s="879"/>
      <c r="G94" s="144"/>
      <c r="H94" s="916"/>
      <c r="I94" s="906"/>
      <c r="J94" s="910"/>
      <c r="K94" s="920"/>
      <c r="L94" s="920"/>
      <c r="M94" s="901"/>
      <c r="O94">
        <v>2837707</v>
      </c>
      <c r="P94" s="5">
        <v>12000000</v>
      </c>
    </row>
    <row r="95" spans="1:16" ht="12.75" customHeight="1">
      <c r="A95" s="867">
        <v>46</v>
      </c>
      <c r="B95" s="956"/>
      <c r="C95" s="913"/>
      <c r="D95" s="659"/>
      <c r="E95" s="878" t="s">
        <v>112</v>
      </c>
      <c r="F95" s="878"/>
      <c r="G95" s="139"/>
      <c r="H95" s="915"/>
      <c r="I95" s="905"/>
      <c r="J95" s="909"/>
      <c r="K95" s="919"/>
      <c r="L95" s="919"/>
      <c r="M95" s="900">
        <f>K95-H95</f>
        <v>0</v>
      </c>
      <c r="O95">
        <v>2837707</v>
      </c>
      <c r="P95" s="5">
        <f>P86</f>
        <v>11100000</v>
      </c>
    </row>
    <row r="96" spans="1:16" ht="12.75" customHeight="1" thickBot="1">
      <c r="A96" s="924"/>
      <c r="B96" s="1334"/>
      <c r="C96" s="1249"/>
      <c r="D96" s="1196"/>
      <c r="E96" s="1197"/>
      <c r="F96" s="1197"/>
      <c r="G96" s="143"/>
      <c r="H96" s="1091"/>
      <c r="I96" s="943"/>
      <c r="J96" s="944"/>
      <c r="K96" s="1041"/>
      <c r="L96" s="1041"/>
      <c r="M96" s="1309"/>
      <c r="O96">
        <v>2837707</v>
      </c>
      <c r="P96" s="5">
        <v>11600000</v>
      </c>
    </row>
    <row r="97" spans="1:16" ht="12.75" customHeight="1">
      <c r="A97" s="867">
        <v>47</v>
      </c>
      <c r="B97" s="983" t="s">
        <v>109</v>
      </c>
      <c r="C97" s="986"/>
      <c r="D97" s="987" t="s">
        <v>111</v>
      </c>
      <c r="E97" s="983" t="s">
        <v>239</v>
      </c>
      <c r="F97" s="983"/>
      <c r="G97" s="144"/>
      <c r="H97" s="988">
        <v>9700000</v>
      </c>
      <c r="I97" s="916">
        <v>9700000</v>
      </c>
      <c r="J97" s="949"/>
      <c r="K97" s="984">
        <v>9700000</v>
      </c>
      <c r="L97" s="984">
        <v>9700000</v>
      </c>
      <c r="M97" s="1076">
        <f>K97-H97</f>
        <v>0</v>
      </c>
      <c r="O97">
        <v>2837707</v>
      </c>
      <c r="P97" s="5">
        <v>10700000</v>
      </c>
    </row>
    <row r="98" spans="1:16" ht="12.75" customHeight="1">
      <c r="A98" s="924"/>
      <c r="B98" s="879"/>
      <c r="C98" s="914"/>
      <c r="D98" s="660"/>
      <c r="E98" s="879"/>
      <c r="F98" s="879"/>
      <c r="G98" s="144"/>
      <c r="H98" s="916"/>
      <c r="I98" s="906"/>
      <c r="J98" s="910"/>
      <c r="K98" s="920"/>
      <c r="L98" s="920"/>
      <c r="M98" s="901"/>
      <c r="O98">
        <v>2837707</v>
      </c>
      <c r="P98" s="5">
        <f t="shared" ref="P98:P103" si="0">P97</f>
        <v>10700000</v>
      </c>
    </row>
    <row r="99" spans="1:16" ht="12.75" customHeight="1">
      <c r="A99" s="867">
        <v>48</v>
      </c>
      <c r="B99" s="1042"/>
      <c r="C99" s="913" t="s">
        <v>102</v>
      </c>
      <c r="D99" s="659" t="s">
        <v>120</v>
      </c>
      <c r="E99" s="878" t="s">
        <v>115</v>
      </c>
      <c r="F99" s="878"/>
      <c r="G99" s="139"/>
      <c r="H99" s="915">
        <v>2000000</v>
      </c>
      <c r="I99" s="915">
        <v>2000000</v>
      </c>
      <c r="J99" s="948"/>
      <c r="K99" s="919">
        <v>2000000</v>
      </c>
      <c r="L99" s="919">
        <v>2000000</v>
      </c>
      <c r="M99" s="900">
        <f>K99-H99</f>
        <v>0</v>
      </c>
      <c r="O99">
        <v>2837707</v>
      </c>
      <c r="P99" s="5">
        <f t="shared" si="0"/>
        <v>10700000</v>
      </c>
    </row>
    <row r="100" spans="1:16" ht="12.75" customHeight="1" thickBot="1">
      <c r="A100" s="924"/>
      <c r="B100" s="1250"/>
      <c r="C100" s="1249"/>
      <c r="D100" s="1196"/>
      <c r="E100" s="1197"/>
      <c r="F100" s="1197"/>
      <c r="G100" s="143"/>
      <c r="H100" s="1091"/>
      <c r="I100" s="1091"/>
      <c r="J100" s="1148"/>
      <c r="K100" s="1041"/>
      <c r="L100" s="1041"/>
      <c r="M100" s="1309"/>
      <c r="O100">
        <v>2837707</v>
      </c>
      <c r="P100" s="5">
        <f t="shared" si="0"/>
        <v>10700000</v>
      </c>
    </row>
    <row r="101" spans="1:16" ht="12.75" customHeight="1">
      <c r="A101" s="867">
        <v>49</v>
      </c>
      <c r="B101" s="983" t="s">
        <v>110</v>
      </c>
      <c r="C101" s="986"/>
      <c r="D101" s="987"/>
      <c r="E101" s="983" t="s">
        <v>239</v>
      </c>
      <c r="F101" s="983"/>
      <c r="G101" s="144"/>
      <c r="H101" s="988">
        <v>10500000</v>
      </c>
      <c r="I101" s="916">
        <v>10500000</v>
      </c>
      <c r="J101" s="949"/>
      <c r="K101" s="984">
        <v>10500000</v>
      </c>
      <c r="L101" s="984">
        <v>10500000</v>
      </c>
      <c r="M101" s="1076">
        <f>K101-H101</f>
        <v>0</v>
      </c>
      <c r="O101">
        <v>2837707</v>
      </c>
      <c r="P101" s="5">
        <f t="shared" si="0"/>
        <v>10700000</v>
      </c>
    </row>
    <row r="102" spans="1:16" ht="12.75" customHeight="1">
      <c r="A102" s="924"/>
      <c r="B102" s="879"/>
      <c r="C102" s="914"/>
      <c r="D102" s="660"/>
      <c r="E102" s="879"/>
      <c r="F102" s="879"/>
      <c r="G102" s="144"/>
      <c r="H102" s="916"/>
      <c r="I102" s="906"/>
      <c r="J102" s="910"/>
      <c r="K102" s="920"/>
      <c r="L102" s="920"/>
      <c r="M102" s="901"/>
      <c r="O102">
        <v>2837707</v>
      </c>
      <c r="P102" s="5">
        <f t="shared" si="0"/>
        <v>10700000</v>
      </c>
    </row>
    <row r="103" spans="1:16" ht="12.75" customHeight="1">
      <c r="A103" s="867">
        <v>50</v>
      </c>
      <c r="B103" s="1042"/>
      <c r="C103" s="913"/>
      <c r="D103" s="659"/>
      <c r="E103" s="878"/>
      <c r="F103" s="878"/>
      <c r="G103" s="139"/>
      <c r="H103" s="915"/>
      <c r="I103" s="905"/>
      <c r="J103" s="909"/>
      <c r="K103" s="919"/>
      <c r="L103" s="919"/>
      <c r="M103" s="900">
        <f>K103-H103</f>
        <v>0</v>
      </c>
      <c r="O103">
        <v>2837707</v>
      </c>
      <c r="P103" s="5">
        <f t="shared" si="0"/>
        <v>10700000</v>
      </c>
    </row>
    <row r="104" spans="1:16" ht="12.75" customHeight="1" thickBot="1">
      <c r="A104" s="924"/>
      <c r="B104" s="1316"/>
      <c r="C104" s="1249"/>
      <c r="D104" s="1196"/>
      <c r="E104" s="1197"/>
      <c r="F104" s="1197"/>
      <c r="G104" s="143"/>
      <c r="H104" s="1091"/>
      <c r="I104" s="943"/>
      <c r="J104" s="944"/>
      <c r="K104" s="1041"/>
      <c r="L104" s="1041"/>
      <c r="M104" s="1309"/>
      <c r="O104">
        <v>2837707</v>
      </c>
      <c r="P104" s="5">
        <v>11100000</v>
      </c>
    </row>
    <row r="105" spans="1:16" ht="12.75" customHeight="1">
      <c r="A105" s="867">
        <v>51</v>
      </c>
      <c r="B105" s="983" t="s">
        <v>125</v>
      </c>
      <c r="C105" s="986" t="s">
        <v>6</v>
      </c>
      <c r="D105" s="987" t="s">
        <v>127</v>
      </c>
      <c r="E105" s="983" t="s">
        <v>247</v>
      </c>
      <c r="F105" s="983"/>
      <c r="G105" s="144"/>
      <c r="H105" s="988">
        <v>3300</v>
      </c>
      <c r="I105" s="916">
        <f>H105*J105</f>
        <v>943800</v>
      </c>
      <c r="J105" s="949">
        <v>286</v>
      </c>
      <c r="K105" s="984">
        <v>3300</v>
      </c>
      <c r="L105" s="984">
        <v>3300</v>
      </c>
      <c r="M105" s="1076">
        <f>K105-H105</f>
        <v>0</v>
      </c>
      <c r="O105">
        <v>2837707</v>
      </c>
      <c r="P105" s="5">
        <v>10700000</v>
      </c>
    </row>
    <row r="106" spans="1:16" ht="12.75" customHeight="1">
      <c r="A106" s="924"/>
      <c r="B106" s="879"/>
      <c r="C106" s="914"/>
      <c r="D106" s="660"/>
      <c r="E106" s="879"/>
      <c r="F106" s="879"/>
      <c r="G106" s="144"/>
      <c r="H106" s="916"/>
      <c r="I106" s="906"/>
      <c r="J106" s="910"/>
      <c r="K106" s="920"/>
      <c r="L106" s="920"/>
      <c r="M106" s="901"/>
      <c r="O106">
        <v>2837707</v>
      </c>
      <c r="P106" s="5">
        <v>12000000</v>
      </c>
    </row>
    <row r="107" spans="1:16" ht="12.75" customHeight="1">
      <c r="A107" s="867">
        <v>52</v>
      </c>
      <c r="B107" s="1042"/>
      <c r="C107" s="913" t="s">
        <v>119</v>
      </c>
      <c r="D107" s="659" t="s">
        <v>128</v>
      </c>
      <c r="E107" s="878" t="s">
        <v>121</v>
      </c>
      <c r="F107" s="878"/>
      <c r="G107" s="139" t="s">
        <v>122</v>
      </c>
      <c r="H107" s="915">
        <v>4300000</v>
      </c>
      <c r="I107" s="905">
        <f>H107</f>
        <v>4300000</v>
      </c>
      <c r="J107" s="909"/>
      <c r="K107" s="919">
        <v>4300000</v>
      </c>
      <c r="L107" s="919">
        <v>4300000</v>
      </c>
      <c r="M107" s="900">
        <f>K107-H107</f>
        <v>0</v>
      </c>
      <c r="O107">
        <v>2837707</v>
      </c>
      <c r="P107" s="5">
        <v>10700000</v>
      </c>
    </row>
    <row r="108" spans="1:16" ht="12.75" customHeight="1" thickBot="1">
      <c r="A108" s="924"/>
      <c r="B108" s="1316"/>
      <c r="C108" s="1249"/>
      <c r="D108" s="1196"/>
      <c r="E108" s="1197"/>
      <c r="F108" s="1197"/>
      <c r="G108" s="143"/>
      <c r="H108" s="1091"/>
      <c r="I108" s="943"/>
      <c r="J108" s="944"/>
      <c r="K108" s="1041"/>
      <c r="L108" s="1041"/>
      <c r="M108" s="1309"/>
      <c r="O108">
        <v>2837707</v>
      </c>
      <c r="P108" s="5">
        <f>P107</f>
        <v>10700000</v>
      </c>
    </row>
    <row r="109" spans="1:16" ht="12.75" customHeight="1">
      <c r="A109" s="867">
        <v>53</v>
      </c>
      <c r="B109" s="983" t="s">
        <v>133</v>
      </c>
      <c r="C109" s="986"/>
      <c r="D109" s="987"/>
      <c r="E109" s="983" t="s">
        <v>239</v>
      </c>
      <c r="F109" s="983"/>
      <c r="G109" s="144"/>
      <c r="H109" s="988">
        <v>9700000</v>
      </c>
      <c r="I109" s="916">
        <f>H109</f>
        <v>9700000</v>
      </c>
      <c r="J109" s="949"/>
      <c r="K109" s="984">
        <v>9700000</v>
      </c>
      <c r="L109" s="984">
        <v>9700000</v>
      </c>
      <c r="M109" s="1076">
        <f>K109-H109</f>
        <v>0</v>
      </c>
      <c r="O109">
        <v>2837707</v>
      </c>
      <c r="P109" s="5">
        <f>SUM(P2:P108)</f>
        <v>1069700000</v>
      </c>
    </row>
    <row r="110" spans="1:16" ht="12.75" customHeight="1">
      <c r="A110" s="924"/>
      <c r="B110" s="879"/>
      <c r="C110" s="914"/>
      <c r="D110" s="660"/>
      <c r="E110" s="879"/>
      <c r="F110" s="879"/>
      <c r="G110" s="144"/>
      <c r="H110" s="916"/>
      <c r="I110" s="906"/>
      <c r="J110" s="910"/>
      <c r="K110" s="920"/>
      <c r="L110" s="920"/>
      <c r="M110" s="901"/>
      <c r="O110">
        <v>2837707</v>
      </c>
    </row>
    <row r="111" spans="1:16" ht="12.75" customHeight="1">
      <c r="A111" s="867">
        <v>54</v>
      </c>
      <c r="B111" s="1310"/>
      <c r="C111" s="913"/>
      <c r="D111" s="659"/>
      <c r="E111" s="878"/>
      <c r="F111" s="878"/>
      <c r="G111" s="139"/>
      <c r="H111" s="915"/>
      <c r="I111" s="905"/>
      <c r="J111" s="909"/>
      <c r="K111" s="919"/>
      <c r="L111" s="919"/>
      <c r="M111" s="900">
        <f>K111-H111</f>
        <v>0</v>
      </c>
      <c r="O111">
        <v>2837707</v>
      </c>
    </row>
    <row r="112" spans="1:16" ht="12.75" customHeight="1" thickBot="1">
      <c r="A112" s="924"/>
      <c r="B112" s="1311"/>
      <c r="C112" s="1249"/>
      <c r="D112" s="1196"/>
      <c r="E112" s="1197"/>
      <c r="F112" s="1197"/>
      <c r="G112" s="143"/>
      <c r="H112" s="1091"/>
      <c r="I112" s="943"/>
      <c r="J112" s="944"/>
      <c r="K112" s="1041"/>
      <c r="L112" s="1041"/>
      <c r="M112" s="1309"/>
      <c r="O112">
        <v>2837707</v>
      </c>
    </row>
    <row r="113" spans="1:15" ht="12.75" customHeight="1">
      <c r="A113" s="867">
        <v>55</v>
      </c>
      <c r="B113" s="983" t="s">
        <v>136</v>
      </c>
      <c r="C113" s="986"/>
      <c r="D113" s="987"/>
      <c r="E113" s="983" t="s">
        <v>239</v>
      </c>
      <c r="F113" s="983"/>
      <c r="G113" s="148" t="s">
        <v>129</v>
      </c>
      <c r="H113" s="988">
        <v>9700000</v>
      </c>
      <c r="I113" s="916">
        <f>H113</f>
        <v>9700000</v>
      </c>
      <c r="J113" s="949"/>
      <c r="K113" s="984">
        <v>9700000</v>
      </c>
      <c r="L113" s="984">
        <f>K113</f>
        <v>9700000</v>
      </c>
      <c r="M113" s="1076">
        <f>K113-H113</f>
        <v>0</v>
      </c>
      <c r="O113">
        <v>2837707</v>
      </c>
    </row>
    <row r="114" spans="1:15" ht="12.75" customHeight="1">
      <c r="A114" s="924"/>
      <c r="B114" s="879"/>
      <c r="C114" s="914"/>
      <c r="D114" s="660"/>
      <c r="E114" s="879"/>
      <c r="F114" s="879"/>
      <c r="G114" s="144"/>
      <c r="H114" s="916"/>
      <c r="I114" s="906"/>
      <c r="J114" s="910"/>
      <c r="K114" s="920"/>
      <c r="L114" s="920"/>
      <c r="M114" s="901"/>
      <c r="O114">
        <v>2837707</v>
      </c>
    </row>
    <row r="115" spans="1:15" ht="12.75" customHeight="1">
      <c r="A115" s="867">
        <v>56</v>
      </c>
      <c r="B115" s="1042"/>
      <c r="C115" s="913" t="s">
        <v>137</v>
      </c>
      <c r="D115" s="659" t="s">
        <v>139</v>
      </c>
      <c r="E115" s="878" t="s">
        <v>138</v>
      </c>
      <c r="F115" s="878"/>
      <c r="G115" s="139" t="s">
        <v>123</v>
      </c>
      <c r="H115" s="915">
        <v>4600000</v>
      </c>
      <c r="I115" s="915">
        <f>H115</f>
        <v>4600000</v>
      </c>
      <c r="J115" s="948"/>
      <c r="K115" s="919">
        <v>4600000</v>
      </c>
      <c r="L115" s="919">
        <v>4600000</v>
      </c>
      <c r="M115" s="900">
        <f>K115-H115</f>
        <v>0</v>
      </c>
      <c r="O115">
        <v>2837707</v>
      </c>
    </row>
    <row r="116" spans="1:15" ht="12.75" customHeight="1" thickBot="1">
      <c r="A116" s="924"/>
      <c r="B116" s="1250"/>
      <c r="C116" s="1249"/>
      <c r="D116" s="1196"/>
      <c r="E116" s="1197"/>
      <c r="F116" s="1197"/>
      <c r="G116" s="143"/>
      <c r="H116" s="1091"/>
      <c r="I116" s="1091"/>
      <c r="J116" s="1148"/>
      <c r="K116" s="1041"/>
      <c r="L116" s="1041"/>
      <c r="M116" s="1309"/>
      <c r="O116">
        <v>2837707</v>
      </c>
    </row>
    <row r="117" spans="1:15" ht="12.75" customHeight="1">
      <c r="A117" s="867">
        <v>57</v>
      </c>
      <c r="B117" s="1042"/>
      <c r="C117" s="913"/>
      <c r="D117" s="659"/>
      <c r="E117" s="878"/>
      <c r="F117" s="878"/>
      <c r="G117" s="139"/>
      <c r="H117" s="915"/>
      <c r="I117" s="915"/>
      <c r="J117" s="948"/>
      <c r="K117" s="919"/>
      <c r="L117" s="919"/>
      <c r="M117" s="900">
        <f>K117-H117</f>
        <v>0</v>
      </c>
      <c r="O117">
        <v>2837707</v>
      </c>
    </row>
    <row r="118" spans="1:15" ht="12.75" customHeight="1" thickBot="1">
      <c r="A118" s="924"/>
      <c r="B118" s="1250"/>
      <c r="C118" s="1249"/>
      <c r="D118" s="1196"/>
      <c r="E118" s="1197"/>
      <c r="F118" s="1197"/>
      <c r="G118" s="143"/>
      <c r="H118" s="1091"/>
      <c r="I118" s="1091"/>
      <c r="J118" s="1148"/>
      <c r="K118" s="1041"/>
      <c r="L118" s="1041"/>
      <c r="M118" s="1309"/>
      <c r="O118">
        <v>2837707</v>
      </c>
    </row>
    <row r="119" spans="1:15" ht="12.75" customHeight="1">
      <c r="A119" s="867">
        <v>58</v>
      </c>
      <c r="B119" s="983" t="s">
        <v>124</v>
      </c>
      <c r="C119" s="986"/>
      <c r="D119" s="987"/>
      <c r="E119" s="983" t="s">
        <v>239</v>
      </c>
      <c r="F119" s="983"/>
      <c r="G119" s="144"/>
      <c r="H119" s="988">
        <v>10000000</v>
      </c>
      <c r="I119" s="916">
        <f>H119</f>
        <v>10000000</v>
      </c>
      <c r="J119" s="949"/>
      <c r="K119" s="984">
        <v>10000000</v>
      </c>
      <c r="L119" s="984">
        <f>K119</f>
        <v>10000000</v>
      </c>
      <c r="M119" s="1076">
        <f>K119-H119</f>
        <v>0</v>
      </c>
      <c r="O119">
        <v>2837707</v>
      </c>
    </row>
    <row r="120" spans="1:15" ht="12.75" customHeight="1">
      <c r="A120" s="924"/>
      <c r="B120" s="879"/>
      <c r="C120" s="914"/>
      <c r="D120" s="660"/>
      <c r="E120" s="879"/>
      <c r="F120" s="879"/>
      <c r="G120" s="144"/>
      <c r="H120" s="916"/>
      <c r="I120" s="906"/>
      <c r="J120" s="910"/>
      <c r="K120" s="920"/>
      <c r="L120" s="920"/>
      <c r="M120" s="901"/>
      <c r="O120">
        <v>2837707</v>
      </c>
    </row>
    <row r="121" spans="1:15" ht="12.75" customHeight="1">
      <c r="A121" s="867">
        <v>59</v>
      </c>
      <c r="B121" s="1310"/>
      <c r="C121" s="986" t="s">
        <v>141</v>
      </c>
      <c r="D121" s="987" t="s">
        <v>149</v>
      </c>
      <c r="E121" s="983" t="s">
        <v>142</v>
      </c>
      <c r="F121" s="983"/>
      <c r="G121" s="144"/>
      <c r="H121" s="988">
        <v>450000</v>
      </c>
      <c r="I121" s="916">
        <f>H121</f>
        <v>450000</v>
      </c>
      <c r="J121" s="909"/>
      <c r="K121" s="984">
        <v>450000</v>
      </c>
      <c r="L121" s="984">
        <v>450000</v>
      </c>
      <c r="M121" s="1076">
        <f>K121-H121</f>
        <v>0</v>
      </c>
      <c r="O121">
        <v>2837707</v>
      </c>
    </row>
    <row r="122" spans="1:15" ht="12.75" customHeight="1">
      <c r="A122" s="924"/>
      <c r="B122" s="1311"/>
      <c r="C122" s="914"/>
      <c r="D122" s="660"/>
      <c r="E122" s="879"/>
      <c r="F122" s="879"/>
      <c r="G122" s="144"/>
      <c r="H122" s="916"/>
      <c r="I122" s="906"/>
      <c r="J122" s="910"/>
      <c r="K122" s="920"/>
      <c r="L122" s="920"/>
      <c r="M122" s="901"/>
      <c r="O122">
        <v>2837707</v>
      </c>
    </row>
    <row r="123" spans="1:15" ht="12.75" customHeight="1">
      <c r="A123" s="867">
        <v>60</v>
      </c>
      <c r="B123" s="983"/>
      <c r="C123" s="986" t="s">
        <v>145</v>
      </c>
      <c r="D123" s="987" t="s">
        <v>156</v>
      </c>
      <c r="E123" s="983" t="s">
        <v>240</v>
      </c>
      <c r="F123" s="983"/>
      <c r="G123" s="144"/>
      <c r="H123" s="988">
        <v>5720000</v>
      </c>
      <c r="I123" s="916">
        <f>H123</f>
        <v>5720000</v>
      </c>
      <c r="J123" s="909"/>
      <c r="K123" s="984">
        <v>5720000</v>
      </c>
      <c r="L123" s="984">
        <f>K123</f>
        <v>5720000</v>
      </c>
      <c r="M123" s="1076">
        <f>K123-H123</f>
        <v>0</v>
      </c>
      <c r="O123">
        <v>2837707</v>
      </c>
    </row>
    <row r="124" spans="1:15" ht="12.75" customHeight="1" thickBot="1">
      <c r="A124" s="924"/>
      <c r="B124" s="879"/>
      <c r="C124" s="914"/>
      <c r="D124" s="660"/>
      <c r="E124" s="983"/>
      <c r="F124" s="879"/>
      <c r="G124" s="144"/>
      <c r="H124" s="916"/>
      <c r="I124" s="906"/>
      <c r="J124" s="910"/>
      <c r="K124" s="920"/>
      <c r="L124" s="920"/>
      <c r="M124" s="901"/>
      <c r="O124">
        <v>2837707</v>
      </c>
    </row>
    <row r="125" spans="1:15" ht="12.75" customHeight="1">
      <c r="A125" s="867">
        <v>61</v>
      </c>
      <c r="B125" s="1317"/>
      <c r="C125" s="1319" t="s">
        <v>146</v>
      </c>
      <c r="D125" s="1321" t="s">
        <v>149</v>
      </c>
      <c r="E125" s="1323" t="s">
        <v>143</v>
      </c>
      <c r="F125" s="1325"/>
      <c r="G125" s="141"/>
      <c r="H125" s="1220">
        <v>2250000</v>
      </c>
      <c r="I125" s="1221">
        <f>H125</f>
        <v>2250000</v>
      </c>
      <c r="J125" s="1329"/>
      <c r="K125" s="1331"/>
      <c r="L125" s="1331"/>
      <c r="M125" s="1295">
        <f>K125-H125</f>
        <v>-2250000</v>
      </c>
      <c r="O125">
        <v>2837707</v>
      </c>
    </row>
    <row r="126" spans="1:15" ht="12.75" customHeight="1" thickBot="1">
      <c r="A126" s="924"/>
      <c r="B126" s="1318"/>
      <c r="C126" s="1320"/>
      <c r="D126" s="1322"/>
      <c r="E126" s="1324"/>
      <c r="F126" s="1326"/>
      <c r="G126" s="146"/>
      <c r="H126" s="1327"/>
      <c r="I126" s="1328"/>
      <c r="J126" s="1330"/>
      <c r="K126" s="1332"/>
      <c r="L126" s="1332"/>
      <c r="M126" s="1333"/>
      <c r="O126">
        <v>2837707</v>
      </c>
    </row>
    <row r="127" spans="1:15" ht="12.75" customHeight="1">
      <c r="A127" s="867">
        <v>62</v>
      </c>
      <c r="B127" s="983" t="s">
        <v>126</v>
      </c>
      <c r="C127" s="986" t="s">
        <v>6</v>
      </c>
      <c r="D127" s="987" t="s">
        <v>139</v>
      </c>
      <c r="E127" s="983" t="s">
        <v>247</v>
      </c>
      <c r="F127" s="983"/>
      <c r="G127" s="144"/>
      <c r="H127" s="988">
        <v>3300</v>
      </c>
      <c r="I127" s="916">
        <f>H127*J127</f>
        <v>932250</v>
      </c>
      <c r="J127" s="949">
        <v>282.5</v>
      </c>
      <c r="K127" s="984">
        <v>3300</v>
      </c>
      <c r="L127" s="984">
        <v>3300</v>
      </c>
      <c r="M127" s="1076">
        <f>K127-H127</f>
        <v>0</v>
      </c>
      <c r="O127">
        <v>2837707</v>
      </c>
    </row>
    <row r="128" spans="1:15" ht="12.75" customHeight="1">
      <c r="A128" s="924"/>
      <c r="B128" s="879"/>
      <c r="C128" s="914"/>
      <c r="D128" s="660"/>
      <c r="E128" s="879"/>
      <c r="F128" s="879"/>
      <c r="G128" s="144"/>
      <c r="H128" s="916"/>
      <c r="I128" s="906"/>
      <c r="J128" s="910"/>
      <c r="K128" s="920"/>
      <c r="L128" s="920"/>
      <c r="M128" s="901"/>
      <c r="O128">
        <v>2837707</v>
      </c>
    </row>
    <row r="129" spans="1:34" ht="18.75" customHeight="1">
      <c r="A129" s="867">
        <v>63</v>
      </c>
      <c r="B129" s="983"/>
      <c r="C129" s="986" t="s">
        <v>144</v>
      </c>
      <c r="D129" s="987" t="s">
        <v>154</v>
      </c>
      <c r="E129" s="983" t="s">
        <v>153</v>
      </c>
      <c r="F129" s="1315">
        <v>41330</v>
      </c>
      <c r="G129" s="142" t="s">
        <v>64</v>
      </c>
      <c r="H129" s="988">
        <v>4000000</v>
      </c>
      <c r="I129" s="916">
        <f>H129</f>
        <v>4000000</v>
      </c>
      <c r="J129" s="909"/>
      <c r="K129" s="984">
        <v>4000000</v>
      </c>
      <c r="L129" s="984">
        <v>4000000</v>
      </c>
      <c r="M129" s="1076">
        <f>K129-H129</f>
        <v>0</v>
      </c>
    </row>
    <row r="130" spans="1:34">
      <c r="A130" s="924"/>
      <c r="B130" s="879"/>
      <c r="C130" s="914"/>
      <c r="D130" s="660"/>
      <c r="E130" s="879"/>
      <c r="F130" s="879"/>
      <c r="G130" s="144">
        <v>2558784</v>
      </c>
      <c r="H130" s="916"/>
      <c r="I130" s="906"/>
      <c r="J130" s="910"/>
      <c r="K130" s="920"/>
      <c r="L130" s="920"/>
      <c r="M130" s="901"/>
    </row>
    <row r="131" spans="1:34" ht="12.75" customHeight="1">
      <c r="A131" s="867">
        <v>64</v>
      </c>
      <c r="B131" s="1042"/>
      <c r="C131" s="913" t="s">
        <v>140</v>
      </c>
      <c r="D131" s="659" t="s">
        <v>154</v>
      </c>
      <c r="E131" s="878" t="s">
        <v>155</v>
      </c>
      <c r="F131" s="878"/>
      <c r="G131" s="139" t="s">
        <v>185</v>
      </c>
      <c r="H131" s="915">
        <v>2500000</v>
      </c>
      <c r="I131" s="916">
        <f>H131</f>
        <v>2500000</v>
      </c>
      <c r="J131" s="909"/>
      <c r="K131" s="919">
        <v>2500000</v>
      </c>
      <c r="L131" s="919">
        <v>2500000</v>
      </c>
      <c r="M131" s="900">
        <f>K131-H131</f>
        <v>0</v>
      </c>
      <c r="O131">
        <v>2837707</v>
      </c>
    </row>
    <row r="132" spans="1:34" ht="12.75" customHeight="1" thickBot="1">
      <c r="A132" s="924"/>
      <c r="B132" s="1316"/>
      <c r="C132" s="1249"/>
      <c r="D132" s="1196"/>
      <c r="E132" s="1197"/>
      <c r="F132" s="1197"/>
      <c r="G132" s="143"/>
      <c r="H132" s="1091"/>
      <c r="I132" s="906"/>
      <c r="J132" s="944"/>
      <c r="K132" s="1041"/>
      <c r="L132" s="1041"/>
      <c r="M132" s="1309"/>
      <c r="O132">
        <v>2837707</v>
      </c>
    </row>
    <row r="133" spans="1:34" s="11" customFormat="1">
      <c r="A133" s="867">
        <v>65</v>
      </c>
      <c r="B133" s="1121" t="s">
        <v>134</v>
      </c>
      <c r="C133" s="1018"/>
      <c r="D133" s="1019" t="s">
        <v>157</v>
      </c>
      <c r="E133" s="1017" t="s">
        <v>179</v>
      </c>
      <c r="F133" s="1017" t="s">
        <v>198</v>
      </c>
      <c r="G133" s="140"/>
      <c r="H133" s="999">
        <v>804000</v>
      </c>
      <c r="I133" s="973">
        <f>H133</f>
        <v>804000</v>
      </c>
      <c r="J133" s="974"/>
      <c r="K133" s="1001">
        <v>804000</v>
      </c>
      <c r="L133" s="1001">
        <v>804000</v>
      </c>
      <c r="M133" s="1002">
        <f>K133-H133</f>
        <v>0</v>
      </c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</row>
    <row r="134" spans="1:34" s="11" customFormat="1" ht="13.5" thickBot="1">
      <c r="A134" s="924"/>
      <c r="B134" s="1230"/>
      <c r="C134" s="1249"/>
      <c r="D134" s="1196"/>
      <c r="E134" s="1197"/>
      <c r="F134" s="1197"/>
      <c r="G134" s="143"/>
      <c r="H134" s="1091"/>
      <c r="I134" s="943"/>
      <c r="J134" s="944"/>
      <c r="K134" s="1041"/>
      <c r="L134" s="1041"/>
      <c r="M134" s="1149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</row>
    <row r="135" spans="1:34" ht="20.25" thickTop="1" thickBot="1">
      <c r="A135" s="51"/>
      <c r="B135" s="1312" t="s">
        <v>150</v>
      </c>
      <c r="C135" s="1313"/>
      <c r="D135" s="1313"/>
      <c r="E135" s="1313"/>
      <c r="F135" s="1313"/>
      <c r="G135" s="1313"/>
      <c r="H135" s="1313"/>
      <c r="I135" s="1313"/>
      <c r="J135" s="1313"/>
      <c r="K135" s="1313"/>
      <c r="L135" s="1313"/>
      <c r="M135" s="1314"/>
      <c r="N135" s="7">
        <f>SUM(H123,I136:I205,I212)</f>
        <v>149390700</v>
      </c>
      <c r="O135" s="8"/>
    </row>
    <row r="136" spans="1:34" ht="13.5" thickTop="1">
      <c r="A136" s="867">
        <v>66</v>
      </c>
      <c r="B136" s="983" t="s">
        <v>135</v>
      </c>
      <c r="C136" s="986" t="s">
        <v>167</v>
      </c>
      <c r="D136" s="987" t="s">
        <v>168</v>
      </c>
      <c r="E136" s="983" t="s">
        <v>239</v>
      </c>
      <c r="F136" s="983" t="s">
        <v>169</v>
      </c>
      <c r="G136" s="144"/>
      <c r="H136" s="988">
        <v>10800000</v>
      </c>
      <c r="I136" s="916">
        <f>H136</f>
        <v>10800000</v>
      </c>
      <c r="J136" s="949"/>
      <c r="K136" s="984">
        <v>10800000</v>
      </c>
      <c r="L136" s="984">
        <v>10800000</v>
      </c>
      <c r="M136" s="1076">
        <f>K136-H136</f>
        <v>0</v>
      </c>
      <c r="O136">
        <v>2837707</v>
      </c>
    </row>
    <row r="137" spans="1:34" ht="13.5" thickBot="1">
      <c r="A137" s="924"/>
      <c r="B137" s="879"/>
      <c r="C137" s="914"/>
      <c r="D137" s="660"/>
      <c r="E137" s="879"/>
      <c r="F137" s="879"/>
      <c r="G137" s="144"/>
      <c r="H137" s="916"/>
      <c r="I137" s="906"/>
      <c r="J137" s="910"/>
      <c r="K137" s="920"/>
      <c r="L137" s="920"/>
      <c r="M137" s="901"/>
      <c r="O137">
        <v>2837707</v>
      </c>
    </row>
    <row r="138" spans="1:34" ht="16.5" thickBot="1">
      <c r="A138" s="867">
        <v>67</v>
      </c>
      <c r="B138" s="1310"/>
      <c r="C138" s="986" t="s">
        <v>23</v>
      </c>
      <c r="D138" s="987" t="s">
        <v>175</v>
      </c>
      <c r="E138" s="983" t="s">
        <v>256</v>
      </c>
      <c r="F138" s="1315">
        <v>41306</v>
      </c>
      <c r="G138" s="144" t="s">
        <v>355</v>
      </c>
      <c r="H138" s="988">
        <v>2000000</v>
      </c>
      <c r="I138" s="916">
        <f>H138</f>
        <v>2000000</v>
      </c>
      <c r="J138" s="909"/>
      <c r="K138" s="984">
        <v>2000000</v>
      </c>
      <c r="L138" s="984">
        <v>2000000</v>
      </c>
      <c r="M138" s="1350">
        <f>K138-H138</f>
        <v>0</v>
      </c>
      <c r="N138" s="20">
        <f>SUM(M123,M136:M205,M212)</f>
        <v>0</v>
      </c>
      <c r="O138">
        <v>2837707</v>
      </c>
    </row>
    <row r="139" spans="1:34">
      <c r="A139" s="924"/>
      <c r="B139" s="1311"/>
      <c r="C139" s="914"/>
      <c r="D139" s="660"/>
      <c r="E139" s="879"/>
      <c r="F139" s="879"/>
      <c r="G139" s="144"/>
      <c r="H139" s="916"/>
      <c r="I139" s="906"/>
      <c r="J139" s="910"/>
      <c r="K139" s="920"/>
      <c r="L139" s="920"/>
      <c r="M139" s="901"/>
      <c r="O139">
        <v>2837707</v>
      </c>
    </row>
    <row r="140" spans="1:34">
      <c r="A140" s="867">
        <v>68</v>
      </c>
      <c r="B140" s="878"/>
      <c r="C140" s="913" t="s">
        <v>163</v>
      </c>
      <c r="D140" s="659" t="s">
        <v>173</v>
      </c>
      <c r="E140" s="878" t="s">
        <v>257</v>
      </c>
      <c r="F140" s="878" t="s">
        <v>174</v>
      </c>
      <c r="G140" s="139"/>
      <c r="H140" s="915">
        <v>4000000</v>
      </c>
      <c r="I140" s="905">
        <v>4000000</v>
      </c>
      <c r="J140" s="909"/>
      <c r="K140" s="919">
        <v>4000000</v>
      </c>
      <c r="L140" s="919">
        <v>4000000</v>
      </c>
      <c r="M140" s="900">
        <f>K140-H140</f>
        <v>0</v>
      </c>
      <c r="N140" s="12"/>
      <c r="O140">
        <v>2837707</v>
      </c>
    </row>
    <row r="141" spans="1:34" ht="13.5" thickBot="1">
      <c r="A141" s="924"/>
      <c r="B141" s="1197"/>
      <c r="C141" s="1249"/>
      <c r="D141" s="1196"/>
      <c r="E141" s="1197"/>
      <c r="F141" s="1197"/>
      <c r="G141" s="143"/>
      <c r="H141" s="1091"/>
      <c r="I141" s="943"/>
      <c r="J141" s="944"/>
      <c r="K141" s="1041"/>
      <c r="L141" s="1041"/>
      <c r="M141" s="1309"/>
      <c r="O141">
        <v>2837707</v>
      </c>
    </row>
    <row r="142" spans="1:34">
      <c r="A142" s="867">
        <v>69</v>
      </c>
      <c r="B142" s="983" t="s">
        <v>147</v>
      </c>
      <c r="C142" s="986" t="s">
        <v>170</v>
      </c>
      <c r="D142" s="987" t="s">
        <v>172</v>
      </c>
      <c r="E142" s="983" t="s">
        <v>239</v>
      </c>
      <c r="F142" s="983" t="s">
        <v>169</v>
      </c>
      <c r="G142" s="144"/>
      <c r="H142" s="988">
        <v>10300000</v>
      </c>
      <c r="I142" s="916">
        <f>H142</f>
        <v>10300000</v>
      </c>
      <c r="J142" s="909"/>
      <c r="K142" s="984">
        <v>10300000</v>
      </c>
      <c r="L142" s="984">
        <v>10300000</v>
      </c>
      <c r="M142" s="1076">
        <f>K142-H142</f>
        <v>0</v>
      </c>
      <c r="N142" s="5"/>
      <c r="O142">
        <v>2837707</v>
      </c>
    </row>
    <row r="143" spans="1:34">
      <c r="A143" s="924"/>
      <c r="B143" s="879"/>
      <c r="C143" s="914"/>
      <c r="D143" s="660"/>
      <c r="E143" s="879"/>
      <c r="F143" s="879"/>
      <c r="G143" s="144"/>
      <c r="H143" s="916"/>
      <c r="I143" s="906"/>
      <c r="J143" s="910"/>
      <c r="K143" s="920"/>
      <c r="L143" s="920"/>
      <c r="M143" s="901"/>
      <c r="O143">
        <v>2837707</v>
      </c>
    </row>
    <row r="144" spans="1:34" ht="12.75" customHeight="1">
      <c r="A144" s="867">
        <v>70</v>
      </c>
      <c r="B144" s="1310"/>
      <c r="C144" s="986" t="s">
        <v>162</v>
      </c>
      <c r="D144" s="987" t="s">
        <v>176</v>
      </c>
      <c r="E144" s="983" t="s">
        <v>256</v>
      </c>
      <c r="F144" s="1315">
        <v>37769</v>
      </c>
      <c r="G144" s="144"/>
      <c r="H144" s="988">
        <v>1500000</v>
      </c>
      <c r="I144" s="916">
        <v>1500000</v>
      </c>
      <c r="J144" s="909"/>
      <c r="K144" s="984">
        <v>1500000</v>
      </c>
      <c r="L144" s="984">
        <v>1500000</v>
      </c>
      <c r="M144" s="1076">
        <f>K144-H144</f>
        <v>0</v>
      </c>
      <c r="N144" s="12"/>
      <c r="O144">
        <v>2837707</v>
      </c>
    </row>
    <row r="145" spans="1:15" ht="12.75" customHeight="1">
      <c r="A145" s="924"/>
      <c r="B145" s="1311"/>
      <c r="C145" s="914"/>
      <c r="D145" s="660"/>
      <c r="E145" s="879"/>
      <c r="F145" s="879"/>
      <c r="G145" s="144"/>
      <c r="H145" s="916"/>
      <c r="I145" s="906"/>
      <c r="J145" s="910"/>
      <c r="K145" s="920"/>
      <c r="L145" s="920"/>
      <c r="M145" s="901"/>
      <c r="O145">
        <v>2837707</v>
      </c>
    </row>
    <row r="146" spans="1:15">
      <c r="A146" s="867">
        <v>71</v>
      </c>
      <c r="B146" s="983"/>
      <c r="C146" s="986" t="s">
        <v>164</v>
      </c>
      <c r="D146" s="987" t="s">
        <v>175</v>
      </c>
      <c r="E146" s="983" t="s">
        <v>258</v>
      </c>
      <c r="F146" s="1315">
        <v>41338</v>
      </c>
      <c r="G146" s="144"/>
      <c r="H146" s="988">
        <v>3200000</v>
      </c>
      <c r="I146" s="916">
        <f>H146</f>
        <v>3200000</v>
      </c>
      <c r="J146" s="909"/>
      <c r="K146" s="984">
        <v>3200000</v>
      </c>
      <c r="L146" s="984">
        <v>3200000</v>
      </c>
      <c r="M146" s="1076">
        <f>K146-H146</f>
        <v>0</v>
      </c>
      <c r="O146">
        <v>2837707</v>
      </c>
    </row>
    <row r="147" spans="1:15">
      <c r="A147" s="924"/>
      <c r="B147" s="879"/>
      <c r="C147" s="914"/>
      <c r="D147" s="660"/>
      <c r="E147" s="879"/>
      <c r="F147" s="879"/>
      <c r="G147" s="144" t="s">
        <v>521</v>
      </c>
      <c r="H147" s="916"/>
      <c r="I147" s="906"/>
      <c r="J147" s="910"/>
      <c r="K147" s="920"/>
      <c r="L147" s="920"/>
      <c r="M147" s="901"/>
      <c r="O147">
        <v>2837707</v>
      </c>
    </row>
    <row r="148" spans="1:15">
      <c r="A148" s="867">
        <v>72</v>
      </c>
      <c r="B148" s="983"/>
      <c r="C148" s="986" t="s">
        <v>6</v>
      </c>
      <c r="D148" s="987" t="s">
        <v>175</v>
      </c>
      <c r="E148" s="983" t="s">
        <v>259</v>
      </c>
      <c r="F148" s="1315">
        <v>41288</v>
      </c>
      <c r="G148" s="144"/>
      <c r="H148" s="988">
        <v>500000</v>
      </c>
      <c r="I148" s="916">
        <v>500000</v>
      </c>
      <c r="J148" s="909"/>
      <c r="K148" s="984">
        <v>500000</v>
      </c>
      <c r="L148" s="984">
        <v>500000</v>
      </c>
      <c r="M148" s="1076">
        <f>K148-H148</f>
        <v>0</v>
      </c>
    </row>
    <row r="149" spans="1:15">
      <c r="A149" s="924"/>
      <c r="B149" s="879"/>
      <c r="C149" s="914"/>
      <c r="D149" s="660"/>
      <c r="E149" s="879"/>
      <c r="F149" s="879"/>
      <c r="G149" s="144"/>
      <c r="H149" s="916"/>
      <c r="I149" s="906"/>
      <c r="J149" s="910"/>
      <c r="K149" s="920"/>
      <c r="L149" s="920"/>
      <c r="M149" s="901"/>
    </row>
    <row r="150" spans="1:15" ht="12.75" customHeight="1">
      <c r="A150" s="867">
        <v>73</v>
      </c>
      <c r="B150" s="878"/>
      <c r="C150" s="913" t="s">
        <v>165</v>
      </c>
      <c r="D150" s="659" t="s">
        <v>175</v>
      </c>
      <c r="E150" s="983" t="s">
        <v>241</v>
      </c>
      <c r="F150" s="878"/>
      <c r="G150" s="139"/>
      <c r="H150" s="915">
        <v>6500000</v>
      </c>
      <c r="I150" s="915">
        <f>H150</f>
        <v>6500000</v>
      </c>
      <c r="J150" s="948"/>
      <c r="K150" s="919">
        <v>6500000</v>
      </c>
      <c r="L150" s="919">
        <v>6500000</v>
      </c>
      <c r="M150" s="900">
        <f>K150-H150</f>
        <v>0</v>
      </c>
      <c r="O150">
        <v>2837707</v>
      </c>
    </row>
    <row r="151" spans="1:15" ht="13.5" customHeight="1" thickBot="1">
      <c r="A151" s="924"/>
      <c r="B151" s="1197"/>
      <c r="C151" s="1249"/>
      <c r="D151" s="1196"/>
      <c r="E151" s="879"/>
      <c r="F151" s="1197"/>
      <c r="G151" s="143"/>
      <c r="H151" s="1091"/>
      <c r="I151" s="1091"/>
      <c r="J151" s="1148"/>
      <c r="K151" s="1041"/>
      <c r="L151" s="1041"/>
      <c r="M151" s="1309"/>
      <c r="O151">
        <v>2837707</v>
      </c>
    </row>
    <row r="152" spans="1:15">
      <c r="A152" s="867">
        <v>74</v>
      </c>
      <c r="B152" s="983" t="s">
        <v>152</v>
      </c>
      <c r="C152" s="986" t="s">
        <v>171</v>
      </c>
      <c r="D152" s="987" t="s">
        <v>160</v>
      </c>
      <c r="E152" s="983" t="s">
        <v>239</v>
      </c>
      <c r="F152" s="983" t="s">
        <v>169</v>
      </c>
      <c r="G152" s="144"/>
      <c r="H152" s="988">
        <v>10500000</v>
      </c>
      <c r="I152" s="916">
        <f>H152</f>
        <v>10500000</v>
      </c>
      <c r="J152" s="949"/>
      <c r="K152" s="984">
        <v>10500000</v>
      </c>
      <c r="L152" s="984">
        <v>10500000</v>
      </c>
      <c r="M152" s="1076">
        <f>K152-H152</f>
        <v>0</v>
      </c>
      <c r="O152">
        <v>2837707</v>
      </c>
    </row>
    <row r="153" spans="1:15">
      <c r="A153" s="924"/>
      <c r="B153" s="879"/>
      <c r="C153" s="914"/>
      <c r="D153" s="660"/>
      <c r="E153" s="879"/>
      <c r="F153" s="879"/>
      <c r="G153" s="144"/>
      <c r="H153" s="916"/>
      <c r="I153" s="906"/>
      <c r="J153" s="910"/>
      <c r="K153" s="920"/>
      <c r="L153" s="920"/>
      <c r="M153" s="901"/>
      <c r="O153">
        <v>2837707</v>
      </c>
    </row>
    <row r="154" spans="1:15">
      <c r="A154" s="867">
        <v>75</v>
      </c>
      <c r="B154" s="1042"/>
      <c r="C154" s="913" t="s">
        <v>166</v>
      </c>
      <c r="D154" s="659" t="s">
        <v>175</v>
      </c>
      <c r="E154" s="878" t="s">
        <v>260</v>
      </c>
      <c r="F154" s="878"/>
      <c r="G154" s="139"/>
      <c r="H154" s="915">
        <v>450000</v>
      </c>
      <c r="I154" s="905">
        <f>H154</f>
        <v>450000</v>
      </c>
      <c r="J154" s="909"/>
      <c r="K154" s="919">
        <v>450000</v>
      </c>
      <c r="L154" s="919">
        <v>450000</v>
      </c>
      <c r="M154" s="900">
        <f>K154-H154</f>
        <v>0</v>
      </c>
      <c r="O154">
        <v>2837707</v>
      </c>
    </row>
    <row r="155" spans="1:15" ht="13.5" thickBot="1">
      <c r="A155" s="924"/>
      <c r="B155" s="1316"/>
      <c r="C155" s="1249"/>
      <c r="D155" s="1196"/>
      <c r="E155" s="1197"/>
      <c r="F155" s="1197"/>
      <c r="G155" s="143"/>
      <c r="H155" s="1091"/>
      <c r="I155" s="943"/>
      <c r="J155" s="944"/>
      <c r="K155" s="1041"/>
      <c r="L155" s="1041"/>
      <c r="M155" s="1309"/>
      <c r="O155">
        <v>2837707</v>
      </c>
    </row>
    <row r="156" spans="1:15">
      <c r="A156" s="867">
        <v>76</v>
      </c>
      <c r="B156" s="983" t="s">
        <v>151</v>
      </c>
      <c r="C156" s="986" t="s">
        <v>158</v>
      </c>
      <c r="D156" s="987" t="s">
        <v>160</v>
      </c>
      <c r="E156" s="983" t="s">
        <v>244</v>
      </c>
      <c r="F156" s="983"/>
      <c r="G156" s="144"/>
      <c r="H156" s="988">
        <v>1980</v>
      </c>
      <c r="I156" s="916">
        <f>J156*H156</f>
        <v>557370</v>
      </c>
      <c r="J156" s="949">
        <v>281.5</v>
      </c>
      <c r="K156" s="984">
        <v>1980</v>
      </c>
      <c r="L156" s="984">
        <v>1980</v>
      </c>
      <c r="M156" s="1076">
        <f>K156-H156</f>
        <v>0</v>
      </c>
      <c r="O156">
        <v>2837707</v>
      </c>
    </row>
    <row r="157" spans="1:15">
      <c r="A157" s="924"/>
      <c r="B157" s="879"/>
      <c r="C157" s="914"/>
      <c r="D157" s="660"/>
      <c r="E157" s="879"/>
      <c r="F157" s="879"/>
      <c r="G157" s="144"/>
      <c r="H157" s="916"/>
      <c r="I157" s="906"/>
      <c r="J157" s="910"/>
      <c r="K157" s="920"/>
      <c r="L157" s="920"/>
      <c r="M157" s="901"/>
      <c r="O157">
        <v>2837707</v>
      </c>
    </row>
    <row r="158" spans="1:15">
      <c r="A158" s="867">
        <v>77</v>
      </c>
      <c r="B158" s="1042"/>
      <c r="C158" s="913" t="s">
        <v>159</v>
      </c>
      <c r="D158" s="659" t="s">
        <v>160</v>
      </c>
      <c r="E158" s="878" t="s">
        <v>243</v>
      </c>
      <c r="F158" s="878"/>
      <c r="G158" s="139"/>
      <c r="H158" s="915">
        <v>903000</v>
      </c>
      <c r="I158" s="905">
        <f>H158</f>
        <v>903000</v>
      </c>
      <c r="J158" s="909"/>
      <c r="K158" s="919">
        <v>903000</v>
      </c>
      <c r="L158" s="919">
        <v>903000</v>
      </c>
      <c r="M158" s="900">
        <f>K158-H158</f>
        <v>0</v>
      </c>
      <c r="O158">
        <v>2837707</v>
      </c>
    </row>
    <row r="159" spans="1:15" ht="13.5" thickBot="1">
      <c r="A159" s="924"/>
      <c r="B159" s="1316"/>
      <c r="C159" s="1249"/>
      <c r="D159" s="1196"/>
      <c r="E159" s="1197"/>
      <c r="F159" s="1197"/>
      <c r="G159" s="143"/>
      <c r="H159" s="1091"/>
      <c r="I159" s="943"/>
      <c r="J159" s="944"/>
      <c r="K159" s="1041"/>
      <c r="L159" s="1041"/>
      <c r="M159" s="1309"/>
      <c r="O159">
        <v>2837707</v>
      </c>
    </row>
    <row r="160" spans="1:15">
      <c r="A160" s="867">
        <v>78</v>
      </c>
      <c r="B160" s="983" t="s">
        <v>161</v>
      </c>
      <c r="C160" s="986"/>
      <c r="D160" s="987" t="s">
        <v>181</v>
      </c>
      <c r="E160" s="983" t="s">
        <v>239</v>
      </c>
      <c r="F160" s="983" t="s">
        <v>169</v>
      </c>
      <c r="G160" s="144"/>
      <c r="H160" s="988">
        <v>10500000</v>
      </c>
      <c r="I160" s="916">
        <f>H160</f>
        <v>10500000</v>
      </c>
      <c r="J160" s="949"/>
      <c r="K160" s="984">
        <v>10500000</v>
      </c>
      <c r="L160" s="984">
        <v>10500000</v>
      </c>
      <c r="M160" s="1076">
        <f>K160-H160</f>
        <v>0</v>
      </c>
      <c r="O160">
        <v>2837707</v>
      </c>
    </row>
    <row r="161" spans="1:15">
      <c r="A161" s="924"/>
      <c r="B161" s="879"/>
      <c r="C161" s="914"/>
      <c r="D161" s="660"/>
      <c r="E161" s="879"/>
      <c r="F161" s="879"/>
      <c r="G161" s="144"/>
      <c r="H161" s="916"/>
      <c r="I161" s="906"/>
      <c r="J161" s="910"/>
      <c r="K161" s="920"/>
      <c r="L161" s="920"/>
      <c r="M161" s="901"/>
      <c r="O161">
        <v>2837707</v>
      </c>
    </row>
    <row r="162" spans="1:15" ht="12.75" customHeight="1">
      <c r="A162" s="867">
        <v>79</v>
      </c>
      <c r="B162" s="1310"/>
      <c r="C162" s="986" t="s">
        <v>183</v>
      </c>
      <c r="D162" s="987" t="s">
        <v>182</v>
      </c>
      <c r="E162" s="983" t="s">
        <v>186</v>
      </c>
      <c r="F162" s="983" t="s">
        <v>187</v>
      </c>
      <c r="G162" s="144"/>
      <c r="H162" s="988">
        <v>1350000</v>
      </c>
      <c r="I162" s="916">
        <f>H162</f>
        <v>1350000</v>
      </c>
      <c r="J162" s="909"/>
      <c r="K162" s="984">
        <v>1350000</v>
      </c>
      <c r="L162" s="984">
        <v>1350000</v>
      </c>
      <c r="M162" s="1076">
        <f>K162-H162</f>
        <v>0</v>
      </c>
      <c r="O162">
        <v>2837707</v>
      </c>
    </row>
    <row r="163" spans="1:15" ht="12.75" customHeight="1">
      <c r="A163" s="924"/>
      <c r="B163" s="1311"/>
      <c r="C163" s="914"/>
      <c r="D163" s="660"/>
      <c r="E163" s="879"/>
      <c r="F163" s="879"/>
      <c r="G163" s="144"/>
      <c r="H163" s="916"/>
      <c r="I163" s="906"/>
      <c r="J163" s="910"/>
      <c r="K163" s="920"/>
      <c r="L163" s="920"/>
      <c r="M163" s="901"/>
      <c r="O163">
        <v>2837707</v>
      </c>
    </row>
    <row r="164" spans="1:15" ht="16.5" customHeight="1">
      <c r="A164" s="867">
        <v>80</v>
      </c>
      <c r="B164" s="878"/>
      <c r="C164" s="913" t="s">
        <v>194</v>
      </c>
      <c r="D164" s="659" t="s">
        <v>195</v>
      </c>
      <c r="E164" s="878" t="s">
        <v>248</v>
      </c>
      <c r="F164" s="878"/>
      <c r="G164" s="139" t="s">
        <v>204</v>
      </c>
      <c r="H164" s="915">
        <v>3000000</v>
      </c>
      <c r="I164" s="905">
        <f>H164</f>
        <v>3000000</v>
      </c>
      <c r="J164" s="909"/>
      <c r="K164" s="919">
        <v>3000000</v>
      </c>
      <c r="L164" s="919">
        <v>3000000</v>
      </c>
      <c r="M164" s="900">
        <f>K164-H164</f>
        <v>0</v>
      </c>
      <c r="O164">
        <v>2837707</v>
      </c>
    </row>
    <row r="165" spans="1:15" ht="13.5" thickBot="1">
      <c r="A165" s="924"/>
      <c r="B165" s="1197"/>
      <c r="C165" s="1249"/>
      <c r="D165" s="1196"/>
      <c r="E165" s="1197"/>
      <c r="F165" s="1197"/>
      <c r="G165" s="143"/>
      <c r="H165" s="1091"/>
      <c r="I165" s="943"/>
      <c r="J165" s="944"/>
      <c r="K165" s="1041"/>
      <c r="L165" s="1041"/>
      <c r="M165" s="1309"/>
      <c r="O165">
        <v>2837707</v>
      </c>
    </row>
    <row r="166" spans="1:15">
      <c r="A166" s="867">
        <v>81</v>
      </c>
      <c r="B166" s="983" t="s">
        <v>177</v>
      </c>
      <c r="C166" s="986"/>
      <c r="D166" s="987"/>
      <c r="E166" s="983" t="s">
        <v>239</v>
      </c>
      <c r="F166" s="983"/>
      <c r="G166" s="144"/>
      <c r="H166" s="988">
        <v>10500000</v>
      </c>
      <c r="I166" s="916">
        <f>H166</f>
        <v>10500000</v>
      </c>
      <c r="J166" s="949"/>
      <c r="K166" s="984">
        <v>10500000</v>
      </c>
      <c r="L166" s="984">
        <v>10500000</v>
      </c>
      <c r="M166" s="1076">
        <f>K166-H166</f>
        <v>0</v>
      </c>
      <c r="O166">
        <v>2837707</v>
      </c>
    </row>
    <row r="167" spans="1:15">
      <c r="A167" s="924"/>
      <c r="B167" s="879"/>
      <c r="C167" s="914"/>
      <c r="D167" s="660"/>
      <c r="E167" s="879"/>
      <c r="F167" s="879"/>
      <c r="G167" s="144"/>
      <c r="H167" s="916"/>
      <c r="I167" s="906"/>
      <c r="J167" s="910"/>
      <c r="K167" s="920"/>
      <c r="L167" s="920"/>
      <c r="M167" s="901"/>
      <c r="O167">
        <v>2837707</v>
      </c>
    </row>
    <row r="168" spans="1:15">
      <c r="A168" s="867">
        <v>82</v>
      </c>
      <c r="B168" s="1310"/>
      <c r="C168" s="986" t="s">
        <v>190</v>
      </c>
      <c r="D168" s="987" t="s">
        <v>189</v>
      </c>
      <c r="E168" s="983" t="s">
        <v>191</v>
      </c>
      <c r="F168" s="983"/>
      <c r="G168" s="144"/>
      <c r="H168" s="988">
        <v>2500000</v>
      </c>
      <c r="I168" s="916">
        <f>H168</f>
        <v>2500000</v>
      </c>
      <c r="J168" s="909"/>
      <c r="K168" s="984">
        <v>2500000</v>
      </c>
      <c r="L168" s="984">
        <v>2500000</v>
      </c>
      <c r="M168" s="1076">
        <f>K168-H168</f>
        <v>0</v>
      </c>
      <c r="O168">
        <v>2837707</v>
      </c>
    </row>
    <row r="169" spans="1:15">
      <c r="A169" s="924"/>
      <c r="B169" s="1311"/>
      <c r="C169" s="914"/>
      <c r="D169" s="660"/>
      <c r="E169" s="879"/>
      <c r="F169" s="879"/>
      <c r="G169" s="144"/>
      <c r="H169" s="916"/>
      <c r="I169" s="906"/>
      <c r="J169" s="910"/>
      <c r="K169" s="920"/>
      <c r="L169" s="920"/>
      <c r="M169" s="901"/>
      <c r="O169">
        <v>2837707</v>
      </c>
    </row>
    <row r="170" spans="1:15">
      <c r="A170" s="867">
        <v>83</v>
      </c>
      <c r="B170" s="878"/>
      <c r="C170" s="913" t="s">
        <v>188</v>
      </c>
      <c r="D170" s="659" t="s">
        <v>189</v>
      </c>
      <c r="E170" s="878" t="s">
        <v>249</v>
      </c>
      <c r="F170" s="878"/>
      <c r="G170" s="139"/>
      <c r="H170" s="915">
        <v>900000</v>
      </c>
      <c r="I170" s="905">
        <f>H170</f>
        <v>900000</v>
      </c>
      <c r="J170" s="909"/>
      <c r="K170" s="919">
        <v>900000</v>
      </c>
      <c r="L170" s="919">
        <v>900000</v>
      </c>
      <c r="M170" s="900">
        <f>K170-H170</f>
        <v>0</v>
      </c>
      <c r="O170">
        <v>2837707</v>
      </c>
    </row>
    <row r="171" spans="1:15" ht="13.5" thickBot="1">
      <c r="A171" s="924"/>
      <c r="B171" s="1197"/>
      <c r="C171" s="1249"/>
      <c r="D171" s="1196"/>
      <c r="E171" s="1197"/>
      <c r="F171" s="1197"/>
      <c r="G171" s="143"/>
      <c r="H171" s="1091"/>
      <c r="I171" s="943"/>
      <c r="J171" s="944"/>
      <c r="K171" s="1041"/>
      <c r="L171" s="1041"/>
      <c r="M171" s="1309"/>
      <c r="O171">
        <v>2837707</v>
      </c>
    </row>
    <row r="172" spans="1:15">
      <c r="A172" s="867">
        <v>84</v>
      </c>
      <c r="B172" s="983" t="s">
        <v>197</v>
      </c>
      <c r="C172" s="986" t="s">
        <v>6</v>
      </c>
      <c r="D172" s="987" t="s">
        <v>181</v>
      </c>
      <c r="E172" s="983" t="s">
        <v>247</v>
      </c>
      <c r="F172" s="983"/>
      <c r="G172" s="144"/>
      <c r="H172" s="988">
        <v>3300</v>
      </c>
      <c r="I172" s="916">
        <f>J172*H172</f>
        <v>922350</v>
      </c>
      <c r="J172" s="949">
        <v>279.5</v>
      </c>
      <c r="K172" s="984">
        <v>3300</v>
      </c>
      <c r="L172" s="984">
        <v>3300</v>
      </c>
      <c r="M172" s="1076">
        <f>K172-H172</f>
        <v>0</v>
      </c>
      <c r="O172">
        <v>2837707</v>
      </c>
    </row>
    <row r="173" spans="1:15">
      <c r="A173" s="924"/>
      <c r="B173" s="879"/>
      <c r="C173" s="914"/>
      <c r="D173" s="660"/>
      <c r="E173" s="879"/>
      <c r="F173" s="879"/>
      <c r="G173" s="144"/>
      <c r="H173" s="916"/>
      <c r="I173" s="906"/>
      <c r="J173" s="910"/>
      <c r="K173" s="920"/>
      <c r="L173" s="920"/>
      <c r="M173" s="901"/>
      <c r="O173">
        <v>2837707</v>
      </c>
    </row>
    <row r="174" spans="1:15">
      <c r="A174" s="867">
        <v>85</v>
      </c>
      <c r="B174" s="1042"/>
      <c r="C174" s="913" t="s">
        <v>192</v>
      </c>
      <c r="D174" s="659" t="s">
        <v>189</v>
      </c>
      <c r="E174" s="878" t="s">
        <v>261</v>
      </c>
      <c r="F174" s="878"/>
      <c r="G174" s="139"/>
      <c r="H174" s="915">
        <v>2700000</v>
      </c>
      <c r="I174" s="905">
        <f>H174</f>
        <v>2700000</v>
      </c>
      <c r="J174" s="909"/>
      <c r="K174" s="919">
        <v>2700000</v>
      </c>
      <c r="L174" s="919">
        <v>2700000</v>
      </c>
      <c r="M174" s="900">
        <f>K174-H174</f>
        <v>0</v>
      </c>
      <c r="O174">
        <v>2837707</v>
      </c>
    </row>
    <row r="175" spans="1:15" ht="13.5" thickBot="1">
      <c r="A175" s="924"/>
      <c r="B175" s="1316"/>
      <c r="C175" s="1249"/>
      <c r="D175" s="1196"/>
      <c r="E175" s="1197"/>
      <c r="F175" s="1197"/>
      <c r="G175" s="143"/>
      <c r="H175" s="1091"/>
      <c r="I175" s="943"/>
      <c r="J175" s="944"/>
      <c r="K175" s="1041"/>
      <c r="L175" s="1041"/>
      <c r="M175" s="1309"/>
      <c r="O175">
        <v>2837707</v>
      </c>
    </row>
    <row r="176" spans="1:15" ht="18.75">
      <c r="A176" s="867">
        <v>86</v>
      </c>
      <c r="B176" s="1373" t="s">
        <v>218</v>
      </c>
      <c r="C176" s="1375" t="s">
        <v>6</v>
      </c>
      <c r="D176" s="1375" t="s">
        <v>181</v>
      </c>
      <c r="E176" s="1373" t="s">
        <v>219</v>
      </c>
      <c r="F176" s="1373"/>
      <c r="G176" s="149"/>
      <c r="H176" s="1378">
        <v>3000000</v>
      </c>
      <c r="I176" s="1379">
        <f>H176</f>
        <v>3000000</v>
      </c>
      <c r="J176" s="1381">
        <v>2200000</v>
      </c>
      <c r="K176" s="1376">
        <v>3000000</v>
      </c>
      <c r="L176" s="1376">
        <v>3000000</v>
      </c>
      <c r="M176" s="1378">
        <f>K176-H176</f>
        <v>0</v>
      </c>
    </row>
    <row r="177" spans="1:15" ht="18.75">
      <c r="A177" s="924"/>
      <c r="B177" s="1374"/>
      <c r="C177" s="1258"/>
      <c r="D177" s="1258"/>
      <c r="E177" s="1374"/>
      <c r="F177" s="1374"/>
      <c r="G177" s="149"/>
      <c r="H177" s="1379"/>
      <c r="I177" s="1380"/>
      <c r="J177" s="1381"/>
      <c r="K177" s="1377"/>
      <c r="L177" s="1377"/>
      <c r="M177" s="1379"/>
    </row>
    <row r="178" spans="1:15">
      <c r="A178" s="867">
        <v>87</v>
      </c>
      <c r="B178" s="983" t="s">
        <v>196</v>
      </c>
      <c r="C178" s="986" t="s">
        <v>184</v>
      </c>
      <c r="D178" s="987" t="s">
        <v>182</v>
      </c>
      <c r="E178" s="983" t="s">
        <v>262</v>
      </c>
      <c r="F178" s="983"/>
      <c r="G178" s="144"/>
      <c r="H178" s="988">
        <v>656000</v>
      </c>
      <c r="I178" s="916">
        <f>H178</f>
        <v>656000</v>
      </c>
      <c r="J178" s="949"/>
      <c r="K178" s="984">
        <v>656000</v>
      </c>
      <c r="L178" s="984">
        <v>656000</v>
      </c>
      <c r="M178" s="1076">
        <f>K178-H178</f>
        <v>0</v>
      </c>
      <c r="O178">
        <v>2837707</v>
      </c>
    </row>
    <row r="179" spans="1:15">
      <c r="A179" s="924"/>
      <c r="B179" s="879"/>
      <c r="C179" s="914"/>
      <c r="D179" s="660"/>
      <c r="E179" s="879"/>
      <c r="F179" s="879"/>
      <c r="G179" s="144"/>
      <c r="H179" s="916"/>
      <c r="I179" s="906"/>
      <c r="J179" s="910"/>
      <c r="K179" s="920"/>
      <c r="L179" s="920"/>
      <c r="M179" s="901"/>
      <c r="O179">
        <v>2837707</v>
      </c>
    </row>
    <row r="180" spans="1:15">
      <c r="A180" s="867">
        <v>88</v>
      </c>
      <c r="B180" s="1042"/>
      <c r="C180" s="913"/>
      <c r="D180" s="659"/>
      <c r="E180" s="878"/>
      <c r="F180" s="878"/>
      <c r="G180" s="139"/>
      <c r="H180" s="915"/>
      <c r="I180" s="905"/>
      <c r="J180" s="909"/>
      <c r="K180" s="919"/>
      <c r="L180" s="919"/>
      <c r="M180" s="900">
        <f>K180-H180</f>
        <v>0</v>
      </c>
      <c r="O180">
        <v>2837707</v>
      </c>
    </row>
    <row r="181" spans="1:15" ht="13.5" thickBot="1">
      <c r="A181" s="924"/>
      <c r="B181" s="1316"/>
      <c r="C181" s="1249"/>
      <c r="D181" s="1196"/>
      <c r="E181" s="1197"/>
      <c r="F181" s="1197"/>
      <c r="G181" s="143"/>
      <c r="H181" s="1091"/>
      <c r="I181" s="943"/>
      <c r="J181" s="944"/>
      <c r="K181" s="1041"/>
      <c r="L181" s="1041"/>
      <c r="M181" s="1309"/>
      <c r="O181">
        <v>2837707</v>
      </c>
    </row>
    <row r="182" spans="1:15" ht="12.75" customHeight="1">
      <c r="A182" s="867">
        <v>89</v>
      </c>
      <c r="B182" s="983" t="s">
        <v>180</v>
      </c>
      <c r="C182" s="986" t="s">
        <v>264</v>
      </c>
      <c r="D182" s="987" t="s">
        <v>265</v>
      </c>
      <c r="E182" s="983" t="s">
        <v>239</v>
      </c>
      <c r="F182" s="983"/>
      <c r="G182" s="144"/>
      <c r="H182" s="988">
        <v>9700000</v>
      </c>
      <c r="I182" s="916">
        <f>H182</f>
        <v>9700000</v>
      </c>
      <c r="J182" s="909"/>
      <c r="K182" s="984">
        <v>9700000</v>
      </c>
      <c r="L182" s="984">
        <f>K182</f>
        <v>9700000</v>
      </c>
      <c r="M182" s="1076">
        <f>K182-H182</f>
        <v>0</v>
      </c>
      <c r="O182">
        <v>2837707</v>
      </c>
    </row>
    <row r="183" spans="1:15" ht="12.75" customHeight="1">
      <c r="A183" s="924"/>
      <c r="B183" s="879"/>
      <c r="C183" s="914"/>
      <c r="D183" s="660"/>
      <c r="E183" s="879"/>
      <c r="F183" s="879"/>
      <c r="G183" s="144"/>
      <c r="H183" s="916"/>
      <c r="I183" s="906"/>
      <c r="J183" s="910"/>
      <c r="K183" s="920"/>
      <c r="L183" s="920"/>
      <c r="M183" s="901"/>
      <c r="O183">
        <v>2837707</v>
      </c>
    </row>
    <row r="184" spans="1:15">
      <c r="A184" s="867">
        <v>90</v>
      </c>
      <c r="B184" s="1042"/>
      <c r="C184" s="913" t="s">
        <v>201</v>
      </c>
      <c r="D184" s="659" t="s">
        <v>200</v>
      </c>
      <c r="E184" s="878" t="s">
        <v>199</v>
      </c>
      <c r="F184" s="878"/>
      <c r="G184" s="139"/>
      <c r="H184" s="915">
        <v>1600000</v>
      </c>
      <c r="I184" s="905">
        <v>1600000</v>
      </c>
      <c r="J184" s="909"/>
      <c r="K184" s="919">
        <v>1600000</v>
      </c>
      <c r="L184" s="984">
        <f>K184</f>
        <v>1600000</v>
      </c>
      <c r="M184" s="900">
        <f>K184-H184</f>
        <v>0</v>
      </c>
      <c r="O184">
        <v>2837707</v>
      </c>
    </row>
    <row r="185" spans="1:15" ht="13.5" thickBot="1">
      <c r="A185" s="924"/>
      <c r="B185" s="1316"/>
      <c r="C185" s="1249"/>
      <c r="D185" s="1196"/>
      <c r="E185" s="1197"/>
      <c r="F185" s="1197"/>
      <c r="G185" s="143"/>
      <c r="H185" s="1091"/>
      <c r="I185" s="943"/>
      <c r="J185" s="944"/>
      <c r="K185" s="1041"/>
      <c r="L185" s="920"/>
      <c r="M185" s="1309"/>
      <c r="O185">
        <v>2837707</v>
      </c>
    </row>
    <row r="186" spans="1:15" ht="12.75" customHeight="1">
      <c r="A186" s="867">
        <v>91</v>
      </c>
      <c r="B186" s="983" t="s">
        <v>209</v>
      </c>
      <c r="C186" s="986" t="s">
        <v>269</v>
      </c>
      <c r="D186" s="987" t="s">
        <v>200</v>
      </c>
      <c r="E186" s="983" t="s">
        <v>239</v>
      </c>
      <c r="F186" s="983"/>
      <c r="G186" s="144"/>
      <c r="H186" s="988">
        <v>10800000</v>
      </c>
      <c r="I186" s="916">
        <f>H186</f>
        <v>10800000</v>
      </c>
      <c r="J186" s="909"/>
      <c r="K186" s="984">
        <v>10800000</v>
      </c>
      <c r="L186" s="984">
        <f>K186</f>
        <v>10800000</v>
      </c>
      <c r="M186" s="1076">
        <f>K186-H186</f>
        <v>0</v>
      </c>
      <c r="O186">
        <v>2837707</v>
      </c>
    </row>
    <row r="187" spans="1:15" ht="12.75" customHeight="1">
      <c r="A187" s="924"/>
      <c r="B187" s="879"/>
      <c r="C187" s="914"/>
      <c r="D187" s="660"/>
      <c r="E187" s="879"/>
      <c r="F187" s="879"/>
      <c r="G187" s="144"/>
      <c r="H187" s="916"/>
      <c r="I187" s="906"/>
      <c r="J187" s="910"/>
      <c r="K187" s="920"/>
      <c r="L187" s="920"/>
      <c r="M187" s="901"/>
      <c r="O187">
        <v>2837707</v>
      </c>
    </row>
    <row r="188" spans="1:15" ht="12.75" customHeight="1">
      <c r="A188" s="867">
        <v>92</v>
      </c>
      <c r="B188" s="1310"/>
      <c r="C188" s="986" t="s">
        <v>202</v>
      </c>
      <c r="D188" s="987" t="s">
        <v>203</v>
      </c>
      <c r="E188" s="983" t="s">
        <v>142</v>
      </c>
      <c r="F188" s="983"/>
      <c r="G188" s="144"/>
      <c r="H188" s="988">
        <v>450000</v>
      </c>
      <c r="I188" s="916">
        <v>450000</v>
      </c>
      <c r="J188" s="909"/>
      <c r="K188" s="984">
        <v>450000</v>
      </c>
      <c r="L188" s="984">
        <v>450000</v>
      </c>
      <c r="M188" s="1076">
        <f>K188-H188</f>
        <v>0</v>
      </c>
      <c r="O188">
        <v>2837707</v>
      </c>
    </row>
    <row r="189" spans="1:15" ht="12.75" customHeight="1">
      <c r="A189" s="924"/>
      <c r="B189" s="1311"/>
      <c r="C189" s="914"/>
      <c r="D189" s="660"/>
      <c r="E189" s="879"/>
      <c r="F189" s="879"/>
      <c r="G189" s="144"/>
      <c r="H189" s="916"/>
      <c r="I189" s="906"/>
      <c r="J189" s="910"/>
      <c r="K189" s="920"/>
      <c r="L189" s="920"/>
      <c r="M189" s="901"/>
      <c r="O189">
        <v>2837707</v>
      </c>
    </row>
    <row r="190" spans="1:15">
      <c r="A190" s="867">
        <v>93</v>
      </c>
      <c r="B190" s="878"/>
      <c r="C190" s="913" t="s">
        <v>212</v>
      </c>
      <c r="D190" s="659" t="s">
        <v>211</v>
      </c>
      <c r="E190" s="878" t="s">
        <v>217</v>
      </c>
      <c r="F190" s="878"/>
      <c r="G190" s="139" t="s">
        <v>213</v>
      </c>
      <c r="H190" s="915">
        <v>4000000</v>
      </c>
      <c r="I190" s="905">
        <f>H190</f>
        <v>4000000</v>
      </c>
      <c r="J190" s="909"/>
      <c r="K190" s="919">
        <v>4000000</v>
      </c>
      <c r="L190" s="919">
        <v>4000000</v>
      </c>
      <c r="M190" s="900">
        <f>K190-H190</f>
        <v>0</v>
      </c>
      <c r="O190">
        <v>2837707</v>
      </c>
    </row>
    <row r="191" spans="1:15" ht="13.5" thickBot="1">
      <c r="A191" s="924"/>
      <c r="B191" s="1197"/>
      <c r="C191" s="1249"/>
      <c r="D191" s="1196"/>
      <c r="E191" s="1197"/>
      <c r="F191" s="1197"/>
      <c r="G191" s="143"/>
      <c r="H191" s="1091"/>
      <c r="I191" s="943"/>
      <c r="J191" s="944"/>
      <c r="K191" s="1041"/>
      <c r="L191" s="1041"/>
      <c r="M191" s="1309"/>
      <c r="O191">
        <v>2837707</v>
      </c>
    </row>
    <row r="192" spans="1:15">
      <c r="A192" s="867">
        <v>94</v>
      </c>
      <c r="B192" s="983" t="s">
        <v>193</v>
      </c>
      <c r="C192" s="986"/>
      <c r="D192" s="987"/>
      <c r="E192" s="983" t="s">
        <v>205</v>
      </c>
      <c r="F192" s="983"/>
      <c r="G192" s="144"/>
      <c r="H192" s="988"/>
      <c r="I192" s="916"/>
      <c r="J192" s="949"/>
      <c r="K192" s="984"/>
      <c r="L192" s="984"/>
      <c r="M192" s="1076">
        <f>K192-H192</f>
        <v>0</v>
      </c>
      <c r="O192">
        <v>2837707</v>
      </c>
    </row>
    <row r="193" spans="1:15" ht="13.5" thickBot="1">
      <c r="A193" s="924"/>
      <c r="B193" s="1197"/>
      <c r="C193" s="1249"/>
      <c r="D193" s="1196"/>
      <c r="E193" s="1197"/>
      <c r="F193" s="1197"/>
      <c r="G193" s="143"/>
      <c r="H193" s="1091"/>
      <c r="I193" s="943"/>
      <c r="J193" s="944"/>
      <c r="K193" s="1041"/>
      <c r="L193" s="1041"/>
      <c r="M193" s="1309"/>
      <c r="O193">
        <v>2837707</v>
      </c>
    </row>
    <row r="194" spans="1:15">
      <c r="A194" s="867">
        <v>95</v>
      </c>
      <c r="B194" s="983" t="s">
        <v>208</v>
      </c>
      <c r="C194" s="986" t="s">
        <v>214</v>
      </c>
      <c r="D194" s="987" t="s">
        <v>211</v>
      </c>
      <c r="E194" s="983" t="s">
        <v>52</v>
      </c>
      <c r="F194" s="983"/>
      <c r="G194" s="144"/>
      <c r="H194" s="988">
        <v>806000</v>
      </c>
      <c r="I194" s="916">
        <f>H194</f>
        <v>806000</v>
      </c>
      <c r="J194" s="949"/>
      <c r="K194" s="984">
        <v>806000</v>
      </c>
      <c r="L194" s="984">
        <v>806000</v>
      </c>
      <c r="M194" s="1076">
        <f>K194-H194</f>
        <v>0</v>
      </c>
      <c r="O194">
        <v>2837707</v>
      </c>
    </row>
    <row r="195" spans="1:15">
      <c r="A195" s="924"/>
      <c r="B195" s="879"/>
      <c r="C195" s="914"/>
      <c r="D195" s="660"/>
      <c r="E195" s="879"/>
      <c r="F195" s="879"/>
      <c r="G195" s="144"/>
      <c r="H195" s="916"/>
      <c r="I195" s="906"/>
      <c r="J195" s="910"/>
      <c r="K195" s="920"/>
      <c r="L195" s="920"/>
      <c r="M195" s="901"/>
      <c r="O195">
        <v>2837707</v>
      </c>
    </row>
    <row r="196" spans="1:15" ht="12.75" customHeight="1">
      <c r="A196" s="867">
        <v>96</v>
      </c>
      <c r="B196" s="1042"/>
      <c r="C196" s="913" t="s">
        <v>215</v>
      </c>
      <c r="D196" s="659" t="s">
        <v>211</v>
      </c>
      <c r="E196" s="878" t="s">
        <v>244</v>
      </c>
      <c r="F196" s="878"/>
      <c r="G196" s="139"/>
      <c r="H196" s="915">
        <v>1620</v>
      </c>
      <c r="I196" s="905">
        <f>H196*J196</f>
        <v>451980</v>
      </c>
      <c r="J196" s="909">
        <v>279</v>
      </c>
      <c r="K196" s="919">
        <v>1620</v>
      </c>
      <c r="L196" s="919">
        <v>1620</v>
      </c>
      <c r="M196" s="900">
        <f>K196-H196</f>
        <v>0</v>
      </c>
      <c r="O196">
        <v>2837707</v>
      </c>
    </row>
    <row r="197" spans="1:15" ht="12.75" customHeight="1" thickBot="1">
      <c r="A197" s="924"/>
      <c r="B197" s="1316"/>
      <c r="C197" s="1249"/>
      <c r="D197" s="1196"/>
      <c r="E197" s="1197"/>
      <c r="F197" s="1197"/>
      <c r="G197" s="143"/>
      <c r="H197" s="1091"/>
      <c r="I197" s="943"/>
      <c r="J197" s="944"/>
      <c r="K197" s="1041"/>
      <c r="L197" s="1041"/>
      <c r="M197" s="1309"/>
      <c r="O197">
        <v>2837707</v>
      </c>
    </row>
    <row r="198" spans="1:15">
      <c r="A198" s="867">
        <v>97</v>
      </c>
      <c r="B198" s="983" t="s">
        <v>206</v>
      </c>
      <c r="C198" s="986" t="s">
        <v>6</v>
      </c>
      <c r="D198" s="987" t="s">
        <v>220</v>
      </c>
      <c r="E198" s="983" t="s">
        <v>247</v>
      </c>
      <c r="F198" s="983"/>
      <c r="G198" s="144"/>
      <c r="H198" s="988">
        <v>3300</v>
      </c>
      <c r="I198" s="916">
        <f>H198*J198</f>
        <v>924000</v>
      </c>
      <c r="J198" s="949">
        <v>280</v>
      </c>
      <c r="K198" s="984">
        <v>3300</v>
      </c>
      <c r="L198" s="984">
        <v>3300</v>
      </c>
      <c r="M198" s="1076">
        <f>K198-H198</f>
        <v>0</v>
      </c>
      <c r="O198">
        <v>2837707</v>
      </c>
    </row>
    <row r="199" spans="1:15">
      <c r="A199" s="924"/>
      <c r="B199" s="879"/>
      <c r="C199" s="914"/>
      <c r="D199" s="660"/>
      <c r="E199" s="879"/>
      <c r="F199" s="879"/>
      <c r="G199" s="144"/>
      <c r="H199" s="916"/>
      <c r="I199" s="906"/>
      <c r="J199" s="910"/>
      <c r="K199" s="920"/>
      <c r="L199" s="920"/>
      <c r="M199" s="901"/>
      <c r="O199">
        <v>2837707</v>
      </c>
    </row>
    <row r="200" spans="1:15" ht="12.75" customHeight="1">
      <c r="A200" s="867">
        <v>98</v>
      </c>
      <c r="B200" s="1310"/>
      <c r="C200" s="986" t="s">
        <v>221</v>
      </c>
      <c r="D200" s="987" t="s">
        <v>223</v>
      </c>
      <c r="E200" s="983" t="s">
        <v>250</v>
      </c>
      <c r="F200" s="983"/>
      <c r="G200" s="144"/>
      <c r="H200" s="988">
        <v>2800000</v>
      </c>
      <c r="I200" s="916">
        <f>H200</f>
        <v>2800000</v>
      </c>
      <c r="J200" s="909"/>
      <c r="K200" s="984">
        <v>2800000</v>
      </c>
      <c r="L200" s="984">
        <v>2800000</v>
      </c>
      <c r="M200" s="1076">
        <f>K200-H200</f>
        <v>0</v>
      </c>
      <c r="O200">
        <v>2837707</v>
      </c>
    </row>
    <row r="201" spans="1:15" ht="12.75" customHeight="1">
      <c r="A201" s="924"/>
      <c r="B201" s="1311"/>
      <c r="C201" s="914"/>
      <c r="D201" s="660"/>
      <c r="E201" s="879"/>
      <c r="F201" s="879"/>
      <c r="G201" s="144"/>
      <c r="H201" s="916"/>
      <c r="I201" s="906"/>
      <c r="J201" s="910"/>
      <c r="K201" s="920"/>
      <c r="L201" s="920"/>
      <c r="M201" s="901"/>
      <c r="O201">
        <v>2837707</v>
      </c>
    </row>
    <row r="202" spans="1:15">
      <c r="A202" s="867">
        <v>99</v>
      </c>
      <c r="B202" s="878"/>
      <c r="C202" s="913" t="s">
        <v>222</v>
      </c>
      <c r="D202" s="659" t="s">
        <v>224</v>
      </c>
      <c r="E202" s="878" t="s">
        <v>263</v>
      </c>
      <c r="F202" s="878"/>
      <c r="G202" s="139" t="s">
        <v>235</v>
      </c>
      <c r="H202" s="915">
        <v>5500000</v>
      </c>
      <c r="I202" s="916">
        <f>H202</f>
        <v>5500000</v>
      </c>
      <c r="J202" s="909"/>
      <c r="K202" s="919">
        <v>5500000</v>
      </c>
      <c r="L202" s="919">
        <v>5500000</v>
      </c>
      <c r="M202" s="900">
        <f>K202-H202</f>
        <v>0</v>
      </c>
      <c r="O202">
        <v>2837707</v>
      </c>
    </row>
    <row r="203" spans="1:15" ht="13.5" thickBot="1">
      <c r="A203" s="924"/>
      <c r="B203" s="1197"/>
      <c r="C203" s="1249"/>
      <c r="D203" s="1196"/>
      <c r="E203" s="1197"/>
      <c r="F203" s="1197"/>
      <c r="G203" s="143"/>
      <c r="H203" s="1091"/>
      <c r="I203" s="906"/>
      <c r="J203" s="944"/>
      <c r="K203" s="1041"/>
      <c r="L203" s="1041"/>
      <c r="M203" s="1309"/>
      <c r="O203">
        <v>2837707</v>
      </c>
    </row>
    <row r="204" spans="1:15" ht="12.75" customHeight="1">
      <c r="A204" s="867">
        <v>100</v>
      </c>
      <c r="B204" s="983" t="s">
        <v>216</v>
      </c>
      <c r="C204" s="986" t="s">
        <v>267</v>
      </c>
      <c r="D204" s="987" t="s">
        <v>266</v>
      </c>
      <c r="E204" s="983" t="s">
        <v>239</v>
      </c>
      <c r="F204" s="983"/>
      <c r="G204" s="144"/>
      <c r="H204" s="988">
        <v>9700000</v>
      </c>
      <c r="I204" s="916">
        <f>H204</f>
        <v>9700000</v>
      </c>
      <c r="J204" s="909"/>
      <c r="K204" s="984">
        <v>9700000</v>
      </c>
      <c r="L204" s="984">
        <v>9700000</v>
      </c>
      <c r="M204" s="1076">
        <f>K204-H204</f>
        <v>0</v>
      </c>
      <c r="O204">
        <v>2837707</v>
      </c>
    </row>
    <row r="205" spans="1:15" ht="12.75" customHeight="1">
      <c r="A205" s="924"/>
      <c r="B205" s="879"/>
      <c r="C205" s="914"/>
      <c r="D205" s="660"/>
      <c r="E205" s="879"/>
      <c r="F205" s="879"/>
      <c r="G205" s="144"/>
      <c r="H205" s="916"/>
      <c r="I205" s="906"/>
      <c r="J205" s="910"/>
      <c r="K205" s="920"/>
      <c r="L205" s="920"/>
      <c r="M205" s="901"/>
      <c r="O205">
        <v>2837707</v>
      </c>
    </row>
    <row r="206" spans="1:15" ht="12.75" customHeight="1">
      <c r="A206" s="867">
        <v>101</v>
      </c>
      <c r="B206" s="1310"/>
      <c r="C206" s="986" t="s">
        <v>230</v>
      </c>
      <c r="D206" s="987" t="s">
        <v>229</v>
      </c>
      <c r="E206" s="983" t="s">
        <v>237</v>
      </c>
      <c r="F206" s="983" t="s">
        <v>238</v>
      </c>
      <c r="G206" s="144"/>
      <c r="H206" s="988">
        <v>3100000</v>
      </c>
      <c r="I206" s="916">
        <f>H206</f>
        <v>3100000</v>
      </c>
      <c r="J206" s="909"/>
      <c r="K206" s="984">
        <v>3100000</v>
      </c>
      <c r="L206" s="984">
        <v>3100000</v>
      </c>
      <c r="M206" s="1076">
        <f>K206-H206</f>
        <v>0</v>
      </c>
      <c r="O206">
        <v>2837707</v>
      </c>
    </row>
    <row r="207" spans="1:15" ht="12.75" customHeight="1">
      <c r="A207" s="924"/>
      <c r="B207" s="1311"/>
      <c r="C207" s="914"/>
      <c r="D207" s="660"/>
      <c r="E207" s="879"/>
      <c r="F207" s="879"/>
      <c r="G207" s="144"/>
      <c r="H207" s="916"/>
      <c r="I207" s="906"/>
      <c r="J207" s="910"/>
      <c r="K207" s="920"/>
      <c r="L207" s="920"/>
      <c r="M207" s="901"/>
      <c r="O207">
        <v>2837707</v>
      </c>
    </row>
    <row r="208" spans="1:15">
      <c r="A208" s="867">
        <v>102</v>
      </c>
      <c r="B208" s="983"/>
      <c r="C208" s="986" t="s">
        <v>231</v>
      </c>
      <c r="D208" s="987" t="s">
        <v>229</v>
      </c>
      <c r="E208" s="983" t="s">
        <v>245</v>
      </c>
      <c r="F208" s="983"/>
      <c r="G208" s="144"/>
      <c r="H208" s="988">
        <v>3000000</v>
      </c>
      <c r="I208" s="916">
        <f>H208</f>
        <v>3000000</v>
      </c>
      <c r="J208" s="909"/>
      <c r="K208" s="984">
        <v>3000000</v>
      </c>
      <c r="L208" s="984">
        <v>3000000</v>
      </c>
      <c r="M208" s="1076">
        <f>K208-H208</f>
        <v>0</v>
      </c>
      <c r="O208">
        <v>2837707</v>
      </c>
    </row>
    <row r="209" spans="1:15">
      <c r="A209" s="924"/>
      <c r="B209" s="879"/>
      <c r="C209" s="914"/>
      <c r="D209" s="660"/>
      <c r="E209" s="879"/>
      <c r="F209" s="879"/>
      <c r="G209" s="144"/>
      <c r="H209" s="916"/>
      <c r="I209" s="906"/>
      <c r="J209" s="910"/>
      <c r="K209" s="920"/>
      <c r="L209" s="920"/>
      <c r="M209" s="901"/>
      <c r="O209">
        <v>2837707</v>
      </c>
    </row>
    <row r="210" spans="1:15">
      <c r="A210" s="867">
        <v>103</v>
      </c>
      <c r="B210" s="878"/>
      <c r="C210" s="913" t="s">
        <v>232</v>
      </c>
      <c r="D210" s="659" t="s">
        <v>229</v>
      </c>
      <c r="E210" s="878" t="s">
        <v>411</v>
      </c>
      <c r="F210" s="878"/>
      <c r="G210" s="139"/>
      <c r="H210" s="915">
        <v>3500000</v>
      </c>
      <c r="I210" s="905">
        <f>H210</f>
        <v>3500000</v>
      </c>
      <c r="J210" s="909"/>
      <c r="K210" s="919">
        <v>3500000</v>
      </c>
      <c r="L210" s="919">
        <f>K210</f>
        <v>3500000</v>
      </c>
      <c r="M210" s="900">
        <f>K210-H210</f>
        <v>0</v>
      </c>
      <c r="O210">
        <v>2837707</v>
      </c>
    </row>
    <row r="211" spans="1:15" ht="13.5" thickBot="1">
      <c r="A211" s="924"/>
      <c r="B211" s="1197"/>
      <c r="C211" s="1249"/>
      <c r="D211" s="1196"/>
      <c r="E211" s="1197"/>
      <c r="F211" s="1197"/>
      <c r="G211" s="143"/>
      <c r="H211" s="1091"/>
      <c r="I211" s="943"/>
      <c r="J211" s="944"/>
      <c r="K211" s="1041"/>
      <c r="L211" s="1041"/>
      <c r="M211" s="1309"/>
      <c r="O211">
        <v>2837707</v>
      </c>
    </row>
    <row r="212" spans="1:15" ht="12.75" customHeight="1">
      <c r="A212" s="867">
        <v>104</v>
      </c>
      <c r="B212" s="983" t="s">
        <v>207</v>
      </c>
      <c r="C212" s="986" t="s">
        <v>268</v>
      </c>
      <c r="D212" s="987" t="s">
        <v>223</v>
      </c>
      <c r="E212" s="983" t="s">
        <v>239</v>
      </c>
      <c r="F212" s="983"/>
      <c r="G212" s="144"/>
      <c r="H212" s="988">
        <v>9700000</v>
      </c>
      <c r="I212" s="916">
        <f>H212</f>
        <v>9700000</v>
      </c>
      <c r="J212" s="909"/>
      <c r="K212" s="984">
        <v>9700000</v>
      </c>
      <c r="L212" s="984">
        <v>9700000</v>
      </c>
      <c r="M212" s="1076">
        <f>K212-H212</f>
        <v>0</v>
      </c>
      <c r="O212">
        <v>2837707</v>
      </c>
    </row>
    <row r="213" spans="1:15" ht="12.75" customHeight="1">
      <c r="A213" s="924"/>
      <c r="B213" s="879"/>
      <c r="C213" s="914"/>
      <c r="D213" s="660"/>
      <c r="E213" s="879"/>
      <c r="F213" s="879"/>
      <c r="G213" s="144"/>
      <c r="H213" s="916"/>
      <c r="I213" s="906"/>
      <c r="J213" s="910"/>
      <c r="K213" s="920"/>
      <c r="L213" s="920"/>
      <c r="M213" s="901"/>
      <c r="O213">
        <v>2837707</v>
      </c>
    </row>
    <row r="214" spans="1:15" ht="12.75" customHeight="1">
      <c r="A214" s="867">
        <v>105</v>
      </c>
      <c r="B214" s="1310"/>
      <c r="C214" s="986" t="s">
        <v>233</v>
      </c>
      <c r="D214" s="987" t="s">
        <v>229</v>
      </c>
      <c r="E214" s="878" t="s">
        <v>261</v>
      </c>
      <c r="F214" s="983"/>
      <c r="G214" s="144"/>
      <c r="H214" s="988">
        <v>3600000</v>
      </c>
      <c r="I214" s="916">
        <f>H214</f>
        <v>3600000</v>
      </c>
      <c r="J214" s="909"/>
      <c r="K214" s="984">
        <v>3600000</v>
      </c>
      <c r="L214" s="984">
        <v>3600000</v>
      </c>
      <c r="M214" s="1076">
        <f>K214-H214</f>
        <v>0</v>
      </c>
      <c r="O214">
        <v>2837707</v>
      </c>
    </row>
    <row r="215" spans="1:15" ht="12.75" customHeight="1" thickBot="1">
      <c r="A215" s="924"/>
      <c r="B215" s="1311"/>
      <c r="C215" s="914"/>
      <c r="D215" s="660"/>
      <c r="E215" s="1197"/>
      <c r="F215" s="879"/>
      <c r="G215" s="144"/>
      <c r="H215" s="916"/>
      <c r="I215" s="906"/>
      <c r="J215" s="910"/>
      <c r="K215" s="920"/>
      <c r="L215" s="920"/>
      <c r="M215" s="901"/>
      <c r="O215">
        <v>2837707</v>
      </c>
    </row>
    <row r="216" spans="1:15" ht="12.75" customHeight="1">
      <c r="A216" s="867">
        <v>106</v>
      </c>
      <c r="B216" s="983"/>
      <c r="C216" s="986" t="s">
        <v>234</v>
      </c>
      <c r="D216" s="987" t="s">
        <v>229</v>
      </c>
      <c r="E216" s="983" t="s">
        <v>245</v>
      </c>
      <c r="F216" s="983"/>
      <c r="G216" s="144"/>
      <c r="H216" s="988">
        <v>1100000</v>
      </c>
      <c r="I216" s="916">
        <v>1100000</v>
      </c>
      <c r="J216" s="909"/>
      <c r="K216" s="984">
        <v>1100000</v>
      </c>
      <c r="L216" s="984">
        <v>1100000</v>
      </c>
      <c r="M216" s="1076">
        <f>K216-H216</f>
        <v>0</v>
      </c>
      <c r="O216">
        <v>2837707</v>
      </c>
    </row>
    <row r="217" spans="1:15" ht="13.5" customHeight="1" thickBot="1">
      <c r="A217" s="924"/>
      <c r="B217" s="879"/>
      <c r="C217" s="914"/>
      <c r="D217" s="660"/>
      <c r="E217" s="879"/>
      <c r="F217" s="879"/>
      <c r="G217" s="144"/>
      <c r="H217" s="916"/>
      <c r="I217" s="906"/>
      <c r="J217" s="910"/>
      <c r="K217" s="920"/>
      <c r="L217" s="920"/>
      <c r="M217" s="901"/>
      <c r="O217">
        <v>2837707</v>
      </c>
    </row>
    <row r="218" spans="1:15" ht="20.25" thickTop="1" thickBot="1">
      <c r="A218" s="51"/>
      <c r="B218" s="1312" t="s">
        <v>210</v>
      </c>
      <c r="C218" s="1313"/>
      <c r="D218" s="1313"/>
      <c r="E218" s="1313"/>
      <c r="F218" s="1313"/>
      <c r="G218" s="1313"/>
      <c r="H218" s="1313"/>
      <c r="I218" s="1313"/>
      <c r="J218" s="1313"/>
      <c r="K218" s="1313"/>
      <c r="L218" s="1313"/>
      <c r="M218" s="1314"/>
      <c r="N218" s="7">
        <f>SUM(I206:I211,I214:I217,I220:I311)</f>
        <v>200644735</v>
      </c>
      <c r="O218" s="8"/>
    </row>
    <row r="219" spans="1:15" ht="19.5" thickTop="1">
      <c r="A219" s="51"/>
      <c r="B219" s="1405" t="s">
        <v>860</v>
      </c>
      <c r="C219" s="1406"/>
      <c r="D219" s="1406"/>
      <c r="E219" s="1406"/>
      <c r="F219" s="1406"/>
      <c r="G219" s="1406"/>
      <c r="H219" s="1406"/>
      <c r="I219" s="1406"/>
      <c r="J219" s="1406"/>
      <c r="K219" s="1406"/>
      <c r="L219" s="1406"/>
      <c r="M219" s="1407"/>
      <c r="N219" s="7"/>
      <c r="O219" s="8"/>
    </row>
    <row r="220" spans="1:15">
      <c r="A220" s="1307">
        <v>107</v>
      </c>
      <c r="B220" s="983" t="s">
        <v>225</v>
      </c>
      <c r="C220" s="986" t="s">
        <v>444</v>
      </c>
      <c r="D220" s="987" t="s">
        <v>229</v>
      </c>
      <c r="E220" s="983" t="s">
        <v>239</v>
      </c>
      <c r="F220" s="983"/>
      <c r="G220" s="144"/>
      <c r="H220" s="988">
        <v>9700000</v>
      </c>
      <c r="I220" s="916">
        <f>H220</f>
        <v>9700000</v>
      </c>
      <c r="J220" s="909"/>
      <c r="K220" s="984">
        <v>9700000</v>
      </c>
      <c r="L220" s="984">
        <v>9700000</v>
      </c>
      <c r="M220" s="1076">
        <f>K220-H220</f>
        <v>0</v>
      </c>
      <c r="O220">
        <v>2837707</v>
      </c>
    </row>
    <row r="221" spans="1:15">
      <c r="A221" s="1308"/>
      <c r="B221" s="879"/>
      <c r="C221" s="914"/>
      <c r="D221" s="660"/>
      <c r="E221" s="879"/>
      <c r="F221" s="879"/>
      <c r="G221" s="144"/>
      <c r="H221" s="916"/>
      <c r="I221" s="906"/>
      <c r="J221" s="910"/>
      <c r="K221" s="920"/>
      <c r="L221" s="920"/>
      <c r="M221" s="901"/>
      <c r="O221">
        <v>2837707</v>
      </c>
    </row>
    <row r="222" spans="1:15">
      <c r="A222" s="1307">
        <v>108</v>
      </c>
      <c r="B222" s="1310"/>
      <c r="C222" s="986" t="s">
        <v>272</v>
      </c>
      <c r="D222" s="987" t="s">
        <v>281</v>
      </c>
      <c r="E222" s="983" t="s">
        <v>259</v>
      </c>
      <c r="F222" s="983" t="s">
        <v>271</v>
      </c>
      <c r="G222" s="144"/>
      <c r="H222" s="988">
        <v>3500000</v>
      </c>
      <c r="I222" s="916">
        <f>H222</f>
        <v>3500000</v>
      </c>
      <c r="J222" s="909"/>
      <c r="K222" s="984">
        <v>3500000</v>
      </c>
      <c r="L222" s="984">
        <v>3500000</v>
      </c>
      <c r="M222" s="1076">
        <f>K222-H222</f>
        <v>0</v>
      </c>
      <c r="N222" s="19">
        <f>SUM(M206:M211,M214:M217,M220:M311)</f>
        <v>0</v>
      </c>
      <c r="O222">
        <v>2837707</v>
      </c>
    </row>
    <row r="223" spans="1:15">
      <c r="A223" s="1308"/>
      <c r="B223" s="1311"/>
      <c r="C223" s="914"/>
      <c r="D223" s="660"/>
      <c r="E223" s="879"/>
      <c r="F223" s="879"/>
      <c r="G223" s="144"/>
      <c r="H223" s="916"/>
      <c r="I223" s="906"/>
      <c r="J223" s="910"/>
      <c r="K223" s="920"/>
      <c r="L223" s="920"/>
      <c r="M223" s="901"/>
      <c r="O223">
        <v>2837707</v>
      </c>
    </row>
    <row r="224" spans="1:15">
      <c r="A224" s="1307">
        <v>109</v>
      </c>
      <c r="B224" s="983"/>
      <c r="C224" s="986" t="s">
        <v>273</v>
      </c>
      <c r="D224" s="987" t="s">
        <v>253</v>
      </c>
      <c r="E224" s="983" t="s">
        <v>249</v>
      </c>
      <c r="F224" s="983">
        <v>480</v>
      </c>
      <c r="G224" s="144"/>
      <c r="H224" s="988">
        <v>1800000</v>
      </c>
      <c r="I224" s="916">
        <f>H224</f>
        <v>1800000</v>
      </c>
      <c r="J224" s="909"/>
      <c r="K224" s="984">
        <v>1800000</v>
      </c>
      <c r="L224" s="984">
        <v>1800000</v>
      </c>
      <c r="M224" s="1076">
        <f>K224-H224</f>
        <v>0</v>
      </c>
      <c r="O224">
        <v>2837707</v>
      </c>
    </row>
    <row r="225" spans="1:15">
      <c r="A225" s="1308"/>
      <c r="B225" s="879"/>
      <c r="C225" s="914"/>
      <c r="D225" s="660"/>
      <c r="E225" s="879"/>
      <c r="F225" s="879"/>
      <c r="G225" s="144"/>
      <c r="H225" s="916"/>
      <c r="I225" s="906"/>
      <c r="J225" s="910"/>
      <c r="K225" s="920"/>
      <c r="L225" s="920"/>
      <c r="M225" s="901"/>
      <c r="N225">
        <f>B238+B266+B300</f>
        <v>0</v>
      </c>
      <c r="O225">
        <v>2837707</v>
      </c>
    </row>
    <row r="226" spans="1:15" ht="12.75" customHeight="1">
      <c r="A226" s="1307">
        <v>110</v>
      </c>
      <c r="B226" s="878"/>
      <c r="C226" s="913" t="s">
        <v>274</v>
      </c>
      <c r="D226" s="659" t="s">
        <v>275</v>
      </c>
      <c r="E226" s="878" t="s">
        <v>263</v>
      </c>
      <c r="F226" s="878"/>
      <c r="G226" s="139" t="s">
        <v>235</v>
      </c>
      <c r="H226" s="915">
        <v>5500000</v>
      </c>
      <c r="I226" s="905">
        <f>H226</f>
        <v>5500000</v>
      </c>
      <c r="J226" s="909"/>
      <c r="K226" s="919">
        <v>5500000</v>
      </c>
      <c r="L226" s="919">
        <v>5500000</v>
      </c>
      <c r="M226" s="900">
        <f>K226-H226</f>
        <v>0</v>
      </c>
      <c r="O226">
        <v>2837707</v>
      </c>
    </row>
    <row r="227" spans="1:15" ht="12.75" customHeight="1" thickBot="1">
      <c r="A227" s="1308"/>
      <c r="B227" s="1197"/>
      <c r="C227" s="1249"/>
      <c r="D227" s="1196"/>
      <c r="E227" s="1197"/>
      <c r="F227" s="1197"/>
      <c r="G227" s="143"/>
      <c r="H227" s="1091"/>
      <c r="I227" s="943"/>
      <c r="J227" s="944"/>
      <c r="K227" s="1041"/>
      <c r="L227" s="1041"/>
      <c r="M227" s="1309"/>
      <c r="O227">
        <v>2837707</v>
      </c>
    </row>
    <row r="228" spans="1:15">
      <c r="A228" s="1307">
        <v>111</v>
      </c>
      <c r="B228" s="983" t="s">
        <v>226</v>
      </c>
      <c r="C228" s="986" t="s">
        <v>445</v>
      </c>
      <c r="D228" s="987" t="s">
        <v>291</v>
      </c>
      <c r="E228" s="983" t="s">
        <v>239</v>
      </c>
      <c r="F228" s="983"/>
      <c r="G228" s="144"/>
      <c r="H228" s="988">
        <v>11100000</v>
      </c>
      <c r="I228" s="916">
        <f>H228</f>
        <v>11100000</v>
      </c>
      <c r="J228" s="949"/>
      <c r="K228" s="984">
        <v>11100000</v>
      </c>
      <c r="L228" s="984">
        <v>11100000</v>
      </c>
      <c r="M228" s="1076">
        <f>K228-H228</f>
        <v>0</v>
      </c>
      <c r="O228">
        <v>2837707</v>
      </c>
    </row>
    <row r="229" spans="1:15">
      <c r="A229" s="1308"/>
      <c r="B229" s="879"/>
      <c r="C229" s="914"/>
      <c r="D229" s="660"/>
      <c r="E229" s="879"/>
      <c r="F229" s="879"/>
      <c r="G229" s="144"/>
      <c r="H229" s="916"/>
      <c r="I229" s="906"/>
      <c r="J229" s="910"/>
      <c r="K229" s="920"/>
      <c r="L229" s="920"/>
      <c r="M229" s="901"/>
      <c r="O229">
        <v>2837707</v>
      </c>
    </row>
    <row r="230" spans="1:15" ht="15" customHeight="1">
      <c r="A230" s="1307">
        <v>112</v>
      </c>
      <c r="B230" s="1310"/>
      <c r="C230" s="986" t="s">
        <v>276</v>
      </c>
      <c r="D230" s="987" t="s">
        <v>281</v>
      </c>
      <c r="E230" s="983" t="s">
        <v>282</v>
      </c>
      <c r="F230" s="983"/>
      <c r="G230" s="144" t="s">
        <v>204</v>
      </c>
      <c r="H230" s="988">
        <v>1800000</v>
      </c>
      <c r="I230" s="916">
        <f>H230</f>
        <v>1800000</v>
      </c>
      <c r="J230" s="909"/>
      <c r="K230" s="984">
        <v>1800000</v>
      </c>
      <c r="L230" s="984">
        <v>1800000</v>
      </c>
      <c r="M230" s="1076">
        <f>K230-H230</f>
        <v>0</v>
      </c>
      <c r="O230">
        <v>2837707</v>
      </c>
    </row>
    <row r="231" spans="1:15">
      <c r="A231" s="1308"/>
      <c r="B231" s="1311"/>
      <c r="C231" s="914"/>
      <c r="D231" s="660"/>
      <c r="E231" s="879"/>
      <c r="F231" s="879"/>
      <c r="G231" s="144"/>
      <c r="H231" s="916"/>
      <c r="I231" s="906"/>
      <c r="J231" s="910"/>
      <c r="K231" s="920"/>
      <c r="L231" s="920"/>
      <c r="M231" s="901"/>
      <c r="O231">
        <v>2837707</v>
      </c>
    </row>
    <row r="232" spans="1:15">
      <c r="A232" s="1307">
        <v>113</v>
      </c>
      <c r="B232" s="878"/>
      <c r="C232" s="913" t="s">
        <v>277</v>
      </c>
      <c r="D232" s="659" t="s">
        <v>281</v>
      </c>
      <c r="E232" s="878" t="s">
        <v>283</v>
      </c>
      <c r="F232" s="878"/>
      <c r="G232" s="139"/>
      <c r="H232" s="915">
        <v>3600000</v>
      </c>
      <c r="I232" s="905">
        <f>H232</f>
        <v>3600000</v>
      </c>
      <c r="J232" s="909"/>
      <c r="K232" s="919">
        <v>3600000</v>
      </c>
      <c r="L232" s="919">
        <v>3600000</v>
      </c>
      <c r="M232" s="900">
        <f>K232-H232</f>
        <v>0</v>
      </c>
      <c r="O232">
        <v>2837707</v>
      </c>
    </row>
    <row r="233" spans="1:15" ht="13.5" thickBot="1">
      <c r="A233" s="1308"/>
      <c r="B233" s="1197"/>
      <c r="C233" s="1249"/>
      <c r="D233" s="1196"/>
      <c r="E233" s="1197"/>
      <c r="F233" s="1197"/>
      <c r="G233" s="143"/>
      <c r="H233" s="1091"/>
      <c r="I233" s="943"/>
      <c r="J233" s="944"/>
      <c r="K233" s="1041"/>
      <c r="L233" s="1041"/>
      <c r="M233" s="1309"/>
      <c r="O233">
        <v>2837707</v>
      </c>
    </row>
    <row r="234" spans="1:15">
      <c r="A234" s="1307">
        <v>114</v>
      </c>
      <c r="B234" s="983" t="s">
        <v>227</v>
      </c>
      <c r="C234" s="986"/>
      <c r="D234" s="987" t="s">
        <v>291</v>
      </c>
      <c r="E234" s="983" t="s">
        <v>239</v>
      </c>
      <c r="F234" s="1305" t="s">
        <v>251</v>
      </c>
      <c r="G234" s="144"/>
      <c r="H234" s="988">
        <v>9700000</v>
      </c>
      <c r="I234" s="916">
        <f>H234</f>
        <v>9700000</v>
      </c>
      <c r="J234" s="949"/>
      <c r="K234" s="984">
        <v>9700000</v>
      </c>
      <c r="L234" s="984">
        <v>9700000</v>
      </c>
      <c r="M234" s="1076">
        <f>K234-H234</f>
        <v>0</v>
      </c>
      <c r="O234">
        <v>2837707</v>
      </c>
    </row>
    <row r="235" spans="1:15">
      <c r="A235" s="1308"/>
      <c r="B235" s="879"/>
      <c r="C235" s="914"/>
      <c r="D235" s="660"/>
      <c r="E235" s="879"/>
      <c r="F235" s="1351"/>
      <c r="G235" s="144"/>
      <c r="H235" s="916"/>
      <c r="I235" s="906"/>
      <c r="J235" s="910"/>
      <c r="K235" s="920"/>
      <c r="L235" s="920"/>
      <c r="M235" s="901"/>
      <c r="O235">
        <v>2837707</v>
      </c>
    </row>
    <row r="236" spans="1:15">
      <c r="A236" s="1307">
        <v>115</v>
      </c>
      <c r="B236" s="1310"/>
      <c r="C236" s="986" t="s">
        <v>278</v>
      </c>
      <c r="D236" s="987" t="s">
        <v>281</v>
      </c>
      <c r="E236" s="983" t="s">
        <v>280</v>
      </c>
      <c r="F236" s="983">
        <v>400</v>
      </c>
      <c r="G236" s="144"/>
      <c r="H236" s="988">
        <v>450000</v>
      </c>
      <c r="I236" s="916">
        <f>H236</f>
        <v>450000</v>
      </c>
      <c r="J236" s="909"/>
      <c r="K236" s="984">
        <v>450000</v>
      </c>
      <c r="L236" s="984">
        <v>450000</v>
      </c>
      <c r="M236" s="1076">
        <f>K236-H236</f>
        <v>0</v>
      </c>
      <c r="O236">
        <v>2837707</v>
      </c>
    </row>
    <row r="237" spans="1:15">
      <c r="A237" s="1308"/>
      <c r="B237" s="1311"/>
      <c r="C237" s="914"/>
      <c r="D237" s="660"/>
      <c r="E237" s="879"/>
      <c r="F237" s="879"/>
      <c r="G237" s="144"/>
      <c r="H237" s="916"/>
      <c r="I237" s="906"/>
      <c r="J237" s="910"/>
      <c r="K237" s="920"/>
      <c r="L237" s="920"/>
      <c r="M237" s="901"/>
      <c r="O237">
        <v>2837707</v>
      </c>
    </row>
    <row r="238" spans="1:15">
      <c r="A238" s="1307">
        <v>116</v>
      </c>
      <c r="B238" s="878"/>
      <c r="C238" s="913" t="s">
        <v>279</v>
      </c>
      <c r="D238" s="659" t="s">
        <v>281</v>
      </c>
      <c r="E238" s="878" t="s">
        <v>285</v>
      </c>
      <c r="F238" s="878"/>
      <c r="G238" s="139"/>
      <c r="H238" s="915">
        <v>4000000</v>
      </c>
      <c r="I238" s="905">
        <f>H238</f>
        <v>4000000</v>
      </c>
      <c r="J238" s="909"/>
      <c r="K238" s="919">
        <v>4000000</v>
      </c>
      <c r="L238" s="919">
        <v>4000000</v>
      </c>
      <c r="M238" s="900">
        <f>K238-H238</f>
        <v>0</v>
      </c>
      <c r="O238">
        <v>2837707</v>
      </c>
    </row>
    <row r="239" spans="1:15" ht="13.5" thickBot="1">
      <c r="A239" s="1308"/>
      <c r="B239" s="1197"/>
      <c r="C239" s="1249"/>
      <c r="D239" s="1196"/>
      <c r="E239" s="1197"/>
      <c r="F239" s="1197"/>
      <c r="G239" s="143"/>
      <c r="H239" s="1091"/>
      <c r="I239" s="943"/>
      <c r="J239" s="944"/>
      <c r="K239" s="1041"/>
      <c r="L239" s="1041"/>
      <c r="M239" s="1309"/>
      <c r="O239">
        <v>2837707</v>
      </c>
    </row>
    <row r="240" spans="1:15">
      <c r="A240" s="1307">
        <v>117</v>
      </c>
      <c r="B240" s="983" t="s">
        <v>228</v>
      </c>
      <c r="C240" s="986" t="s">
        <v>6</v>
      </c>
      <c r="D240" s="987" t="s">
        <v>291</v>
      </c>
      <c r="E240" s="983" t="s">
        <v>13</v>
      </c>
      <c r="F240" s="983"/>
      <c r="G240" s="144"/>
      <c r="H240" s="988">
        <v>3300</v>
      </c>
      <c r="I240" s="916">
        <f>H240*J240</f>
        <v>922350</v>
      </c>
      <c r="J240" s="949">
        <v>279.5</v>
      </c>
      <c r="K240" s="984">
        <v>3300</v>
      </c>
      <c r="L240" s="984">
        <v>3300</v>
      </c>
      <c r="M240" s="1076">
        <f>K240-H240</f>
        <v>0</v>
      </c>
      <c r="O240">
        <v>2837707</v>
      </c>
    </row>
    <row r="241" spans="1:15">
      <c r="A241" s="1308"/>
      <c r="B241" s="879"/>
      <c r="C241" s="914"/>
      <c r="D241" s="660"/>
      <c r="E241" s="879"/>
      <c r="F241" s="879"/>
      <c r="G241" s="144"/>
      <c r="H241" s="916"/>
      <c r="I241" s="906"/>
      <c r="J241" s="910"/>
      <c r="K241" s="920"/>
      <c r="L241" s="920"/>
      <c r="M241" s="901"/>
      <c r="O241">
        <v>2837707</v>
      </c>
    </row>
    <row r="242" spans="1:15" ht="25.5">
      <c r="A242" s="1307">
        <v>118</v>
      </c>
      <c r="B242" s="1310"/>
      <c r="C242" s="986" t="s">
        <v>286</v>
      </c>
      <c r="D242" s="987" t="s">
        <v>281</v>
      </c>
      <c r="E242" s="983" t="s">
        <v>289</v>
      </c>
      <c r="F242" s="1315">
        <v>41368</v>
      </c>
      <c r="G242" s="144" t="s">
        <v>64</v>
      </c>
      <c r="H242" s="988">
        <v>2200000</v>
      </c>
      <c r="I242" s="916">
        <f>H242</f>
        <v>2200000</v>
      </c>
      <c r="J242" s="909"/>
      <c r="K242" s="984">
        <v>2200000</v>
      </c>
      <c r="L242" s="984">
        <v>2200000</v>
      </c>
      <c r="M242" s="1076">
        <f>K242-H242</f>
        <v>0</v>
      </c>
      <c r="N242">
        <v>1133378</v>
      </c>
      <c r="O242">
        <v>2837707</v>
      </c>
    </row>
    <row r="243" spans="1:15">
      <c r="A243" s="1308"/>
      <c r="B243" s="1311"/>
      <c r="C243" s="914"/>
      <c r="D243" s="660"/>
      <c r="E243" s="879"/>
      <c r="F243" s="879"/>
      <c r="G243" s="144"/>
      <c r="H243" s="916"/>
      <c r="I243" s="906"/>
      <c r="J243" s="910"/>
      <c r="K243" s="920"/>
      <c r="L243" s="920"/>
      <c r="M243" s="901"/>
      <c r="N243" t="s">
        <v>393</v>
      </c>
      <c r="O243">
        <v>2837707</v>
      </c>
    </row>
    <row r="244" spans="1:15">
      <c r="A244" s="1307">
        <v>119</v>
      </c>
      <c r="B244" s="878"/>
      <c r="C244" s="913" t="s">
        <v>287</v>
      </c>
      <c r="D244" s="659" t="s">
        <v>281</v>
      </c>
      <c r="E244" s="878" t="s">
        <v>288</v>
      </c>
      <c r="F244" s="878"/>
      <c r="G244" s="139"/>
      <c r="H244" s="915">
        <v>2970000</v>
      </c>
      <c r="I244" s="905">
        <f>H244</f>
        <v>2970000</v>
      </c>
      <c r="J244" s="909"/>
      <c r="K244" s="919">
        <v>2970000</v>
      </c>
      <c r="L244" s="919">
        <v>2970000</v>
      </c>
      <c r="M244" s="900" t="s">
        <v>120</v>
      </c>
      <c r="O244">
        <v>2837707</v>
      </c>
    </row>
    <row r="245" spans="1:15" ht="13.5" thickBot="1">
      <c r="A245" s="1308"/>
      <c r="B245" s="1197"/>
      <c r="C245" s="1249"/>
      <c r="D245" s="1196"/>
      <c r="E245" s="1197"/>
      <c r="F245" s="1197"/>
      <c r="G245" s="143"/>
      <c r="H245" s="1091"/>
      <c r="I245" s="943"/>
      <c r="J245" s="944"/>
      <c r="K245" s="1041"/>
      <c r="L245" s="1041"/>
      <c r="M245" s="1309"/>
      <c r="O245">
        <v>2837707</v>
      </c>
    </row>
    <row r="246" spans="1:15">
      <c r="A246" s="1307">
        <v>120</v>
      </c>
      <c r="B246" s="983" t="s">
        <v>236</v>
      </c>
      <c r="C246" s="986" t="s">
        <v>254</v>
      </c>
      <c r="D246" s="987" t="s">
        <v>253</v>
      </c>
      <c r="E246" s="983" t="s">
        <v>252</v>
      </c>
      <c r="F246" s="983"/>
      <c r="G246" s="144"/>
      <c r="H246" s="988">
        <v>856000</v>
      </c>
      <c r="I246" s="916">
        <f>H246</f>
        <v>856000</v>
      </c>
      <c r="J246" s="909"/>
      <c r="K246" s="984">
        <v>856000</v>
      </c>
      <c r="L246" s="984">
        <v>856000</v>
      </c>
      <c r="M246" s="1076">
        <f>K246-H246</f>
        <v>0</v>
      </c>
      <c r="O246">
        <v>2837707</v>
      </c>
    </row>
    <row r="247" spans="1:15">
      <c r="A247" s="1308"/>
      <c r="B247" s="879"/>
      <c r="C247" s="914"/>
      <c r="D247" s="660"/>
      <c r="E247" s="879"/>
      <c r="F247" s="879"/>
      <c r="G247" s="144"/>
      <c r="H247" s="916"/>
      <c r="I247" s="906"/>
      <c r="J247" s="910"/>
      <c r="K247" s="920"/>
      <c r="L247" s="920"/>
      <c r="M247" s="901"/>
      <c r="O247">
        <v>2837707</v>
      </c>
    </row>
    <row r="248" spans="1:15">
      <c r="A248" s="1307">
        <v>121</v>
      </c>
      <c r="B248" s="1042"/>
      <c r="C248" s="913" t="s">
        <v>255</v>
      </c>
      <c r="D248" s="659" t="s">
        <v>253</v>
      </c>
      <c r="E248" s="878" t="s">
        <v>244</v>
      </c>
      <c r="F248" s="878"/>
      <c r="G248" s="139"/>
      <c r="H248" s="915">
        <v>1940</v>
      </c>
      <c r="I248" s="905">
        <f>H248*J248</f>
        <v>537380</v>
      </c>
      <c r="J248" s="909">
        <v>277</v>
      </c>
      <c r="K248" s="919">
        <v>1940</v>
      </c>
      <c r="L248" s="919">
        <v>1940</v>
      </c>
      <c r="M248" s="900">
        <f>K248-H248</f>
        <v>0</v>
      </c>
      <c r="O248">
        <v>2837707</v>
      </c>
    </row>
    <row r="249" spans="1:15" ht="13.5" thickBot="1">
      <c r="A249" s="1308"/>
      <c r="B249" s="1316"/>
      <c r="C249" s="1249"/>
      <c r="D249" s="1196"/>
      <c r="E249" s="1197"/>
      <c r="F249" s="1197"/>
      <c r="G249" s="143"/>
      <c r="H249" s="1091"/>
      <c r="I249" s="943"/>
      <c r="J249" s="944"/>
      <c r="K249" s="1041"/>
      <c r="L249" s="1041"/>
      <c r="M249" s="1309"/>
      <c r="O249">
        <v>2837707</v>
      </c>
    </row>
    <row r="250" spans="1:15">
      <c r="A250" s="1307">
        <v>122</v>
      </c>
      <c r="B250" s="983" t="s">
        <v>270</v>
      </c>
      <c r="C250" s="986" t="s">
        <v>290</v>
      </c>
      <c r="D250" s="987" t="s">
        <v>281</v>
      </c>
      <c r="E250" s="983" t="s">
        <v>130</v>
      </c>
      <c r="F250" s="983"/>
      <c r="G250" s="144"/>
      <c r="H250" s="988">
        <v>686000</v>
      </c>
      <c r="I250" s="916">
        <f>H250</f>
        <v>686000</v>
      </c>
      <c r="J250" s="909"/>
      <c r="K250" s="984">
        <v>686000</v>
      </c>
      <c r="L250" s="984">
        <v>686000</v>
      </c>
      <c r="M250" s="1076">
        <f>K250-H250</f>
        <v>0</v>
      </c>
      <c r="O250">
        <v>2837707</v>
      </c>
    </row>
    <row r="251" spans="1:15">
      <c r="A251" s="1308"/>
      <c r="B251" s="879"/>
      <c r="C251" s="914"/>
      <c r="D251" s="660"/>
      <c r="E251" s="879"/>
      <c r="F251" s="879"/>
      <c r="G251" s="144"/>
      <c r="H251" s="916"/>
      <c r="I251" s="906"/>
      <c r="J251" s="910"/>
      <c r="K251" s="920"/>
      <c r="L251" s="920"/>
      <c r="M251" s="901"/>
      <c r="O251">
        <v>2837707</v>
      </c>
    </row>
    <row r="252" spans="1:15">
      <c r="A252" s="1307">
        <v>123</v>
      </c>
      <c r="B252" s="1042"/>
      <c r="C252" s="913"/>
      <c r="D252" s="659"/>
      <c r="E252" s="1352"/>
      <c r="F252" s="878"/>
      <c r="G252" s="139"/>
      <c r="H252" s="915"/>
      <c r="I252" s="905">
        <f>H252</f>
        <v>0</v>
      </c>
      <c r="J252" s="909"/>
      <c r="K252" s="919"/>
      <c r="L252" s="919"/>
      <c r="M252" s="900">
        <f>K252-H252</f>
        <v>0</v>
      </c>
      <c r="O252">
        <v>2837707</v>
      </c>
    </row>
    <row r="253" spans="1:15" ht="13.5" thickBot="1">
      <c r="A253" s="1308"/>
      <c r="B253" s="1316"/>
      <c r="C253" s="1249"/>
      <c r="D253" s="1196"/>
      <c r="E253" s="1353"/>
      <c r="F253" s="1197"/>
      <c r="G253" s="143"/>
      <c r="H253" s="1091"/>
      <c r="I253" s="943"/>
      <c r="J253" s="944"/>
      <c r="K253" s="1041"/>
      <c r="L253" s="1041"/>
      <c r="M253" s="1309"/>
      <c r="O253">
        <v>2837707</v>
      </c>
    </row>
    <row r="254" spans="1:15">
      <c r="A254" s="1307">
        <v>124</v>
      </c>
      <c r="B254" s="983" t="s">
        <v>284</v>
      </c>
      <c r="C254" s="986" t="s">
        <v>447</v>
      </c>
      <c r="D254" s="987" t="s">
        <v>446</v>
      </c>
      <c r="E254" s="983" t="s">
        <v>20</v>
      </c>
      <c r="F254" s="983"/>
      <c r="G254" s="144"/>
      <c r="H254" s="988">
        <v>9700000</v>
      </c>
      <c r="I254" s="916">
        <f>H254</f>
        <v>9700000</v>
      </c>
      <c r="J254" s="949"/>
      <c r="K254" s="984">
        <v>9700000</v>
      </c>
      <c r="L254" s="984">
        <v>9700000</v>
      </c>
      <c r="M254" s="1076">
        <f>K254-H254</f>
        <v>0</v>
      </c>
      <c r="O254">
        <v>2837707</v>
      </c>
    </row>
    <row r="255" spans="1:15">
      <c r="A255" s="1308"/>
      <c r="B255" s="879"/>
      <c r="C255" s="914"/>
      <c r="D255" s="660"/>
      <c r="E255" s="879"/>
      <c r="F255" s="879"/>
      <c r="G255" s="144"/>
      <c r="H255" s="916"/>
      <c r="I255" s="906"/>
      <c r="J255" s="910"/>
      <c r="K255" s="920"/>
      <c r="L255" s="920"/>
      <c r="M255" s="901"/>
      <c r="O255">
        <v>2837707</v>
      </c>
    </row>
    <row r="256" spans="1:15" ht="12.75" customHeight="1">
      <c r="A256" s="1307">
        <v>125</v>
      </c>
      <c r="B256" s="1310"/>
      <c r="C256" s="986" t="s">
        <v>292</v>
      </c>
      <c r="D256" s="987" t="s">
        <v>304</v>
      </c>
      <c r="E256" s="983" t="s">
        <v>303</v>
      </c>
      <c r="F256" s="983"/>
      <c r="G256" s="144"/>
      <c r="H256" s="988">
        <v>2400000</v>
      </c>
      <c r="I256" s="916">
        <f>H256</f>
        <v>2400000</v>
      </c>
      <c r="J256" s="909"/>
      <c r="K256" s="984">
        <v>2400000</v>
      </c>
      <c r="L256" s="984">
        <v>2400000</v>
      </c>
      <c r="M256" s="1076">
        <f>K256-H256</f>
        <v>0</v>
      </c>
      <c r="O256">
        <v>2837707</v>
      </c>
    </row>
    <row r="257" spans="1:15" ht="12.75" customHeight="1">
      <c r="A257" s="1308"/>
      <c r="B257" s="1311"/>
      <c r="C257" s="914"/>
      <c r="D257" s="660"/>
      <c r="E257" s="879"/>
      <c r="F257" s="879"/>
      <c r="G257" s="144"/>
      <c r="H257" s="916"/>
      <c r="I257" s="906"/>
      <c r="J257" s="910"/>
      <c r="K257" s="920"/>
      <c r="L257" s="920"/>
      <c r="M257" s="901"/>
      <c r="O257">
        <v>2837707</v>
      </c>
    </row>
    <row r="258" spans="1:15">
      <c r="A258" s="1307">
        <v>126</v>
      </c>
      <c r="B258" s="878"/>
      <c r="C258" s="913" t="s">
        <v>293</v>
      </c>
      <c r="D258" s="659" t="s">
        <v>304</v>
      </c>
      <c r="E258" s="878" t="s">
        <v>263</v>
      </c>
      <c r="F258" s="878"/>
      <c r="G258" s="139"/>
      <c r="H258" s="915">
        <v>5500000</v>
      </c>
      <c r="I258" s="905">
        <f>H258</f>
        <v>5500000</v>
      </c>
      <c r="J258" s="909"/>
      <c r="K258" s="919">
        <v>5500000</v>
      </c>
      <c r="L258" s="919">
        <v>5500000</v>
      </c>
      <c r="M258" s="900">
        <f>K258-H258</f>
        <v>0</v>
      </c>
      <c r="O258">
        <v>2837707</v>
      </c>
    </row>
    <row r="259" spans="1:15" ht="13.5" thickBot="1">
      <c r="A259" s="1308"/>
      <c r="B259" s="1197"/>
      <c r="C259" s="1249"/>
      <c r="D259" s="1196"/>
      <c r="E259" s="1197"/>
      <c r="F259" s="1197"/>
      <c r="G259" s="143"/>
      <c r="H259" s="1091"/>
      <c r="I259" s="943"/>
      <c r="J259" s="944"/>
      <c r="K259" s="1041"/>
      <c r="L259" s="1041"/>
      <c r="M259" s="1309"/>
      <c r="O259">
        <v>2837707</v>
      </c>
    </row>
    <row r="260" spans="1:15">
      <c r="A260" s="1307">
        <v>127</v>
      </c>
      <c r="B260" s="983" t="s">
        <v>297</v>
      </c>
      <c r="C260" s="986" t="s">
        <v>6</v>
      </c>
      <c r="D260" s="987"/>
      <c r="E260" s="983" t="s">
        <v>298</v>
      </c>
      <c r="F260" s="983" t="s">
        <v>205</v>
      </c>
      <c r="G260" s="144"/>
      <c r="H260" s="988"/>
      <c r="I260" s="916">
        <f>H260</f>
        <v>0</v>
      </c>
      <c r="J260" s="949"/>
      <c r="K260" s="984"/>
      <c r="L260" s="984"/>
      <c r="M260" s="1076">
        <f>K260-H260</f>
        <v>0</v>
      </c>
      <c r="O260">
        <v>2837707</v>
      </c>
    </row>
    <row r="261" spans="1:15">
      <c r="A261" s="1308"/>
      <c r="B261" s="879"/>
      <c r="C261" s="914"/>
      <c r="D261" s="660"/>
      <c r="E261" s="879"/>
      <c r="F261" s="879"/>
      <c r="G261" s="144"/>
      <c r="H261" s="916"/>
      <c r="I261" s="906"/>
      <c r="J261" s="910"/>
      <c r="K261" s="920"/>
      <c r="L261" s="920"/>
      <c r="M261" s="901"/>
      <c r="O261">
        <v>2837707</v>
      </c>
    </row>
    <row r="262" spans="1:15">
      <c r="A262" s="1307">
        <v>128</v>
      </c>
      <c r="B262" s="983" t="s">
        <v>299</v>
      </c>
      <c r="C262" s="986"/>
      <c r="D262" s="987" t="s">
        <v>305</v>
      </c>
      <c r="E262" s="983" t="s">
        <v>20</v>
      </c>
      <c r="F262" s="983"/>
      <c r="G262" s="144"/>
      <c r="H262" s="988">
        <v>10800000</v>
      </c>
      <c r="I262" s="916">
        <f>H262</f>
        <v>10800000</v>
      </c>
      <c r="J262" s="909"/>
      <c r="K262" s="984">
        <v>10800000</v>
      </c>
      <c r="L262" s="984">
        <v>10800000</v>
      </c>
      <c r="M262" s="1076">
        <f>K262-H262</f>
        <v>0</v>
      </c>
      <c r="O262">
        <v>2837707</v>
      </c>
    </row>
    <row r="263" spans="1:15">
      <c r="A263" s="1308"/>
      <c r="B263" s="879"/>
      <c r="C263" s="914"/>
      <c r="D263" s="660"/>
      <c r="E263" s="879"/>
      <c r="F263" s="879"/>
      <c r="G263" s="144"/>
      <c r="H263" s="916"/>
      <c r="I263" s="906"/>
      <c r="J263" s="910"/>
      <c r="K263" s="920"/>
      <c r="L263" s="920"/>
      <c r="M263" s="901"/>
      <c r="O263">
        <v>2837707</v>
      </c>
    </row>
    <row r="264" spans="1:15" ht="12.75" customHeight="1">
      <c r="A264" s="1307">
        <v>129</v>
      </c>
      <c r="B264" s="1310"/>
      <c r="C264" s="986" t="s">
        <v>311</v>
      </c>
      <c r="D264" s="987" t="s">
        <v>310</v>
      </c>
      <c r="E264" s="983" t="s">
        <v>309</v>
      </c>
      <c r="F264" s="983"/>
      <c r="G264" s="144"/>
      <c r="H264" s="988">
        <v>2900000</v>
      </c>
      <c r="I264" s="916">
        <f>H264</f>
        <v>2900000</v>
      </c>
      <c r="J264" s="909"/>
      <c r="K264" s="984">
        <v>2900000</v>
      </c>
      <c r="L264" s="984">
        <v>2900000</v>
      </c>
      <c r="M264" s="1076">
        <f>K264-H264</f>
        <v>0</v>
      </c>
      <c r="O264">
        <v>2837707</v>
      </c>
    </row>
    <row r="265" spans="1:15" ht="12.75" customHeight="1">
      <c r="A265" s="1308"/>
      <c r="B265" s="1311"/>
      <c r="C265" s="914"/>
      <c r="D265" s="660"/>
      <c r="E265" s="879"/>
      <c r="F265" s="879"/>
      <c r="G265" s="144"/>
      <c r="H265" s="916"/>
      <c r="I265" s="906"/>
      <c r="J265" s="910"/>
      <c r="K265" s="920"/>
      <c r="L265" s="920"/>
      <c r="M265" s="901"/>
      <c r="O265">
        <v>2837707</v>
      </c>
    </row>
    <row r="266" spans="1:15" ht="12.75" customHeight="1">
      <c r="A266" s="1307">
        <v>130</v>
      </c>
      <c r="B266" s="878"/>
      <c r="C266" s="913" t="s">
        <v>312</v>
      </c>
      <c r="D266" s="659"/>
      <c r="E266" s="878" t="s">
        <v>325</v>
      </c>
      <c r="F266" s="878"/>
      <c r="G266" s="139"/>
      <c r="H266" s="915">
        <v>3000000</v>
      </c>
      <c r="I266" s="905">
        <f>H266</f>
        <v>3000000</v>
      </c>
      <c r="J266" s="909"/>
      <c r="K266" s="919">
        <v>3000000</v>
      </c>
      <c r="L266" s="919">
        <f>K266</f>
        <v>3000000</v>
      </c>
      <c r="M266" s="900">
        <f>K266-H266</f>
        <v>0</v>
      </c>
      <c r="N266" s="6" t="s">
        <v>378</v>
      </c>
      <c r="O266">
        <v>2837707</v>
      </c>
    </row>
    <row r="267" spans="1:15" ht="12.75" customHeight="1" thickBot="1">
      <c r="A267" s="1308"/>
      <c r="B267" s="1197"/>
      <c r="C267" s="1249"/>
      <c r="D267" s="1196"/>
      <c r="E267" s="1197"/>
      <c r="F267" s="1197"/>
      <c r="G267" s="143"/>
      <c r="H267" s="1091"/>
      <c r="I267" s="943"/>
      <c r="J267" s="944"/>
      <c r="K267" s="1041"/>
      <c r="L267" s="1041"/>
      <c r="M267" s="1309"/>
      <c r="O267">
        <v>2837707</v>
      </c>
    </row>
    <row r="268" spans="1:15" ht="12.75" customHeight="1">
      <c r="A268" s="1307">
        <v>131</v>
      </c>
      <c r="B268" s="983" t="s">
        <v>300</v>
      </c>
      <c r="C268" s="986" t="s">
        <v>294</v>
      </c>
      <c r="D268" s="987" t="s">
        <v>305</v>
      </c>
      <c r="E268" s="983" t="s">
        <v>98</v>
      </c>
      <c r="F268" s="983"/>
      <c r="G268" s="144"/>
      <c r="H268" s="988">
        <v>450000</v>
      </c>
      <c r="I268" s="916">
        <f>H268</f>
        <v>450000</v>
      </c>
      <c r="J268" s="949"/>
      <c r="K268" s="988">
        <f>I268</f>
        <v>450000</v>
      </c>
      <c r="L268" s="988">
        <f>K268</f>
        <v>450000</v>
      </c>
      <c r="M268" s="1076">
        <f>K268-H268</f>
        <v>0</v>
      </c>
      <c r="O268">
        <v>2837707</v>
      </c>
    </row>
    <row r="269" spans="1:15" ht="12.75" customHeight="1">
      <c r="A269" s="1308"/>
      <c r="B269" s="879"/>
      <c r="C269" s="914"/>
      <c r="D269" s="660"/>
      <c r="E269" s="879"/>
      <c r="F269" s="879"/>
      <c r="G269" s="144"/>
      <c r="H269" s="916"/>
      <c r="I269" s="906"/>
      <c r="J269" s="910"/>
      <c r="K269" s="920"/>
      <c r="L269" s="920"/>
      <c r="M269" s="901"/>
      <c r="O269">
        <v>2837707</v>
      </c>
    </row>
    <row r="270" spans="1:15" ht="12.75" customHeight="1">
      <c r="A270" s="1307">
        <v>132</v>
      </c>
      <c r="B270" s="1042"/>
      <c r="C270" s="913"/>
      <c r="D270" s="659"/>
      <c r="E270" s="878"/>
      <c r="F270" s="878"/>
      <c r="G270" s="139"/>
      <c r="H270" s="915"/>
      <c r="I270" s="905">
        <f>H270</f>
        <v>0</v>
      </c>
      <c r="J270" s="909"/>
      <c r="K270" s="919"/>
      <c r="L270" s="919"/>
      <c r="M270" s="900">
        <f>K270-H270</f>
        <v>0</v>
      </c>
      <c r="O270">
        <v>2837707</v>
      </c>
    </row>
    <row r="271" spans="1:15" ht="12.75" customHeight="1" thickBot="1">
      <c r="A271" s="1308"/>
      <c r="B271" s="1316"/>
      <c r="C271" s="1249"/>
      <c r="D271" s="1196"/>
      <c r="E271" s="1197"/>
      <c r="F271" s="1197"/>
      <c r="G271" s="143"/>
      <c r="H271" s="1091"/>
      <c r="I271" s="943"/>
      <c r="J271" s="944"/>
      <c r="K271" s="1041"/>
      <c r="L271" s="1041"/>
      <c r="M271" s="1309"/>
      <c r="O271">
        <v>2837707</v>
      </c>
    </row>
    <row r="272" spans="1:15" ht="12.75" customHeight="1">
      <c r="A272" s="1307">
        <v>133</v>
      </c>
      <c r="B272" s="983" t="s">
        <v>301</v>
      </c>
      <c r="C272" s="986"/>
      <c r="D272" s="987" t="s">
        <v>314</v>
      </c>
      <c r="E272" s="983" t="s">
        <v>20</v>
      </c>
      <c r="F272" s="983"/>
      <c r="G272" s="144"/>
      <c r="H272" s="988">
        <v>9700000</v>
      </c>
      <c r="I272" s="916">
        <f>H272</f>
        <v>9700000</v>
      </c>
      <c r="J272" s="909"/>
      <c r="K272" s="984">
        <v>9700000</v>
      </c>
      <c r="L272" s="984">
        <v>9700000</v>
      </c>
      <c r="M272" s="1076">
        <f>K272-H272</f>
        <v>0</v>
      </c>
      <c r="O272">
        <v>2837707</v>
      </c>
    </row>
    <row r="273" spans="1:15" ht="12.75" customHeight="1">
      <c r="A273" s="1308"/>
      <c r="B273" s="879"/>
      <c r="C273" s="914"/>
      <c r="D273" s="660"/>
      <c r="E273" s="879"/>
      <c r="F273" s="879"/>
      <c r="G273" s="144"/>
      <c r="H273" s="916"/>
      <c r="I273" s="906"/>
      <c r="J273" s="910"/>
      <c r="K273" s="920"/>
      <c r="L273" s="920"/>
      <c r="M273" s="901"/>
      <c r="O273">
        <v>2837707</v>
      </c>
    </row>
    <row r="274" spans="1:15" ht="12.75" customHeight="1">
      <c r="A274" s="1307">
        <v>134</v>
      </c>
      <c r="B274" s="1310"/>
      <c r="C274" s="986" t="s">
        <v>316</v>
      </c>
      <c r="D274" s="987" t="s">
        <v>322</v>
      </c>
      <c r="E274" s="983" t="s">
        <v>142</v>
      </c>
      <c r="F274" s="983"/>
      <c r="G274" s="144"/>
      <c r="H274" s="988">
        <v>450000</v>
      </c>
      <c r="I274" s="916">
        <f>H274</f>
        <v>450000</v>
      </c>
      <c r="J274" s="909"/>
      <c r="K274" s="984">
        <v>450000</v>
      </c>
      <c r="L274" s="984">
        <v>450000</v>
      </c>
      <c r="M274" s="1076">
        <f>K274-H274</f>
        <v>0</v>
      </c>
      <c r="O274">
        <v>2837707</v>
      </c>
    </row>
    <row r="275" spans="1:15" ht="12.75" customHeight="1">
      <c r="A275" s="1308"/>
      <c r="B275" s="1311"/>
      <c r="C275" s="914"/>
      <c r="D275" s="660"/>
      <c r="E275" s="879"/>
      <c r="F275" s="879"/>
      <c r="G275" s="144"/>
      <c r="H275" s="916"/>
      <c r="I275" s="906"/>
      <c r="J275" s="910"/>
      <c r="K275" s="920"/>
      <c r="L275" s="920"/>
      <c r="M275" s="901"/>
      <c r="O275">
        <v>2837707</v>
      </c>
    </row>
    <row r="276" spans="1:15" ht="12.75" customHeight="1">
      <c r="A276" s="1307">
        <v>135</v>
      </c>
      <c r="B276" s="983"/>
      <c r="C276" s="986" t="s">
        <v>317</v>
      </c>
      <c r="D276" s="987" t="s">
        <v>322</v>
      </c>
      <c r="E276" s="983" t="s">
        <v>324</v>
      </c>
      <c r="F276" s="983"/>
      <c r="G276" s="144"/>
      <c r="H276" s="988">
        <v>2500000</v>
      </c>
      <c r="I276" s="916">
        <f>H276</f>
        <v>2500000</v>
      </c>
      <c r="J276" s="909"/>
      <c r="K276" s="984">
        <v>2500000</v>
      </c>
      <c r="L276" s="984">
        <v>2500000</v>
      </c>
      <c r="M276" s="1076">
        <f>K276-H276</f>
        <v>0</v>
      </c>
      <c r="O276">
        <v>2837707</v>
      </c>
    </row>
    <row r="277" spans="1:15" ht="12.75" customHeight="1">
      <c r="A277" s="1308"/>
      <c r="B277" s="879"/>
      <c r="C277" s="914"/>
      <c r="D277" s="660"/>
      <c r="E277" s="879"/>
      <c r="F277" s="879"/>
      <c r="G277" s="144"/>
      <c r="H277" s="916"/>
      <c r="I277" s="906"/>
      <c r="J277" s="910"/>
      <c r="K277" s="920"/>
      <c r="L277" s="920"/>
      <c r="M277" s="901"/>
      <c r="O277">
        <v>2837707</v>
      </c>
    </row>
    <row r="278" spans="1:15" ht="12.75" customHeight="1">
      <c r="A278" s="867">
        <v>136</v>
      </c>
      <c r="B278" s="878"/>
      <c r="C278" s="913" t="s">
        <v>318</v>
      </c>
      <c r="D278" s="659" t="s">
        <v>322</v>
      </c>
      <c r="E278" s="878" t="s">
        <v>326</v>
      </c>
      <c r="F278" s="878"/>
      <c r="G278" s="139" t="s">
        <v>412</v>
      </c>
      <c r="H278" s="915">
        <v>5400000</v>
      </c>
      <c r="I278" s="905">
        <f>H278</f>
        <v>5400000</v>
      </c>
      <c r="J278" s="909"/>
      <c r="K278" s="919">
        <v>5400000</v>
      </c>
      <c r="L278" s="919">
        <v>5400000</v>
      </c>
      <c r="M278" s="900">
        <f>K278-H278</f>
        <v>0</v>
      </c>
      <c r="O278">
        <v>2837707</v>
      </c>
    </row>
    <row r="279" spans="1:15" ht="12.75" customHeight="1" thickBot="1">
      <c r="A279" s="924"/>
      <c r="B279" s="1197"/>
      <c r="C279" s="1249"/>
      <c r="D279" s="1196"/>
      <c r="E279" s="1197"/>
      <c r="F279" s="1197"/>
      <c r="G279" s="143"/>
      <c r="H279" s="1091"/>
      <c r="I279" s="943"/>
      <c r="J279" s="944"/>
      <c r="K279" s="1041"/>
      <c r="L279" s="1041"/>
      <c r="M279" s="1309"/>
      <c r="O279">
        <v>2837707</v>
      </c>
    </row>
    <row r="280" spans="1:15" ht="12.75" customHeight="1">
      <c r="A280" s="867">
        <v>137</v>
      </c>
      <c r="B280" s="983" t="s">
        <v>302</v>
      </c>
      <c r="C280" s="986"/>
      <c r="D280" s="987" t="s">
        <v>314</v>
      </c>
      <c r="E280" s="983" t="s">
        <v>20</v>
      </c>
      <c r="F280" s="983"/>
      <c r="G280" s="144"/>
      <c r="H280" s="988">
        <v>9700000</v>
      </c>
      <c r="I280" s="916">
        <f>H280</f>
        <v>9700000</v>
      </c>
      <c r="J280" s="949"/>
      <c r="K280" s="984">
        <v>9700000</v>
      </c>
      <c r="L280" s="984">
        <v>9700000</v>
      </c>
      <c r="M280" s="1076">
        <f>K280-H280</f>
        <v>0</v>
      </c>
      <c r="O280">
        <v>2837707</v>
      </c>
    </row>
    <row r="281" spans="1:15" ht="12.75" customHeight="1">
      <c r="A281" s="924"/>
      <c r="B281" s="879"/>
      <c r="C281" s="914"/>
      <c r="D281" s="660"/>
      <c r="E281" s="879"/>
      <c r="F281" s="879"/>
      <c r="G281" s="144"/>
      <c r="H281" s="916"/>
      <c r="I281" s="906"/>
      <c r="J281" s="910"/>
      <c r="K281" s="920"/>
      <c r="L281" s="920"/>
      <c r="M281" s="901"/>
      <c r="O281">
        <v>2837707</v>
      </c>
    </row>
    <row r="282" spans="1:15" ht="12.75" customHeight="1">
      <c r="A282" s="867">
        <v>138</v>
      </c>
      <c r="B282" s="1042"/>
      <c r="C282" s="913" t="s">
        <v>315</v>
      </c>
      <c r="D282" s="659" t="s">
        <v>319</v>
      </c>
      <c r="E282" s="878" t="s">
        <v>320</v>
      </c>
      <c r="F282" s="878"/>
      <c r="G282" s="139"/>
      <c r="H282" s="915">
        <v>4100000</v>
      </c>
      <c r="I282" s="905">
        <f>H282</f>
        <v>4100000</v>
      </c>
      <c r="J282" s="909"/>
      <c r="K282" s="919">
        <v>4100000</v>
      </c>
      <c r="L282" s="919">
        <v>4100000</v>
      </c>
      <c r="M282" s="900">
        <f>K282-H282</f>
        <v>0</v>
      </c>
      <c r="O282">
        <v>2837707</v>
      </c>
    </row>
    <row r="283" spans="1:15" ht="12.75" customHeight="1" thickBot="1">
      <c r="A283" s="924"/>
      <c r="B283" s="1316"/>
      <c r="C283" s="1249"/>
      <c r="D283" s="1196"/>
      <c r="E283" s="1197"/>
      <c r="F283" s="1197"/>
      <c r="G283" s="143"/>
      <c r="H283" s="1091"/>
      <c r="I283" s="943"/>
      <c r="J283" s="944"/>
      <c r="K283" s="1041"/>
      <c r="L283" s="1041"/>
      <c r="M283" s="1309"/>
      <c r="O283">
        <v>2837707</v>
      </c>
    </row>
    <row r="284" spans="1:15" ht="12.75" customHeight="1">
      <c r="A284" s="867">
        <v>139</v>
      </c>
      <c r="B284" s="983" t="s">
        <v>306</v>
      </c>
      <c r="C284" s="986" t="s">
        <v>295</v>
      </c>
      <c r="D284" s="987" t="s">
        <v>307</v>
      </c>
      <c r="E284" s="983" t="s">
        <v>8</v>
      </c>
      <c r="F284" s="983"/>
      <c r="G284" s="144"/>
      <c r="H284" s="988">
        <v>903000</v>
      </c>
      <c r="I284" s="916">
        <f>H284</f>
        <v>903000</v>
      </c>
      <c r="J284" s="909"/>
      <c r="K284" s="984">
        <v>903000</v>
      </c>
      <c r="L284" s="984">
        <v>903000</v>
      </c>
      <c r="M284" s="1076">
        <f>K284-H284</f>
        <v>0</v>
      </c>
      <c r="O284">
        <v>2837707</v>
      </c>
    </row>
    <row r="285" spans="1:15" ht="12.75" customHeight="1">
      <c r="A285" s="924"/>
      <c r="B285" s="879"/>
      <c r="C285" s="914"/>
      <c r="D285" s="660"/>
      <c r="E285" s="879"/>
      <c r="F285" s="879"/>
      <c r="G285" s="144"/>
      <c r="H285" s="916"/>
      <c r="I285" s="906"/>
      <c r="J285" s="910"/>
      <c r="K285" s="920"/>
      <c r="L285" s="920"/>
      <c r="M285" s="901"/>
      <c r="O285">
        <v>2837707</v>
      </c>
    </row>
    <row r="286" spans="1:15" ht="12.75" customHeight="1">
      <c r="A286" s="867">
        <v>140</v>
      </c>
      <c r="B286" s="1042"/>
      <c r="C286" s="913" t="s">
        <v>296</v>
      </c>
      <c r="D286" s="659" t="s">
        <v>307</v>
      </c>
      <c r="E286" s="878" t="s">
        <v>308</v>
      </c>
      <c r="F286" s="878"/>
      <c r="G286" s="139"/>
      <c r="H286" s="915">
        <v>2170</v>
      </c>
      <c r="I286" s="905">
        <f>H286*J286</f>
        <v>600005</v>
      </c>
      <c r="J286" s="909">
        <v>276.5</v>
      </c>
      <c r="K286" s="919">
        <v>2170</v>
      </c>
      <c r="L286" s="919">
        <v>2170</v>
      </c>
      <c r="M286" s="900">
        <f>K286-H286</f>
        <v>0</v>
      </c>
      <c r="O286">
        <v>2837707</v>
      </c>
    </row>
    <row r="287" spans="1:15" ht="12.75" customHeight="1" thickBot="1">
      <c r="A287" s="924"/>
      <c r="B287" s="1316"/>
      <c r="C287" s="1249"/>
      <c r="D287" s="1196"/>
      <c r="E287" s="1197"/>
      <c r="F287" s="1197"/>
      <c r="G287" s="143"/>
      <c r="H287" s="1091"/>
      <c r="I287" s="943"/>
      <c r="J287" s="944"/>
      <c r="K287" s="1041"/>
      <c r="L287" s="1041"/>
      <c r="M287" s="1309"/>
      <c r="O287">
        <v>2837707</v>
      </c>
    </row>
    <row r="288" spans="1:15" ht="12.75" customHeight="1">
      <c r="A288" s="867">
        <v>141</v>
      </c>
      <c r="B288" s="983" t="s">
        <v>313</v>
      </c>
      <c r="C288" s="986"/>
      <c r="D288" s="987" t="s">
        <v>330</v>
      </c>
      <c r="E288" s="983" t="s">
        <v>20</v>
      </c>
      <c r="F288" s="983"/>
      <c r="G288" s="144"/>
      <c r="H288" s="988">
        <v>10000000</v>
      </c>
      <c r="I288" s="916">
        <f>H288</f>
        <v>10000000</v>
      </c>
      <c r="J288" s="909"/>
      <c r="K288" s="984">
        <v>10000000</v>
      </c>
      <c r="L288" s="984">
        <v>10000000</v>
      </c>
      <c r="M288" s="1076">
        <f>K288-H288</f>
        <v>0</v>
      </c>
      <c r="O288">
        <v>2837707</v>
      </c>
    </row>
    <row r="289" spans="1:15" ht="12.75" customHeight="1">
      <c r="A289" s="924"/>
      <c r="B289" s="879"/>
      <c r="C289" s="914"/>
      <c r="D289" s="660"/>
      <c r="E289" s="879"/>
      <c r="F289" s="879"/>
      <c r="G289" s="144"/>
      <c r="H289" s="916"/>
      <c r="I289" s="906"/>
      <c r="J289" s="910"/>
      <c r="K289" s="920"/>
      <c r="L289" s="920"/>
      <c r="M289" s="901"/>
      <c r="O289">
        <v>2837707</v>
      </c>
    </row>
    <row r="290" spans="1:15" ht="12.75" customHeight="1">
      <c r="A290" s="867">
        <v>142</v>
      </c>
      <c r="B290" s="1310"/>
      <c r="C290" s="986" t="s">
        <v>332</v>
      </c>
      <c r="D290" s="987" t="s">
        <v>331</v>
      </c>
      <c r="E290" s="983" t="s">
        <v>11</v>
      </c>
      <c r="F290" s="983"/>
      <c r="G290" s="144"/>
      <c r="H290" s="988">
        <v>1500000</v>
      </c>
      <c r="I290" s="916">
        <f>H290</f>
        <v>1500000</v>
      </c>
      <c r="J290" s="909"/>
      <c r="K290" s="984">
        <v>1500000</v>
      </c>
      <c r="L290" s="984">
        <v>1500000</v>
      </c>
      <c r="M290" s="1076">
        <f>K290-H290</f>
        <v>0</v>
      </c>
      <c r="N290" s="6" t="s">
        <v>379</v>
      </c>
      <c r="O290">
        <v>2837707</v>
      </c>
    </row>
    <row r="291" spans="1:15" ht="12.75" customHeight="1">
      <c r="A291" s="924"/>
      <c r="B291" s="1311"/>
      <c r="C291" s="914"/>
      <c r="D291" s="660"/>
      <c r="E291" s="879"/>
      <c r="F291" s="879"/>
      <c r="G291" s="144"/>
      <c r="H291" s="916"/>
      <c r="I291" s="906"/>
      <c r="J291" s="910"/>
      <c r="K291" s="920"/>
      <c r="L291" s="920"/>
      <c r="M291" s="901"/>
      <c r="O291">
        <v>2837707</v>
      </c>
    </row>
    <row r="292" spans="1:15" ht="12.75" customHeight="1">
      <c r="A292" s="867">
        <v>143</v>
      </c>
      <c r="B292" s="878"/>
      <c r="C292" s="913" t="s">
        <v>333</v>
      </c>
      <c r="D292" s="659" t="s">
        <v>331</v>
      </c>
      <c r="E292" s="878" t="s">
        <v>328</v>
      </c>
      <c r="F292" s="878"/>
      <c r="G292" s="139"/>
      <c r="H292" s="915">
        <v>1500000</v>
      </c>
      <c r="I292" s="905">
        <f>H292</f>
        <v>1500000</v>
      </c>
      <c r="J292" s="909"/>
      <c r="K292" s="919">
        <v>1500000</v>
      </c>
      <c r="L292" s="919">
        <f>K292</f>
        <v>1500000</v>
      </c>
      <c r="M292" s="900">
        <f>K292-H292</f>
        <v>0</v>
      </c>
      <c r="O292">
        <v>2837707</v>
      </c>
    </row>
    <row r="293" spans="1:15" ht="12.75" customHeight="1">
      <c r="A293" s="924"/>
      <c r="B293" s="879"/>
      <c r="C293" s="914"/>
      <c r="D293" s="660"/>
      <c r="E293" s="879"/>
      <c r="F293" s="879"/>
      <c r="G293" s="144" t="s">
        <v>372</v>
      </c>
      <c r="H293" s="916"/>
      <c r="I293" s="906"/>
      <c r="J293" s="910"/>
      <c r="K293" s="920"/>
      <c r="L293" s="920"/>
      <c r="M293" s="901"/>
      <c r="O293">
        <v>2837707</v>
      </c>
    </row>
    <row r="294" spans="1:15" ht="12.75" customHeight="1">
      <c r="A294" s="867">
        <v>144</v>
      </c>
      <c r="B294" s="983"/>
      <c r="C294" s="986" t="s">
        <v>334</v>
      </c>
      <c r="D294" s="987" t="s">
        <v>331</v>
      </c>
      <c r="E294" s="983" t="s">
        <v>328</v>
      </c>
      <c r="F294" s="983"/>
      <c r="G294" s="144"/>
      <c r="H294" s="988">
        <v>2500000</v>
      </c>
      <c r="I294" s="916">
        <f>H294</f>
        <v>2500000</v>
      </c>
      <c r="J294" s="949"/>
      <c r="K294" s="984">
        <v>2500000</v>
      </c>
      <c r="L294" s="919">
        <f>K294</f>
        <v>2500000</v>
      </c>
      <c r="M294" s="1076">
        <f>K294-H294</f>
        <v>0</v>
      </c>
      <c r="O294">
        <v>2837707</v>
      </c>
    </row>
    <row r="295" spans="1:15" ht="12.75" customHeight="1" thickBot="1">
      <c r="A295" s="924"/>
      <c r="B295" s="1197"/>
      <c r="C295" s="1249"/>
      <c r="D295" s="1196"/>
      <c r="E295" s="1197"/>
      <c r="F295" s="1197"/>
      <c r="G295" s="143" t="s">
        <v>372</v>
      </c>
      <c r="H295" s="1091"/>
      <c r="I295" s="943"/>
      <c r="J295" s="944"/>
      <c r="K295" s="1041"/>
      <c r="L295" s="920"/>
      <c r="M295" s="1309"/>
      <c r="O295">
        <v>2837707</v>
      </c>
    </row>
    <row r="296" spans="1:15" ht="12.75" customHeight="1">
      <c r="A296" s="867">
        <v>145</v>
      </c>
      <c r="B296" s="983" t="s">
        <v>321</v>
      </c>
      <c r="C296" s="986"/>
      <c r="D296" s="987" t="s">
        <v>343</v>
      </c>
      <c r="E296" s="983" t="s">
        <v>20</v>
      </c>
      <c r="F296" s="983"/>
      <c r="G296" s="144"/>
      <c r="H296" s="988">
        <v>9700000</v>
      </c>
      <c r="I296" s="916">
        <f>H296</f>
        <v>9700000</v>
      </c>
      <c r="J296" s="949"/>
      <c r="K296" s="984">
        <v>9700000</v>
      </c>
      <c r="L296" s="984">
        <f>K296</f>
        <v>9700000</v>
      </c>
      <c r="M296" s="1076">
        <f>K296-H296</f>
        <v>0</v>
      </c>
      <c r="O296">
        <v>2837707</v>
      </c>
    </row>
    <row r="297" spans="1:15" ht="12.75" customHeight="1">
      <c r="A297" s="924"/>
      <c r="B297" s="879"/>
      <c r="C297" s="914"/>
      <c r="D297" s="660"/>
      <c r="E297" s="879"/>
      <c r="F297" s="879"/>
      <c r="G297" s="144"/>
      <c r="H297" s="916"/>
      <c r="I297" s="906"/>
      <c r="J297" s="910"/>
      <c r="K297" s="920"/>
      <c r="L297" s="920"/>
      <c r="M297" s="901"/>
      <c r="O297">
        <v>2837707</v>
      </c>
    </row>
    <row r="298" spans="1:15" ht="12.75" customHeight="1">
      <c r="A298" s="867">
        <v>146</v>
      </c>
      <c r="B298" s="1310"/>
      <c r="C298" s="986" t="s">
        <v>335</v>
      </c>
      <c r="D298" s="987" t="s">
        <v>342</v>
      </c>
      <c r="E298" s="983" t="s">
        <v>341</v>
      </c>
      <c r="F298" s="983"/>
      <c r="G298" s="144" t="s">
        <v>377</v>
      </c>
      <c r="H298" s="988">
        <v>2500000</v>
      </c>
      <c r="I298" s="916">
        <f>H298</f>
        <v>2500000</v>
      </c>
      <c r="J298" s="909"/>
      <c r="K298" s="984">
        <v>2500000</v>
      </c>
      <c r="L298" s="984">
        <v>2500000</v>
      </c>
      <c r="M298" s="1076">
        <f>K298-H298</f>
        <v>0</v>
      </c>
      <c r="N298">
        <v>7947731</v>
      </c>
      <c r="O298">
        <v>2837707</v>
      </c>
    </row>
    <row r="299" spans="1:15" ht="12.75" customHeight="1">
      <c r="A299" s="924"/>
      <c r="B299" s="1311"/>
      <c r="C299" s="914"/>
      <c r="D299" s="660"/>
      <c r="E299" s="879"/>
      <c r="F299" s="879"/>
      <c r="G299" s="144"/>
      <c r="H299" s="916"/>
      <c r="I299" s="906"/>
      <c r="J299" s="910"/>
      <c r="K299" s="920"/>
      <c r="L299" s="920"/>
      <c r="M299" s="901"/>
      <c r="N299" s="6" t="s">
        <v>378</v>
      </c>
      <c r="O299">
        <v>2837707</v>
      </c>
    </row>
    <row r="300" spans="1:15" ht="12.75" customHeight="1">
      <c r="A300" s="867">
        <v>147</v>
      </c>
      <c r="B300" s="878"/>
      <c r="C300" s="913" t="s">
        <v>336</v>
      </c>
      <c r="D300" s="659" t="s">
        <v>342</v>
      </c>
      <c r="E300" s="878" t="s">
        <v>15</v>
      </c>
      <c r="F300" s="878"/>
      <c r="G300" s="139"/>
      <c r="H300" s="915">
        <v>2400000</v>
      </c>
      <c r="I300" s="905">
        <f>H300</f>
        <v>2400000</v>
      </c>
      <c r="J300" s="909"/>
      <c r="K300" s="919">
        <v>2400000</v>
      </c>
      <c r="L300" s="919">
        <v>2400000</v>
      </c>
      <c r="M300" s="900">
        <f>K300-H300</f>
        <v>0</v>
      </c>
      <c r="O300">
        <v>2837707</v>
      </c>
    </row>
    <row r="301" spans="1:15" ht="12.75" customHeight="1" thickBot="1">
      <c r="A301" s="924"/>
      <c r="B301" s="1197"/>
      <c r="C301" s="1249"/>
      <c r="D301" s="1196"/>
      <c r="E301" s="1197"/>
      <c r="F301" s="1197"/>
      <c r="G301" s="143"/>
      <c r="H301" s="1091"/>
      <c r="I301" s="943"/>
      <c r="J301" s="944"/>
      <c r="K301" s="1041"/>
      <c r="L301" s="1041"/>
      <c r="M301" s="1309"/>
      <c r="O301">
        <v>2837707</v>
      </c>
    </row>
    <row r="302" spans="1:15" ht="12.75" customHeight="1">
      <c r="A302" s="867">
        <v>148</v>
      </c>
      <c r="B302" s="983" t="s">
        <v>323</v>
      </c>
      <c r="C302" s="986" t="s">
        <v>344</v>
      </c>
      <c r="D302" s="987" t="s">
        <v>343</v>
      </c>
      <c r="E302" s="983" t="s">
        <v>20</v>
      </c>
      <c r="F302" s="983"/>
      <c r="G302" s="144"/>
      <c r="H302" s="988">
        <v>9700000</v>
      </c>
      <c r="I302" s="916">
        <f>H302</f>
        <v>9700000</v>
      </c>
      <c r="J302" s="949"/>
      <c r="K302" s="984">
        <v>9700000</v>
      </c>
      <c r="L302" s="984">
        <v>9700000</v>
      </c>
      <c r="M302" s="1076">
        <f>K302-H302</f>
        <v>0</v>
      </c>
      <c r="O302">
        <v>2837707</v>
      </c>
    </row>
    <row r="303" spans="1:15" ht="12.75" customHeight="1">
      <c r="A303" s="924"/>
      <c r="B303" s="879"/>
      <c r="C303" s="914"/>
      <c r="D303" s="660"/>
      <c r="E303" s="879"/>
      <c r="F303" s="879"/>
      <c r="G303" s="144"/>
      <c r="H303" s="916"/>
      <c r="I303" s="906"/>
      <c r="J303" s="910"/>
      <c r="K303" s="920"/>
      <c r="L303" s="920"/>
      <c r="M303" s="901"/>
      <c r="O303">
        <v>2837707</v>
      </c>
    </row>
    <row r="304" spans="1:15" ht="12.75" customHeight="1">
      <c r="A304" s="867">
        <v>149</v>
      </c>
      <c r="B304" s="1310"/>
      <c r="C304" s="986" t="s">
        <v>337</v>
      </c>
      <c r="D304" s="987" t="s">
        <v>342</v>
      </c>
      <c r="E304" s="983" t="s">
        <v>14</v>
      </c>
      <c r="F304" s="983"/>
      <c r="G304" s="144"/>
      <c r="H304" s="988">
        <v>5520000</v>
      </c>
      <c r="I304" s="916">
        <f>H304</f>
        <v>5520000</v>
      </c>
      <c r="J304" s="909"/>
      <c r="K304" s="988">
        <f>I304</f>
        <v>5520000</v>
      </c>
      <c r="L304" s="988">
        <f>K304</f>
        <v>5520000</v>
      </c>
      <c r="M304" s="1076">
        <f>K304-H304</f>
        <v>0</v>
      </c>
      <c r="O304">
        <v>2837707</v>
      </c>
    </row>
    <row r="305" spans="1:15" ht="12.75" customHeight="1">
      <c r="A305" s="924"/>
      <c r="B305" s="1311"/>
      <c r="C305" s="914"/>
      <c r="D305" s="660"/>
      <c r="E305" s="879"/>
      <c r="F305" s="879"/>
      <c r="G305" s="144"/>
      <c r="H305" s="916"/>
      <c r="I305" s="906"/>
      <c r="J305" s="910"/>
      <c r="K305" s="920"/>
      <c r="L305" s="920"/>
      <c r="M305" s="901"/>
      <c r="O305">
        <v>2837707</v>
      </c>
    </row>
    <row r="306" spans="1:15" ht="12.75" customHeight="1">
      <c r="A306" s="867">
        <v>150</v>
      </c>
      <c r="B306" s="878"/>
      <c r="C306" s="913" t="s">
        <v>338</v>
      </c>
      <c r="D306" s="659" t="s">
        <v>342</v>
      </c>
      <c r="E306" s="878" t="s">
        <v>345</v>
      </c>
      <c r="F306" s="878"/>
      <c r="G306" s="139"/>
      <c r="H306" s="915">
        <v>2400000</v>
      </c>
      <c r="I306" s="916">
        <f>H306</f>
        <v>2400000</v>
      </c>
      <c r="J306" s="909"/>
      <c r="K306" s="919">
        <v>2400000</v>
      </c>
      <c r="L306" s="919">
        <v>2400000</v>
      </c>
      <c r="M306" s="900">
        <f>K306-H306</f>
        <v>0</v>
      </c>
      <c r="O306">
        <v>2837707</v>
      </c>
    </row>
    <row r="307" spans="1:15" ht="12.75" customHeight="1" thickBot="1">
      <c r="A307" s="924"/>
      <c r="B307" s="1197"/>
      <c r="C307" s="1249"/>
      <c r="D307" s="1196"/>
      <c r="E307" s="1197"/>
      <c r="F307" s="1197"/>
      <c r="G307" s="143"/>
      <c r="H307" s="1091"/>
      <c r="I307" s="906"/>
      <c r="J307" s="944"/>
      <c r="K307" s="1041"/>
      <c r="L307" s="1041"/>
      <c r="M307" s="1309"/>
      <c r="O307">
        <v>2837707</v>
      </c>
    </row>
    <row r="308" spans="1:15" ht="12.75" customHeight="1">
      <c r="A308" s="867">
        <v>151</v>
      </c>
      <c r="B308" s="983" t="s">
        <v>327</v>
      </c>
      <c r="C308" s="986"/>
      <c r="D308" s="987" t="s">
        <v>342</v>
      </c>
      <c r="E308" s="983" t="s">
        <v>20</v>
      </c>
      <c r="F308" s="983"/>
      <c r="G308" s="144"/>
      <c r="H308" s="988">
        <v>9700000</v>
      </c>
      <c r="I308" s="916">
        <f>H308</f>
        <v>9700000</v>
      </c>
      <c r="J308" s="949"/>
      <c r="K308" s="984">
        <v>9700000</v>
      </c>
      <c r="L308" s="984">
        <v>9700000</v>
      </c>
      <c r="M308" s="1076">
        <f>K308-H308</f>
        <v>0</v>
      </c>
      <c r="O308">
        <v>2837707</v>
      </c>
    </row>
    <row r="309" spans="1:15" ht="12.75" customHeight="1">
      <c r="A309" s="924"/>
      <c r="B309" s="879"/>
      <c r="C309" s="914"/>
      <c r="D309" s="660"/>
      <c r="E309" s="879"/>
      <c r="F309" s="879"/>
      <c r="G309" s="144"/>
      <c r="H309" s="916"/>
      <c r="I309" s="906"/>
      <c r="J309" s="910"/>
      <c r="K309" s="920"/>
      <c r="L309" s="920"/>
      <c r="M309" s="901"/>
      <c r="O309">
        <v>2837707</v>
      </c>
    </row>
    <row r="310" spans="1:15" ht="12.75" customHeight="1">
      <c r="A310" s="867">
        <v>152</v>
      </c>
      <c r="B310" s="1310"/>
      <c r="C310" s="986" t="s">
        <v>352</v>
      </c>
      <c r="D310" s="987" t="s">
        <v>353</v>
      </c>
      <c r="E310" s="983" t="s">
        <v>410</v>
      </c>
      <c r="F310" s="983"/>
      <c r="G310" s="144" t="s">
        <v>355</v>
      </c>
      <c r="H310" s="988">
        <v>1500000</v>
      </c>
      <c r="I310" s="916">
        <f>H310</f>
        <v>1500000</v>
      </c>
      <c r="J310" s="909"/>
      <c r="K310" s="984">
        <v>1500000</v>
      </c>
      <c r="L310" s="984">
        <v>1500000</v>
      </c>
      <c r="M310" s="1076">
        <f>K310-H310</f>
        <v>0</v>
      </c>
      <c r="O310">
        <v>2837707</v>
      </c>
    </row>
    <row r="311" spans="1:15" ht="12.75" customHeight="1">
      <c r="A311" s="924"/>
      <c r="B311" s="1311"/>
      <c r="C311" s="914"/>
      <c r="D311" s="660"/>
      <c r="E311" s="879"/>
      <c r="F311" s="879"/>
      <c r="G311" s="144"/>
      <c r="H311" s="916"/>
      <c r="I311" s="906"/>
      <c r="J311" s="910"/>
      <c r="K311" s="920"/>
      <c r="L311" s="920"/>
      <c r="M311" s="901"/>
      <c r="O311">
        <v>2837707</v>
      </c>
    </row>
    <row r="312" spans="1:15" ht="12.75" customHeight="1">
      <c r="A312" s="867">
        <v>153</v>
      </c>
      <c r="B312" s="983"/>
      <c r="C312" s="986" t="s">
        <v>354</v>
      </c>
      <c r="D312" s="987" t="s">
        <v>349</v>
      </c>
      <c r="E312" s="983" t="s">
        <v>410</v>
      </c>
      <c r="F312" s="983"/>
      <c r="G312" s="144" t="s">
        <v>355</v>
      </c>
      <c r="H312" s="988">
        <v>2000000</v>
      </c>
      <c r="I312" s="916">
        <f>H312</f>
        <v>2000000</v>
      </c>
      <c r="J312" s="909"/>
      <c r="K312" s="984">
        <v>2000000</v>
      </c>
      <c r="L312" s="984">
        <f>K312</f>
        <v>2000000</v>
      </c>
      <c r="M312" s="1076">
        <f>K312-H312</f>
        <v>0</v>
      </c>
      <c r="O312">
        <v>2837707</v>
      </c>
    </row>
    <row r="313" spans="1:15" ht="12.75" customHeight="1" thickBot="1">
      <c r="A313" s="924"/>
      <c r="B313" s="879"/>
      <c r="C313" s="914"/>
      <c r="D313" s="660"/>
      <c r="E313" s="879"/>
      <c r="F313" s="879"/>
      <c r="G313" s="144"/>
      <c r="H313" s="916"/>
      <c r="I313" s="906"/>
      <c r="J313" s="910"/>
      <c r="K313" s="920"/>
      <c r="L313" s="920"/>
      <c r="M313" s="901"/>
      <c r="O313">
        <v>2837707</v>
      </c>
    </row>
    <row r="314" spans="1:15" ht="20.25" thickTop="1" thickBot="1">
      <c r="A314" s="51"/>
      <c r="B314" s="1312" t="s">
        <v>329</v>
      </c>
      <c r="C314" s="1313"/>
      <c r="D314" s="1313"/>
      <c r="E314" s="1313"/>
      <c r="F314" s="1313"/>
      <c r="G314" s="1313"/>
      <c r="H314" s="1313"/>
      <c r="I314" s="1313"/>
      <c r="J314" s="1313"/>
      <c r="K314" s="1313"/>
      <c r="L314" s="1313"/>
      <c r="M314" s="1314"/>
      <c r="N314" s="7">
        <f>SUM(I312,I315:I372,I376)</f>
        <v>100953300</v>
      </c>
      <c r="O314" s="8"/>
    </row>
    <row r="315" spans="1:15" ht="12.75" customHeight="1" thickTop="1">
      <c r="A315" s="1307">
        <v>154</v>
      </c>
      <c r="B315" s="983" t="s">
        <v>339</v>
      </c>
      <c r="C315" s="986" t="s">
        <v>348</v>
      </c>
      <c r="D315" s="987" t="s">
        <v>349</v>
      </c>
      <c r="E315" s="983" t="s">
        <v>25</v>
      </c>
      <c r="F315" s="983" t="s">
        <v>340</v>
      </c>
      <c r="G315" s="144"/>
      <c r="H315" s="988">
        <v>652000</v>
      </c>
      <c r="I315" s="916">
        <v>652000</v>
      </c>
      <c r="J315" s="909"/>
      <c r="K315" s="984">
        <v>652000</v>
      </c>
      <c r="L315" s="984">
        <v>652000</v>
      </c>
      <c r="M315" s="1076">
        <f>K315-H315</f>
        <v>0</v>
      </c>
      <c r="O315">
        <v>2837707</v>
      </c>
    </row>
    <row r="316" spans="1:15" ht="12.75" customHeight="1">
      <c r="A316" s="1308"/>
      <c r="B316" s="879"/>
      <c r="C316" s="914"/>
      <c r="D316" s="660"/>
      <c r="E316" s="879"/>
      <c r="F316" s="879"/>
      <c r="G316" s="144"/>
      <c r="H316" s="916"/>
      <c r="I316" s="906"/>
      <c r="J316" s="910"/>
      <c r="K316" s="920"/>
      <c r="L316" s="920"/>
      <c r="M316" s="901"/>
      <c r="O316">
        <v>2837707</v>
      </c>
    </row>
    <row r="317" spans="1:15" ht="12.75" customHeight="1">
      <c r="A317" s="1307">
        <v>155</v>
      </c>
      <c r="B317" s="1042"/>
      <c r="C317" s="913"/>
      <c r="D317" s="659"/>
      <c r="E317" s="878"/>
      <c r="F317" s="878"/>
      <c r="G317" s="139"/>
      <c r="H317" s="915"/>
      <c r="I317" s="905"/>
      <c r="J317" s="909"/>
      <c r="K317" s="919"/>
      <c r="L317" s="919"/>
      <c r="M317" s="900"/>
      <c r="N317" s="5">
        <f>SUM(M312,M376,M315:M374)</f>
        <v>0</v>
      </c>
      <c r="O317">
        <v>2837707</v>
      </c>
    </row>
    <row r="318" spans="1:15" ht="12.75" customHeight="1" thickBot="1">
      <c r="A318" s="1308"/>
      <c r="B318" s="1316"/>
      <c r="C318" s="1249"/>
      <c r="D318" s="1196"/>
      <c r="E318" s="1197"/>
      <c r="F318" s="1197"/>
      <c r="G318" s="143"/>
      <c r="H318" s="1091"/>
      <c r="I318" s="943"/>
      <c r="J318" s="944"/>
      <c r="K318" s="1041"/>
      <c r="L318" s="1041"/>
      <c r="M318" s="1309"/>
      <c r="O318">
        <v>2837707</v>
      </c>
    </row>
    <row r="319" spans="1:15" ht="12.75" customHeight="1">
      <c r="A319" s="1307">
        <v>156</v>
      </c>
      <c r="B319" s="983" t="s">
        <v>346</v>
      </c>
      <c r="C319" s="1354" t="s">
        <v>519</v>
      </c>
      <c r="D319" s="987" t="s">
        <v>450</v>
      </c>
      <c r="E319" s="983" t="s">
        <v>20</v>
      </c>
      <c r="F319" s="983"/>
      <c r="G319" s="144"/>
      <c r="H319" s="988">
        <v>11400000</v>
      </c>
      <c r="I319" s="916">
        <f>H319</f>
        <v>11400000</v>
      </c>
      <c r="J319" s="949"/>
      <c r="K319" s="984">
        <v>11400000</v>
      </c>
      <c r="L319" s="984">
        <v>11400000</v>
      </c>
      <c r="M319" s="1076">
        <f>K319-H319</f>
        <v>0</v>
      </c>
      <c r="O319">
        <v>2837707</v>
      </c>
    </row>
    <row r="320" spans="1:15" ht="12.75" customHeight="1">
      <c r="A320" s="1308"/>
      <c r="B320" s="879"/>
      <c r="C320" s="1355"/>
      <c r="D320" s="660"/>
      <c r="E320" s="879"/>
      <c r="F320" s="879"/>
      <c r="G320" s="144"/>
      <c r="H320" s="916"/>
      <c r="I320" s="906"/>
      <c r="J320" s="910"/>
      <c r="K320" s="920"/>
      <c r="L320" s="920"/>
      <c r="M320" s="901"/>
      <c r="O320">
        <v>2837707</v>
      </c>
    </row>
    <row r="321" spans="1:15" ht="12.75" customHeight="1">
      <c r="A321" s="1307">
        <v>157</v>
      </c>
      <c r="B321" s="1310"/>
      <c r="C321" s="986" t="s">
        <v>358</v>
      </c>
      <c r="D321" s="987" t="s">
        <v>357</v>
      </c>
      <c r="E321" s="983" t="s">
        <v>324</v>
      </c>
      <c r="F321" s="983"/>
      <c r="G321" s="144"/>
      <c r="H321" s="988">
        <v>5000000</v>
      </c>
      <c r="I321" s="916">
        <v>5000000</v>
      </c>
      <c r="J321" s="909"/>
      <c r="K321" s="984">
        <v>5000000</v>
      </c>
      <c r="L321" s="984">
        <f>K321</f>
        <v>5000000</v>
      </c>
      <c r="M321" s="1076">
        <f>K321-H321</f>
        <v>0</v>
      </c>
      <c r="O321">
        <v>2837707</v>
      </c>
    </row>
    <row r="322" spans="1:15" ht="12.75" customHeight="1">
      <c r="A322" s="1308"/>
      <c r="B322" s="1311"/>
      <c r="C322" s="914"/>
      <c r="D322" s="660"/>
      <c r="E322" s="879"/>
      <c r="F322" s="879"/>
      <c r="G322" s="144"/>
      <c r="H322" s="916"/>
      <c r="I322" s="906"/>
      <c r="J322" s="910"/>
      <c r="K322" s="920"/>
      <c r="L322" s="920"/>
      <c r="M322" s="901"/>
      <c r="O322">
        <v>2837707</v>
      </c>
    </row>
    <row r="323" spans="1:15" ht="12.75" customHeight="1">
      <c r="A323" s="1307">
        <v>158</v>
      </c>
      <c r="B323" s="983"/>
      <c r="C323" s="986" t="s">
        <v>380</v>
      </c>
      <c r="D323" s="987" t="s">
        <v>381</v>
      </c>
      <c r="E323" s="983" t="s">
        <v>373</v>
      </c>
      <c r="F323" s="983"/>
      <c r="G323" s="144"/>
      <c r="H323" s="988">
        <v>2500000</v>
      </c>
      <c r="I323" s="916">
        <v>2500000</v>
      </c>
      <c r="J323" s="909"/>
      <c r="K323" s="984">
        <v>2500000</v>
      </c>
      <c r="L323" s="984">
        <f>K323</f>
        <v>2500000</v>
      </c>
      <c r="M323" s="1076">
        <f>K323-H323</f>
        <v>0</v>
      </c>
      <c r="O323">
        <v>2837707</v>
      </c>
    </row>
    <row r="324" spans="1:15" ht="12.75" customHeight="1">
      <c r="A324" s="1308"/>
      <c r="B324" s="879"/>
      <c r="C324" s="914"/>
      <c r="D324" s="660"/>
      <c r="E324" s="879"/>
      <c r="F324" s="879"/>
      <c r="G324" s="144"/>
      <c r="H324" s="916"/>
      <c r="I324" s="906"/>
      <c r="J324" s="910"/>
      <c r="K324" s="920"/>
      <c r="L324" s="920"/>
      <c r="M324" s="901"/>
      <c r="O324">
        <v>2837707</v>
      </c>
    </row>
    <row r="325" spans="1:15">
      <c r="A325" s="1307">
        <v>159</v>
      </c>
      <c r="B325" s="878"/>
      <c r="C325" s="913" t="s">
        <v>359</v>
      </c>
      <c r="D325" s="659" t="s">
        <v>381</v>
      </c>
      <c r="E325" s="878" t="s">
        <v>364</v>
      </c>
      <c r="F325" s="878"/>
      <c r="G325" s="139"/>
      <c r="H325" s="915">
        <v>3500000</v>
      </c>
      <c r="I325" s="905">
        <f>H325</f>
        <v>3500000</v>
      </c>
      <c r="J325" s="909"/>
      <c r="K325" s="919">
        <v>3500000</v>
      </c>
      <c r="L325" s="919">
        <v>3500000</v>
      </c>
      <c r="M325" s="900">
        <f>K325-H325</f>
        <v>0</v>
      </c>
      <c r="O325">
        <v>2837707</v>
      </c>
    </row>
    <row r="326" spans="1:15" ht="13.5" thickBot="1">
      <c r="A326" s="1308"/>
      <c r="B326" s="1197"/>
      <c r="C326" s="1249"/>
      <c r="D326" s="1196"/>
      <c r="E326" s="1197"/>
      <c r="F326" s="1197"/>
      <c r="G326" s="143"/>
      <c r="H326" s="1091"/>
      <c r="I326" s="943"/>
      <c r="J326" s="944"/>
      <c r="K326" s="1041"/>
      <c r="L326" s="1041"/>
      <c r="M326" s="1309"/>
      <c r="O326">
        <v>2837707</v>
      </c>
    </row>
    <row r="327" spans="1:15">
      <c r="A327" s="1307">
        <v>160</v>
      </c>
      <c r="B327" s="983" t="s">
        <v>347</v>
      </c>
      <c r="C327" s="986" t="s">
        <v>350</v>
      </c>
      <c r="D327" s="987" t="s">
        <v>351</v>
      </c>
      <c r="E327" s="983" t="s">
        <v>8</v>
      </c>
      <c r="F327" s="983"/>
      <c r="G327" s="144"/>
      <c r="H327" s="988">
        <v>552000</v>
      </c>
      <c r="I327" s="916">
        <f>H327</f>
        <v>552000</v>
      </c>
      <c r="J327" s="949"/>
      <c r="K327" s="984">
        <v>552000</v>
      </c>
      <c r="L327" s="984">
        <v>552000</v>
      </c>
      <c r="M327" s="1076">
        <f>K327-H327</f>
        <v>0</v>
      </c>
      <c r="O327">
        <v>2837707</v>
      </c>
    </row>
    <row r="328" spans="1:15">
      <c r="A328" s="1308"/>
      <c r="B328" s="879"/>
      <c r="C328" s="914"/>
      <c r="D328" s="660"/>
      <c r="E328" s="879"/>
      <c r="F328" s="879"/>
      <c r="G328" s="144"/>
      <c r="H328" s="916"/>
      <c r="I328" s="906"/>
      <c r="J328" s="910"/>
      <c r="K328" s="920"/>
      <c r="L328" s="920"/>
      <c r="M328" s="901"/>
      <c r="O328">
        <v>2837707</v>
      </c>
    </row>
    <row r="329" spans="1:15">
      <c r="A329" s="1307">
        <v>161</v>
      </c>
      <c r="B329" s="1042"/>
      <c r="C329" s="913"/>
      <c r="D329" s="659"/>
      <c r="E329" s="878"/>
      <c r="F329" s="878"/>
      <c r="G329" s="139"/>
      <c r="H329" s="915"/>
      <c r="I329" s="905"/>
      <c r="J329" s="909"/>
      <c r="K329" s="919"/>
      <c r="L329" s="919"/>
      <c r="M329" s="900"/>
      <c r="O329">
        <v>2837707</v>
      </c>
    </row>
    <row r="330" spans="1:15" ht="13.5" thickBot="1">
      <c r="A330" s="1308"/>
      <c r="B330" s="1316"/>
      <c r="C330" s="1249"/>
      <c r="D330" s="1196"/>
      <c r="E330" s="1197"/>
      <c r="F330" s="1197"/>
      <c r="G330" s="143"/>
      <c r="H330" s="1091"/>
      <c r="I330" s="943"/>
      <c r="J330" s="944"/>
      <c r="K330" s="1041"/>
      <c r="L330" s="1041"/>
      <c r="M330" s="1309"/>
      <c r="O330">
        <v>2837707</v>
      </c>
    </row>
    <row r="331" spans="1:15">
      <c r="A331" s="1307">
        <v>162</v>
      </c>
      <c r="B331" s="983" t="s">
        <v>356</v>
      </c>
      <c r="C331" s="986" t="s">
        <v>451</v>
      </c>
      <c r="D331" s="987" t="s">
        <v>452</v>
      </c>
      <c r="E331" s="983" t="s">
        <v>20</v>
      </c>
      <c r="F331" s="983"/>
      <c r="G331" s="144"/>
      <c r="H331" s="988">
        <v>9700000</v>
      </c>
      <c r="I331" s="916">
        <f>H331</f>
        <v>9700000</v>
      </c>
      <c r="J331" s="909"/>
      <c r="K331" s="984">
        <v>9700000</v>
      </c>
      <c r="L331" s="984">
        <v>9700000</v>
      </c>
      <c r="M331" s="1076">
        <f>K331-H331</f>
        <v>0</v>
      </c>
      <c r="O331">
        <v>2837707</v>
      </c>
    </row>
    <row r="332" spans="1:15">
      <c r="A332" s="1308"/>
      <c r="B332" s="879"/>
      <c r="C332" s="914"/>
      <c r="D332" s="660"/>
      <c r="E332" s="879"/>
      <c r="F332" s="879"/>
      <c r="G332" s="144"/>
      <c r="H332" s="916"/>
      <c r="I332" s="906"/>
      <c r="J332" s="910"/>
      <c r="K332" s="920"/>
      <c r="L332" s="920"/>
      <c r="M332" s="901"/>
      <c r="O332">
        <v>2837707</v>
      </c>
    </row>
    <row r="333" spans="1:15">
      <c r="A333" s="1307">
        <v>163</v>
      </c>
      <c r="B333" s="1310"/>
      <c r="C333" s="986" t="s">
        <v>360</v>
      </c>
      <c r="D333" s="987" t="s">
        <v>381</v>
      </c>
      <c r="E333" s="983" t="s">
        <v>280</v>
      </c>
      <c r="F333" s="983"/>
      <c r="G333" s="144"/>
      <c r="H333" s="988">
        <v>450000</v>
      </c>
      <c r="I333" s="916">
        <f>H333</f>
        <v>450000</v>
      </c>
      <c r="J333" s="909"/>
      <c r="K333" s="984">
        <v>450000</v>
      </c>
      <c r="L333" s="984">
        <v>450000</v>
      </c>
      <c r="M333" s="1076">
        <f>K333-H333</f>
        <v>0</v>
      </c>
      <c r="O333">
        <v>2837707</v>
      </c>
    </row>
    <row r="334" spans="1:15">
      <c r="A334" s="1308"/>
      <c r="B334" s="1311"/>
      <c r="C334" s="914"/>
      <c r="D334" s="660"/>
      <c r="E334" s="879"/>
      <c r="F334" s="879"/>
      <c r="G334" s="144"/>
      <c r="H334" s="916"/>
      <c r="I334" s="906"/>
      <c r="J334" s="910"/>
      <c r="K334" s="920"/>
      <c r="L334" s="920"/>
      <c r="M334" s="901"/>
      <c r="O334">
        <v>2837707</v>
      </c>
    </row>
    <row r="335" spans="1:15">
      <c r="A335" s="1307">
        <v>164</v>
      </c>
      <c r="B335" s="983"/>
      <c r="C335" s="986" t="s">
        <v>361</v>
      </c>
      <c r="D335" s="987" t="s">
        <v>357</v>
      </c>
      <c r="E335" s="983" t="s">
        <v>303</v>
      </c>
      <c r="F335" s="983"/>
      <c r="G335" s="144"/>
      <c r="H335" s="988">
        <v>4100000</v>
      </c>
      <c r="I335" s="916">
        <f>H335</f>
        <v>4100000</v>
      </c>
      <c r="J335" s="909"/>
      <c r="K335" s="984">
        <v>4100000</v>
      </c>
      <c r="L335" s="984">
        <v>4100000</v>
      </c>
      <c r="M335" s="1076">
        <f>K335-H335</f>
        <v>0</v>
      </c>
      <c r="O335">
        <v>2837707</v>
      </c>
    </row>
    <row r="336" spans="1:15">
      <c r="A336" s="1308"/>
      <c r="B336" s="879"/>
      <c r="C336" s="914"/>
      <c r="D336" s="660"/>
      <c r="E336" s="879"/>
      <c r="F336" s="879"/>
      <c r="G336" s="144"/>
      <c r="H336" s="916"/>
      <c r="I336" s="906"/>
      <c r="J336" s="910"/>
      <c r="K336" s="920"/>
      <c r="L336" s="920"/>
      <c r="M336" s="901"/>
      <c r="O336">
        <v>2837707</v>
      </c>
    </row>
    <row r="337" spans="1:15">
      <c r="A337" s="1307">
        <v>165</v>
      </c>
      <c r="B337" s="878"/>
      <c r="C337" s="913" t="s">
        <v>363</v>
      </c>
      <c r="D337" s="659" t="s">
        <v>381</v>
      </c>
      <c r="E337" s="878" t="s">
        <v>362</v>
      </c>
      <c r="F337" s="878"/>
      <c r="G337" s="139"/>
      <c r="H337" s="915">
        <v>2000000</v>
      </c>
      <c r="I337" s="916">
        <v>2000000</v>
      </c>
      <c r="J337" s="909"/>
      <c r="K337" s="919">
        <v>2000000</v>
      </c>
      <c r="L337" s="919">
        <v>2000000</v>
      </c>
      <c r="M337" s="1356">
        <f>K337-H337</f>
        <v>0</v>
      </c>
      <c r="O337">
        <v>2837707</v>
      </c>
    </row>
    <row r="338" spans="1:15" ht="13.5" thickBot="1">
      <c r="A338" s="1308"/>
      <c r="B338" s="1197"/>
      <c r="C338" s="1249"/>
      <c r="D338" s="1196"/>
      <c r="E338" s="1197"/>
      <c r="F338" s="1197"/>
      <c r="G338" s="143"/>
      <c r="H338" s="1091"/>
      <c r="I338" s="906"/>
      <c r="J338" s="944"/>
      <c r="K338" s="1041"/>
      <c r="L338" s="1041"/>
      <c r="M338" s="1357"/>
      <c r="O338">
        <v>2837707</v>
      </c>
    </row>
    <row r="339" spans="1:15">
      <c r="A339" s="1307">
        <v>166</v>
      </c>
      <c r="B339" s="983">
        <v>56</v>
      </c>
      <c r="C339" s="986" t="s">
        <v>382</v>
      </c>
      <c r="D339" s="987" t="s">
        <v>383</v>
      </c>
      <c r="E339" s="1017" t="s">
        <v>308</v>
      </c>
      <c r="F339" s="983"/>
      <c r="G339" s="144"/>
      <c r="H339" s="988">
        <v>2050</v>
      </c>
      <c r="I339" s="916">
        <f>H339*J339</f>
        <v>565800</v>
      </c>
      <c r="J339" s="949">
        <v>276</v>
      </c>
      <c r="K339" s="984">
        <v>2050</v>
      </c>
      <c r="L339" s="988">
        <f>I339</f>
        <v>565800</v>
      </c>
      <c r="M339" s="1076">
        <v>0</v>
      </c>
      <c r="O339">
        <v>2837707</v>
      </c>
    </row>
    <row r="340" spans="1:15">
      <c r="A340" s="1308"/>
      <c r="B340" s="879"/>
      <c r="C340" s="914"/>
      <c r="D340" s="660"/>
      <c r="E340" s="879"/>
      <c r="F340" s="879"/>
      <c r="G340" s="144"/>
      <c r="H340" s="916"/>
      <c r="I340" s="906"/>
      <c r="J340" s="910"/>
      <c r="K340" s="920"/>
      <c r="L340" s="920"/>
      <c r="M340" s="901"/>
      <c r="O340">
        <v>2837707</v>
      </c>
    </row>
    <row r="341" spans="1:15">
      <c r="A341" s="1307">
        <v>167</v>
      </c>
      <c r="B341" s="1042"/>
      <c r="C341" s="913"/>
      <c r="D341" s="659"/>
      <c r="E341" s="983"/>
      <c r="F341" s="878"/>
      <c r="G341" s="139"/>
      <c r="H341" s="915"/>
      <c r="I341" s="905"/>
      <c r="J341" s="909" t="s">
        <v>120</v>
      </c>
      <c r="K341" s="919"/>
      <c r="L341" s="919"/>
      <c r="M341" s="900">
        <f>K341-H341</f>
        <v>0</v>
      </c>
      <c r="O341">
        <v>2837707</v>
      </c>
    </row>
    <row r="342" spans="1:15" ht="13.5" thickBot="1">
      <c r="A342" s="1308"/>
      <c r="B342" s="1316"/>
      <c r="C342" s="1249"/>
      <c r="D342" s="1196"/>
      <c r="E342" s="1197"/>
      <c r="F342" s="1197"/>
      <c r="G342" s="143"/>
      <c r="H342" s="1091"/>
      <c r="I342" s="943"/>
      <c r="J342" s="944"/>
      <c r="K342" s="1041"/>
      <c r="L342" s="1041"/>
      <c r="M342" s="1309"/>
      <c r="O342">
        <v>2837707</v>
      </c>
    </row>
    <row r="343" spans="1:15" ht="12.75" hidden="1" customHeight="1">
      <c r="A343" s="1307">
        <v>168</v>
      </c>
      <c r="B343" s="1121" t="s">
        <v>391</v>
      </c>
      <c r="C343" s="1018"/>
      <c r="D343" s="1019"/>
      <c r="E343" s="1017" t="s">
        <v>392</v>
      </c>
      <c r="F343" s="1017"/>
      <c r="G343" s="140"/>
      <c r="H343" s="999"/>
      <c r="I343" s="973"/>
      <c r="J343" s="974"/>
      <c r="K343" s="1001"/>
      <c r="L343" s="1001"/>
      <c r="M343" s="1002">
        <f>K343-H343</f>
        <v>0</v>
      </c>
      <c r="O343">
        <v>2837707</v>
      </c>
    </row>
    <row r="344" spans="1:15" ht="13.5" hidden="1" customHeight="1" thickBot="1">
      <c r="A344" s="1308"/>
      <c r="B344" s="1230"/>
      <c r="C344" s="1249"/>
      <c r="D344" s="1196"/>
      <c r="E344" s="1197"/>
      <c r="F344" s="1197"/>
      <c r="G344" s="143"/>
      <c r="H344" s="1091"/>
      <c r="I344" s="943"/>
      <c r="J344" s="944"/>
      <c r="K344" s="1041"/>
      <c r="L344" s="1041"/>
      <c r="M344" s="1149"/>
      <c r="O344">
        <v>2837707</v>
      </c>
    </row>
    <row r="345" spans="1:15">
      <c r="A345" s="1307">
        <v>169</v>
      </c>
      <c r="B345" s="983" t="s">
        <v>395</v>
      </c>
      <c r="C345" s="986"/>
      <c r="D345" s="987" t="s">
        <v>448</v>
      </c>
      <c r="E345" s="983" t="s">
        <v>20</v>
      </c>
      <c r="F345" s="983"/>
      <c r="G345" s="144"/>
      <c r="H345" s="988">
        <v>10000000</v>
      </c>
      <c r="I345" s="916">
        <f>H345</f>
        <v>10000000</v>
      </c>
      <c r="J345" s="949"/>
      <c r="K345" s="984">
        <v>10000000</v>
      </c>
      <c r="L345" s="984">
        <f>K345</f>
        <v>10000000</v>
      </c>
      <c r="M345" s="1076">
        <f>K345-H345</f>
        <v>0</v>
      </c>
      <c r="O345">
        <v>2837707</v>
      </c>
    </row>
    <row r="346" spans="1:15">
      <c r="A346" s="1308"/>
      <c r="B346" s="879"/>
      <c r="C346" s="914"/>
      <c r="D346" s="660"/>
      <c r="E346" s="879"/>
      <c r="F346" s="879"/>
      <c r="G346" s="144"/>
      <c r="H346" s="916"/>
      <c r="I346" s="906"/>
      <c r="J346" s="910"/>
      <c r="K346" s="920"/>
      <c r="L346" s="920"/>
      <c r="M346" s="901"/>
      <c r="O346">
        <v>2837707</v>
      </c>
    </row>
    <row r="347" spans="1:15" ht="12.75" customHeight="1">
      <c r="A347" s="1307">
        <v>170</v>
      </c>
      <c r="B347" s="1310"/>
      <c r="C347" s="986" t="s">
        <v>366</v>
      </c>
      <c r="D347" s="987" t="s">
        <v>384</v>
      </c>
      <c r="E347" s="983" t="s">
        <v>14</v>
      </c>
      <c r="F347" s="983"/>
      <c r="G347" s="144"/>
      <c r="H347" s="988">
        <v>5720000</v>
      </c>
      <c r="I347" s="916">
        <f>H347</f>
        <v>5720000</v>
      </c>
      <c r="J347" s="909"/>
      <c r="K347" s="984">
        <v>5720000</v>
      </c>
      <c r="L347" s="984">
        <v>5720000</v>
      </c>
      <c r="M347" s="1076">
        <f>K347-H347</f>
        <v>0</v>
      </c>
      <c r="O347">
        <v>2837707</v>
      </c>
    </row>
    <row r="348" spans="1:15" ht="12.75" customHeight="1">
      <c r="A348" s="1308"/>
      <c r="B348" s="1311"/>
      <c r="C348" s="914"/>
      <c r="D348" s="660"/>
      <c r="E348" s="879"/>
      <c r="F348" s="879"/>
      <c r="G348" s="144"/>
      <c r="H348" s="916"/>
      <c r="I348" s="906"/>
      <c r="J348" s="910"/>
      <c r="K348" s="920"/>
      <c r="L348" s="920"/>
      <c r="M348" s="901"/>
      <c r="O348">
        <v>2837707</v>
      </c>
    </row>
    <row r="349" spans="1:15">
      <c r="A349" s="1307">
        <v>171</v>
      </c>
      <c r="B349" s="1310"/>
      <c r="C349" s="986" t="s">
        <v>367</v>
      </c>
      <c r="D349" s="987" t="s">
        <v>385</v>
      </c>
      <c r="E349" s="983" t="s">
        <v>98</v>
      </c>
      <c r="F349" s="983"/>
      <c r="G349" s="144"/>
      <c r="H349" s="988">
        <v>450000</v>
      </c>
      <c r="I349" s="916">
        <f>H349</f>
        <v>450000</v>
      </c>
      <c r="J349" s="909"/>
      <c r="K349" s="984">
        <v>450000</v>
      </c>
      <c r="L349" s="984">
        <v>450000</v>
      </c>
      <c r="M349" s="1076">
        <f>K349-H349</f>
        <v>0</v>
      </c>
      <c r="O349">
        <v>2837707</v>
      </c>
    </row>
    <row r="350" spans="1:15">
      <c r="A350" s="1308"/>
      <c r="B350" s="1311"/>
      <c r="C350" s="914"/>
      <c r="D350" s="660"/>
      <c r="E350" s="879"/>
      <c r="F350" s="879"/>
      <c r="G350" s="144"/>
      <c r="H350" s="916"/>
      <c r="I350" s="906"/>
      <c r="J350" s="910"/>
      <c r="K350" s="920"/>
      <c r="L350" s="920"/>
      <c r="M350" s="901"/>
      <c r="O350">
        <v>2837707</v>
      </c>
    </row>
    <row r="351" spans="1:15">
      <c r="A351" s="1307">
        <v>172</v>
      </c>
      <c r="B351" s="878"/>
      <c r="C351" s="913" t="s">
        <v>368</v>
      </c>
      <c r="D351" s="659" t="s">
        <v>385</v>
      </c>
      <c r="E351" s="878" t="s">
        <v>26</v>
      </c>
      <c r="F351" s="878"/>
      <c r="G351" s="139"/>
      <c r="H351" s="915">
        <v>900000</v>
      </c>
      <c r="I351" s="905">
        <f>H351</f>
        <v>900000</v>
      </c>
      <c r="J351" s="909"/>
      <c r="K351" s="919">
        <v>900000</v>
      </c>
      <c r="L351" s="919">
        <v>900000</v>
      </c>
      <c r="M351" s="900">
        <f>K351-H351</f>
        <v>0</v>
      </c>
      <c r="O351">
        <v>2837707</v>
      </c>
    </row>
    <row r="352" spans="1:15" ht="13.5" thickBot="1">
      <c r="A352" s="1308"/>
      <c r="B352" s="1197"/>
      <c r="C352" s="1249"/>
      <c r="D352" s="1196"/>
      <c r="E352" s="1197"/>
      <c r="F352" s="1197"/>
      <c r="G352" s="143"/>
      <c r="H352" s="1091"/>
      <c r="I352" s="943"/>
      <c r="J352" s="944"/>
      <c r="K352" s="1041"/>
      <c r="L352" s="1041"/>
      <c r="M352" s="1309"/>
      <c r="O352">
        <v>2837707</v>
      </c>
    </row>
    <row r="353" spans="1:15">
      <c r="A353" s="1307">
        <v>173</v>
      </c>
      <c r="B353" s="983" t="s">
        <v>365</v>
      </c>
      <c r="C353" s="986" t="s">
        <v>6</v>
      </c>
      <c r="D353" s="987" t="s">
        <v>385</v>
      </c>
      <c r="E353" s="983" t="s">
        <v>397</v>
      </c>
      <c r="F353" s="983"/>
      <c r="G353" s="144"/>
      <c r="H353" s="988">
        <v>5000</v>
      </c>
      <c r="I353" s="916">
        <f>H353*J353</f>
        <v>1392500</v>
      </c>
      <c r="J353" s="949">
        <v>278.5</v>
      </c>
      <c r="K353" s="984">
        <v>5000</v>
      </c>
      <c r="L353" s="984">
        <v>1392500</v>
      </c>
      <c r="M353" s="1076">
        <f>K353-H353</f>
        <v>0</v>
      </c>
      <c r="O353">
        <v>2837707</v>
      </c>
    </row>
    <row r="354" spans="1:15">
      <c r="A354" s="1308"/>
      <c r="B354" s="879"/>
      <c r="C354" s="914"/>
      <c r="D354" s="660"/>
      <c r="E354" s="879"/>
      <c r="F354" s="879"/>
      <c r="G354" s="144" t="s">
        <v>480</v>
      </c>
      <c r="H354" s="916"/>
      <c r="I354" s="906"/>
      <c r="J354" s="910"/>
      <c r="K354" s="920"/>
      <c r="L354" s="920"/>
      <c r="M354" s="901"/>
      <c r="O354">
        <v>2837707</v>
      </c>
    </row>
    <row r="355" spans="1:15" ht="12.75" customHeight="1">
      <c r="A355" s="1307">
        <v>174</v>
      </c>
      <c r="B355" s="1042"/>
      <c r="C355" s="913" t="s">
        <v>369</v>
      </c>
      <c r="D355" s="659" t="s">
        <v>385</v>
      </c>
      <c r="E355" s="1186" t="s">
        <v>285</v>
      </c>
      <c r="F355" s="878"/>
      <c r="G355" s="139"/>
      <c r="H355" s="915">
        <v>4000000</v>
      </c>
      <c r="I355" s="905">
        <f>H355</f>
        <v>4000000</v>
      </c>
      <c r="J355" s="909"/>
      <c r="K355" s="919">
        <v>2000000</v>
      </c>
      <c r="L355" s="919">
        <v>2000000</v>
      </c>
      <c r="M355" s="900">
        <v>0</v>
      </c>
      <c r="O355">
        <v>2837707</v>
      </c>
    </row>
    <row r="356" spans="1:15" ht="12.75" customHeight="1" thickBot="1">
      <c r="A356" s="1308"/>
      <c r="B356" s="1316"/>
      <c r="C356" s="1249"/>
      <c r="D356" s="1196"/>
      <c r="E356" s="1316"/>
      <c r="F356" s="1197"/>
      <c r="G356" s="143"/>
      <c r="H356" s="1091"/>
      <c r="I356" s="943"/>
      <c r="J356" s="944"/>
      <c r="K356" s="1041"/>
      <c r="L356" s="1041"/>
      <c r="M356" s="1309"/>
      <c r="O356">
        <v>2837707</v>
      </c>
    </row>
    <row r="357" spans="1:15">
      <c r="A357" s="1307">
        <v>175</v>
      </c>
      <c r="B357" s="983" t="s">
        <v>376</v>
      </c>
      <c r="C357" s="986"/>
      <c r="D357" s="987" t="s">
        <v>390</v>
      </c>
      <c r="E357" s="983" t="s">
        <v>374</v>
      </c>
      <c r="F357" s="983"/>
      <c r="G357" s="144"/>
      <c r="H357" s="988">
        <v>9700000</v>
      </c>
      <c r="I357" s="916">
        <f>H357</f>
        <v>9700000</v>
      </c>
      <c r="J357" s="949"/>
      <c r="K357" s="984">
        <v>9700000</v>
      </c>
      <c r="L357" s="984">
        <v>9700000</v>
      </c>
      <c r="M357" s="1076">
        <f>K357-H357</f>
        <v>0</v>
      </c>
      <c r="O357">
        <v>2837707</v>
      </c>
    </row>
    <row r="358" spans="1:15">
      <c r="A358" s="1308"/>
      <c r="B358" s="879"/>
      <c r="C358" s="914"/>
      <c r="D358" s="660"/>
      <c r="E358" s="879"/>
      <c r="F358" s="879"/>
      <c r="G358" s="144"/>
      <c r="H358" s="916"/>
      <c r="I358" s="906"/>
      <c r="J358" s="910"/>
      <c r="K358" s="920"/>
      <c r="L358" s="920"/>
      <c r="M358" s="901"/>
      <c r="O358">
        <v>2837707</v>
      </c>
    </row>
    <row r="359" spans="1:15">
      <c r="A359" s="1307">
        <v>176</v>
      </c>
      <c r="B359" s="1042"/>
      <c r="C359" s="986" t="s">
        <v>371</v>
      </c>
      <c r="D359" s="987" t="s">
        <v>385</v>
      </c>
      <c r="E359" s="983" t="s">
        <v>386</v>
      </c>
      <c r="F359" s="983"/>
      <c r="G359" s="144"/>
      <c r="H359" s="988">
        <v>1710000</v>
      </c>
      <c r="I359" s="916">
        <f>H359</f>
        <v>1710000</v>
      </c>
      <c r="J359" s="909"/>
      <c r="K359" s="984">
        <v>1710000</v>
      </c>
      <c r="L359" s="984">
        <v>1710000</v>
      </c>
      <c r="M359" s="1076">
        <f>K359-H359</f>
        <v>0</v>
      </c>
      <c r="O359">
        <v>2837707</v>
      </c>
    </row>
    <row r="360" spans="1:15">
      <c r="A360" s="1308"/>
      <c r="B360" s="1311"/>
      <c r="C360" s="914"/>
      <c r="D360" s="660"/>
      <c r="E360" s="879"/>
      <c r="F360" s="879"/>
      <c r="G360" s="144"/>
      <c r="H360" s="916"/>
      <c r="I360" s="906"/>
      <c r="J360" s="910"/>
      <c r="K360" s="920"/>
      <c r="L360" s="920"/>
      <c r="M360" s="901"/>
      <c r="O360">
        <v>2837707</v>
      </c>
    </row>
    <row r="361" spans="1:15">
      <c r="A361" s="1307">
        <v>177</v>
      </c>
      <c r="B361" s="983"/>
      <c r="C361" s="986" t="s">
        <v>375</v>
      </c>
      <c r="D361" s="987" t="s">
        <v>385</v>
      </c>
      <c r="E361" s="983" t="s">
        <v>396</v>
      </c>
      <c r="F361" s="983" t="s">
        <v>518</v>
      </c>
      <c r="G361" s="144" t="s">
        <v>522</v>
      </c>
      <c r="H361" s="988">
        <v>3100000</v>
      </c>
      <c r="I361" s="916">
        <f>H361</f>
        <v>3100000</v>
      </c>
      <c r="J361" s="909"/>
      <c r="K361" s="984">
        <v>3100000</v>
      </c>
      <c r="L361" s="984">
        <f>K361</f>
        <v>3100000</v>
      </c>
      <c r="M361" s="1076">
        <f>K361-H361</f>
        <v>0</v>
      </c>
      <c r="O361">
        <v>2837707</v>
      </c>
    </row>
    <row r="362" spans="1:15" ht="39" thickBot="1">
      <c r="A362" s="1308"/>
      <c r="B362" s="1197"/>
      <c r="C362" s="1249"/>
      <c r="D362" s="1196"/>
      <c r="E362" s="1197"/>
      <c r="F362" s="1197"/>
      <c r="G362" s="143" t="s">
        <v>532</v>
      </c>
      <c r="H362" s="1091"/>
      <c r="I362" s="943"/>
      <c r="J362" s="944"/>
      <c r="K362" s="1041"/>
      <c r="L362" s="1041"/>
      <c r="M362" s="1309"/>
      <c r="O362">
        <v>2837707</v>
      </c>
    </row>
    <row r="363" spans="1:15">
      <c r="A363" s="1307">
        <v>178</v>
      </c>
      <c r="B363" s="983" t="s">
        <v>388</v>
      </c>
      <c r="C363" s="986" t="s">
        <v>6</v>
      </c>
      <c r="D363" s="987" t="s">
        <v>390</v>
      </c>
      <c r="E363" s="983" t="s">
        <v>25</v>
      </c>
      <c r="F363" s="983"/>
      <c r="G363" s="144"/>
      <c r="H363" s="988">
        <v>648000</v>
      </c>
      <c r="I363" s="916">
        <f>H363</f>
        <v>648000</v>
      </c>
      <c r="J363" s="949"/>
      <c r="K363" s="984">
        <v>648000</v>
      </c>
      <c r="L363" s="984">
        <v>648000</v>
      </c>
      <c r="M363" s="1076">
        <f>K363-H363</f>
        <v>0</v>
      </c>
      <c r="O363">
        <v>2837707</v>
      </c>
    </row>
    <row r="364" spans="1:15">
      <c r="A364" s="1308"/>
      <c r="B364" s="879"/>
      <c r="C364" s="914"/>
      <c r="D364" s="660"/>
      <c r="E364" s="879"/>
      <c r="F364" s="879"/>
      <c r="G364" s="144"/>
      <c r="H364" s="916"/>
      <c r="I364" s="906"/>
      <c r="J364" s="910"/>
      <c r="K364" s="920"/>
      <c r="L364" s="920"/>
      <c r="M364" s="901"/>
      <c r="O364">
        <v>2837707</v>
      </c>
    </row>
    <row r="365" spans="1:15">
      <c r="A365" s="1307">
        <v>179</v>
      </c>
      <c r="B365" s="1042"/>
      <c r="C365" s="913"/>
      <c r="D365" s="659"/>
      <c r="E365" s="878"/>
      <c r="F365" s="878"/>
      <c r="G365" s="139"/>
      <c r="H365" s="915"/>
      <c r="I365" s="905"/>
      <c r="J365" s="909"/>
      <c r="K365" s="919"/>
      <c r="L365" s="919"/>
      <c r="M365" s="900">
        <f>K365-H365</f>
        <v>0</v>
      </c>
      <c r="O365">
        <v>2837707</v>
      </c>
    </row>
    <row r="366" spans="1:15" ht="13.5" thickBot="1">
      <c r="A366" s="1308"/>
      <c r="B366" s="1316"/>
      <c r="C366" s="1249"/>
      <c r="D366" s="1196"/>
      <c r="E366" s="1197"/>
      <c r="F366" s="1197"/>
      <c r="G366" s="143"/>
      <c r="H366" s="1091"/>
      <c r="I366" s="943"/>
      <c r="J366" s="944"/>
      <c r="K366" s="1041"/>
      <c r="L366" s="1041"/>
      <c r="M366" s="1309"/>
      <c r="O366">
        <v>2837707</v>
      </c>
    </row>
    <row r="367" spans="1:15">
      <c r="A367" s="1307">
        <v>180</v>
      </c>
      <c r="B367" s="983" t="s">
        <v>370</v>
      </c>
      <c r="C367" s="986"/>
      <c r="D367" s="987" t="s">
        <v>443</v>
      </c>
      <c r="E367" s="983" t="s">
        <v>20</v>
      </c>
      <c r="F367" s="1358" t="s">
        <v>251</v>
      </c>
      <c r="G367" s="144"/>
      <c r="H367" s="988">
        <v>10000000</v>
      </c>
      <c r="I367" s="916">
        <f>H367</f>
        <v>10000000</v>
      </c>
      <c r="J367" s="949"/>
      <c r="K367" s="984">
        <v>10000000</v>
      </c>
      <c r="L367" s="984">
        <v>10000000</v>
      </c>
      <c r="M367" s="1076">
        <f>K367-H367</f>
        <v>0</v>
      </c>
      <c r="O367">
        <v>2837707</v>
      </c>
    </row>
    <row r="368" spans="1:15">
      <c r="A368" s="1308"/>
      <c r="B368" s="879"/>
      <c r="C368" s="914"/>
      <c r="D368" s="660"/>
      <c r="E368" s="879"/>
      <c r="F368" s="1359"/>
      <c r="G368" s="144"/>
      <c r="H368" s="916"/>
      <c r="I368" s="906"/>
      <c r="J368" s="910"/>
      <c r="K368" s="920"/>
      <c r="L368" s="920"/>
      <c r="M368" s="901"/>
      <c r="O368">
        <v>2837707</v>
      </c>
    </row>
    <row r="369" spans="1:15" ht="12.75" customHeight="1">
      <c r="A369" s="1307">
        <v>181</v>
      </c>
      <c r="B369" s="1042"/>
      <c r="C369" s="913"/>
      <c r="D369" s="659"/>
      <c r="E369" s="878"/>
      <c r="F369" s="878"/>
      <c r="G369" s="139"/>
      <c r="H369" s="915"/>
      <c r="I369" s="905"/>
      <c r="J369" s="909"/>
      <c r="K369" s="919"/>
      <c r="L369" s="919"/>
      <c r="M369" s="900">
        <f>K369-H369</f>
        <v>0</v>
      </c>
      <c r="O369">
        <v>2837707</v>
      </c>
    </row>
    <row r="370" spans="1:15" ht="12.75" customHeight="1" thickBot="1">
      <c r="A370" s="1308"/>
      <c r="B370" s="1316"/>
      <c r="C370" s="1249"/>
      <c r="D370" s="1196"/>
      <c r="E370" s="1197"/>
      <c r="F370" s="1197"/>
      <c r="G370" s="143"/>
      <c r="H370" s="1091"/>
      <c r="I370" s="943"/>
      <c r="J370" s="944"/>
      <c r="K370" s="1041"/>
      <c r="L370" s="1041"/>
      <c r="M370" s="1309"/>
      <c r="O370">
        <v>2837707</v>
      </c>
    </row>
    <row r="371" spans="1:15">
      <c r="A371" s="1307">
        <v>182</v>
      </c>
      <c r="B371" s="983" t="s">
        <v>389</v>
      </c>
      <c r="C371" s="986" t="s">
        <v>399</v>
      </c>
      <c r="D371" s="987" t="s">
        <v>400</v>
      </c>
      <c r="E371" s="983" t="s">
        <v>8</v>
      </c>
      <c r="F371" s="983"/>
      <c r="G371" s="144"/>
      <c r="H371" s="988">
        <v>913000</v>
      </c>
      <c r="I371" s="916">
        <v>913000</v>
      </c>
      <c r="J371" s="949"/>
      <c r="K371" s="984">
        <v>913000</v>
      </c>
      <c r="L371" s="984">
        <v>913000</v>
      </c>
      <c r="M371" s="1076">
        <f>K371-H371</f>
        <v>0</v>
      </c>
      <c r="O371">
        <v>2837707</v>
      </c>
    </row>
    <row r="372" spans="1:15">
      <c r="A372" s="1308"/>
      <c r="B372" s="879"/>
      <c r="C372" s="914"/>
      <c r="D372" s="660"/>
      <c r="E372" s="879"/>
      <c r="F372" s="879"/>
      <c r="G372" s="144"/>
      <c r="H372" s="916"/>
      <c r="I372" s="906"/>
      <c r="J372" s="910"/>
      <c r="K372" s="920"/>
      <c r="L372" s="920"/>
      <c r="M372" s="901"/>
      <c r="O372">
        <v>2837707</v>
      </c>
    </row>
    <row r="373" spans="1:15" ht="12.75" customHeight="1">
      <c r="A373" s="1307">
        <v>183</v>
      </c>
      <c r="B373" s="1042"/>
      <c r="C373" s="913"/>
      <c r="D373" s="659"/>
      <c r="E373" s="878"/>
      <c r="F373" s="878"/>
      <c r="G373" s="139"/>
      <c r="H373" s="915"/>
      <c r="I373" s="905"/>
      <c r="J373" s="909"/>
      <c r="K373" s="919"/>
      <c r="L373" s="919"/>
      <c r="M373" s="900">
        <f>K373-H373</f>
        <v>0</v>
      </c>
      <c r="O373">
        <v>2837707</v>
      </c>
    </row>
    <row r="374" spans="1:15" ht="13.5" customHeight="1" thickBot="1">
      <c r="A374" s="1308"/>
      <c r="B374" s="1316"/>
      <c r="C374" s="1249"/>
      <c r="D374" s="1196"/>
      <c r="E374" s="1197"/>
      <c r="F374" s="1197"/>
      <c r="G374" s="143"/>
      <c r="H374" s="1091"/>
      <c r="I374" s="943"/>
      <c r="J374" s="944"/>
      <c r="K374" s="1041"/>
      <c r="L374" s="1041"/>
      <c r="M374" s="1309"/>
      <c r="O374">
        <v>2837707</v>
      </c>
    </row>
    <row r="375" spans="1:15" ht="20.25" thickTop="1" thickBot="1">
      <c r="A375" s="51"/>
      <c r="B375" s="1312" t="s">
        <v>387</v>
      </c>
      <c r="C375" s="1313"/>
      <c r="D375" s="1313"/>
      <c r="E375" s="1313"/>
      <c r="F375" s="1313"/>
      <c r="G375" s="1313"/>
      <c r="H375" s="1313"/>
      <c r="I375" s="1313"/>
      <c r="J375" s="1313"/>
      <c r="K375" s="1313"/>
      <c r="L375" s="1313"/>
      <c r="M375" s="1314"/>
      <c r="N375" s="7">
        <f>SUM(I378:I491)-920000</f>
        <v>203617485</v>
      </c>
      <c r="O375" s="8"/>
    </row>
    <row r="376" spans="1:15" ht="13.5" thickTop="1">
      <c r="A376" s="1307">
        <v>184</v>
      </c>
      <c r="B376" s="983" t="s">
        <v>394</v>
      </c>
      <c r="C376" s="986"/>
      <c r="D376" s="987" t="s">
        <v>449</v>
      </c>
      <c r="E376" s="983" t="s">
        <v>20</v>
      </c>
      <c r="F376" s="983"/>
      <c r="G376" s="412"/>
      <c r="H376" s="988">
        <v>10000000</v>
      </c>
      <c r="I376" s="916">
        <f>H376</f>
        <v>10000000</v>
      </c>
      <c r="J376" s="909"/>
      <c r="K376" s="984">
        <v>10000000</v>
      </c>
      <c r="L376" s="984">
        <f>K376</f>
        <v>10000000</v>
      </c>
      <c r="M376" s="1076">
        <f>K376-H376</f>
        <v>0</v>
      </c>
      <c r="O376">
        <v>2837707</v>
      </c>
    </row>
    <row r="377" spans="1:15">
      <c r="A377" s="1308"/>
      <c r="B377" s="879"/>
      <c r="C377" s="914"/>
      <c r="D377" s="660"/>
      <c r="E377" s="879"/>
      <c r="F377" s="879"/>
      <c r="G377" s="412"/>
      <c r="H377" s="916"/>
      <c r="I377" s="906"/>
      <c r="J377" s="910"/>
      <c r="K377" s="920"/>
      <c r="L377" s="920"/>
      <c r="M377" s="901"/>
      <c r="O377">
        <v>2837707</v>
      </c>
    </row>
    <row r="378" spans="1:15">
      <c r="A378" s="1307">
        <v>185</v>
      </c>
      <c r="B378" s="1042"/>
      <c r="C378" s="986" t="s">
        <v>403</v>
      </c>
      <c r="D378" s="987" t="s">
        <v>404</v>
      </c>
      <c r="E378" s="983" t="s">
        <v>142</v>
      </c>
      <c r="F378" s="983"/>
      <c r="G378" s="412"/>
      <c r="H378" s="988">
        <v>450000</v>
      </c>
      <c r="I378" s="916">
        <f>H378</f>
        <v>450000</v>
      </c>
      <c r="J378" s="909"/>
      <c r="K378" s="984">
        <v>450000</v>
      </c>
      <c r="L378" s="984">
        <v>450000</v>
      </c>
      <c r="M378" s="1076">
        <f>K378-H378</f>
        <v>0</v>
      </c>
      <c r="N378" s="5">
        <f>SUM(M378:M491)</f>
        <v>0</v>
      </c>
      <c r="O378">
        <v>2837707</v>
      </c>
    </row>
    <row r="379" spans="1:15">
      <c r="A379" s="1308"/>
      <c r="B379" s="1058"/>
      <c r="C379" s="914"/>
      <c r="D379" s="660"/>
      <c r="E379" s="879"/>
      <c r="F379" s="879"/>
      <c r="G379" s="412"/>
      <c r="H379" s="916"/>
      <c r="I379" s="906"/>
      <c r="J379" s="910"/>
      <c r="K379" s="920"/>
      <c r="L379" s="920"/>
      <c r="M379" s="901"/>
      <c r="N379" s="5"/>
      <c r="O379">
        <v>2837707</v>
      </c>
    </row>
    <row r="380" spans="1:15">
      <c r="A380" s="1307">
        <v>186</v>
      </c>
      <c r="B380" s="983"/>
      <c r="C380" s="986" t="s">
        <v>405</v>
      </c>
      <c r="D380" s="987" t="s">
        <v>404</v>
      </c>
      <c r="E380" s="983" t="s">
        <v>15</v>
      </c>
      <c r="F380" s="983"/>
      <c r="G380" s="412"/>
      <c r="H380" s="988">
        <v>2550000</v>
      </c>
      <c r="I380" s="916">
        <f>H380</f>
        <v>2550000</v>
      </c>
      <c r="J380" s="909"/>
      <c r="K380" s="984">
        <v>2550000</v>
      </c>
      <c r="L380" s="984">
        <f>K380</f>
        <v>2550000</v>
      </c>
      <c r="M380" s="1076">
        <f>K380-H380</f>
        <v>0</v>
      </c>
      <c r="O380">
        <v>2837707</v>
      </c>
    </row>
    <row r="381" spans="1:15">
      <c r="A381" s="1308"/>
      <c r="B381" s="879"/>
      <c r="C381" s="914"/>
      <c r="D381" s="660"/>
      <c r="E381" s="879"/>
      <c r="F381" s="879"/>
      <c r="G381" s="412"/>
      <c r="H381" s="916"/>
      <c r="I381" s="906"/>
      <c r="J381" s="910"/>
      <c r="K381" s="920"/>
      <c r="L381" s="920"/>
      <c r="M381" s="901"/>
      <c r="O381">
        <v>2837707</v>
      </c>
    </row>
    <row r="382" spans="1:15">
      <c r="A382" s="1307">
        <v>187</v>
      </c>
      <c r="B382" s="983"/>
      <c r="C382" s="986" t="s">
        <v>406</v>
      </c>
      <c r="D382" s="987" t="s">
        <v>404</v>
      </c>
      <c r="E382" s="983" t="s">
        <v>409</v>
      </c>
      <c r="F382" s="983"/>
      <c r="G382" s="412" t="s">
        <v>407</v>
      </c>
      <c r="H382" s="988">
        <v>2000000</v>
      </c>
      <c r="I382" s="916">
        <f>H382</f>
        <v>2000000</v>
      </c>
      <c r="J382" s="909"/>
      <c r="K382" s="984">
        <v>2000000</v>
      </c>
      <c r="L382" s="984">
        <f>K382</f>
        <v>2000000</v>
      </c>
      <c r="M382" s="1076">
        <f>K382-H382</f>
        <v>0</v>
      </c>
      <c r="O382">
        <v>2837707</v>
      </c>
    </row>
    <row r="383" spans="1:15" ht="13.5" thickBot="1">
      <c r="A383" s="1308"/>
      <c r="B383" s="983"/>
      <c r="C383" s="986"/>
      <c r="D383" s="987"/>
      <c r="E383" s="983"/>
      <c r="F383" s="983"/>
      <c r="G383" s="417">
        <v>503</v>
      </c>
      <c r="H383" s="988"/>
      <c r="I383" s="982"/>
      <c r="J383" s="917"/>
      <c r="K383" s="984"/>
      <c r="L383" s="920"/>
      <c r="M383" s="1076"/>
      <c r="O383">
        <v>2837707</v>
      </c>
    </row>
    <row r="384" spans="1:15">
      <c r="A384" s="1307">
        <v>188</v>
      </c>
      <c r="B384" s="1121" t="s">
        <v>398</v>
      </c>
      <c r="C384" s="1018" t="s">
        <v>6</v>
      </c>
      <c r="D384" s="1019" t="s">
        <v>441</v>
      </c>
      <c r="E384" s="1017" t="s">
        <v>423</v>
      </c>
      <c r="F384" s="1017"/>
      <c r="G384" s="410"/>
      <c r="H384" s="999">
        <v>9800</v>
      </c>
      <c r="I384" s="973">
        <f>H384*J384</f>
        <v>2655800</v>
      </c>
      <c r="J384" s="974">
        <v>271</v>
      </c>
      <c r="K384" s="1001">
        <v>9800</v>
      </c>
      <c r="L384" s="1001">
        <v>265800</v>
      </c>
      <c r="M384" s="1002">
        <v>0</v>
      </c>
      <c r="O384">
        <v>2837707</v>
      </c>
    </row>
    <row r="385" spans="1:15">
      <c r="A385" s="1308"/>
      <c r="B385" s="1122"/>
      <c r="C385" s="914"/>
      <c r="D385" s="660"/>
      <c r="E385" s="879"/>
      <c r="F385" s="879"/>
      <c r="G385" s="412"/>
      <c r="H385" s="916"/>
      <c r="I385" s="906"/>
      <c r="J385" s="910"/>
      <c r="K385" s="920"/>
      <c r="L385" s="920"/>
      <c r="M385" s="951"/>
      <c r="O385">
        <v>2837707</v>
      </c>
    </row>
    <row r="386" spans="1:15" ht="12.75" customHeight="1">
      <c r="A386" s="1307">
        <v>189</v>
      </c>
      <c r="B386" s="1114"/>
      <c r="C386" s="986" t="s">
        <v>6</v>
      </c>
      <c r="D386" s="987" t="s">
        <v>441</v>
      </c>
      <c r="E386" s="983" t="s">
        <v>424</v>
      </c>
      <c r="F386" s="983"/>
      <c r="G386" s="412"/>
      <c r="H386" s="988">
        <v>14600</v>
      </c>
      <c r="I386" s="916">
        <f>H386*J386</f>
        <v>3956600</v>
      </c>
      <c r="J386" s="909">
        <v>271</v>
      </c>
      <c r="K386" s="984">
        <v>3956600</v>
      </c>
      <c r="L386" s="984">
        <v>3956600</v>
      </c>
      <c r="M386" s="950">
        <v>0</v>
      </c>
      <c r="N386" s="5">
        <f>M406+M416+M422+M424+M434+M500</f>
        <v>0</v>
      </c>
      <c r="O386">
        <v>2837707</v>
      </c>
    </row>
    <row r="387" spans="1:15" ht="12.75" customHeight="1">
      <c r="A387" s="1308"/>
      <c r="B387" s="1116"/>
      <c r="C387" s="914"/>
      <c r="D387" s="660"/>
      <c r="E387" s="879"/>
      <c r="F387" s="879"/>
      <c r="G387" s="412"/>
      <c r="H387" s="916"/>
      <c r="I387" s="906"/>
      <c r="J387" s="910"/>
      <c r="K387" s="920"/>
      <c r="L387" s="920"/>
      <c r="M387" s="951"/>
      <c r="O387">
        <v>2837707</v>
      </c>
    </row>
    <row r="388" spans="1:15" ht="12.75" customHeight="1">
      <c r="A388" s="1307">
        <v>190</v>
      </c>
      <c r="B388" s="1301"/>
      <c r="C388" s="986" t="s">
        <v>6</v>
      </c>
      <c r="D388" s="987" t="s">
        <v>441</v>
      </c>
      <c r="E388" s="983" t="s">
        <v>425</v>
      </c>
      <c r="F388" s="983"/>
      <c r="G388" s="412"/>
      <c r="H388" s="988">
        <v>23100</v>
      </c>
      <c r="I388" s="916">
        <f>H388*J388</f>
        <v>6260100</v>
      </c>
      <c r="J388" s="909">
        <v>271</v>
      </c>
      <c r="K388" s="984">
        <v>6260100</v>
      </c>
      <c r="L388" s="984">
        <v>6260100</v>
      </c>
      <c r="M388" s="985">
        <v>0</v>
      </c>
      <c r="O388">
        <v>2837707</v>
      </c>
    </row>
    <row r="389" spans="1:15" ht="13.5" customHeight="1" thickBot="1">
      <c r="A389" s="1308"/>
      <c r="B389" s="1230"/>
      <c r="C389" s="1249"/>
      <c r="D389" s="1196"/>
      <c r="E389" s="1197"/>
      <c r="F389" s="1197"/>
      <c r="G389" s="415"/>
      <c r="H389" s="1091"/>
      <c r="I389" s="943"/>
      <c r="J389" s="944"/>
      <c r="K389" s="1041"/>
      <c r="L389" s="1041"/>
      <c r="M389" s="951"/>
      <c r="O389">
        <v>2837707</v>
      </c>
    </row>
    <row r="390" spans="1:15">
      <c r="A390" s="1307">
        <v>191</v>
      </c>
      <c r="B390" s="983" t="s">
        <v>401</v>
      </c>
      <c r="C390" s="986" t="s">
        <v>6</v>
      </c>
      <c r="D390" s="987" t="s">
        <v>441</v>
      </c>
      <c r="E390" s="983" t="s">
        <v>442</v>
      </c>
      <c r="F390" s="983"/>
      <c r="G390" s="412"/>
      <c r="H390" s="988">
        <v>5100</v>
      </c>
      <c r="I390" s="916">
        <f>H390*J390</f>
        <v>1382100</v>
      </c>
      <c r="J390" s="909">
        <v>271</v>
      </c>
      <c r="K390" s="984">
        <v>5100</v>
      </c>
      <c r="L390" s="988">
        <f>I390</f>
        <v>1382100</v>
      </c>
      <c r="M390" s="1076">
        <f>K390-H390</f>
        <v>0</v>
      </c>
      <c r="O390">
        <v>2837707</v>
      </c>
    </row>
    <row r="391" spans="1:15">
      <c r="A391" s="1308"/>
      <c r="B391" s="879"/>
      <c r="C391" s="914"/>
      <c r="D391" s="660"/>
      <c r="E391" s="879"/>
      <c r="F391" s="879"/>
      <c r="G391" s="412"/>
      <c r="H391" s="916"/>
      <c r="I391" s="906"/>
      <c r="J391" s="910"/>
      <c r="K391" s="920"/>
      <c r="L391" s="920"/>
      <c r="M391" s="901"/>
      <c r="O391">
        <v>2837707</v>
      </c>
    </row>
    <row r="392" spans="1:15" ht="12.75" customHeight="1">
      <c r="A392" s="1307">
        <v>192</v>
      </c>
      <c r="B392" s="1042"/>
      <c r="C392" s="986" t="s">
        <v>6</v>
      </c>
      <c r="D392" s="987" t="s">
        <v>441</v>
      </c>
      <c r="E392" s="983" t="s">
        <v>424</v>
      </c>
      <c r="F392" s="983"/>
      <c r="G392" s="412"/>
      <c r="H392" s="988">
        <v>23300</v>
      </c>
      <c r="I392" s="916">
        <f>H392*J392</f>
        <v>6314300</v>
      </c>
      <c r="J392" s="949">
        <v>271</v>
      </c>
      <c r="K392" s="984">
        <v>23300</v>
      </c>
      <c r="L392" s="988">
        <f>I392</f>
        <v>6314300</v>
      </c>
      <c r="M392" s="1076">
        <f>K392-H392</f>
        <v>0</v>
      </c>
      <c r="O392">
        <v>2837707</v>
      </c>
    </row>
    <row r="393" spans="1:15" ht="12.75" customHeight="1">
      <c r="A393" s="1308"/>
      <c r="B393" s="1058"/>
      <c r="C393" s="914"/>
      <c r="D393" s="660"/>
      <c r="E393" s="879"/>
      <c r="F393" s="879"/>
      <c r="G393" s="412"/>
      <c r="H393" s="916"/>
      <c r="I393" s="906"/>
      <c r="J393" s="910"/>
      <c r="K393" s="920"/>
      <c r="L393" s="920"/>
      <c r="M393" s="901"/>
      <c r="O393">
        <v>2837707</v>
      </c>
    </row>
    <row r="394" spans="1:15">
      <c r="A394" s="1307">
        <v>193</v>
      </c>
      <c r="B394" s="983"/>
      <c r="C394" s="986" t="s">
        <v>6</v>
      </c>
      <c r="D394" s="987" t="s">
        <v>441</v>
      </c>
      <c r="E394" s="983" t="s">
        <v>423</v>
      </c>
      <c r="F394" s="983"/>
      <c r="G394" s="412"/>
      <c r="H394" s="988">
        <v>2550</v>
      </c>
      <c r="I394" s="916">
        <f>H394*J394</f>
        <v>691050</v>
      </c>
      <c r="J394" s="909">
        <v>271</v>
      </c>
      <c r="K394" s="984">
        <v>2550</v>
      </c>
      <c r="L394" s="988">
        <f>I394</f>
        <v>691050</v>
      </c>
      <c r="M394" s="1076">
        <f>K394-H394</f>
        <v>0</v>
      </c>
      <c r="O394">
        <v>2837707</v>
      </c>
    </row>
    <row r="395" spans="1:15">
      <c r="A395" s="1308"/>
      <c r="B395" s="879"/>
      <c r="C395" s="914"/>
      <c r="D395" s="660"/>
      <c r="E395" s="879"/>
      <c r="F395" s="879"/>
      <c r="G395" s="412"/>
      <c r="H395" s="916"/>
      <c r="I395" s="906"/>
      <c r="J395" s="910"/>
      <c r="K395" s="920"/>
      <c r="L395" s="920"/>
      <c r="M395" s="901"/>
      <c r="O395">
        <v>2837707</v>
      </c>
    </row>
    <row r="396" spans="1:15">
      <c r="A396" s="1307">
        <v>194</v>
      </c>
      <c r="B396" s="1042"/>
      <c r="C396" s="986" t="s">
        <v>6</v>
      </c>
      <c r="D396" s="987" t="s">
        <v>441</v>
      </c>
      <c r="E396" s="983" t="s">
        <v>425</v>
      </c>
      <c r="F396" s="983"/>
      <c r="G396" s="412"/>
      <c r="H396" s="988">
        <v>2550</v>
      </c>
      <c r="I396" s="916">
        <f>H396*J396</f>
        <v>691050</v>
      </c>
      <c r="J396" s="949">
        <v>271</v>
      </c>
      <c r="K396" s="984">
        <v>2550</v>
      </c>
      <c r="L396" s="988">
        <f>I396</f>
        <v>691050</v>
      </c>
      <c r="M396" s="1076">
        <f>K396-H396</f>
        <v>0</v>
      </c>
      <c r="O396">
        <v>2837707</v>
      </c>
    </row>
    <row r="397" spans="1:15">
      <c r="A397" s="1308"/>
      <c r="B397" s="1311"/>
      <c r="C397" s="914"/>
      <c r="D397" s="660"/>
      <c r="E397" s="879"/>
      <c r="F397" s="879"/>
      <c r="G397" s="412"/>
      <c r="H397" s="916"/>
      <c r="I397" s="906"/>
      <c r="J397" s="910"/>
      <c r="K397" s="920"/>
      <c r="L397" s="920"/>
      <c r="M397" s="901"/>
      <c r="O397">
        <v>2837707</v>
      </c>
    </row>
    <row r="398" spans="1:15" ht="12.75" customHeight="1">
      <c r="A398" s="1307">
        <v>195</v>
      </c>
      <c r="B398" s="983"/>
      <c r="C398" s="986" t="s">
        <v>418</v>
      </c>
      <c r="D398" s="987" t="s">
        <v>421</v>
      </c>
      <c r="E398" s="983" t="s">
        <v>417</v>
      </c>
      <c r="F398" s="983"/>
      <c r="G398" s="412"/>
      <c r="H398" s="988">
        <v>3000000</v>
      </c>
      <c r="I398" s="916">
        <f>H398</f>
        <v>3000000</v>
      </c>
      <c r="J398" s="909"/>
      <c r="K398" s="984">
        <v>3000000</v>
      </c>
      <c r="L398" s="984">
        <v>3000000</v>
      </c>
      <c r="M398" s="1076">
        <f>K398-H398</f>
        <v>0</v>
      </c>
      <c r="O398">
        <v>2837707</v>
      </c>
    </row>
    <row r="399" spans="1:15" ht="12.75" customHeight="1">
      <c r="A399" s="1308"/>
      <c r="B399" s="879"/>
      <c r="C399" s="914"/>
      <c r="D399" s="660"/>
      <c r="E399" s="879"/>
      <c r="F399" s="879"/>
      <c r="G399" s="412"/>
      <c r="H399" s="916"/>
      <c r="I399" s="906"/>
      <c r="J399" s="910"/>
      <c r="K399" s="920"/>
      <c r="L399" s="920"/>
      <c r="M399" s="901"/>
      <c r="O399">
        <v>2837707</v>
      </c>
    </row>
    <row r="400" spans="1:15" ht="12.75" customHeight="1">
      <c r="A400" s="1307">
        <v>196</v>
      </c>
      <c r="B400" s="983"/>
      <c r="C400" s="986" t="s">
        <v>420</v>
      </c>
      <c r="D400" s="987" t="s">
        <v>421</v>
      </c>
      <c r="E400" s="983" t="s">
        <v>419</v>
      </c>
      <c r="F400" s="983"/>
      <c r="G400" s="412"/>
      <c r="H400" s="988">
        <v>3600000</v>
      </c>
      <c r="I400" s="916">
        <f>H400</f>
        <v>3600000</v>
      </c>
      <c r="J400" s="909"/>
      <c r="K400" s="984">
        <v>3600000</v>
      </c>
      <c r="L400" s="984">
        <f>K400</f>
        <v>3600000</v>
      </c>
      <c r="M400" s="1076">
        <f>K400-H400</f>
        <v>0</v>
      </c>
      <c r="O400">
        <v>2837707</v>
      </c>
    </row>
    <row r="401" spans="1:15" ht="13.5" customHeight="1" thickBot="1">
      <c r="A401" s="1308"/>
      <c r="B401" s="983"/>
      <c r="C401" s="914"/>
      <c r="D401" s="660"/>
      <c r="E401" s="879"/>
      <c r="F401" s="879"/>
      <c r="G401" s="412"/>
      <c r="H401" s="916"/>
      <c r="I401" s="906"/>
      <c r="J401" s="917"/>
      <c r="K401" s="984"/>
      <c r="L401" s="984"/>
      <c r="M401" s="1076"/>
      <c r="O401">
        <v>2837707</v>
      </c>
    </row>
    <row r="402" spans="1:15">
      <c r="A402" s="1307">
        <v>197</v>
      </c>
      <c r="B402" s="1121" t="s">
        <v>402</v>
      </c>
      <c r="C402" s="1018"/>
      <c r="D402" s="1019" t="s">
        <v>404</v>
      </c>
      <c r="E402" s="1017" t="s">
        <v>20</v>
      </c>
      <c r="F402" s="1017"/>
      <c r="G402" s="410"/>
      <c r="H402" s="999">
        <v>9700000</v>
      </c>
      <c r="I402" s="973">
        <f>H402</f>
        <v>9700000</v>
      </c>
      <c r="J402" s="974"/>
      <c r="K402" s="1001">
        <v>9700000</v>
      </c>
      <c r="L402" s="1001">
        <f>K402</f>
        <v>9700000</v>
      </c>
      <c r="M402" s="1002">
        <f>K402-H402</f>
        <v>0</v>
      </c>
      <c r="O402">
        <v>2837707</v>
      </c>
    </row>
    <row r="403" spans="1:15" ht="13.5" thickBot="1">
      <c r="A403" s="1308"/>
      <c r="B403" s="1122"/>
      <c r="C403" s="914"/>
      <c r="D403" s="660"/>
      <c r="E403" s="879"/>
      <c r="F403" s="879"/>
      <c r="G403" s="412"/>
      <c r="H403" s="916"/>
      <c r="I403" s="906"/>
      <c r="J403" s="910"/>
      <c r="K403" s="920"/>
      <c r="L403" s="920"/>
      <c r="M403" s="951"/>
      <c r="O403">
        <v>2837707</v>
      </c>
    </row>
    <row r="404" spans="1:15">
      <c r="A404" s="1307">
        <v>198</v>
      </c>
      <c r="B404" s="1114"/>
      <c r="C404" s="986" t="s">
        <v>6</v>
      </c>
      <c r="D404" s="987" t="s">
        <v>421</v>
      </c>
      <c r="E404" s="983" t="s">
        <v>410</v>
      </c>
      <c r="F404" s="983"/>
      <c r="G404" s="412"/>
      <c r="H404" s="988">
        <v>900000</v>
      </c>
      <c r="I404" s="973">
        <f>H404</f>
        <v>900000</v>
      </c>
      <c r="J404" s="909"/>
      <c r="K404" s="984">
        <v>900000</v>
      </c>
      <c r="L404" s="984">
        <v>900000</v>
      </c>
      <c r="M404" s="1076">
        <f>K404-H404</f>
        <v>0</v>
      </c>
      <c r="O404">
        <v>2837707</v>
      </c>
    </row>
    <row r="405" spans="1:15" ht="13.5" thickBot="1">
      <c r="A405" s="1308"/>
      <c r="B405" s="1116"/>
      <c r="C405" s="914"/>
      <c r="D405" s="660"/>
      <c r="E405" s="879"/>
      <c r="F405" s="879"/>
      <c r="G405" s="412"/>
      <c r="H405" s="916"/>
      <c r="I405" s="906"/>
      <c r="J405" s="910"/>
      <c r="K405" s="920"/>
      <c r="L405" s="920"/>
      <c r="M405" s="901"/>
      <c r="O405">
        <v>2837707</v>
      </c>
    </row>
    <row r="406" spans="1:15" ht="12.75" customHeight="1">
      <c r="A406" s="1307">
        <v>199</v>
      </c>
      <c r="B406" s="1114"/>
      <c r="C406" s="913" t="s">
        <v>413</v>
      </c>
      <c r="D406" s="659" t="s">
        <v>414</v>
      </c>
      <c r="E406" s="878" t="s">
        <v>476</v>
      </c>
      <c r="F406" s="878"/>
      <c r="G406" s="412"/>
      <c r="H406" s="915">
        <v>7200000</v>
      </c>
      <c r="I406" s="973">
        <f>H406</f>
        <v>7200000</v>
      </c>
      <c r="J406" s="948"/>
      <c r="K406" s="919">
        <v>7200000</v>
      </c>
      <c r="L406" s="919">
        <f>K406</f>
        <v>7200000</v>
      </c>
      <c r="M406" s="950">
        <f>K406-H406</f>
        <v>0</v>
      </c>
      <c r="O406">
        <v>2837707</v>
      </c>
    </row>
    <row r="407" spans="1:15" ht="12.75" customHeight="1">
      <c r="A407" s="1308"/>
      <c r="B407" s="1116"/>
      <c r="C407" s="914"/>
      <c r="D407" s="660"/>
      <c r="E407" s="879"/>
      <c r="F407" s="879"/>
      <c r="G407" s="412"/>
      <c r="H407" s="916"/>
      <c r="I407" s="906"/>
      <c r="J407" s="949"/>
      <c r="K407" s="920"/>
      <c r="L407" s="920"/>
      <c r="M407" s="951"/>
      <c r="O407">
        <v>2837707</v>
      </c>
    </row>
    <row r="408" spans="1:15">
      <c r="A408" s="1307">
        <v>200</v>
      </c>
      <c r="B408" s="1301"/>
      <c r="C408" s="986" t="s">
        <v>416</v>
      </c>
      <c r="D408" s="659" t="s">
        <v>414</v>
      </c>
      <c r="E408" s="983" t="s">
        <v>415</v>
      </c>
      <c r="F408" s="983"/>
      <c r="G408" s="412"/>
      <c r="H408" s="988">
        <v>4270000</v>
      </c>
      <c r="I408" s="916">
        <f>H408</f>
        <v>4270000</v>
      </c>
      <c r="J408" s="909"/>
      <c r="K408" s="984">
        <v>4270000</v>
      </c>
      <c r="L408" s="984">
        <f>K408</f>
        <v>4270000</v>
      </c>
      <c r="M408" s="985">
        <f>K408-H408</f>
        <v>0</v>
      </c>
      <c r="O408">
        <v>2837707</v>
      </c>
    </row>
    <row r="409" spans="1:15" ht="13.5" thickBot="1">
      <c r="A409" s="1308"/>
      <c r="B409" s="1230"/>
      <c r="C409" s="1249"/>
      <c r="D409" s="1196"/>
      <c r="E409" s="1197"/>
      <c r="F409" s="1197"/>
      <c r="G409" s="415"/>
      <c r="H409" s="1091"/>
      <c r="I409" s="943"/>
      <c r="J409" s="944"/>
      <c r="K409" s="1041"/>
      <c r="L409" s="1041"/>
      <c r="M409" s="1149"/>
      <c r="O409">
        <v>2837707</v>
      </c>
    </row>
    <row r="410" spans="1:15">
      <c r="A410" s="1307">
        <v>201</v>
      </c>
      <c r="B410" s="983" t="s">
        <v>408</v>
      </c>
      <c r="C410" s="986" t="s">
        <v>453</v>
      </c>
      <c r="D410" s="987" t="s">
        <v>441</v>
      </c>
      <c r="E410" s="983" t="s">
        <v>20</v>
      </c>
      <c r="F410" s="983"/>
      <c r="G410" s="412"/>
      <c r="H410" s="988">
        <v>9700000</v>
      </c>
      <c r="I410" s="916">
        <f>H410</f>
        <v>9700000</v>
      </c>
      <c r="J410" s="949"/>
      <c r="K410" s="984">
        <v>9700000</v>
      </c>
      <c r="L410" s="984">
        <f>K410</f>
        <v>9700000</v>
      </c>
      <c r="M410" s="1076">
        <f>K410-H410</f>
        <v>0</v>
      </c>
      <c r="O410">
        <v>2837707</v>
      </c>
    </row>
    <row r="411" spans="1:15">
      <c r="A411" s="1308"/>
      <c r="B411" s="879"/>
      <c r="C411" s="914"/>
      <c r="D411" s="660"/>
      <c r="E411" s="879"/>
      <c r="F411" s="879"/>
      <c r="G411" s="412"/>
      <c r="H411" s="916"/>
      <c r="I411" s="906"/>
      <c r="J411" s="910"/>
      <c r="K411" s="920"/>
      <c r="L411" s="920"/>
      <c r="M411" s="901"/>
      <c r="O411">
        <v>2837707</v>
      </c>
    </row>
    <row r="412" spans="1:15" ht="12.75" customHeight="1">
      <c r="A412" s="1307">
        <v>202</v>
      </c>
      <c r="B412" s="1114"/>
      <c r="C412" s="986" t="s">
        <v>432</v>
      </c>
      <c r="D412" s="987" t="s">
        <v>431</v>
      </c>
      <c r="E412" s="983" t="s">
        <v>14</v>
      </c>
      <c r="F412" s="983"/>
      <c r="G412" s="412"/>
      <c r="H412" s="988">
        <v>2700000</v>
      </c>
      <c r="I412" s="916">
        <f>H412</f>
        <v>2700000</v>
      </c>
      <c r="J412" s="909"/>
      <c r="K412" s="984">
        <v>2700000</v>
      </c>
      <c r="L412" s="984">
        <f>K412</f>
        <v>2700000</v>
      </c>
      <c r="M412" s="1076">
        <f>K412-H412</f>
        <v>0</v>
      </c>
      <c r="O412">
        <v>2837707</v>
      </c>
    </row>
    <row r="413" spans="1:15" ht="12.75" customHeight="1">
      <c r="A413" s="1308"/>
      <c r="B413" s="1116"/>
      <c r="C413" s="914"/>
      <c r="D413" s="660"/>
      <c r="E413" s="879"/>
      <c r="F413" s="879"/>
      <c r="G413" s="412"/>
      <c r="H413" s="916"/>
      <c r="I413" s="906"/>
      <c r="J413" s="910"/>
      <c r="K413" s="920"/>
      <c r="L413" s="920"/>
      <c r="M413" s="901"/>
      <c r="O413">
        <v>2837707</v>
      </c>
    </row>
    <row r="414" spans="1:15">
      <c r="A414" s="1307">
        <v>203</v>
      </c>
      <c r="B414" s="983"/>
      <c r="C414" s="986" t="s">
        <v>433</v>
      </c>
      <c r="D414" s="987" t="s">
        <v>431</v>
      </c>
      <c r="E414" s="983" t="s">
        <v>430</v>
      </c>
      <c r="F414" s="983"/>
      <c r="G414" s="412" t="s">
        <v>439</v>
      </c>
      <c r="H414" s="988">
        <v>3300000</v>
      </c>
      <c r="I414" s="916">
        <v>3300000</v>
      </c>
      <c r="J414" s="909"/>
      <c r="K414" s="984">
        <v>3300000</v>
      </c>
      <c r="L414" s="984">
        <v>3300000</v>
      </c>
      <c r="M414" s="1076">
        <f>K414-H414</f>
        <v>0</v>
      </c>
      <c r="O414">
        <v>2837707</v>
      </c>
    </row>
    <row r="415" spans="1:15">
      <c r="A415" s="1308"/>
      <c r="B415" s="879"/>
      <c r="C415" s="914"/>
      <c r="D415" s="660"/>
      <c r="E415" s="879"/>
      <c r="F415" s="879"/>
      <c r="G415" s="412">
        <v>265</v>
      </c>
      <c r="H415" s="916"/>
      <c r="I415" s="906"/>
      <c r="J415" s="910"/>
      <c r="K415" s="920"/>
      <c r="L415" s="920"/>
      <c r="M415" s="901"/>
      <c r="O415">
        <v>2837707</v>
      </c>
    </row>
    <row r="416" spans="1:15">
      <c r="A416" s="1307">
        <v>204</v>
      </c>
      <c r="B416" s="878"/>
      <c r="C416" s="913" t="s">
        <v>434</v>
      </c>
      <c r="D416" s="659" t="s">
        <v>431</v>
      </c>
      <c r="E416" s="878" t="s">
        <v>324</v>
      </c>
      <c r="F416" s="878"/>
      <c r="G416" s="409"/>
      <c r="H416" s="915">
        <v>2700000</v>
      </c>
      <c r="I416" s="905">
        <f>H416</f>
        <v>2700000</v>
      </c>
      <c r="J416" s="909"/>
      <c r="K416" s="919">
        <v>2700000</v>
      </c>
      <c r="L416" s="919">
        <f>K416</f>
        <v>2700000</v>
      </c>
      <c r="M416" s="900">
        <f>K416-H416</f>
        <v>0</v>
      </c>
      <c r="O416">
        <v>2837707</v>
      </c>
    </row>
    <row r="417" spans="1:15" ht="13.5" thickBot="1">
      <c r="A417" s="1308"/>
      <c r="B417" s="1197"/>
      <c r="C417" s="1249"/>
      <c r="D417" s="1196"/>
      <c r="E417" s="1197"/>
      <c r="F417" s="1197"/>
      <c r="G417" s="415"/>
      <c r="H417" s="1091"/>
      <c r="I417" s="943"/>
      <c r="J417" s="944"/>
      <c r="K417" s="1041"/>
      <c r="L417" s="1041"/>
      <c r="M417" s="1309"/>
      <c r="O417">
        <v>2837707</v>
      </c>
    </row>
    <row r="418" spans="1:15">
      <c r="A418" s="1307">
        <v>205</v>
      </c>
      <c r="B418" s="983" t="s">
        <v>422</v>
      </c>
      <c r="C418" s="986"/>
      <c r="D418" s="987" t="s">
        <v>431</v>
      </c>
      <c r="E418" s="983" t="s">
        <v>428</v>
      </c>
      <c r="F418" s="983"/>
      <c r="G418" s="412"/>
      <c r="H418" s="988">
        <v>10000000</v>
      </c>
      <c r="I418" s="916">
        <f>H418</f>
        <v>10000000</v>
      </c>
      <c r="J418" s="949"/>
      <c r="K418" s="984">
        <v>10000000</v>
      </c>
      <c r="L418" s="984">
        <f>K418</f>
        <v>10000000</v>
      </c>
      <c r="M418" s="1076">
        <f>K418-H418</f>
        <v>0</v>
      </c>
      <c r="O418">
        <v>2837707</v>
      </c>
    </row>
    <row r="419" spans="1:15">
      <c r="A419" s="1308"/>
      <c r="B419" s="879"/>
      <c r="C419" s="914"/>
      <c r="D419" s="660"/>
      <c r="E419" s="879"/>
      <c r="F419" s="879"/>
      <c r="G419" s="412"/>
      <c r="H419" s="916"/>
      <c r="I419" s="1160"/>
      <c r="J419" s="910"/>
      <c r="K419" s="920"/>
      <c r="L419" s="920"/>
      <c r="M419" s="901"/>
      <c r="O419">
        <v>2837707</v>
      </c>
    </row>
    <row r="420" spans="1:15" ht="12.75" customHeight="1">
      <c r="A420" s="1307">
        <v>206</v>
      </c>
      <c r="B420" s="1114"/>
      <c r="C420" s="986" t="s">
        <v>438</v>
      </c>
      <c r="D420" s="987" t="s">
        <v>455</v>
      </c>
      <c r="E420" s="983" t="s">
        <v>454</v>
      </c>
      <c r="F420" s="983" t="s">
        <v>120</v>
      </c>
      <c r="G420" s="412" t="s">
        <v>456</v>
      </c>
      <c r="H420" s="988">
        <v>1000000</v>
      </c>
      <c r="I420" s="916">
        <f>H420</f>
        <v>1000000</v>
      </c>
      <c r="J420" s="909"/>
      <c r="K420" s="984">
        <v>1000000</v>
      </c>
      <c r="L420" s="984">
        <f>K420</f>
        <v>1000000</v>
      </c>
      <c r="M420" s="1076">
        <f>K420-H420</f>
        <v>0</v>
      </c>
      <c r="O420">
        <v>2837707</v>
      </c>
    </row>
    <row r="421" spans="1:15" ht="12.75" customHeight="1">
      <c r="A421" s="1308"/>
      <c r="B421" s="1116"/>
      <c r="C421" s="914"/>
      <c r="D421" s="660"/>
      <c r="E421" s="879"/>
      <c r="F421" s="879"/>
      <c r="G421" s="412">
        <v>200000</v>
      </c>
      <c r="H421" s="916"/>
      <c r="I421" s="1160"/>
      <c r="J421" s="910"/>
      <c r="K421" s="920"/>
      <c r="L421" s="920"/>
      <c r="M421" s="901"/>
      <c r="O421">
        <v>2837707</v>
      </c>
    </row>
    <row r="422" spans="1:15">
      <c r="A422" s="1307">
        <v>207</v>
      </c>
      <c r="B422" s="983"/>
      <c r="C422" s="986" t="s">
        <v>460</v>
      </c>
      <c r="D422" s="987" t="s">
        <v>459</v>
      </c>
      <c r="E422" s="983" t="s">
        <v>324</v>
      </c>
      <c r="F422" s="983"/>
      <c r="G422" s="412"/>
      <c r="H422" s="988">
        <v>1900000</v>
      </c>
      <c r="I422" s="916">
        <f>H422</f>
        <v>1900000</v>
      </c>
      <c r="J422" s="909"/>
      <c r="K422" s="984">
        <v>1900000</v>
      </c>
      <c r="L422" s="984">
        <f>K422</f>
        <v>1900000</v>
      </c>
      <c r="M422" s="1076">
        <f>K422-H422</f>
        <v>0</v>
      </c>
      <c r="O422">
        <v>2837707</v>
      </c>
    </row>
    <row r="423" spans="1:15">
      <c r="A423" s="1308"/>
      <c r="B423" s="879"/>
      <c r="C423" s="914"/>
      <c r="D423" s="660"/>
      <c r="E423" s="879"/>
      <c r="F423" s="879"/>
      <c r="G423" s="412"/>
      <c r="H423" s="916"/>
      <c r="I423" s="1160"/>
      <c r="J423" s="910"/>
      <c r="K423" s="920"/>
      <c r="L423" s="920"/>
      <c r="M423" s="901"/>
      <c r="O423">
        <v>2837707</v>
      </c>
    </row>
    <row r="424" spans="1:15">
      <c r="A424" s="1307">
        <v>208</v>
      </c>
      <c r="B424" s="983"/>
      <c r="C424" s="986" t="s">
        <v>457</v>
      </c>
      <c r="D424" s="987" t="s">
        <v>459</v>
      </c>
      <c r="E424" s="983" t="s">
        <v>324</v>
      </c>
      <c r="F424" s="983"/>
      <c r="G424" s="412"/>
      <c r="H424" s="988">
        <v>1900000</v>
      </c>
      <c r="I424" s="916">
        <f>H424</f>
        <v>1900000</v>
      </c>
      <c r="J424" s="909"/>
      <c r="K424" s="984">
        <v>1900000</v>
      </c>
      <c r="L424" s="984">
        <f>K424</f>
        <v>1900000</v>
      </c>
      <c r="M424" s="1076">
        <f>K424-H424</f>
        <v>0</v>
      </c>
      <c r="O424">
        <v>2837707</v>
      </c>
    </row>
    <row r="425" spans="1:15">
      <c r="A425" s="1308"/>
      <c r="B425" s="879"/>
      <c r="C425" s="914"/>
      <c r="D425" s="660"/>
      <c r="E425" s="879"/>
      <c r="F425" s="879"/>
      <c r="G425" s="412"/>
      <c r="H425" s="916"/>
      <c r="I425" s="1160"/>
      <c r="J425" s="910"/>
      <c r="K425" s="920"/>
      <c r="L425" s="920"/>
      <c r="M425" s="901"/>
      <c r="O425">
        <v>2837707</v>
      </c>
    </row>
    <row r="426" spans="1:15">
      <c r="A426" s="1307">
        <v>209</v>
      </c>
      <c r="B426" s="878"/>
      <c r="C426" s="913" t="s">
        <v>458</v>
      </c>
      <c r="D426" s="659" t="s">
        <v>459</v>
      </c>
      <c r="E426" s="878" t="s">
        <v>477</v>
      </c>
      <c r="F426" s="878"/>
      <c r="G426" s="409" t="s">
        <v>456</v>
      </c>
      <c r="H426" s="915">
        <v>3000000</v>
      </c>
      <c r="I426" s="905">
        <v>3000000</v>
      </c>
      <c r="J426" s="909"/>
      <c r="K426" s="919">
        <v>3000000</v>
      </c>
      <c r="L426" s="919">
        <v>3000000</v>
      </c>
      <c r="M426" s="900">
        <f>K426-H426</f>
        <v>0</v>
      </c>
      <c r="O426">
        <v>2837707</v>
      </c>
    </row>
    <row r="427" spans="1:15" ht="13.5" thickBot="1">
      <c r="A427" s="1308"/>
      <c r="B427" s="983"/>
      <c r="C427" s="986"/>
      <c r="D427" s="987"/>
      <c r="E427" s="983"/>
      <c r="F427" s="983"/>
      <c r="G427" s="417"/>
      <c r="H427" s="988"/>
      <c r="I427" s="1166"/>
      <c r="J427" s="917"/>
      <c r="K427" s="984"/>
      <c r="L427" s="984"/>
      <c r="M427" s="1076"/>
      <c r="O427">
        <v>2837707</v>
      </c>
    </row>
    <row r="428" spans="1:15">
      <c r="A428" s="1307">
        <v>210</v>
      </c>
      <c r="B428" s="1017" t="s">
        <v>426</v>
      </c>
      <c r="C428" s="1018" t="s">
        <v>6</v>
      </c>
      <c r="D428" s="1019" t="s">
        <v>431</v>
      </c>
      <c r="E428" s="1017" t="s">
        <v>13</v>
      </c>
      <c r="F428" s="1017"/>
      <c r="G428" s="410"/>
      <c r="H428" s="999">
        <v>3300</v>
      </c>
      <c r="I428" s="973">
        <f>H428*J428</f>
        <v>889350</v>
      </c>
      <c r="J428" s="974">
        <v>269.5</v>
      </c>
      <c r="K428" s="1001">
        <v>3300</v>
      </c>
      <c r="L428" s="1001">
        <v>3300</v>
      </c>
      <c r="M428" s="1002">
        <f>K428-H428</f>
        <v>0</v>
      </c>
      <c r="O428">
        <v>2837707</v>
      </c>
    </row>
    <row r="429" spans="1:15">
      <c r="A429" s="1308"/>
      <c r="B429" s="879"/>
      <c r="C429" s="914"/>
      <c r="D429" s="660"/>
      <c r="E429" s="879"/>
      <c r="F429" s="879"/>
      <c r="G429" s="412"/>
      <c r="H429" s="916"/>
      <c r="I429" s="1160"/>
      <c r="J429" s="910"/>
      <c r="K429" s="920"/>
      <c r="L429" s="920"/>
      <c r="M429" s="951"/>
      <c r="O429">
        <v>2837707</v>
      </c>
    </row>
    <row r="430" spans="1:15" ht="12.75" customHeight="1">
      <c r="A430" s="1307">
        <v>211</v>
      </c>
      <c r="B430" s="1114"/>
      <c r="C430" s="986"/>
      <c r="D430" s="987"/>
      <c r="E430" s="983" t="s">
        <v>440</v>
      </c>
      <c r="F430" s="983"/>
      <c r="G430" s="412"/>
      <c r="H430" s="988"/>
      <c r="I430" s="916"/>
      <c r="J430" s="909"/>
      <c r="K430" s="984"/>
      <c r="L430" s="984"/>
      <c r="M430" s="985">
        <f>K430-H430</f>
        <v>0</v>
      </c>
      <c r="O430">
        <v>2837707</v>
      </c>
    </row>
    <row r="431" spans="1:15" ht="12.75" customHeight="1">
      <c r="A431" s="1308"/>
      <c r="B431" s="1116"/>
      <c r="C431" s="914"/>
      <c r="D431" s="660"/>
      <c r="E431" s="879"/>
      <c r="F431" s="879"/>
      <c r="G431" s="412"/>
      <c r="H431" s="916"/>
      <c r="I431" s="1160"/>
      <c r="J431" s="910"/>
      <c r="K431" s="920"/>
      <c r="L431" s="920"/>
      <c r="M431" s="951"/>
      <c r="O431">
        <v>2837707</v>
      </c>
    </row>
    <row r="432" spans="1:15">
      <c r="A432" s="1307">
        <v>212</v>
      </c>
      <c r="B432" s="983"/>
      <c r="C432" s="986" t="s">
        <v>465</v>
      </c>
      <c r="D432" s="987" t="s">
        <v>471</v>
      </c>
      <c r="E432" s="1360" t="s">
        <v>463</v>
      </c>
      <c r="F432" s="983"/>
      <c r="G432" s="412" t="s">
        <v>456</v>
      </c>
      <c r="H432" s="988">
        <v>3500000</v>
      </c>
      <c r="I432" s="916">
        <f>H432</f>
        <v>3500000</v>
      </c>
      <c r="J432" s="909"/>
      <c r="K432" s="984">
        <f>1500000+2000000</f>
        <v>3500000</v>
      </c>
      <c r="L432" s="984"/>
      <c r="M432" s="985">
        <f>K432-H432</f>
        <v>0</v>
      </c>
      <c r="O432">
        <v>2837707</v>
      </c>
    </row>
    <row r="433" spans="1:15">
      <c r="A433" s="1308"/>
      <c r="B433" s="879"/>
      <c r="C433" s="914"/>
      <c r="D433" s="660"/>
      <c r="E433" s="1311"/>
      <c r="F433" s="879"/>
      <c r="G433" s="412"/>
      <c r="H433" s="916"/>
      <c r="I433" s="1160"/>
      <c r="J433" s="1165"/>
      <c r="K433" s="920"/>
      <c r="L433" s="920"/>
      <c r="M433" s="951"/>
      <c r="O433">
        <v>2837707</v>
      </c>
    </row>
    <row r="434" spans="1:15">
      <c r="A434" s="1307">
        <v>213</v>
      </c>
      <c r="B434" s="983"/>
      <c r="C434" s="986" t="s">
        <v>466</v>
      </c>
      <c r="D434" s="987" t="s">
        <v>471</v>
      </c>
      <c r="E434" s="983" t="s">
        <v>324</v>
      </c>
      <c r="F434" s="983"/>
      <c r="G434" s="412"/>
      <c r="H434" s="988">
        <v>3000000</v>
      </c>
      <c r="I434" s="916">
        <f>H434</f>
        <v>3000000</v>
      </c>
      <c r="J434" s="909"/>
      <c r="K434" s="984">
        <v>3000000</v>
      </c>
      <c r="L434" s="984">
        <f>K434</f>
        <v>3000000</v>
      </c>
      <c r="M434" s="985">
        <f>K434-H434</f>
        <v>0</v>
      </c>
      <c r="O434">
        <v>2837707</v>
      </c>
    </row>
    <row r="435" spans="1:15">
      <c r="A435" s="1308"/>
      <c r="B435" s="879"/>
      <c r="C435" s="914"/>
      <c r="D435" s="660"/>
      <c r="E435" s="879"/>
      <c r="F435" s="879"/>
      <c r="G435" s="412"/>
      <c r="H435" s="916"/>
      <c r="I435" s="1160"/>
      <c r="J435" s="910"/>
      <c r="K435" s="920"/>
      <c r="L435" s="920"/>
      <c r="M435" s="951"/>
      <c r="O435">
        <v>2837707</v>
      </c>
    </row>
    <row r="436" spans="1:15">
      <c r="A436" s="1307">
        <v>214</v>
      </c>
      <c r="B436" s="1361"/>
      <c r="C436" s="986" t="s">
        <v>467</v>
      </c>
      <c r="D436" s="987" t="s">
        <v>471</v>
      </c>
      <c r="E436" s="983" t="s">
        <v>464</v>
      </c>
      <c r="F436" s="983"/>
      <c r="G436" s="412"/>
      <c r="H436" s="988">
        <v>1800000</v>
      </c>
      <c r="I436" s="916">
        <f>H436</f>
        <v>1800000</v>
      </c>
      <c r="J436" s="909"/>
      <c r="K436" s="984">
        <v>1800000</v>
      </c>
      <c r="L436" s="984">
        <v>1800000</v>
      </c>
      <c r="M436" s="985">
        <f>K436-H436</f>
        <v>0</v>
      </c>
      <c r="O436">
        <v>2837707</v>
      </c>
    </row>
    <row r="437" spans="1:15" ht="13.5" thickBot="1">
      <c r="A437" s="1308"/>
      <c r="B437" s="1362"/>
      <c r="C437" s="1249"/>
      <c r="D437" s="1196"/>
      <c r="E437" s="1197"/>
      <c r="F437" s="1197"/>
      <c r="G437" s="415"/>
      <c r="H437" s="1091"/>
      <c r="I437" s="1168"/>
      <c r="J437" s="944"/>
      <c r="K437" s="1041"/>
      <c r="L437" s="1041"/>
      <c r="M437" s="1149"/>
      <c r="O437">
        <v>2837707</v>
      </c>
    </row>
    <row r="438" spans="1:15">
      <c r="A438" s="1307">
        <v>215</v>
      </c>
      <c r="B438" s="1017" t="s">
        <v>427</v>
      </c>
      <c r="C438" s="1018"/>
      <c r="D438" s="1019"/>
      <c r="E438" s="1017" t="s">
        <v>20</v>
      </c>
      <c r="F438" s="1017"/>
      <c r="G438" s="410"/>
      <c r="H438" s="999">
        <v>10000000</v>
      </c>
      <c r="I438" s="973">
        <f>H438</f>
        <v>10000000</v>
      </c>
      <c r="J438" s="974"/>
      <c r="K438" s="1001">
        <v>10000000</v>
      </c>
      <c r="L438" s="1001">
        <f>K438</f>
        <v>10000000</v>
      </c>
      <c r="M438" s="1002">
        <f>K438-H438</f>
        <v>0</v>
      </c>
      <c r="O438">
        <v>2837707</v>
      </c>
    </row>
    <row r="439" spans="1:15">
      <c r="A439" s="1308"/>
      <c r="B439" s="879"/>
      <c r="C439" s="914"/>
      <c r="D439" s="660"/>
      <c r="E439" s="879"/>
      <c r="F439" s="879"/>
      <c r="G439" s="412"/>
      <c r="H439" s="916"/>
      <c r="I439" s="906"/>
      <c r="J439" s="910"/>
      <c r="K439" s="920"/>
      <c r="L439" s="920"/>
      <c r="M439" s="951"/>
      <c r="O439">
        <v>2837707</v>
      </c>
    </row>
    <row r="440" spans="1:15">
      <c r="A440" s="1307">
        <v>216</v>
      </c>
      <c r="B440" s="1114"/>
      <c r="C440" s="986" t="s">
        <v>468</v>
      </c>
      <c r="D440" s="987" t="s">
        <v>479</v>
      </c>
      <c r="E440" s="983" t="s">
        <v>478</v>
      </c>
      <c r="F440" s="983"/>
      <c r="G440" s="412" t="s">
        <v>469</v>
      </c>
      <c r="H440" s="988">
        <v>5000000</v>
      </c>
      <c r="I440" s="916">
        <f>H440</f>
        <v>5000000</v>
      </c>
      <c r="J440" s="909"/>
      <c r="K440" s="984">
        <v>5000000</v>
      </c>
      <c r="L440" s="984">
        <v>5000000</v>
      </c>
      <c r="M440" s="985">
        <f>K440-H440</f>
        <v>0</v>
      </c>
      <c r="O440">
        <v>2837707</v>
      </c>
    </row>
    <row r="441" spans="1:15" ht="13.5" thickBot="1">
      <c r="A441" s="1308"/>
      <c r="B441" s="1115"/>
      <c r="C441" s="1249"/>
      <c r="D441" s="1196"/>
      <c r="E441" s="1197"/>
      <c r="F441" s="1197"/>
      <c r="G441" s="415" t="s">
        <v>470</v>
      </c>
      <c r="H441" s="1091"/>
      <c r="I441" s="943"/>
      <c r="J441" s="944"/>
      <c r="K441" s="1041"/>
      <c r="L441" s="1041"/>
      <c r="M441" s="1149"/>
      <c r="O441">
        <v>2837707</v>
      </c>
    </row>
    <row r="442" spans="1:15">
      <c r="A442" s="1307">
        <v>217</v>
      </c>
      <c r="B442" s="1017" t="s">
        <v>429</v>
      </c>
      <c r="C442" s="1018" t="s">
        <v>435</v>
      </c>
      <c r="D442" s="1019" t="s">
        <v>437</v>
      </c>
      <c r="E442" s="1017" t="s">
        <v>8</v>
      </c>
      <c r="F442" s="1017"/>
      <c r="G442" s="410"/>
      <c r="H442" s="999">
        <v>897000</v>
      </c>
      <c r="I442" s="973">
        <f>H442</f>
        <v>897000</v>
      </c>
      <c r="J442" s="974"/>
      <c r="K442" s="1001">
        <v>897000</v>
      </c>
      <c r="L442" s="1001">
        <f>K442</f>
        <v>897000</v>
      </c>
      <c r="M442" s="1002">
        <f>K442-H442</f>
        <v>0</v>
      </c>
      <c r="O442">
        <v>2837707</v>
      </c>
    </row>
    <row r="443" spans="1:15">
      <c r="A443" s="1308"/>
      <c r="B443" s="879"/>
      <c r="C443" s="914"/>
      <c r="D443" s="660"/>
      <c r="E443" s="879"/>
      <c r="F443" s="879"/>
      <c r="G443" s="412"/>
      <c r="H443" s="916"/>
      <c r="I443" s="906"/>
      <c r="J443" s="910"/>
      <c r="K443" s="920"/>
      <c r="L443" s="920"/>
      <c r="M443" s="951"/>
      <c r="O443">
        <v>2837707</v>
      </c>
    </row>
    <row r="444" spans="1:15">
      <c r="A444" s="1307">
        <v>218</v>
      </c>
      <c r="B444" s="1114"/>
      <c r="C444" s="986" t="s">
        <v>436</v>
      </c>
      <c r="D444" s="987" t="s">
        <v>437</v>
      </c>
      <c r="E444" s="1360" t="s">
        <v>308</v>
      </c>
      <c r="F444" s="983"/>
      <c r="G444" s="412"/>
      <c r="H444" s="988">
        <v>1970</v>
      </c>
      <c r="I444" s="916">
        <f>H444*J444</f>
        <v>530915</v>
      </c>
      <c r="J444" s="909">
        <v>269.5</v>
      </c>
      <c r="K444" s="984">
        <v>1970</v>
      </c>
      <c r="L444" s="984">
        <v>1970</v>
      </c>
      <c r="M444" s="985">
        <f>K444-H444</f>
        <v>0</v>
      </c>
      <c r="O444">
        <v>2837707</v>
      </c>
    </row>
    <row r="445" spans="1:15" ht="13.5" thickBot="1">
      <c r="A445" s="1308"/>
      <c r="B445" s="1115"/>
      <c r="C445" s="1249"/>
      <c r="D445" s="1196"/>
      <c r="E445" s="1316"/>
      <c r="F445" s="1197"/>
      <c r="G445" s="415"/>
      <c r="H445" s="1091"/>
      <c r="I445" s="943"/>
      <c r="J445" s="944"/>
      <c r="K445" s="1041"/>
      <c r="L445" s="1041"/>
      <c r="M445" s="1149"/>
      <c r="O445">
        <v>2837707</v>
      </c>
    </row>
    <row r="446" spans="1:15">
      <c r="A446" s="1307">
        <v>219</v>
      </c>
      <c r="B446" s="1121" t="s">
        <v>461</v>
      </c>
      <c r="C446" s="1018"/>
      <c r="D446" s="1019" t="s">
        <v>455</v>
      </c>
      <c r="E446" s="1017" t="s">
        <v>20</v>
      </c>
      <c r="F446" s="1017"/>
      <c r="G446" s="410"/>
      <c r="H446" s="999">
        <v>9700000</v>
      </c>
      <c r="I446" s="973">
        <f>H446</f>
        <v>9700000</v>
      </c>
      <c r="J446" s="974"/>
      <c r="K446" s="1001">
        <v>9700000</v>
      </c>
      <c r="L446" s="1001">
        <f>K446</f>
        <v>9700000</v>
      </c>
      <c r="M446" s="1002">
        <f>K446-H446</f>
        <v>0</v>
      </c>
      <c r="O446">
        <v>2837707</v>
      </c>
    </row>
    <row r="447" spans="1:15">
      <c r="A447" s="1308"/>
      <c r="B447" s="1122"/>
      <c r="C447" s="914"/>
      <c r="D447" s="660"/>
      <c r="E447" s="879"/>
      <c r="F447" s="879"/>
      <c r="G447" s="412"/>
      <c r="H447" s="916"/>
      <c r="I447" s="906"/>
      <c r="J447" s="910"/>
      <c r="K447" s="920"/>
      <c r="L447" s="920"/>
      <c r="M447" s="951"/>
      <c r="O447">
        <v>2837707</v>
      </c>
    </row>
    <row r="448" spans="1:15">
      <c r="A448" s="1307">
        <v>220</v>
      </c>
      <c r="B448" s="1114"/>
      <c r="C448" s="986" t="s">
        <v>472</v>
      </c>
      <c r="D448" s="987" t="s">
        <v>473</v>
      </c>
      <c r="E448" s="983" t="s">
        <v>15</v>
      </c>
      <c r="F448" s="983"/>
      <c r="G448" s="412"/>
      <c r="H448" s="988">
        <v>4100000</v>
      </c>
      <c r="I448" s="916">
        <f>H448</f>
        <v>4100000</v>
      </c>
      <c r="J448" s="909"/>
      <c r="K448" s="984">
        <v>4100000</v>
      </c>
      <c r="L448" s="984">
        <v>4100000</v>
      </c>
      <c r="M448" s="985">
        <f>K448-H448</f>
        <v>0</v>
      </c>
      <c r="O448">
        <v>2837707</v>
      </c>
    </row>
    <row r="449" spans="1:15" ht="13.5" thickBot="1">
      <c r="A449" s="1308"/>
      <c r="B449" s="1115"/>
      <c r="C449" s="1249"/>
      <c r="D449" s="1196"/>
      <c r="E449" s="1197"/>
      <c r="F449" s="1197"/>
      <c r="G449" s="415"/>
      <c r="H449" s="1091"/>
      <c r="I449" s="943"/>
      <c r="J449" s="944"/>
      <c r="K449" s="1041"/>
      <c r="L449" s="1041"/>
      <c r="M449" s="1149"/>
      <c r="O449">
        <v>2837707</v>
      </c>
    </row>
    <row r="450" spans="1:15">
      <c r="A450" s="1307">
        <v>221</v>
      </c>
      <c r="B450" s="983" t="s">
        <v>462</v>
      </c>
      <c r="C450" s="986"/>
      <c r="D450" s="987" t="s">
        <v>492</v>
      </c>
      <c r="E450" s="983" t="s">
        <v>20</v>
      </c>
      <c r="F450" s="983"/>
      <c r="G450" s="412"/>
      <c r="H450" s="988">
        <v>9700000</v>
      </c>
      <c r="I450" s="916">
        <f>H450</f>
        <v>9700000</v>
      </c>
      <c r="J450" s="949"/>
      <c r="K450" s="984">
        <v>9700000</v>
      </c>
      <c r="L450" s="984">
        <v>9700000</v>
      </c>
      <c r="M450" s="1076">
        <f>K450-H450</f>
        <v>0</v>
      </c>
      <c r="O450">
        <v>2837707</v>
      </c>
    </row>
    <row r="451" spans="1:15">
      <c r="A451" s="1308"/>
      <c r="B451" s="879"/>
      <c r="C451" s="914"/>
      <c r="D451" s="660"/>
      <c r="E451" s="879"/>
      <c r="F451" s="879"/>
      <c r="G451" s="412"/>
      <c r="H451" s="916"/>
      <c r="I451" s="906"/>
      <c r="J451" s="910"/>
      <c r="K451" s="920"/>
      <c r="L451" s="920"/>
      <c r="M451" s="901"/>
      <c r="O451">
        <v>2837707</v>
      </c>
    </row>
    <row r="452" spans="1:15" ht="12.75" customHeight="1">
      <c r="A452" s="1307">
        <v>222</v>
      </c>
      <c r="B452" s="1114"/>
      <c r="C452" s="986" t="s">
        <v>486</v>
      </c>
      <c r="D452" s="987" t="s">
        <v>488</v>
      </c>
      <c r="E452" s="983" t="s">
        <v>487</v>
      </c>
      <c r="F452" s="983"/>
      <c r="G452" s="412" t="s">
        <v>481</v>
      </c>
      <c r="H452" s="988">
        <v>7200000</v>
      </c>
      <c r="I452" s="916">
        <f>H452</f>
        <v>7200000</v>
      </c>
      <c r="J452" s="909"/>
      <c r="K452" s="984">
        <v>7200000</v>
      </c>
      <c r="L452" s="984">
        <v>7200000</v>
      </c>
      <c r="M452" s="1076">
        <f>K452-H452</f>
        <v>0</v>
      </c>
      <c r="O452">
        <v>2837707</v>
      </c>
    </row>
    <row r="453" spans="1:15" ht="13.5" customHeight="1">
      <c r="A453" s="1308"/>
      <c r="B453" s="1116"/>
      <c r="C453" s="914"/>
      <c r="D453" s="660"/>
      <c r="E453" s="879"/>
      <c r="F453" s="879"/>
      <c r="G453" s="412" t="s">
        <v>407</v>
      </c>
      <c r="H453" s="916"/>
      <c r="I453" s="906"/>
      <c r="J453" s="910"/>
      <c r="K453" s="920"/>
      <c r="L453" s="920"/>
      <c r="M453" s="901"/>
      <c r="O453">
        <v>2837707</v>
      </c>
    </row>
    <row r="454" spans="1:15">
      <c r="A454" s="1307">
        <v>223</v>
      </c>
      <c r="B454" s="878"/>
      <c r="C454" s="913" t="s">
        <v>489</v>
      </c>
      <c r="D454" s="659" t="s">
        <v>488</v>
      </c>
      <c r="E454" s="878" t="s">
        <v>484</v>
      </c>
      <c r="F454" s="878"/>
      <c r="G454" s="409" t="s">
        <v>24</v>
      </c>
      <c r="H454" s="915">
        <v>1800000</v>
      </c>
      <c r="I454" s="905">
        <f>H454</f>
        <v>1800000</v>
      </c>
      <c r="J454" s="909"/>
      <c r="K454" s="919">
        <v>1800000</v>
      </c>
      <c r="L454" s="919">
        <v>1800000</v>
      </c>
      <c r="M454" s="900">
        <f>K454-H454</f>
        <v>0</v>
      </c>
      <c r="O454">
        <v>2837707</v>
      </c>
    </row>
    <row r="455" spans="1:15" ht="13.5" thickBot="1">
      <c r="A455" s="1308"/>
      <c r="B455" s="1197"/>
      <c r="C455" s="1249"/>
      <c r="D455" s="1196"/>
      <c r="E455" s="1197"/>
      <c r="F455" s="1197"/>
      <c r="G455" s="415"/>
      <c r="H455" s="1091"/>
      <c r="I455" s="943"/>
      <c r="J455" s="944"/>
      <c r="K455" s="1041"/>
      <c r="L455" s="1041"/>
      <c r="M455" s="1309"/>
      <c r="O455">
        <v>2837707</v>
      </c>
    </row>
    <row r="456" spans="1:15">
      <c r="A456" s="1307">
        <v>224</v>
      </c>
      <c r="B456" s="1121" t="s">
        <v>474</v>
      </c>
      <c r="C456" s="1018"/>
      <c r="D456" s="1019" t="s">
        <v>493</v>
      </c>
      <c r="E456" s="1017" t="s">
        <v>20</v>
      </c>
      <c r="F456" s="1017"/>
      <c r="G456" s="410"/>
      <c r="H456" s="999">
        <v>9700000</v>
      </c>
      <c r="I456" s="973">
        <f>H456</f>
        <v>9700000</v>
      </c>
      <c r="J456" s="974"/>
      <c r="K456" s="1001">
        <v>9700000</v>
      </c>
      <c r="L456" s="1001">
        <v>9700000</v>
      </c>
      <c r="M456" s="1002">
        <f>K456-H456</f>
        <v>0</v>
      </c>
      <c r="O456">
        <v>2837707</v>
      </c>
    </row>
    <row r="457" spans="1:15">
      <c r="A457" s="1308"/>
      <c r="B457" s="1122"/>
      <c r="C457" s="914"/>
      <c r="D457" s="660"/>
      <c r="E457" s="879"/>
      <c r="F457" s="879"/>
      <c r="G457" s="412"/>
      <c r="H457" s="916"/>
      <c r="I457" s="906"/>
      <c r="J457" s="910"/>
      <c r="K457" s="920"/>
      <c r="L457" s="920"/>
      <c r="M457" s="951"/>
      <c r="O457">
        <v>2837707</v>
      </c>
    </row>
    <row r="458" spans="1:15" ht="12.75" customHeight="1">
      <c r="A458" s="1307">
        <v>225</v>
      </c>
      <c r="B458" s="1114"/>
      <c r="C458" s="986" t="s">
        <v>490</v>
      </c>
      <c r="D458" s="987" t="s">
        <v>498</v>
      </c>
      <c r="E458" s="983" t="s">
        <v>142</v>
      </c>
      <c r="F458" s="983"/>
      <c r="G458" s="412"/>
      <c r="H458" s="988">
        <v>450000</v>
      </c>
      <c r="I458" s="916">
        <f>H458</f>
        <v>450000</v>
      </c>
      <c r="J458" s="909"/>
      <c r="K458" s="984">
        <v>450000</v>
      </c>
      <c r="L458" s="984">
        <v>450000</v>
      </c>
      <c r="M458" s="985">
        <f>K458-H458</f>
        <v>0</v>
      </c>
      <c r="O458">
        <v>2837707</v>
      </c>
    </row>
    <row r="459" spans="1:15" ht="13.5" customHeight="1">
      <c r="A459" s="1308"/>
      <c r="B459" s="1116"/>
      <c r="C459" s="914"/>
      <c r="D459" s="660"/>
      <c r="E459" s="879"/>
      <c r="F459" s="879"/>
      <c r="G459" s="412"/>
      <c r="H459" s="916"/>
      <c r="I459" s="906"/>
      <c r="J459" s="910"/>
      <c r="K459" s="920"/>
      <c r="L459" s="920"/>
      <c r="M459" s="951"/>
      <c r="O459">
        <v>2837707</v>
      </c>
    </row>
    <row r="460" spans="1:15">
      <c r="A460" s="1307">
        <v>226</v>
      </c>
      <c r="B460" s="1301"/>
      <c r="C460" s="986" t="s">
        <v>491</v>
      </c>
      <c r="D460" s="987" t="s">
        <v>498</v>
      </c>
      <c r="E460" s="983" t="s">
        <v>497</v>
      </c>
      <c r="F460" s="983"/>
      <c r="G460" s="412" t="s">
        <v>499</v>
      </c>
      <c r="H460" s="988">
        <v>2600000</v>
      </c>
      <c r="I460" s="916">
        <f>H460</f>
        <v>2600000</v>
      </c>
      <c r="J460" s="909"/>
      <c r="K460" s="984">
        <v>2600000</v>
      </c>
      <c r="L460" s="984">
        <f>K460</f>
        <v>2600000</v>
      </c>
      <c r="M460" s="985">
        <f>K460-H460</f>
        <v>0</v>
      </c>
      <c r="O460">
        <v>2837707</v>
      </c>
    </row>
    <row r="461" spans="1:15">
      <c r="A461" s="1308"/>
      <c r="B461" s="1122"/>
      <c r="C461" s="914"/>
      <c r="D461" s="660"/>
      <c r="E461" s="879"/>
      <c r="F461" s="879"/>
      <c r="G461" s="412"/>
      <c r="H461" s="916"/>
      <c r="I461" s="906"/>
      <c r="J461" s="910"/>
      <c r="K461" s="920"/>
      <c r="L461" s="920"/>
      <c r="M461" s="951"/>
      <c r="O461">
        <v>2837707</v>
      </c>
    </row>
    <row r="462" spans="1:15" ht="12.75" customHeight="1">
      <c r="A462" s="1307">
        <v>227</v>
      </c>
      <c r="B462" s="1361"/>
      <c r="C462" s="986" t="s">
        <v>494</v>
      </c>
      <c r="D462" s="987" t="s">
        <v>498</v>
      </c>
      <c r="E462" s="983" t="s">
        <v>497</v>
      </c>
      <c r="F462" s="983"/>
      <c r="G462" s="412" t="s">
        <v>500</v>
      </c>
      <c r="H462" s="988">
        <v>1500000</v>
      </c>
      <c r="I462" s="916">
        <f>H462</f>
        <v>1500000</v>
      </c>
      <c r="J462" s="909"/>
      <c r="K462" s="984">
        <v>1500000</v>
      </c>
      <c r="L462" s="984">
        <f>K462</f>
        <v>1500000</v>
      </c>
      <c r="M462" s="985">
        <f>K462-H462</f>
        <v>0</v>
      </c>
      <c r="O462">
        <v>2837707</v>
      </c>
    </row>
    <row r="463" spans="1:15" ht="13.5" customHeight="1" thickBot="1">
      <c r="A463" s="1308"/>
      <c r="B463" s="1362"/>
      <c r="C463" s="914"/>
      <c r="D463" s="660"/>
      <c r="E463" s="879"/>
      <c r="F463" s="879"/>
      <c r="G463" s="412"/>
      <c r="H463" s="916"/>
      <c r="I463" s="906"/>
      <c r="J463" s="910"/>
      <c r="K463" s="920"/>
      <c r="L463" s="920"/>
      <c r="M463" s="951"/>
      <c r="O463">
        <v>2837707</v>
      </c>
    </row>
    <row r="464" spans="1:15" ht="12.75" customHeight="1">
      <c r="A464" s="1307">
        <v>228</v>
      </c>
      <c r="B464" s="1301"/>
      <c r="C464" s="986" t="s">
        <v>495</v>
      </c>
      <c r="D464" s="987" t="s">
        <v>498</v>
      </c>
      <c r="E464" s="983" t="s">
        <v>673</v>
      </c>
      <c r="F464" s="983"/>
      <c r="G464" s="412" t="s">
        <v>501</v>
      </c>
      <c r="H464" s="988">
        <v>1350000</v>
      </c>
      <c r="I464" s="916">
        <f>H464</f>
        <v>1350000</v>
      </c>
      <c r="J464" s="909"/>
      <c r="K464" s="984">
        <v>1350000</v>
      </c>
      <c r="L464" s="984">
        <v>1350000</v>
      </c>
      <c r="M464" s="985">
        <f>K464-H464</f>
        <v>0</v>
      </c>
      <c r="O464">
        <v>2837707</v>
      </c>
    </row>
    <row r="465" spans="1:15" ht="12.75" customHeight="1" thickBot="1">
      <c r="A465" s="1308"/>
      <c r="B465" s="1230"/>
      <c r="C465" s="1249"/>
      <c r="D465" s="660"/>
      <c r="E465" s="1197"/>
      <c r="F465" s="1197"/>
      <c r="G465" s="415"/>
      <c r="H465" s="1091"/>
      <c r="I465" s="943"/>
      <c r="J465" s="944"/>
      <c r="K465" s="1041"/>
      <c r="L465" s="1041"/>
      <c r="M465" s="1149"/>
      <c r="O465">
        <v>2837707</v>
      </c>
    </row>
    <row r="466" spans="1:15">
      <c r="A466" s="1307">
        <v>229</v>
      </c>
      <c r="B466" s="1121" t="s">
        <v>475</v>
      </c>
      <c r="C466" s="1018" t="s">
        <v>485</v>
      </c>
      <c r="D466" s="1019" t="s">
        <v>493</v>
      </c>
      <c r="E466" s="1017" t="s">
        <v>25</v>
      </c>
      <c r="F466" s="1017"/>
      <c r="G466" s="410"/>
      <c r="H466" s="999">
        <v>683000</v>
      </c>
      <c r="I466" s="973">
        <f>H466</f>
        <v>683000</v>
      </c>
      <c r="J466" s="974"/>
      <c r="K466" s="1001">
        <v>683000</v>
      </c>
      <c r="L466" s="1001">
        <f>K466</f>
        <v>683000</v>
      </c>
      <c r="M466" s="1002">
        <f>K466-H466</f>
        <v>0</v>
      </c>
      <c r="O466">
        <v>2837707</v>
      </c>
    </row>
    <row r="467" spans="1:15">
      <c r="A467" s="1308"/>
      <c r="B467" s="1122"/>
      <c r="C467" s="914"/>
      <c r="D467" s="660"/>
      <c r="E467" s="879"/>
      <c r="F467" s="879"/>
      <c r="G467" s="412"/>
      <c r="H467" s="916"/>
      <c r="I467" s="906"/>
      <c r="J467" s="910"/>
      <c r="K467" s="920"/>
      <c r="L467" s="920"/>
      <c r="M467" s="951"/>
      <c r="O467">
        <v>2837707</v>
      </c>
    </row>
    <row r="468" spans="1:15">
      <c r="A468" s="1307">
        <v>230</v>
      </c>
      <c r="B468" s="1114"/>
      <c r="C468" s="986"/>
      <c r="D468" s="987"/>
      <c r="E468" s="983"/>
      <c r="F468" s="983"/>
      <c r="G468" s="412"/>
      <c r="H468" s="988"/>
      <c r="I468" s="916"/>
      <c r="J468" s="909"/>
      <c r="K468" s="984"/>
      <c r="L468" s="984"/>
      <c r="M468" s="985">
        <f>K468-H468</f>
        <v>0</v>
      </c>
      <c r="O468">
        <v>2837707</v>
      </c>
    </row>
    <row r="469" spans="1:15" ht="13.5" thickBot="1">
      <c r="A469" s="1308"/>
      <c r="B469" s="1115"/>
      <c r="C469" s="1249"/>
      <c r="D469" s="1196"/>
      <c r="E469" s="1197"/>
      <c r="F469" s="1197"/>
      <c r="G469" s="415"/>
      <c r="H469" s="1091"/>
      <c r="I469" s="943"/>
      <c r="J469" s="944"/>
      <c r="K469" s="1041"/>
      <c r="L469" s="1041"/>
      <c r="M469" s="1149"/>
      <c r="O469">
        <v>2837707</v>
      </c>
    </row>
    <row r="470" spans="1:15">
      <c r="A470" s="1307">
        <v>231</v>
      </c>
      <c r="B470" s="1121" t="s">
        <v>482</v>
      </c>
      <c r="C470" s="1018" t="s">
        <v>6</v>
      </c>
      <c r="D470" s="1019" t="s">
        <v>498</v>
      </c>
      <c r="E470" s="1017" t="s">
        <v>13</v>
      </c>
      <c r="F470" s="1017"/>
      <c r="G470" s="410"/>
      <c r="H470" s="999">
        <v>3300</v>
      </c>
      <c r="I470" s="973">
        <f>H470*J470</f>
        <v>881100</v>
      </c>
      <c r="J470" s="974">
        <v>267</v>
      </c>
      <c r="K470" s="1001">
        <v>3300</v>
      </c>
      <c r="L470" s="1001">
        <v>3300</v>
      </c>
      <c r="M470" s="1002">
        <f>K470-H470</f>
        <v>0</v>
      </c>
      <c r="O470">
        <v>2837707</v>
      </c>
    </row>
    <row r="471" spans="1:15">
      <c r="A471" s="1308"/>
      <c r="B471" s="1122"/>
      <c r="C471" s="914"/>
      <c r="D471" s="660"/>
      <c r="E471" s="879"/>
      <c r="F471" s="879"/>
      <c r="G471" s="412"/>
      <c r="H471" s="916"/>
      <c r="I471" s="906"/>
      <c r="J471" s="910"/>
      <c r="K471" s="920"/>
      <c r="L471" s="920"/>
      <c r="M471" s="951"/>
      <c r="O471">
        <v>2837707</v>
      </c>
    </row>
    <row r="472" spans="1:15">
      <c r="A472" s="1307">
        <v>232</v>
      </c>
      <c r="B472" s="1114"/>
      <c r="C472" s="986" t="s">
        <v>503</v>
      </c>
      <c r="D472" s="987" t="s">
        <v>506</v>
      </c>
      <c r="E472" s="983" t="s">
        <v>617</v>
      </c>
      <c r="F472" s="983"/>
      <c r="G472" s="412"/>
      <c r="H472" s="988">
        <f>700*9200</f>
        <v>6440000</v>
      </c>
      <c r="I472" s="916">
        <f>H472</f>
        <v>6440000</v>
      </c>
      <c r="J472" s="909"/>
      <c r="K472" s="984">
        <f>6440000</f>
        <v>6440000</v>
      </c>
      <c r="L472" s="988">
        <f>I472</f>
        <v>6440000</v>
      </c>
      <c r="M472" s="985">
        <f>K472-H472</f>
        <v>0</v>
      </c>
      <c r="O472">
        <v>2837707</v>
      </c>
    </row>
    <row r="473" spans="1:15" ht="13.5" thickBot="1">
      <c r="A473" s="1308"/>
      <c r="B473" s="1115"/>
      <c r="C473" s="1249"/>
      <c r="D473" s="1196"/>
      <c r="E473" s="1197"/>
      <c r="F473" s="1197"/>
      <c r="G473" s="415"/>
      <c r="H473" s="1091"/>
      <c r="I473" s="943"/>
      <c r="J473" s="944"/>
      <c r="K473" s="1041"/>
      <c r="L473" s="1041"/>
      <c r="M473" s="1149"/>
      <c r="O473">
        <v>2837707</v>
      </c>
    </row>
    <row r="474" spans="1:15">
      <c r="A474" s="1307">
        <v>233</v>
      </c>
      <c r="B474" s="983" t="s">
        <v>483</v>
      </c>
      <c r="C474" s="986"/>
      <c r="D474" s="987" t="s">
        <v>498</v>
      </c>
      <c r="E474" s="983" t="s">
        <v>20</v>
      </c>
      <c r="F474" s="983"/>
      <c r="G474" s="412"/>
      <c r="H474" s="988">
        <v>10000000</v>
      </c>
      <c r="I474" s="916">
        <v>10000000</v>
      </c>
      <c r="J474" s="949"/>
      <c r="K474" s="984">
        <v>10000000</v>
      </c>
      <c r="L474" s="984">
        <f>K474</f>
        <v>10000000</v>
      </c>
      <c r="M474" s="1076">
        <f>K474-H474</f>
        <v>0</v>
      </c>
      <c r="O474">
        <v>2837707</v>
      </c>
    </row>
    <row r="475" spans="1:15">
      <c r="A475" s="1308"/>
      <c r="B475" s="879"/>
      <c r="C475" s="914"/>
      <c r="D475" s="660"/>
      <c r="E475" s="879"/>
      <c r="F475" s="879"/>
      <c r="G475" s="412"/>
      <c r="H475" s="916"/>
      <c r="I475" s="906"/>
      <c r="J475" s="910"/>
      <c r="K475" s="920"/>
      <c r="L475" s="920"/>
      <c r="M475" s="901"/>
      <c r="O475">
        <v>2837707</v>
      </c>
    </row>
    <row r="476" spans="1:15" ht="12.75" customHeight="1">
      <c r="A476" s="1307">
        <v>234</v>
      </c>
      <c r="B476" s="1114"/>
      <c r="C476" s="986" t="s">
        <v>507</v>
      </c>
      <c r="D476" s="987" t="s">
        <v>513</v>
      </c>
      <c r="E476" s="1360" t="s">
        <v>285</v>
      </c>
      <c r="F476" s="983"/>
      <c r="G476" s="412"/>
      <c r="H476" s="988">
        <v>2760000</v>
      </c>
      <c r="I476" s="916">
        <f>H476</f>
        <v>2760000</v>
      </c>
      <c r="J476" s="909"/>
      <c r="K476" s="984">
        <v>2760000</v>
      </c>
      <c r="L476" s="984">
        <v>2760000</v>
      </c>
      <c r="M476" s="1076">
        <f>K476-H476</f>
        <v>0</v>
      </c>
      <c r="O476">
        <v>2837707</v>
      </c>
    </row>
    <row r="477" spans="1:15" ht="12.75" customHeight="1">
      <c r="A477" s="1308"/>
      <c r="B477" s="1116"/>
      <c r="C477" s="914"/>
      <c r="D477" s="660"/>
      <c r="E477" s="1311"/>
      <c r="F477" s="879"/>
      <c r="G477" s="412"/>
      <c r="H477" s="916"/>
      <c r="I477" s="906"/>
      <c r="J477" s="910"/>
      <c r="K477" s="920"/>
      <c r="L477" s="920"/>
      <c r="M477" s="901"/>
      <c r="O477">
        <v>2837707</v>
      </c>
    </row>
    <row r="478" spans="1:15">
      <c r="A478" s="1307">
        <v>235</v>
      </c>
      <c r="B478" s="983"/>
      <c r="C478" s="986" t="s">
        <v>6</v>
      </c>
      <c r="D478" s="987" t="s">
        <v>513</v>
      </c>
      <c r="E478" s="983" t="s">
        <v>514</v>
      </c>
      <c r="F478" s="983"/>
      <c r="G478" s="412"/>
      <c r="H478" s="988">
        <v>5000</v>
      </c>
      <c r="I478" s="916">
        <f>J478*H478</f>
        <v>1332500</v>
      </c>
      <c r="J478" s="909">
        <v>266.5</v>
      </c>
      <c r="K478" s="984">
        <v>5000</v>
      </c>
      <c r="L478" s="984">
        <v>5000</v>
      </c>
      <c r="M478" s="1076">
        <f>K478-H478</f>
        <v>0</v>
      </c>
      <c r="O478">
        <v>2837707</v>
      </c>
    </row>
    <row r="479" spans="1:15">
      <c r="A479" s="1308"/>
      <c r="B479" s="879"/>
      <c r="C479" s="914"/>
      <c r="D479" s="660"/>
      <c r="E479" s="879"/>
      <c r="F479" s="879"/>
      <c r="G479" s="412"/>
      <c r="H479" s="916"/>
      <c r="I479" s="906"/>
      <c r="J479" s="910"/>
      <c r="K479" s="920"/>
      <c r="L479" s="920"/>
      <c r="M479" s="901"/>
      <c r="O479">
        <v>2837707</v>
      </c>
    </row>
    <row r="480" spans="1:15">
      <c r="A480" s="1307">
        <v>236</v>
      </c>
      <c r="B480" s="983"/>
      <c r="C480" s="986" t="s">
        <v>508</v>
      </c>
      <c r="D480" s="987" t="s">
        <v>515</v>
      </c>
      <c r="E480" s="983" t="s">
        <v>14</v>
      </c>
      <c r="F480" s="983"/>
      <c r="G480" s="412"/>
      <c r="H480" s="988">
        <v>4250000</v>
      </c>
      <c r="I480" s="916">
        <f>H480</f>
        <v>4250000</v>
      </c>
      <c r="J480" s="909"/>
      <c r="K480" s="984">
        <v>4250000</v>
      </c>
      <c r="L480" s="984">
        <v>4250000</v>
      </c>
      <c r="M480" s="1076">
        <f>K480-H480</f>
        <v>0</v>
      </c>
      <c r="O480">
        <v>2837707</v>
      </c>
    </row>
    <row r="481" spans="1:15" ht="13.5" thickBot="1">
      <c r="A481" s="1308"/>
      <c r="B481" s="983"/>
      <c r="C481" s="986"/>
      <c r="D481" s="987"/>
      <c r="E481" s="983"/>
      <c r="F481" s="983"/>
      <c r="G481" s="417"/>
      <c r="H481" s="988"/>
      <c r="I481" s="982"/>
      <c r="J481" s="917"/>
      <c r="K481" s="984"/>
      <c r="L481" s="984"/>
      <c r="M481" s="1076"/>
      <c r="O481">
        <v>2837707</v>
      </c>
    </row>
    <row r="482" spans="1:15">
      <c r="A482" s="1307">
        <v>237</v>
      </c>
      <c r="B482" s="1121" t="s">
        <v>496</v>
      </c>
      <c r="C482" s="1018"/>
      <c r="D482" s="1019" t="s">
        <v>516</v>
      </c>
      <c r="E482" s="1017" t="s">
        <v>20</v>
      </c>
      <c r="F482" s="1017"/>
      <c r="G482" s="410"/>
      <c r="H482" s="999">
        <v>10000000</v>
      </c>
      <c r="I482" s="973">
        <f>H482</f>
        <v>10000000</v>
      </c>
      <c r="J482" s="974"/>
      <c r="K482" s="999">
        <f>H482</f>
        <v>10000000</v>
      </c>
      <c r="L482" s="999">
        <f>K482</f>
        <v>10000000</v>
      </c>
      <c r="M482" s="1002">
        <f>K482-H482</f>
        <v>0</v>
      </c>
      <c r="O482">
        <v>2837707</v>
      </c>
    </row>
    <row r="483" spans="1:15">
      <c r="A483" s="1308"/>
      <c r="B483" s="1122"/>
      <c r="C483" s="914"/>
      <c r="D483" s="660"/>
      <c r="E483" s="879"/>
      <c r="F483" s="879"/>
      <c r="G483" s="412"/>
      <c r="H483" s="916"/>
      <c r="I483" s="906"/>
      <c r="J483" s="910"/>
      <c r="K483" s="920"/>
      <c r="L483" s="920"/>
      <c r="M483" s="951"/>
      <c r="O483">
        <v>2837707</v>
      </c>
    </row>
    <row r="484" spans="1:15" ht="12.75" customHeight="1">
      <c r="A484" s="1307">
        <v>238</v>
      </c>
      <c r="B484" s="1114"/>
      <c r="C484" s="986" t="s">
        <v>510</v>
      </c>
      <c r="D484" s="987" t="s">
        <v>517</v>
      </c>
      <c r="E484" s="983" t="s">
        <v>26</v>
      </c>
      <c r="F484" s="983"/>
      <c r="G484" s="412"/>
      <c r="H484" s="988">
        <v>920000</v>
      </c>
      <c r="I484" s="916">
        <f>H484</f>
        <v>920000</v>
      </c>
      <c r="J484" s="909"/>
      <c r="K484" s="984">
        <v>920000</v>
      </c>
      <c r="L484" s="984">
        <v>920000</v>
      </c>
      <c r="M484" s="985">
        <f>K484-H484</f>
        <v>0</v>
      </c>
      <c r="O484">
        <v>2837707</v>
      </c>
    </row>
    <row r="485" spans="1:15" ht="12.75" customHeight="1">
      <c r="A485" s="1308"/>
      <c r="B485" s="1116"/>
      <c r="C485" s="914"/>
      <c r="D485" s="660"/>
      <c r="E485" s="879"/>
      <c r="F485" s="879"/>
      <c r="G485" s="412">
        <v>350</v>
      </c>
      <c r="H485" s="916"/>
      <c r="I485" s="906"/>
      <c r="J485" s="910"/>
      <c r="K485" s="920"/>
      <c r="L485" s="920"/>
      <c r="M485" s="951"/>
      <c r="O485">
        <v>2837707</v>
      </c>
    </row>
    <row r="486" spans="1:15" ht="51">
      <c r="A486" s="1307">
        <v>239</v>
      </c>
      <c r="B486" s="1301"/>
      <c r="C486" s="986" t="s">
        <v>509</v>
      </c>
      <c r="D486" s="987" t="s">
        <v>515</v>
      </c>
      <c r="E486" s="983" t="s">
        <v>105</v>
      </c>
      <c r="F486" s="983"/>
      <c r="G486" s="412" t="s">
        <v>528</v>
      </c>
      <c r="H486" s="988">
        <v>450000</v>
      </c>
      <c r="I486" s="916">
        <f>H486</f>
        <v>450000</v>
      </c>
      <c r="J486" s="909"/>
      <c r="K486" s="984">
        <v>450000</v>
      </c>
      <c r="L486" s="984">
        <v>450000</v>
      </c>
      <c r="M486" s="985">
        <f>K486-H486</f>
        <v>0</v>
      </c>
      <c r="O486">
        <v>2837707</v>
      </c>
    </row>
    <row r="487" spans="1:15" ht="13.5" thickBot="1">
      <c r="A487" s="1308"/>
      <c r="B487" s="1230"/>
      <c r="C487" s="1249"/>
      <c r="D487" s="1196"/>
      <c r="E487" s="1197"/>
      <c r="F487" s="1197"/>
      <c r="G487" s="415">
        <v>750</v>
      </c>
      <c r="H487" s="1091"/>
      <c r="I487" s="943"/>
      <c r="J487" s="944"/>
      <c r="K487" s="1041"/>
      <c r="L487" s="1041"/>
      <c r="M487" s="1149"/>
      <c r="O487">
        <v>2837707</v>
      </c>
    </row>
    <row r="488" spans="1:15">
      <c r="A488" s="1307">
        <v>240</v>
      </c>
      <c r="B488" s="1121" t="s">
        <v>603</v>
      </c>
      <c r="C488" s="1018" t="s">
        <v>504</v>
      </c>
      <c r="D488" s="1019" t="s">
        <v>516</v>
      </c>
      <c r="E488" s="1017" t="s">
        <v>8</v>
      </c>
      <c r="F488" s="1017"/>
      <c r="G488" s="410"/>
      <c r="H488" s="999">
        <v>786000</v>
      </c>
      <c r="I488" s="973">
        <f>H488</f>
        <v>786000</v>
      </c>
      <c r="J488" s="974"/>
      <c r="K488" s="1001">
        <v>786000</v>
      </c>
      <c r="L488" s="1001">
        <v>786000</v>
      </c>
      <c r="M488" s="1002">
        <f>K488-H488</f>
        <v>0</v>
      </c>
      <c r="O488">
        <v>2837707</v>
      </c>
    </row>
    <row r="489" spans="1:15">
      <c r="A489" s="1308"/>
      <c r="B489" s="1122"/>
      <c r="C489" s="914"/>
      <c r="D489" s="660"/>
      <c r="E489" s="879"/>
      <c r="F489" s="879"/>
      <c r="G489" s="412"/>
      <c r="H489" s="916"/>
      <c r="I489" s="906"/>
      <c r="J489" s="910"/>
      <c r="K489" s="920"/>
      <c r="L489" s="920"/>
      <c r="M489" s="951"/>
      <c r="O489">
        <v>2837707</v>
      </c>
    </row>
    <row r="490" spans="1:15">
      <c r="A490" s="1307">
        <v>241</v>
      </c>
      <c r="B490" s="1114"/>
      <c r="C490" s="986" t="s">
        <v>505</v>
      </c>
      <c r="D490" s="987" t="s">
        <v>516</v>
      </c>
      <c r="E490" s="1360" t="s">
        <v>308</v>
      </c>
      <c r="F490" s="983"/>
      <c r="G490" s="412"/>
      <c r="H490" s="988">
        <v>1860</v>
      </c>
      <c r="I490" s="916">
        <f>H490*J490</f>
        <v>496620</v>
      </c>
      <c r="J490" s="909">
        <v>267</v>
      </c>
      <c r="K490" s="984">
        <v>1860</v>
      </c>
      <c r="L490" s="984">
        <v>1860</v>
      </c>
      <c r="M490" s="985">
        <f>K490-H490</f>
        <v>0</v>
      </c>
      <c r="O490">
        <v>2837707</v>
      </c>
    </row>
    <row r="491" spans="1:15" ht="13.5" thickBot="1">
      <c r="A491" s="1308"/>
      <c r="B491" s="1115"/>
      <c r="C491" s="1249"/>
      <c r="D491" s="1196"/>
      <c r="E491" s="1316"/>
      <c r="F491" s="1197"/>
      <c r="G491" s="415"/>
      <c r="H491" s="1091"/>
      <c r="I491" s="943"/>
      <c r="J491" s="944"/>
      <c r="K491" s="1041"/>
      <c r="L491" s="1041"/>
      <c r="M491" s="1149"/>
      <c r="O491">
        <v>2837707</v>
      </c>
    </row>
    <row r="492" spans="1:15" ht="18.75">
      <c r="A492" s="51"/>
      <c r="B492" s="1363" t="s">
        <v>502</v>
      </c>
      <c r="C492" s="1364"/>
      <c r="D492" s="1364"/>
      <c r="E492" s="1364"/>
      <c r="F492" s="1364"/>
      <c r="G492" s="1364"/>
      <c r="H492" s="1364"/>
      <c r="I492" s="1364"/>
      <c r="J492" s="1364"/>
      <c r="K492" s="1364"/>
      <c r="L492" s="1364"/>
      <c r="M492" s="1365"/>
      <c r="N492" s="7">
        <f>SUM(I484,I494:I549,I557:I560,I563:I566,K575)</f>
        <v>186296799</v>
      </c>
      <c r="O492" s="8"/>
    </row>
    <row r="493" spans="1:15" ht="19.5" thickBot="1">
      <c r="A493" s="51"/>
      <c r="B493" s="1405" t="s">
        <v>861</v>
      </c>
      <c r="C493" s="1406"/>
      <c r="D493" s="1406"/>
      <c r="E493" s="1406"/>
      <c r="F493" s="1406"/>
      <c r="G493" s="1406"/>
      <c r="H493" s="1406"/>
      <c r="I493" s="1406"/>
      <c r="J493" s="1406"/>
      <c r="K493" s="1406"/>
      <c r="L493" s="1406"/>
      <c r="M493" s="1407"/>
      <c r="N493" s="7"/>
      <c r="O493" s="8"/>
    </row>
    <row r="494" spans="1:15">
      <c r="A494" s="1303">
        <v>242</v>
      </c>
      <c r="B494" s="1121" t="s">
        <v>511</v>
      </c>
      <c r="C494" s="1018" t="s">
        <v>6</v>
      </c>
      <c r="D494" s="1019" t="s">
        <v>517</v>
      </c>
      <c r="E494" s="1017" t="s">
        <v>539</v>
      </c>
      <c r="F494" s="1017"/>
      <c r="G494" s="410"/>
      <c r="H494" s="999">
        <v>43700</v>
      </c>
      <c r="I494" s="973">
        <f>H494*J494</f>
        <v>11733450</v>
      </c>
      <c r="J494" s="974">
        <v>268.5</v>
      </c>
      <c r="K494" s="1001">
        <v>43700</v>
      </c>
      <c r="L494" s="1001">
        <f>K494</f>
        <v>43700</v>
      </c>
      <c r="M494" s="1002">
        <f>K494-H494</f>
        <v>0</v>
      </c>
      <c r="O494">
        <v>2837707</v>
      </c>
    </row>
    <row r="495" spans="1:15">
      <c r="A495" s="1304"/>
      <c r="B495" s="1122"/>
      <c r="C495" s="914"/>
      <c r="D495" s="660"/>
      <c r="E495" s="879"/>
      <c r="F495" s="879"/>
      <c r="G495" s="412"/>
      <c r="H495" s="916"/>
      <c r="I495" s="1366"/>
      <c r="J495" s="910"/>
      <c r="K495" s="920"/>
      <c r="L495" s="920"/>
      <c r="M495" s="951"/>
      <c r="O495">
        <v>2837707</v>
      </c>
    </row>
    <row r="496" spans="1:15">
      <c r="A496" s="1303">
        <v>243</v>
      </c>
      <c r="B496" s="1114"/>
      <c r="C496" s="986" t="s">
        <v>535</v>
      </c>
      <c r="D496" s="987" t="s">
        <v>537</v>
      </c>
      <c r="E496" s="983" t="s">
        <v>534</v>
      </c>
      <c r="F496" s="983"/>
      <c r="G496" s="412"/>
      <c r="H496" s="988">
        <v>3600000</v>
      </c>
      <c r="I496" s="916">
        <f>H496</f>
        <v>3600000</v>
      </c>
      <c r="J496" s="909"/>
      <c r="K496" s="984">
        <v>3600000</v>
      </c>
      <c r="L496" s="984">
        <f>K496</f>
        <v>3600000</v>
      </c>
      <c r="M496" s="985">
        <f>K496-H496</f>
        <v>0</v>
      </c>
      <c r="O496">
        <v>2837707</v>
      </c>
    </row>
    <row r="497" spans="1:15" ht="13.5" thickBot="1">
      <c r="A497" s="1304"/>
      <c r="B497" s="1115"/>
      <c r="C497" s="1249"/>
      <c r="D497" s="1196"/>
      <c r="E497" s="1197"/>
      <c r="F497" s="1197"/>
      <c r="G497" s="415"/>
      <c r="H497" s="1091"/>
      <c r="I497" s="943"/>
      <c r="J497" s="944"/>
      <c r="K497" s="1041"/>
      <c r="L497" s="1041"/>
      <c r="M497" s="1149"/>
      <c r="N497" s="5" t="s">
        <v>120</v>
      </c>
      <c r="O497">
        <v>2837707</v>
      </c>
    </row>
    <row r="498" spans="1:15">
      <c r="A498" s="1303">
        <v>244</v>
      </c>
      <c r="B498" s="1121" t="s">
        <v>512</v>
      </c>
      <c r="C498" s="1018" t="s">
        <v>6</v>
      </c>
      <c r="D498" s="1019" t="s">
        <v>517</v>
      </c>
      <c r="E498" s="1017" t="s">
        <v>539</v>
      </c>
      <c r="F498" s="1017"/>
      <c r="G498" s="410"/>
      <c r="H498" s="999">
        <v>42120</v>
      </c>
      <c r="I498" s="973">
        <f>H498*J498</f>
        <v>11309220</v>
      </c>
      <c r="J498" s="974">
        <v>268.5</v>
      </c>
      <c r="K498" s="1001">
        <v>42120</v>
      </c>
      <c r="L498" s="1001">
        <f>K498</f>
        <v>42120</v>
      </c>
      <c r="M498" s="1002">
        <f>K498-H498</f>
        <v>0</v>
      </c>
      <c r="N498" s="5">
        <f>M508+M530+M534+M544+M565</f>
        <v>0</v>
      </c>
      <c r="O498">
        <v>2837707</v>
      </c>
    </row>
    <row r="499" spans="1:15">
      <c r="A499" s="1304"/>
      <c r="B499" s="1122"/>
      <c r="C499" s="914"/>
      <c r="D499" s="660"/>
      <c r="E499" s="879"/>
      <c r="F499" s="879"/>
      <c r="G499" s="412"/>
      <c r="H499" s="916"/>
      <c r="I499" s="906"/>
      <c r="J499" s="910"/>
      <c r="K499" s="920"/>
      <c r="L499" s="920"/>
      <c r="M499" s="951"/>
      <c r="O499">
        <v>2837707</v>
      </c>
    </row>
    <row r="500" spans="1:15">
      <c r="A500" s="1303">
        <v>245</v>
      </c>
      <c r="B500" s="1114"/>
      <c r="C500" s="986" t="s">
        <v>529</v>
      </c>
      <c r="D500" s="987" t="s">
        <v>538</v>
      </c>
      <c r="E500" s="983" t="s">
        <v>527</v>
      </c>
      <c r="F500" s="983"/>
      <c r="G500" s="412"/>
      <c r="H500" s="988">
        <v>5200000</v>
      </c>
      <c r="I500" s="916">
        <f>H500</f>
        <v>5200000</v>
      </c>
      <c r="J500" s="909"/>
      <c r="K500" s="984">
        <v>5200000</v>
      </c>
      <c r="L500" s="984">
        <f>K500</f>
        <v>5200000</v>
      </c>
      <c r="M500" s="985">
        <f>K500-H500</f>
        <v>0</v>
      </c>
      <c r="N500" s="5">
        <f>H508+H530+H534+H544+H565</f>
        <v>231780</v>
      </c>
      <c r="O500">
        <v>2837707</v>
      </c>
    </row>
    <row r="501" spans="1:15" ht="21" thickBot="1">
      <c r="A501" s="1304"/>
      <c r="B501" s="1115"/>
      <c r="C501" s="1249"/>
      <c r="D501" s="1196"/>
      <c r="E501" s="1197"/>
      <c r="F501" s="1197"/>
      <c r="G501" s="415"/>
      <c r="H501" s="1091"/>
      <c r="I501" s="943"/>
      <c r="J501" s="944"/>
      <c r="K501" s="1041"/>
      <c r="L501" s="1041"/>
      <c r="M501" s="1149"/>
      <c r="N501" s="50"/>
      <c r="O501">
        <v>2837707</v>
      </c>
    </row>
    <row r="502" spans="1:15">
      <c r="A502" s="1303">
        <v>246</v>
      </c>
      <c r="B502" s="1121" t="s">
        <v>520</v>
      </c>
      <c r="C502" s="1018" t="s">
        <v>526</v>
      </c>
      <c r="D502" s="1019" t="s">
        <v>525</v>
      </c>
      <c r="E502" s="1017" t="s">
        <v>602</v>
      </c>
      <c r="F502" s="1017"/>
      <c r="G502" s="410"/>
      <c r="H502" s="999">
        <v>3000000</v>
      </c>
      <c r="I502" s="973">
        <f>H502</f>
        <v>3000000</v>
      </c>
      <c r="J502" s="974"/>
      <c r="K502" s="1001">
        <v>3000000</v>
      </c>
      <c r="L502" s="1001">
        <v>3000000</v>
      </c>
      <c r="M502" s="1002">
        <f>K502-H502</f>
        <v>0</v>
      </c>
      <c r="O502">
        <v>2837707</v>
      </c>
    </row>
    <row r="503" spans="1:15" ht="13.5" thickBot="1">
      <c r="A503" s="1304"/>
      <c r="B503" s="1230"/>
      <c r="C503" s="1249"/>
      <c r="D503" s="1196"/>
      <c r="E503" s="1197"/>
      <c r="F503" s="1197"/>
      <c r="G503" s="415"/>
      <c r="H503" s="1091"/>
      <c r="I503" s="943"/>
      <c r="J503" s="944"/>
      <c r="K503" s="1041"/>
      <c r="L503" s="1041"/>
      <c r="M503" s="1149"/>
      <c r="O503">
        <v>2837707</v>
      </c>
    </row>
    <row r="504" spans="1:15">
      <c r="A504" s="1303">
        <v>247</v>
      </c>
      <c r="B504" s="1121" t="s">
        <v>523</v>
      </c>
      <c r="C504" s="1018" t="s">
        <v>530</v>
      </c>
      <c r="D504" s="1019" t="s">
        <v>538</v>
      </c>
      <c r="E504" s="1017" t="s">
        <v>524</v>
      </c>
      <c r="F504" s="1017"/>
      <c r="G504" s="410"/>
      <c r="H504" s="999">
        <v>826000</v>
      </c>
      <c r="I504" s="973">
        <f>H504</f>
        <v>826000</v>
      </c>
      <c r="J504" s="974"/>
      <c r="K504" s="1001">
        <v>826000</v>
      </c>
      <c r="L504" s="1001">
        <v>826000</v>
      </c>
      <c r="M504" s="1002">
        <f>K504-H504</f>
        <v>0</v>
      </c>
      <c r="O504">
        <v>2837707</v>
      </c>
    </row>
    <row r="505" spans="1:15">
      <c r="A505" s="1304"/>
      <c r="B505" s="1122"/>
      <c r="C505" s="914"/>
      <c r="D505" s="660"/>
      <c r="E505" s="879"/>
      <c r="F505" s="879"/>
      <c r="G505" s="412"/>
      <c r="H505" s="916"/>
      <c r="I505" s="906"/>
      <c r="J505" s="910"/>
      <c r="K505" s="920"/>
      <c r="L505" s="920"/>
      <c r="M505" s="951"/>
      <c r="O505">
        <v>2837707</v>
      </c>
    </row>
    <row r="506" spans="1:15">
      <c r="A506" s="1303">
        <v>248</v>
      </c>
      <c r="B506" s="1114"/>
      <c r="C506" s="986" t="s">
        <v>531</v>
      </c>
      <c r="D506" s="987" t="s">
        <v>538</v>
      </c>
      <c r="E506" s="983" t="s">
        <v>308</v>
      </c>
      <c r="F506" s="983"/>
      <c r="G506" s="412"/>
      <c r="H506" s="988">
        <v>1740</v>
      </c>
      <c r="I506" s="916">
        <v>465450</v>
      </c>
      <c r="J506" s="909"/>
      <c r="K506" s="984">
        <v>1740</v>
      </c>
      <c r="L506" s="984">
        <v>1740</v>
      </c>
      <c r="M506" s="985">
        <f>K506-H506</f>
        <v>0</v>
      </c>
      <c r="O506">
        <v>2837707</v>
      </c>
    </row>
    <row r="507" spans="1:15" ht="13.5" thickBot="1">
      <c r="A507" s="1304"/>
      <c r="B507" s="1115"/>
      <c r="C507" s="1249"/>
      <c r="D507" s="1196"/>
      <c r="E507" s="1197"/>
      <c r="F507" s="1197"/>
      <c r="G507" s="415"/>
      <c r="H507" s="1091"/>
      <c r="I507" s="943"/>
      <c r="J507" s="944"/>
      <c r="K507" s="1041"/>
      <c r="L507" s="1041"/>
      <c r="M507" s="1149"/>
      <c r="O507">
        <v>2837707</v>
      </c>
    </row>
    <row r="508" spans="1:15">
      <c r="A508" s="1303">
        <v>249</v>
      </c>
      <c r="B508" s="1121" t="s">
        <v>533</v>
      </c>
      <c r="C508" s="1018" t="s">
        <v>6</v>
      </c>
      <c r="D508" s="1019" t="s">
        <v>537</v>
      </c>
      <c r="E508" s="1017" t="s">
        <v>539</v>
      </c>
      <c r="F508" s="1017"/>
      <c r="G508" s="410"/>
      <c r="H508" s="999">
        <v>43200</v>
      </c>
      <c r="I508" s="973">
        <f>J508*H508</f>
        <v>11491200</v>
      </c>
      <c r="J508" s="974">
        <v>266</v>
      </c>
      <c r="K508" s="1001">
        <v>43200</v>
      </c>
      <c r="L508" s="1001">
        <v>43200</v>
      </c>
      <c r="M508" s="1002">
        <f>K508-H508</f>
        <v>0</v>
      </c>
      <c r="O508">
        <v>2837707</v>
      </c>
    </row>
    <row r="509" spans="1:15">
      <c r="A509" s="1304"/>
      <c r="B509" s="1122"/>
      <c r="C509" s="914"/>
      <c r="D509" s="660"/>
      <c r="E509" s="879"/>
      <c r="F509" s="879"/>
      <c r="G509" s="412"/>
      <c r="H509" s="916"/>
      <c r="I509" s="906"/>
      <c r="J509" s="910"/>
      <c r="K509" s="920"/>
      <c r="L509" s="920"/>
      <c r="M509" s="951"/>
      <c r="O509">
        <v>2837707</v>
      </c>
    </row>
    <row r="510" spans="1:15">
      <c r="A510" s="1303">
        <v>250</v>
      </c>
      <c r="B510" s="1114"/>
      <c r="C510" s="986" t="s">
        <v>536</v>
      </c>
      <c r="D510" s="987" t="s">
        <v>609</v>
      </c>
      <c r="E510" s="983" t="s">
        <v>608</v>
      </c>
      <c r="F510" s="983"/>
      <c r="G510" s="412"/>
      <c r="H510" s="988">
        <v>7200000</v>
      </c>
      <c r="I510" s="916">
        <f>H510</f>
        <v>7200000</v>
      </c>
      <c r="J510" s="909"/>
      <c r="K510" s="984">
        <v>7200000</v>
      </c>
      <c r="L510" s="984">
        <v>7200000</v>
      </c>
      <c r="M510" s="985">
        <f>K510-H510</f>
        <v>0</v>
      </c>
      <c r="O510">
        <v>2837707</v>
      </c>
    </row>
    <row r="511" spans="1:15">
      <c r="A511" s="1304"/>
      <c r="B511" s="1116"/>
      <c r="C511" s="914"/>
      <c r="D511" s="660"/>
      <c r="E511" s="879"/>
      <c r="F511" s="879"/>
      <c r="G511" s="412"/>
      <c r="H511" s="916"/>
      <c r="I511" s="906"/>
      <c r="J511" s="910"/>
      <c r="K511" s="920"/>
      <c r="L511" s="920"/>
      <c r="M511" s="951"/>
      <c r="O511">
        <v>2837707</v>
      </c>
    </row>
    <row r="512" spans="1:15" ht="12.75" customHeight="1">
      <c r="A512" s="1303">
        <v>251</v>
      </c>
      <c r="B512" s="1301"/>
      <c r="C512" s="913" t="s">
        <v>607</v>
      </c>
      <c r="D512" s="987" t="s">
        <v>609</v>
      </c>
      <c r="E512" s="983" t="s">
        <v>15</v>
      </c>
      <c r="F512" s="983"/>
      <c r="G512" s="412"/>
      <c r="H512" s="988">
        <v>2400000</v>
      </c>
      <c r="I512" s="916">
        <f>H512</f>
        <v>2400000</v>
      </c>
      <c r="J512" s="909"/>
      <c r="K512" s="984">
        <v>2400000</v>
      </c>
      <c r="L512" s="984">
        <v>2400000</v>
      </c>
      <c r="M512" s="985">
        <f>K512-H512</f>
        <v>0</v>
      </c>
      <c r="O512">
        <v>2837707</v>
      </c>
    </row>
    <row r="513" spans="1:15" ht="12.75" customHeight="1" thickBot="1">
      <c r="A513" s="1304"/>
      <c r="B513" s="1230"/>
      <c r="C513" s="1249"/>
      <c r="D513" s="1196"/>
      <c r="E513" s="1197"/>
      <c r="F513" s="1197"/>
      <c r="G513" s="415"/>
      <c r="H513" s="1091"/>
      <c r="I513" s="943"/>
      <c r="J513" s="944"/>
      <c r="K513" s="1041"/>
      <c r="L513" s="1041"/>
      <c r="M513" s="1149"/>
      <c r="O513">
        <v>2837707</v>
      </c>
    </row>
    <row r="514" spans="1:15">
      <c r="A514" s="1303">
        <v>252</v>
      </c>
      <c r="B514" s="1121" t="s">
        <v>540</v>
      </c>
      <c r="C514" s="1018"/>
      <c r="D514" s="1019" t="s">
        <v>610</v>
      </c>
      <c r="E514" s="1017" t="s">
        <v>541</v>
      </c>
      <c r="F514" s="1017">
        <v>37000</v>
      </c>
      <c r="G514" s="410"/>
      <c r="H514" s="999">
        <v>34000</v>
      </c>
      <c r="I514" s="973">
        <f>J514*H514</f>
        <v>9180000</v>
      </c>
      <c r="J514" s="974">
        <v>270</v>
      </c>
      <c r="K514" s="1001">
        <v>34000</v>
      </c>
      <c r="L514" s="1001">
        <v>34000</v>
      </c>
      <c r="M514" s="1002">
        <f>K514-H514</f>
        <v>0</v>
      </c>
      <c r="O514">
        <v>2837707</v>
      </c>
    </row>
    <row r="515" spans="1:15">
      <c r="A515" s="1304"/>
      <c r="B515" s="1122"/>
      <c r="C515" s="914"/>
      <c r="D515" s="660"/>
      <c r="E515" s="879"/>
      <c r="F515" s="879"/>
      <c r="G515" s="412"/>
      <c r="H515" s="916"/>
      <c r="I515" s="906"/>
      <c r="J515" s="910"/>
      <c r="K515" s="920"/>
      <c r="L515" s="920"/>
      <c r="M515" s="951"/>
      <c r="O515">
        <v>2837707</v>
      </c>
    </row>
    <row r="516" spans="1:15" ht="12.75" customHeight="1">
      <c r="A516" s="1303">
        <v>253</v>
      </c>
      <c r="B516" s="1114"/>
      <c r="C516" s="986" t="s">
        <v>613</v>
      </c>
      <c r="D516" s="987" t="s">
        <v>611</v>
      </c>
      <c r="E516" s="983" t="s">
        <v>410</v>
      </c>
      <c r="F516" s="983" t="s">
        <v>616</v>
      </c>
      <c r="G516" s="412" t="s">
        <v>355</v>
      </c>
      <c r="H516" s="988">
        <v>4200000</v>
      </c>
      <c r="I516" s="916">
        <f>H516</f>
        <v>4200000</v>
      </c>
      <c r="J516" s="909"/>
      <c r="K516" s="984">
        <f>1900000+2000000+300000</f>
        <v>4200000</v>
      </c>
      <c r="L516" s="984">
        <f>K516</f>
        <v>4200000</v>
      </c>
      <c r="M516" s="985">
        <f>K516-H516</f>
        <v>0</v>
      </c>
      <c r="O516">
        <v>2837707</v>
      </c>
    </row>
    <row r="517" spans="1:15">
      <c r="A517" s="1304"/>
      <c r="B517" s="1116"/>
      <c r="C517" s="914"/>
      <c r="D517" s="660"/>
      <c r="E517" s="879"/>
      <c r="F517" s="879"/>
      <c r="G517" s="412"/>
      <c r="H517" s="916"/>
      <c r="I517" s="906"/>
      <c r="J517" s="910"/>
      <c r="K517" s="920"/>
      <c r="L517" s="920"/>
      <c r="M517" s="951"/>
      <c r="O517">
        <v>2837707</v>
      </c>
    </row>
    <row r="518" spans="1:15">
      <c r="A518" s="1303">
        <v>254</v>
      </c>
      <c r="B518" s="1255"/>
      <c r="C518" s="986" t="s">
        <v>614</v>
      </c>
      <c r="D518" s="987" t="s">
        <v>612</v>
      </c>
      <c r="E518" s="983" t="s">
        <v>142</v>
      </c>
      <c r="F518" s="983" t="s">
        <v>615</v>
      </c>
      <c r="G518" s="412"/>
      <c r="H518" s="988">
        <v>450000</v>
      </c>
      <c r="I518" s="916">
        <f>H518</f>
        <v>450000</v>
      </c>
      <c r="J518" s="909"/>
      <c r="K518" s="984">
        <v>450000</v>
      </c>
      <c r="L518" s="984">
        <v>450000</v>
      </c>
      <c r="M518" s="985">
        <f>K518-H518</f>
        <v>0</v>
      </c>
      <c r="O518">
        <v>2837707</v>
      </c>
    </row>
    <row r="519" spans="1:15" ht="13.5" thickBot="1">
      <c r="A519" s="1304"/>
      <c r="B519" s="1115"/>
      <c r="C519" s="1249"/>
      <c r="D519" s="1196"/>
      <c r="E519" s="1197"/>
      <c r="F519" s="1197"/>
      <c r="G519" s="415"/>
      <c r="H519" s="1091"/>
      <c r="I519" s="943"/>
      <c r="J519" s="944"/>
      <c r="K519" s="1041"/>
      <c r="L519" s="1041"/>
      <c r="M519" s="1149"/>
      <c r="O519">
        <v>2837707</v>
      </c>
    </row>
    <row r="520" spans="1:15">
      <c r="A520" s="1303">
        <v>255</v>
      </c>
      <c r="B520" s="1121" t="s">
        <v>604</v>
      </c>
      <c r="C520" s="1018" t="s">
        <v>619</v>
      </c>
      <c r="D520" s="1019" t="s">
        <v>612</v>
      </c>
      <c r="E520" s="1017" t="s">
        <v>605</v>
      </c>
      <c r="F520" s="1017"/>
      <c r="G520" s="410"/>
      <c r="H520" s="999">
        <v>603000</v>
      </c>
      <c r="I520" s="973">
        <f>H520</f>
        <v>603000</v>
      </c>
      <c r="J520" s="974"/>
      <c r="K520" s="1001">
        <v>603000</v>
      </c>
      <c r="L520" s="1001">
        <v>603000</v>
      </c>
      <c r="M520" s="1002">
        <f>K520-H520</f>
        <v>0</v>
      </c>
      <c r="O520">
        <v>2837707</v>
      </c>
    </row>
    <row r="521" spans="1:15">
      <c r="A521" s="1304"/>
      <c r="B521" s="1122"/>
      <c r="C521" s="914"/>
      <c r="D521" s="660"/>
      <c r="E521" s="879"/>
      <c r="F521" s="879"/>
      <c r="G521" s="412"/>
      <c r="H521" s="916"/>
      <c r="I521" s="906"/>
      <c r="J521" s="910"/>
      <c r="K521" s="920"/>
      <c r="L521" s="920"/>
      <c r="M521" s="951"/>
      <c r="O521">
        <v>2837707</v>
      </c>
    </row>
    <row r="522" spans="1:15">
      <c r="A522" s="1303">
        <v>256</v>
      </c>
      <c r="B522" s="1079"/>
      <c r="C522" s="986"/>
      <c r="D522" s="987"/>
      <c r="E522" s="983"/>
      <c r="F522" s="983"/>
      <c r="G522" s="412"/>
      <c r="H522" s="988"/>
      <c r="I522" s="916"/>
      <c r="J522" s="909"/>
      <c r="K522" s="984"/>
      <c r="L522" s="984"/>
      <c r="M522" s="985">
        <f>K522-H522</f>
        <v>0</v>
      </c>
      <c r="O522">
        <v>2837707</v>
      </c>
    </row>
    <row r="523" spans="1:15" ht="13.5" thickBot="1">
      <c r="A523" s="1304"/>
      <c r="B523" s="1080"/>
      <c r="C523" s="1249"/>
      <c r="D523" s="1196"/>
      <c r="E523" s="1197"/>
      <c r="F523" s="1197"/>
      <c r="G523" s="415"/>
      <c r="H523" s="1091"/>
      <c r="I523" s="943"/>
      <c r="J523" s="944"/>
      <c r="K523" s="1041"/>
      <c r="L523" s="1041"/>
      <c r="M523" s="1149"/>
      <c r="O523">
        <v>2837707</v>
      </c>
    </row>
    <row r="524" spans="1:15">
      <c r="A524" s="1303">
        <v>257</v>
      </c>
      <c r="B524" s="1121" t="s">
        <v>606</v>
      </c>
      <c r="C524" s="1018" t="s">
        <v>6</v>
      </c>
      <c r="D524" s="1019" t="s">
        <v>612</v>
      </c>
      <c r="E524" s="1017" t="s">
        <v>13</v>
      </c>
      <c r="F524" s="1017"/>
      <c r="G524" s="410"/>
      <c r="H524" s="999">
        <v>3300</v>
      </c>
      <c r="I524" s="973">
        <f>J524*H524</f>
        <v>891000</v>
      </c>
      <c r="J524" s="974">
        <v>270</v>
      </c>
      <c r="K524" s="1001">
        <v>3300</v>
      </c>
      <c r="L524" s="1001">
        <v>3300</v>
      </c>
      <c r="M524" s="1002">
        <f>K524-H524</f>
        <v>0</v>
      </c>
      <c r="O524">
        <v>2837707</v>
      </c>
    </row>
    <row r="525" spans="1:15">
      <c r="A525" s="1304"/>
      <c r="B525" s="1122"/>
      <c r="C525" s="914"/>
      <c r="D525" s="660"/>
      <c r="E525" s="879"/>
      <c r="F525" s="879"/>
      <c r="G525" s="412"/>
      <c r="H525" s="916"/>
      <c r="I525" s="906"/>
      <c r="J525" s="910"/>
      <c r="K525" s="920"/>
      <c r="L525" s="920"/>
      <c r="M525" s="951"/>
      <c r="O525">
        <v>2837707</v>
      </c>
    </row>
    <row r="526" spans="1:15" ht="12.75" customHeight="1">
      <c r="A526" s="1303">
        <v>258</v>
      </c>
      <c r="B526" s="1114"/>
      <c r="C526" s="986" t="s">
        <v>620</v>
      </c>
      <c r="D526" s="987" t="s">
        <v>622</v>
      </c>
      <c r="E526" s="983" t="s">
        <v>569</v>
      </c>
      <c r="F526" s="983"/>
      <c r="G526" s="412"/>
      <c r="H526" s="988">
        <v>3500000</v>
      </c>
      <c r="I526" s="916">
        <f>H526</f>
        <v>3500000</v>
      </c>
      <c r="J526" s="909"/>
      <c r="K526" s="984">
        <v>3500000</v>
      </c>
      <c r="L526" s="984">
        <v>3500000</v>
      </c>
      <c r="M526" s="985">
        <f>K526-H526</f>
        <v>0</v>
      </c>
      <c r="O526">
        <v>2837707</v>
      </c>
    </row>
    <row r="527" spans="1:15" ht="12.75" customHeight="1">
      <c r="A527" s="1304"/>
      <c r="B527" s="1116"/>
      <c r="C527" s="914"/>
      <c r="D527" s="660"/>
      <c r="E527" s="879"/>
      <c r="F527" s="879"/>
      <c r="G527" s="412"/>
      <c r="H527" s="916"/>
      <c r="I527" s="906"/>
      <c r="J527" s="910"/>
      <c r="K527" s="920"/>
      <c r="L527" s="920"/>
      <c r="M527" s="951"/>
      <c r="O527">
        <v>2837707</v>
      </c>
    </row>
    <row r="528" spans="1:15">
      <c r="A528" s="1303">
        <v>259</v>
      </c>
      <c r="B528" s="1301"/>
      <c r="C528" s="986" t="s">
        <v>621</v>
      </c>
      <c r="D528" s="987" t="s">
        <v>622</v>
      </c>
      <c r="E528" s="983" t="s">
        <v>324</v>
      </c>
      <c r="F528" s="983" t="s">
        <v>120</v>
      </c>
      <c r="G528" s="412"/>
      <c r="H528" s="988">
        <v>3000000</v>
      </c>
      <c r="I528" s="916">
        <f>H528</f>
        <v>3000000</v>
      </c>
      <c r="J528" s="909"/>
      <c r="K528" s="984">
        <v>3000000</v>
      </c>
      <c r="L528" s="984">
        <v>3000000</v>
      </c>
      <c r="M528" s="985">
        <f>K528-H528</f>
        <v>0</v>
      </c>
      <c r="O528">
        <v>2837707</v>
      </c>
    </row>
    <row r="529" spans="1:15" ht="13.5" thickBot="1">
      <c r="A529" s="1304"/>
      <c r="B529" s="1230"/>
      <c r="C529" s="1249"/>
      <c r="D529" s="1196"/>
      <c r="E529" s="1197"/>
      <c r="F529" s="1197"/>
      <c r="G529" s="415"/>
      <c r="H529" s="1091"/>
      <c r="I529" s="943"/>
      <c r="J529" s="944"/>
      <c r="K529" s="1041"/>
      <c r="L529" s="1041"/>
      <c r="M529" s="1149"/>
      <c r="O529">
        <v>2837707</v>
      </c>
    </row>
    <row r="530" spans="1:15">
      <c r="A530" s="1303">
        <v>260</v>
      </c>
      <c r="B530" s="1121" t="s">
        <v>628</v>
      </c>
      <c r="C530" s="1018" t="s">
        <v>6</v>
      </c>
      <c r="D530" s="1019" t="s">
        <v>612</v>
      </c>
      <c r="E530" s="1017" t="s">
        <v>539</v>
      </c>
      <c r="F530" s="1017"/>
      <c r="G530" s="410"/>
      <c r="H530" s="999">
        <v>45000</v>
      </c>
      <c r="I530" s="973">
        <f>H530*J530</f>
        <v>12150000</v>
      </c>
      <c r="J530" s="974">
        <v>270</v>
      </c>
      <c r="K530" s="1001">
        <v>45000</v>
      </c>
      <c r="L530" s="1001">
        <v>45000</v>
      </c>
      <c r="M530" s="1002">
        <f>K530-H530</f>
        <v>0</v>
      </c>
      <c r="O530">
        <v>2837707</v>
      </c>
    </row>
    <row r="531" spans="1:15">
      <c r="A531" s="1304"/>
      <c r="B531" s="1122"/>
      <c r="C531" s="914"/>
      <c r="D531" s="660"/>
      <c r="E531" s="879"/>
      <c r="F531" s="879"/>
      <c r="G531" s="412"/>
      <c r="H531" s="916"/>
      <c r="I531" s="906"/>
      <c r="J531" s="910"/>
      <c r="K531" s="920"/>
      <c r="L531" s="920"/>
      <c r="M531" s="951"/>
      <c r="O531">
        <v>2837707</v>
      </c>
    </row>
    <row r="532" spans="1:15">
      <c r="A532" s="1303">
        <v>261</v>
      </c>
      <c r="B532" s="1114"/>
      <c r="C532" s="986" t="s">
        <v>631</v>
      </c>
      <c r="D532" s="987" t="s">
        <v>636</v>
      </c>
      <c r="E532" s="983" t="s">
        <v>630</v>
      </c>
      <c r="F532" s="983"/>
      <c r="G532" s="412"/>
      <c r="H532" s="988">
        <v>4750000</v>
      </c>
      <c r="I532" s="916">
        <f>H532</f>
        <v>4750000</v>
      </c>
      <c r="J532" s="909"/>
      <c r="K532" s="984">
        <v>4750000</v>
      </c>
      <c r="L532" s="984">
        <f>K532</f>
        <v>4750000</v>
      </c>
      <c r="M532" s="985">
        <f>K532-H532</f>
        <v>0</v>
      </c>
      <c r="O532">
        <v>2837707</v>
      </c>
    </row>
    <row r="533" spans="1:15" ht="13.5" thickBot="1">
      <c r="A533" s="1304"/>
      <c r="B533" s="1115"/>
      <c r="C533" s="1249"/>
      <c r="D533" s="1196"/>
      <c r="E533" s="1197"/>
      <c r="F533" s="1197"/>
      <c r="G533" s="415"/>
      <c r="H533" s="1091"/>
      <c r="I533" s="943"/>
      <c r="J533" s="944"/>
      <c r="K533" s="1041"/>
      <c r="L533" s="1041"/>
      <c r="M533" s="1149"/>
      <c r="O533">
        <v>2837707</v>
      </c>
    </row>
    <row r="534" spans="1:15">
      <c r="A534" s="1303">
        <v>262</v>
      </c>
      <c r="B534" s="1121" t="s">
        <v>629</v>
      </c>
      <c r="C534" s="1018" t="s">
        <v>6</v>
      </c>
      <c r="D534" s="1019" t="s">
        <v>625</v>
      </c>
      <c r="E534" s="1017" t="s">
        <v>539</v>
      </c>
      <c r="F534" s="1017"/>
      <c r="G534" s="410"/>
      <c r="H534" s="999">
        <v>46800</v>
      </c>
      <c r="I534" s="973">
        <f>H534*J534</f>
        <v>12636000</v>
      </c>
      <c r="J534" s="974">
        <v>270</v>
      </c>
      <c r="K534" s="1001">
        <v>46800</v>
      </c>
      <c r="L534" s="1001">
        <f>K534</f>
        <v>46800</v>
      </c>
      <c r="M534" s="1002">
        <f>K534-H534</f>
        <v>0</v>
      </c>
      <c r="O534">
        <v>2837707</v>
      </c>
    </row>
    <row r="535" spans="1:15">
      <c r="A535" s="1304"/>
      <c r="B535" s="1122"/>
      <c r="C535" s="914"/>
      <c r="D535" s="660"/>
      <c r="E535" s="879"/>
      <c r="F535" s="879"/>
      <c r="G535" s="412"/>
      <c r="H535" s="916"/>
      <c r="I535" s="906"/>
      <c r="J535" s="910"/>
      <c r="K535" s="920"/>
      <c r="L535" s="920"/>
      <c r="M535" s="951"/>
      <c r="O535">
        <v>2837707</v>
      </c>
    </row>
    <row r="536" spans="1:15">
      <c r="A536" s="1303">
        <v>263</v>
      </c>
      <c r="B536" s="1114"/>
      <c r="C536" s="986" t="s">
        <v>632</v>
      </c>
      <c r="D536" s="987" t="s">
        <v>636</v>
      </c>
      <c r="E536" s="983" t="s">
        <v>15</v>
      </c>
      <c r="F536" s="983"/>
      <c r="G536" s="412"/>
      <c r="H536" s="988">
        <v>2400000</v>
      </c>
      <c r="I536" s="916">
        <f>H536</f>
        <v>2400000</v>
      </c>
      <c r="J536" s="909"/>
      <c r="K536" s="984">
        <v>2400000</v>
      </c>
      <c r="L536" s="984">
        <v>2400000</v>
      </c>
      <c r="M536" s="985">
        <f>K536-H536</f>
        <v>0</v>
      </c>
      <c r="O536">
        <v>2837707</v>
      </c>
    </row>
    <row r="537" spans="1:15">
      <c r="A537" s="1304"/>
      <c r="B537" s="1116"/>
      <c r="C537" s="914"/>
      <c r="D537" s="660"/>
      <c r="E537" s="879"/>
      <c r="F537" s="879"/>
      <c r="G537" s="412"/>
      <c r="H537" s="916"/>
      <c r="I537" s="906"/>
      <c r="J537" s="910"/>
      <c r="K537" s="920"/>
      <c r="L537" s="920"/>
      <c r="M537" s="951"/>
      <c r="O537">
        <v>2837707</v>
      </c>
    </row>
    <row r="538" spans="1:15">
      <c r="A538" s="1303">
        <v>264</v>
      </c>
      <c r="B538" s="1301"/>
      <c r="C538" s="986" t="s">
        <v>633</v>
      </c>
      <c r="D538" s="987" t="s">
        <v>636</v>
      </c>
      <c r="E538" s="983" t="s">
        <v>14</v>
      </c>
      <c r="F538" s="983"/>
      <c r="G538" s="412"/>
      <c r="H538" s="988">
        <v>4250000</v>
      </c>
      <c r="I538" s="916">
        <f>H538</f>
        <v>4250000</v>
      </c>
      <c r="J538" s="909"/>
      <c r="K538" s="984">
        <v>4250000</v>
      </c>
      <c r="L538" s="984">
        <v>4250000</v>
      </c>
      <c r="M538" s="985">
        <f>K538-H538</f>
        <v>0</v>
      </c>
      <c r="O538">
        <v>2837707</v>
      </c>
    </row>
    <row r="539" spans="1:15" ht="13.5" thickBot="1">
      <c r="A539" s="1304"/>
      <c r="B539" s="1230"/>
      <c r="C539" s="1249"/>
      <c r="D539" s="1196"/>
      <c r="E539" s="1197"/>
      <c r="F539" s="1197"/>
      <c r="G539" s="415"/>
      <c r="H539" s="1091"/>
      <c r="I539" s="943"/>
      <c r="J539" s="944"/>
      <c r="K539" s="1041"/>
      <c r="L539" s="1041"/>
      <c r="M539" s="1149"/>
      <c r="O539">
        <v>2837707</v>
      </c>
    </row>
    <row r="540" spans="1:15" ht="12.75" customHeight="1">
      <c r="A540" s="1303">
        <v>265</v>
      </c>
      <c r="B540" s="1121" t="s">
        <v>626</v>
      </c>
      <c r="C540" s="1018" t="s">
        <v>623</v>
      </c>
      <c r="D540" s="1019" t="s">
        <v>625</v>
      </c>
      <c r="E540" s="1017" t="s">
        <v>8</v>
      </c>
      <c r="F540" s="1017"/>
      <c r="G540" s="410"/>
      <c r="H540" s="999">
        <v>927000</v>
      </c>
      <c r="I540" s="973">
        <f>H540</f>
        <v>927000</v>
      </c>
      <c r="J540" s="974"/>
      <c r="K540" s="1001">
        <v>927000</v>
      </c>
      <c r="L540" s="1001">
        <f>K540</f>
        <v>927000</v>
      </c>
      <c r="M540" s="1002">
        <f>K540-H540</f>
        <v>0</v>
      </c>
      <c r="O540">
        <v>2837707</v>
      </c>
    </row>
    <row r="541" spans="1:15" ht="12.75" customHeight="1">
      <c r="A541" s="1304"/>
      <c r="B541" s="1122"/>
      <c r="C541" s="914"/>
      <c r="D541" s="660"/>
      <c r="E541" s="879"/>
      <c r="F541" s="879"/>
      <c r="G541" s="412"/>
      <c r="H541" s="916"/>
      <c r="I541" s="906"/>
      <c r="J541" s="910"/>
      <c r="K541" s="920"/>
      <c r="L541" s="920"/>
      <c r="M541" s="951"/>
      <c r="O541">
        <v>2837707</v>
      </c>
    </row>
    <row r="542" spans="1:15" ht="12.75" customHeight="1">
      <c r="A542" s="1303">
        <v>266</v>
      </c>
      <c r="B542" s="1079"/>
      <c r="C542" s="986" t="s">
        <v>624</v>
      </c>
      <c r="D542" s="987" t="s">
        <v>625</v>
      </c>
      <c r="E542" s="983" t="s">
        <v>308</v>
      </c>
      <c r="F542" s="983"/>
      <c r="G542" s="412"/>
      <c r="H542" s="988">
        <v>1903</v>
      </c>
      <c r="I542" s="916">
        <f>H542*J542</f>
        <v>519519</v>
      </c>
      <c r="J542" s="909">
        <v>273</v>
      </c>
      <c r="K542" s="984">
        <v>1903</v>
      </c>
      <c r="L542" s="984">
        <v>1903</v>
      </c>
      <c r="M542" s="985">
        <f>K542-H542</f>
        <v>0</v>
      </c>
      <c r="O542">
        <v>2837707</v>
      </c>
    </row>
    <row r="543" spans="1:15" ht="13.5" customHeight="1" thickBot="1">
      <c r="A543" s="1304"/>
      <c r="B543" s="1080"/>
      <c r="C543" s="1249"/>
      <c r="D543" s="1196"/>
      <c r="E543" s="1197"/>
      <c r="F543" s="1197"/>
      <c r="G543" s="415"/>
      <c r="H543" s="1091"/>
      <c r="I543" s="943"/>
      <c r="J543" s="944"/>
      <c r="K543" s="1041"/>
      <c r="L543" s="1041"/>
      <c r="M543" s="1149"/>
      <c r="O543">
        <v>2837707</v>
      </c>
    </row>
    <row r="544" spans="1:15">
      <c r="A544" s="1303">
        <v>267</v>
      </c>
      <c r="B544" s="1121" t="s">
        <v>618</v>
      </c>
      <c r="C544" s="1018" t="s">
        <v>6</v>
      </c>
      <c r="D544" s="1019" t="s">
        <v>625</v>
      </c>
      <c r="E544" s="1017" t="s">
        <v>539</v>
      </c>
      <c r="F544" s="1017"/>
      <c r="G544" s="410"/>
      <c r="H544" s="999">
        <v>46800</v>
      </c>
      <c r="I544" s="973">
        <f>H544*J544</f>
        <v>12776400</v>
      </c>
      <c r="J544" s="974">
        <v>273</v>
      </c>
      <c r="K544" s="1001">
        <v>46800</v>
      </c>
      <c r="L544" s="1001">
        <v>46800</v>
      </c>
      <c r="M544" s="1002">
        <f>K544-H544</f>
        <v>0</v>
      </c>
      <c r="O544">
        <v>2837707</v>
      </c>
    </row>
    <row r="545" spans="1:15">
      <c r="A545" s="1304"/>
      <c r="B545" s="1122"/>
      <c r="C545" s="914"/>
      <c r="D545" s="660"/>
      <c r="E545" s="879"/>
      <c r="F545" s="879"/>
      <c r="G545" s="412" t="s">
        <v>120</v>
      </c>
      <c r="H545" s="916"/>
      <c r="I545" s="906"/>
      <c r="J545" s="910"/>
      <c r="K545" s="920"/>
      <c r="L545" s="920"/>
      <c r="M545" s="951"/>
      <c r="O545">
        <v>2837707</v>
      </c>
    </row>
    <row r="546" spans="1:15" ht="12.75" customHeight="1">
      <c r="A546" s="1303">
        <v>268</v>
      </c>
      <c r="B546" s="1079"/>
      <c r="C546" s="986" t="s">
        <v>634</v>
      </c>
      <c r="D546" s="987" t="s">
        <v>636</v>
      </c>
      <c r="E546" s="983" t="s">
        <v>497</v>
      </c>
      <c r="F546" s="983"/>
      <c r="G546" s="412"/>
      <c r="H546" s="988">
        <v>4200000</v>
      </c>
      <c r="I546" s="916">
        <f>H546</f>
        <v>4200000</v>
      </c>
      <c r="J546" s="909"/>
      <c r="K546" s="984">
        <v>4200000</v>
      </c>
      <c r="L546" s="984">
        <f>K546</f>
        <v>4200000</v>
      </c>
      <c r="M546" s="985">
        <f>K546-H546</f>
        <v>0</v>
      </c>
      <c r="O546">
        <v>2837707</v>
      </c>
    </row>
    <row r="547" spans="1:15" ht="13.5" customHeight="1" thickBot="1">
      <c r="A547" s="1304"/>
      <c r="B547" s="1080"/>
      <c r="C547" s="1249"/>
      <c r="D547" s="1196"/>
      <c r="E547" s="1197"/>
      <c r="F547" s="1197"/>
      <c r="G547" s="415"/>
      <c r="H547" s="1091"/>
      <c r="I547" s="943"/>
      <c r="J547" s="944"/>
      <c r="K547" s="1041"/>
      <c r="L547" s="1041"/>
      <c r="M547" s="1149"/>
      <c r="O547">
        <v>2837707</v>
      </c>
    </row>
    <row r="548" spans="1:15">
      <c r="A548" s="1303">
        <v>269</v>
      </c>
      <c r="B548" s="1121" t="s">
        <v>627</v>
      </c>
      <c r="C548" s="1018" t="s">
        <v>6</v>
      </c>
      <c r="D548" s="1019" t="s">
        <v>691</v>
      </c>
      <c r="E548" s="1017" t="str">
        <f>E544</f>
        <v>ооо транспортная компания магнитар</v>
      </c>
      <c r="F548" s="1017" t="s">
        <v>120</v>
      </c>
      <c r="G548" s="410"/>
      <c r="H548" s="999">
        <v>44800</v>
      </c>
      <c r="I548" s="973">
        <f>H548*J548</f>
        <v>12208000</v>
      </c>
      <c r="J548" s="974">
        <v>272.5</v>
      </c>
      <c r="K548" s="1001">
        <v>44800</v>
      </c>
      <c r="L548" s="1001">
        <v>44800</v>
      </c>
      <c r="M548" s="1002">
        <f>K548-H548</f>
        <v>0</v>
      </c>
      <c r="O548">
        <v>2837707</v>
      </c>
    </row>
    <row r="549" spans="1:15">
      <c r="A549" s="1304"/>
      <c r="B549" s="1122"/>
      <c r="C549" s="914"/>
      <c r="D549" s="660"/>
      <c r="E549" s="879"/>
      <c r="F549" s="879"/>
      <c r="G549" s="412"/>
      <c r="H549" s="916"/>
      <c r="I549" s="906"/>
      <c r="J549" s="910"/>
      <c r="K549" s="920"/>
      <c r="L549" s="920"/>
      <c r="M549" s="951"/>
      <c r="O549">
        <v>2837707</v>
      </c>
    </row>
    <row r="550" spans="1:15" ht="12.75" customHeight="1">
      <c r="A550" s="1303">
        <v>270</v>
      </c>
      <c r="B550" s="1114"/>
      <c r="C550" s="986"/>
      <c r="D550" s="987" t="s">
        <v>518</v>
      </c>
      <c r="E550" s="983"/>
      <c r="F550" s="983"/>
      <c r="G550" s="412"/>
      <c r="H550" s="988"/>
      <c r="I550" s="916"/>
      <c r="J550" s="909"/>
      <c r="K550" s="984"/>
      <c r="L550" s="984"/>
      <c r="M550" s="985">
        <f>K550-H550</f>
        <v>0</v>
      </c>
      <c r="O550">
        <v>2837707</v>
      </c>
    </row>
    <row r="551" spans="1:15" ht="12.75" customHeight="1" thickBot="1">
      <c r="A551" s="1304"/>
      <c r="B551" s="1116"/>
      <c r="C551" s="914"/>
      <c r="D551" s="660"/>
      <c r="E551" s="879"/>
      <c r="F551" s="879"/>
      <c r="G551" s="412"/>
      <c r="H551" s="916"/>
      <c r="I551" s="906"/>
      <c r="J551" s="910"/>
      <c r="K551" s="920"/>
      <c r="L551" s="920"/>
      <c r="M551" s="951"/>
      <c r="O551">
        <v>2837707</v>
      </c>
    </row>
    <row r="552" spans="1:15">
      <c r="A552" s="1303">
        <v>271</v>
      </c>
      <c r="B552" s="975" t="s">
        <v>635</v>
      </c>
      <c r="C552" s="1018" t="s">
        <v>6</v>
      </c>
      <c r="D552" s="1019"/>
      <c r="E552" s="1017" t="s">
        <v>590</v>
      </c>
      <c r="F552" s="1017"/>
      <c r="G552" s="410"/>
      <c r="H552" s="999"/>
      <c r="I552" s="973"/>
      <c r="J552" s="974"/>
      <c r="K552" s="1001"/>
      <c r="L552" s="1001"/>
      <c r="M552" s="1002">
        <f>K552-H552</f>
        <v>0</v>
      </c>
      <c r="O552">
        <v>2837707</v>
      </c>
    </row>
    <row r="553" spans="1:15">
      <c r="A553" s="1304"/>
      <c r="B553" s="976"/>
      <c r="C553" s="914"/>
      <c r="D553" s="660"/>
      <c r="E553" s="879"/>
      <c r="F553" s="879"/>
      <c r="G553" s="412"/>
      <c r="H553" s="916"/>
      <c r="I553" s="906"/>
      <c r="J553" s="910"/>
      <c r="K553" s="920"/>
      <c r="L553" s="920"/>
      <c r="M553" s="951"/>
      <c r="O553">
        <v>2837707</v>
      </c>
    </row>
    <row r="554" spans="1:15">
      <c r="A554" s="1303">
        <v>272</v>
      </c>
      <c r="B554" s="1079"/>
      <c r="C554" s="986"/>
      <c r="D554" s="987"/>
      <c r="E554" s="1360" t="s">
        <v>689</v>
      </c>
      <c r="F554" s="983"/>
      <c r="G554" s="412"/>
      <c r="H554" s="988"/>
      <c r="I554" s="916"/>
      <c r="J554" s="909"/>
      <c r="K554" s="984"/>
      <c r="L554" s="984"/>
      <c r="M554" s="985">
        <f>K554-H554</f>
        <v>0</v>
      </c>
      <c r="O554">
        <v>2837707</v>
      </c>
    </row>
    <row r="555" spans="1:15" ht="13.5" thickBot="1">
      <c r="A555" s="1304"/>
      <c r="B555" s="1080"/>
      <c r="C555" s="1249"/>
      <c r="D555" s="1196"/>
      <c r="E555" s="1316"/>
      <c r="F555" s="1197"/>
      <c r="G555" s="415"/>
      <c r="H555" s="1091"/>
      <c r="I555" s="943"/>
      <c r="J555" s="944"/>
      <c r="K555" s="1041"/>
      <c r="L555" s="1041"/>
      <c r="M555" s="1149"/>
      <c r="O555">
        <v>2837707</v>
      </c>
    </row>
    <row r="556" spans="1:15" ht="19.5" thickBot="1">
      <c r="A556" s="51"/>
      <c r="B556" s="1367" t="s">
        <v>640</v>
      </c>
      <c r="C556" s="1368"/>
      <c r="D556" s="1368"/>
      <c r="E556" s="1368"/>
      <c r="F556" s="1368"/>
      <c r="G556" s="1368"/>
      <c r="H556" s="1368"/>
      <c r="I556" s="1368"/>
      <c r="J556" s="1368"/>
      <c r="K556" s="1368"/>
      <c r="L556" s="1368"/>
      <c r="M556" s="1369"/>
      <c r="N556" s="7">
        <f>I561+I567+I569+I571+I573+I577+I579+I581+I585+I587+I589+I591+I593+I595+I597+I599+I601+I603+I609+I613+I615+I617+I619+I621+I623+I625+I627+I629+I631+I633+I635+I637+I639+I641+I643+I645+I647+I649+I651+I653+I672+I674</f>
        <v>153917161.5</v>
      </c>
      <c r="O556" s="8"/>
    </row>
    <row r="557" spans="1:15">
      <c r="A557" s="1303">
        <v>273</v>
      </c>
      <c r="B557" s="1121" t="s">
        <v>637</v>
      </c>
      <c r="C557" s="1018" t="s">
        <v>6</v>
      </c>
      <c r="D557" s="1019" t="s">
        <v>647</v>
      </c>
      <c r="E557" s="1017" t="s">
        <v>541</v>
      </c>
      <c r="F557" s="1017" t="s">
        <v>120</v>
      </c>
      <c r="G557" s="410"/>
      <c r="H557" s="999">
        <v>37000</v>
      </c>
      <c r="I557" s="973">
        <f>H557*J557</f>
        <v>10064000</v>
      </c>
      <c r="J557" s="974">
        <v>272</v>
      </c>
      <c r="K557" s="1001">
        <v>37000</v>
      </c>
      <c r="L557" s="1001">
        <v>37000</v>
      </c>
      <c r="M557" s="1002">
        <f>K557-H557</f>
        <v>0</v>
      </c>
      <c r="O557">
        <v>2837707</v>
      </c>
    </row>
    <row r="558" spans="1:15">
      <c r="A558" s="1304"/>
      <c r="B558" s="1122"/>
      <c r="C558" s="914"/>
      <c r="D558" s="660"/>
      <c r="E558" s="879"/>
      <c r="F558" s="879"/>
      <c r="G558" s="412"/>
      <c r="H558" s="916"/>
      <c r="I558" s="906"/>
      <c r="J558" s="910"/>
      <c r="K558" s="920"/>
      <c r="L558" s="920"/>
      <c r="M558" s="951"/>
      <c r="O558">
        <v>2837707</v>
      </c>
    </row>
    <row r="559" spans="1:15">
      <c r="A559" s="1303">
        <v>274</v>
      </c>
      <c r="B559" s="1079"/>
      <c r="C559" s="986" t="s">
        <v>642</v>
      </c>
      <c r="D559" s="987" t="s">
        <v>645</v>
      </c>
      <c r="E559" s="983" t="s">
        <v>643</v>
      </c>
      <c r="F559" s="983"/>
      <c r="G559" s="412"/>
      <c r="H559" s="988">
        <f>310*9200</f>
        <v>2852000</v>
      </c>
      <c r="I559" s="916">
        <f>H559</f>
        <v>2852000</v>
      </c>
      <c r="J559" s="909"/>
      <c r="K559" s="984">
        <v>2852000</v>
      </c>
      <c r="L559" s="984">
        <f>K559</f>
        <v>2852000</v>
      </c>
      <c r="M559" s="985">
        <f>K559-H559</f>
        <v>0</v>
      </c>
      <c r="O559">
        <v>2837707</v>
      </c>
    </row>
    <row r="560" spans="1:15">
      <c r="A560" s="1304"/>
      <c r="B560" s="1079"/>
      <c r="C560" s="914"/>
      <c r="D560" s="660"/>
      <c r="E560" s="879"/>
      <c r="F560" s="879"/>
      <c r="G560" s="412"/>
      <c r="H560" s="916"/>
      <c r="I560" s="906"/>
      <c r="J560" s="910"/>
      <c r="K560" s="920"/>
      <c r="L560" s="920"/>
      <c r="M560" s="951"/>
      <c r="O560">
        <v>2837707</v>
      </c>
    </row>
    <row r="561" spans="1:15" ht="12.75" customHeight="1">
      <c r="A561" s="1370">
        <v>275</v>
      </c>
      <c r="B561" s="1361"/>
      <c r="C561" s="986" t="s">
        <v>648</v>
      </c>
      <c r="D561" s="987" t="s">
        <v>649</v>
      </c>
      <c r="E561" s="983" t="s">
        <v>410</v>
      </c>
      <c r="F561" s="983" t="s">
        <v>120</v>
      </c>
      <c r="G561" s="412" t="s">
        <v>355</v>
      </c>
      <c r="H561" s="988">
        <v>8500000</v>
      </c>
      <c r="I561" s="916">
        <f>H561</f>
        <v>8500000</v>
      </c>
      <c r="J561" s="909"/>
      <c r="K561" s="984">
        <v>8500000</v>
      </c>
      <c r="L561" s="984">
        <v>8500000</v>
      </c>
      <c r="M561" s="1076">
        <f>K561-H561</f>
        <v>0</v>
      </c>
      <c r="O561">
        <v>2837707</v>
      </c>
    </row>
    <row r="562" spans="1:15" ht="12.75" customHeight="1">
      <c r="A562" s="1371"/>
      <c r="B562" s="1372"/>
      <c r="C562" s="914"/>
      <c r="D562" s="660"/>
      <c r="E562" s="879"/>
      <c r="F562" s="879"/>
      <c r="G562" s="412"/>
      <c r="H562" s="916"/>
      <c r="I562" s="1160"/>
      <c r="J562" s="1165"/>
      <c r="K562" s="920"/>
      <c r="L562" s="920"/>
      <c r="M562" s="901"/>
      <c r="O562">
        <v>2837707</v>
      </c>
    </row>
    <row r="563" spans="1:15">
      <c r="A563" s="1303">
        <v>276</v>
      </c>
      <c r="B563" s="1079"/>
      <c r="C563" s="986" t="s">
        <v>646</v>
      </c>
      <c r="D563" s="987" t="s">
        <v>645</v>
      </c>
      <c r="E563" s="983" t="s">
        <v>430</v>
      </c>
      <c r="F563" s="983"/>
      <c r="G563" s="412" t="s">
        <v>439</v>
      </c>
      <c r="H563" s="988">
        <v>3300000</v>
      </c>
      <c r="I563" s="916">
        <f>H563</f>
        <v>3300000</v>
      </c>
      <c r="J563" s="909"/>
      <c r="K563" s="984">
        <v>3300000</v>
      </c>
      <c r="L563" s="984">
        <v>3300000</v>
      </c>
      <c r="M563" s="985">
        <f>K563-H563</f>
        <v>0</v>
      </c>
      <c r="O563">
        <v>2837707</v>
      </c>
    </row>
    <row r="564" spans="1:15" ht="13.5" thickBot="1">
      <c r="A564" s="1304"/>
      <c r="B564" s="1080"/>
      <c r="C564" s="1249"/>
      <c r="D564" s="1196"/>
      <c r="E564" s="1197"/>
      <c r="F564" s="1197"/>
      <c r="G564" s="415">
        <v>265</v>
      </c>
      <c r="H564" s="1091"/>
      <c r="I564" s="943"/>
      <c r="J564" s="944"/>
      <c r="K564" s="1041"/>
      <c r="L564" s="1041"/>
      <c r="M564" s="1149"/>
      <c r="O564">
        <v>2837707</v>
      </c>
    </row>
    <row r="565" spans="1:15">
      <c r="A565" s="1303">
        <v>277</v>
      </c>
      <c r="B565" s="983" t="s">
        <v>638</v>
      </c>
      <c r="C565" s="986" t="s">
        <v>6</v>
      </c>
      <c r="D565" s="987" t="s">
        <v>647</v>
      </c>
      <c r="E565" s="983" t="str">
        <f>E548</f>
        <v>ооо транспортная компания магнитар</v>
      </c>
      <c r="F565" s="983"/>
      <c r="G565" s="412"/>
      <c r="H565" s="988">
        <v>49980</v>
      </c>
      <c r="I565" s="916">
        <f>H565*J565</f>
        <v>13594560</v>
      </c>
      <c r="J565" s="949">
        <v>272</v>
      </c>
      <c r="K565" s="984">
        <v>49980</v>
      </c>
      <c r="L565" s="984">
        <f>K565</f>
        <v>49980</v>
      </c>
      <c r="M565" s="1076">
        <f>K565-H565</f>
        <v>0</v>
      </c>
      <c r="O565">
        <v>2837707</v>
      </c>
    </row>
    <row r="566" spans="1:15">
      <c r="A566" s="1304"/>
      <c r="B566" s="879"/>
      <c r="C566" s="914"/>
      <c r="D566" s="660"/>
      <c r="E566" s="879"/>
      <c r="F566" s="879"/>
      <c r="G566" s="412"/>
      <c r="H566" s="916"/>
      <c r="I566" s="906"/>
      <c r="J566" s="910"/>
      <c r="K566" s="920"/>
      <c r="L566" s="920"/>
      <c r="M566" s="901"/>
      <c r="O566">
        <v>2837707</v>
      </c>
    </row>
    <row r="567" spans="1:15">
      <c r="A567" s="1303">
        <v>278</v>
      </c>
      <c r="B567" s="1114"/>
      <c r="C567" s="986" t="s">
        <v>650</v>
      </c>
      <c r="D567" s="987" t="s">
        <v>649</v>
      </c>
      <c r="E567" s="983" t="s">
        <v>658</v>
      </c>
      <c r="F567" s="983"/>
      <c r="G567" s="412" t="s">
        <v>456</v>
      </c>
      <c r="H567" s="988">
        <v>2500000</v>
      </c>
      <c r="I567" s="916">
        <f>H567</f>
        <v>2500000</v>
      </c>
      <c r="J567" s="909"/>
      <c r="K567" s="984">
        <v>2500000</v>
      </c>
      <c r="L567" s="984">
        <f>K567</f>
        <v>2500000</v>
      </c>
      <c r="M567" s="1076">
        <f>K567-H567</f>
        <v>0</v>
      </c>
      <c r="O567">
        <v>2837707</v>
      </c>
    </row>
    <row r="568" spans="1:15">
      <c r="A568" s="1304"/>
      <c r="B568" s="1116"/>
      <c r="C568" s="914"/>
      <c r="D568" s="660"/>
      <c r="E568" s="879"/>
      <c r="F568" s="879"/>
      <c r="G568" s="412"/>
      <c r="H568" s="916"/>
      <c r="I568" s="906"/>
      <c r="J568" s="910"/>
      <c r="K568" s="920"/>
      <c r="L568" s="920"/>
      <c r="M568" s="901"/>
      <c r="O568">
        <v>2837707</v>
      </c>
    </row>
    <row r="569" spans="1:15" ht="12.75" customHeight="1">
      <c r="A569" s="1303">
        <v>279</v>
      </c>
      <c r="B569" s="1114"/>
      <c r="C569" s="986" t="s">
        <v>652</v>
      </c>
      <c r="D569" s="987" t="s">
        <v>649</v>
      </c>
      <c r="E569" s="983" t="s">
        <v>581</v>
      </c>
      <c r="F569" s="983"/>
      <c r="G569" s="412" t="s">
        <v>456</v>
      </c>
      <c r="H569" s="988">
        <v>4000000</v>
      </c>
      <c r="I569" s="916">
        <f>H569</f>
        <v>4000000</v>
      </c>
      <c r="J569" s="909"/>
      <c r="K569" s="984">
        <v>4000000</v>
      </c>
      <c r="L569" s="984">
        <f>K569</f>
        <v>4000000</v>
      </c>
      <c r="M569" s="1076">
        <f>K569-H569</f>
        <v>0</v>
      </c>
      <c r="O569">
        <v>2837707</v>
      </c>
    </row>
    <row r="570" spans="1:15" ht="12.75" customHeight="1">
      <c r="A570" s="1304"/>
      <c r="B570" s="1116"/>
      <c r="C570" s="914"/>
      <c r="D570" s="660"/>
      <c r="E570" s="879"/>
      <c r="F570" s="879"/>
      <c r="G570" s="412"/>
      <c r="H570" s="916"/>
      <c r="I570" s="906"/>
      <c r="J570" s="910"/>
      <c r="K570" s="920"/>
      <c r="L570" s="920"/>
      <c r="M570" s="901"/>
      <c r="O570">
        <v>2837707</v>
      </c>
    </row>
    <row r="571" spans="1:15">
      <c r="A571" s="1303">
        <v>280</v>
      </c>
      <c r="B571" s="983"/>
      <c r="C571" s="986" t="s">
        <v>653</v>
      </c>
      <c r="D571" s="987" t="s">
        <v>649</v>
      </c>
      <c r="E571" s="983" t="s">
        <v>651</v>
      </c>
      <c r="F571" s="983"/>
      <c r="G571" s="412" t="s">
        <v>456</v>
      </c>
      <c r="H571" s="988">
        <v>2500000</v>
      </c>
      <c r="I571" s="916">
        <f>H571</f>
        <v>2500000</v>
      </c>
      <c r="J571" s="909"/>
      <c r="K571" s="984">
        <v>2500000</v>
      </c>
      <c r="L571" s="984">
        <v>2500000</v>
      </c>
      <c r="M571" s="1076">
        <v>0</v>
      </c>
      <c r="O571">
        <v>2837707</v>
      </c>
    </row>
    <row r="572" spans="1:15">
      <c r="A572" s="1304"/>
      <c r="B572" s="879"/>
      <c r="C572" s="914"/>
      <c r="D572" s="660"/>
      <c r="E572" s="879"/>
      <c r="F572" s="879"/>
      <c r="G572" s="412"/>
      <c r="H572" s="916"/>
      <c r="I572" s="906"/>
      <c r="J572" s="910"/>
      <c r="K572" s="920"/>
      <c r="L572" s="920"/>
      <c r="M572" s="901"/>
      <c r="O572">
        <v>2837707</v>
      </c>
    </row>
    <row r="573" spans="1:15">
      <c r="A573" s="1303">
        <v>281</v>
      </c>
      <c r="B573" s="983"/>
      <c r="C573" s="986" t="s">
        <v>655</v>
      </c>
      <c r="D573" s="987" t="s">
        <v>657</v>
      </c>
      <c r="E573" s="983" t="s">
        <v>656</v>
      </c>
      <c r="F573" s="983"/>
      <c r="G573" s="412"/>
      <c r="H573" s="988">
        <v>2100000</v>
      </c>
      <c r="I573" s="916">
        <f>H573</f>
        <v>2100000</v>
      </c>
      <c r="J573" s="909"/>
      <c r="K573" s="984">
        <v>2100000</v>
      </c>
      <c r="L573" s="984">
        <v>2100000</v>
      </c>
      <c r="M573" s="1076">
        <f>K573-H573</f>
        <v>0</v>
      </c>
      <c r="O573">
        <v>2837707</v>
      </c>
    </row>
    <row r="574" spans="1:15" ht="13.5" thickBot="1">
      <c r="A574" s="1304"/>
      <c r="B574" s="879"/>
      <c r="C574" s="914"/>
      <c r="D574" s="660"/>
      <c r="E574" s="879"/>
      <c r="F574" s="879"/>
      <c r="G574" s="412"/>
      <c r="H574" s="916"/>
      <c r="I574" s="906"/>
      <c r="J574" s="910"/>
      <c r="K574" s="920"/>
      <c r="L574" s="920"/>
      <c r="M574" s="901"/>
      <c r="O574">
        <v>2837707</v>
      </c>
    </row>
    <row r="575" spans="1:15">
      <c r="A575" s="1303">
        <v>282</v>
      </c>
      <c r="B575" s="1121" t="s">
        <v>639</v>
      </c>
      <c r="C575" s="1018" t="s">
        <v>750</v>
      </c>
      <c r="D575" s="1019" t="s">
        <v>644</v>
      </c>
      <c r="E575" s="1017" t="s">
        <v>20</v>
      </c>
      <c r="F575" s="1017"/>
      <c r="G575" s="410"/>
      <c r="H575" s="999">
        <v>9700000</v>
      </c>
      <c r="I575" s="973">
        <f>H575</f>
        <v>9700000</v>
      </c>
      <c r="J575" s="974"/>
      <c r="K575" s="1001">
        <v>9700000</v>
      </c>
      <c r="L575" s="1001">
        <f>K575</f>
        <v>9700000</v>
      </c>
      <c r="M575" s="1002">
        <f>K575-H575</f>
        <v>0</v>
      </c>
      <c r="O575">
        <v>2837707</v>
      </c>
    </row>
    <row r="576" spans="1:15">
      <c r="A576" s="1304"/>
      <c r="B576" s="1122"/>
      <c r="C576" s="914"/>
      <c r="D576" s="660"/>
      <c r="E576" s="879"/>
      <c r="F576" s="879"/>
      <c r="G576" s="412"/>
      <c r="H576" s="916"/>
      <c r="I576" s="906"/>
      <c r="J576" s="910"/>
      <c r="K576" s="920"/>
      <c r="L576" s="920"/>
      <c r="M576" s="951"/>
      <c r="O576">
        <v>2837707</v>
      </c>
    </row>
    <row r="577" spans="1:15">
      <c r="A577" s="1303">
        <v>283</v>
      </c>
      <c r="B577" s="1114"/>
      <c r="C577" s="986" t="s">
        <v>660</v>
      </c>
      <c r="D577" s="987" t="s">
        <v>661</v>
      </c>
      <c r="E577" s="983" t="s">
        <v>14</v>
      </c>
      <c r="F577" s="983"/>
      <c r="G577" s="412"/>
      <c r="H577" s="988">
        <v>7200000</v>
      </c>
      <c r="I577" s="916">
        <f>H577</f>
        <v>7200000</v>
      </c>
      <c r="J577" s="909"/>
      <c r="K577" s="984">
        <v>7200000</v>
      </c>
      <c r="L577" s="984">
        <v>7200000</v>
      </c>
      <c r="M577" s="985">
        <f>K577-H577</f>
        <v>0</v>
      </c>
      <c r="O577">
        <v>2837707</v>
      </c>
    </row>
    <row r="578" spans="1:15">
      <c r="A578" s="1304"/>
      <c r="B578" s="1116"/>
      <c r="C578" s="914"/>
      <c r="D578" s="660"/>
      <c r="E578" s="879"/>
      <c r="F578" s="879"/>
      <c r="G578" s="412"/>
      <c r="H578" s="916"/>
      <c r="I578" s="906"/>
      <c r="J578" s="910"/>
      <c r="K578" s="920"/>
      <c r="L578" s="920"/>
      <c r="M578" s="951"/>
      <c r="O578">
        <v>2837707</v>
      </c>
    </row>
    <row r="579" spans="1:15">
      <c r="A579" s="1303">
        <v>284</v>
      </c>
      <c r="B579" s="1301"/>
      <c r="C579" s="986" t="s">
        <v>659</v>
      </c>
      <c r="D579" s="987" t="s">
        <v>661</v>
      </c>
      <c r="E579" s="983" t="s">
        <v>98</v>
      </c>
      <c r="F579" s="983"/>
      <c r="G579" s="412"/>
      <c r="H579" s="988">
        <v>450000</v>
      </c>
      <c r="I579" s="916">
        <f>H579</f>
        <v>450000</v>
      </c>
      <c r="J579" s="909"/>
      <c r="K579" s="984">
        <v>450000</v>
      </c>
      <c r="L579" s="984">
        <v>450000</v>
      </c>
      <c r="M579" s="985">
        <f>K579-H579</f>
        <v>0</v>
      </c>
      <c r="O579">
        <v>2837707</v>
      </c>
    </row>
    <row r="580" spans="1:15" ht="13.5" thickBot="1">
      <c r="A580" s="1304"/>
      <c r="B580" s="1230"/>
      <c r="C580" s="1249"/>
      <c r="D580" s="1196"/>
      <c r="E580" s="1197"/>
      <c r="F580" s="1197"/>
      <c r="G580" s="415"/>
      <c r="H580" s="1091"/>
      <c r="I580" s="943"/>
      <c r="J580" s="944"/>
      <c r="K580" s="1041"/>
      <c r="L580" s="1041"/>
      <c r="M580" s="1149"/>
      <c r="O580">
        <v>2837707</v>
      </c>
    </row>
    <row r="581" spans="1:15">
      <c r="A581" s="1303">
        <v>285</v>
      </c>
      <c r="B581" s="983" t="s">
        <v>641</v>
      </c>
      <c r="C581" s="986" t="s">
        <v>654</v>
      </c>
      <c r="D581" s="987" t="s">
        <v>649</v>
      </c>
      <c r="E581" s="983" t="s">
        <v>308</v>
      </c>
      <c r="F581" s="983"/>
      <c r="G581" s="412"/>
      <c r="H581" s="988">
        <v>1950</v>
      </c>
      <c r="I581" s="916">
        <f>H581*J581</f>
        <v>524550</v>
      </c>
      <c r="J581" s="949">
        <v>269</v>
      </c>
      <c r="K581" s="984">
        <v>1950</v>
      </c>
      <c r="L581" s="411"/>
      <c r="M581" s="1076">
        <f>K581-H581</f>
        <v>0</v>
      </c>
      <c r="O581">
        <v>2837707</v>
      </c>
    </row>
    <row r="582" spans="1:15">
      <c r="A582" s="1304"/>
      <c r="B582" s="879"/>
      <c r="C582" s="914"/>
      <c r="D582" s="660"/>
      <c r="E582" s="879"/>
      <c r="F582" s="879"/>
      <c r="G582" s="412"/>
      <c r="H582" s="916"/>
      <c r="I582" s="906"/>
      <c r="J582" s="910"/>
      <c r="K582" s="920"/>
      <c r="L582" s="414">
        <v>1950</v>
      </c>
      <c r="M582" s="901"/>
      <c r="O582">
        <v>2837707</v>
      </c>
    </row>
    <row r="583" spans="1:15">
      <c r="A583" s="1303">
        <v>286</v>
      </c>
      <c r="B583" s="1114"/>
      <c r="C583" s="986"/>
      <c r="D583" s="987"/>
      <c r="E583" s="983"/>
      <c r="F583" s="983"/>
      <c r="G583" s="412"/>
      <c r="H583" s="988"/>
      <c r="I583" s="916"/>
      <c r="J583" s="909"/>
      <c r="K583" s="984"/>
      <c r="L583" s="984"/>
      <c r="M583" s="1076">
        <f>K583-H583</f>
        <v>0</v>
      </c>
      <c r="O583">
        <v>2837707</v>
      </c>
    </row>
    <row r="584" spans="1:15" ht="13.5" thickBot="1">
      <c r="A584" s="1304"/>
      <c r="B584" s="1255"/>
      <c r="C584" s="986"/>
      <c r="D584" s="987"/>
      <c r="E584" s="983"/>
      <c r="F584" s="983"/>
      <c r="G584" s="417"/>
      <c r="H584" s="988"/>
      <c r="I584" s="982"/>
      <c r="J584" s="917"/>
      <c r="K584" s="984"/>
      <c r="L584" s="984"/>
      <c r="M584" s="1076"/>
      <c r="O584">
        <v>2837707</v>
      </c>
    </row>
    <row r="585" spans="1:15">
      <c r="A585" s="1303">
        <v>287</v>
      </c>
      <c r="B585" s="1121" t="s">
        <v>667</v>
      </c>
      <c r="C585" s="1018" t="s">
        <v>6</v>
      </c>
      <c r="D585" s="1019" t="s">
        <v>661</v>
      </c>
      <c r="E585" s="1017" t="s">
        <v>13</v>
      </c>
      <c r="F585" s="1017"/>
      <c r="G585" s="410"/>
      <c r="H585" s="999">
        <v>3300</v>
      </c>
      <c r="I585" s="973">
        <f>H585*J585</f>
        <v>886050</v>
      </c>
      <c r="J585" s="974">
        <v>268.5</v>
      </c>
      <c r="K585" s="1001">
        <v>3300</v>
      </c>
      <c r="L585" s="1001">
        <v>3300</v>
      </c>
      <c r="M585" s="1002">
        <f>K585-H585</f>
        <v>0</v>
      </c>
      <c r="O585">
        <v>2837707</v>
      </c>
    </row>
    <row r="586" spans="1:15">
      <c r="A586" s="1304"/>
      <c r="B586" s="1122"/>
      <c r="C586" s="914"/>
      <c r="D586" s="660"/>
      <c r="E586" s="879"/>
      <c r="F586" s="879"/>
      <c r="G586" s="412"/>
      <c r="H586" s="916"/>
      <c r="I586" s="906"/>
      <c r="J586" s="910"/>
      <c r="K586" s="920"/>
      <c r="L586" s="920"/>
      <c r="M586" s="951"/>
      <c r="O586">
        <v>2837707</v>
      </c>
    </row>
    <row r="587" spans="1:15">
      <c r="A587" s="1303">
        <v>288</v>
      </c>
      <c r="B587" s="1114"/>
      <c r="C587" s="986" t="s">
        <v>668</v>
      </c>
      <c r="D587" s="987" t="s">
        <v>669</v>
      </c>
      <c r="E587" s="983" t="s">
        <v>643</v>
      </c>
      <c r="F587" s="983"/>
      <c r="G587" s="412"/>
      <c r="H587" s="988">
        <v>4050000</v>
      </c>
      <c r="I587" s="916">
        <f>H587</f>
        <v>4050000</v>
      </c>
      <c r="J587" s="909"/>
      <c r="K587" s="984">
        <v>4050000</v>
      </c>
      <c r="L587" s="984">
        <f>K587</f>
        <v>4050000</v>
      </c>
      <c r="M587" s="985">
        <f>K587-H587</f>
        <v>0</v>
      </c>
      <c r="O587">
        <v>2837707</v>
      </c>
    </row>
    <row r="588" spans="1:15" ht="13.5" thickBot="1">
      <c r="A588" s="1304"/>
      <c r="B588" s="1115"/>
      <c r="C588" s="1249"/>
      <c r="D588" s="1196"/>
      <c r="E588" s="1197"/>
      <c r="F588" s="1197"/>
      <c r="G588" s="415"/>
      <c r="H588" s="1091"/>
      <c r="I588" s="943"/>
      <c r="J588" s="944"/>
      <c r="K588" s="1041"/>
      <c r="L588" s="1041"/>
      <c r="M588" s="1149"/>
      <c r="O588">
        <v>2837707</v>
      </c>
    </row>
    <row r="589" spans="1:15">
      <c r="A589" s="1303">
        <v>289</v>
      </c>
      <c r="B589" s="1121" t="s">
        <v>662</v>
      </c>
      <c r="C589" s="1018" t="s">
        <v>753</v>
      </c>
      <c r="D589" s="1019" t="s">
        <v>754</v>
      </c>
      <c r="E589" s="1017" t="s">
        <v>20</v>
      </c>
      <c r="F589" s="1017"/>
      <c r="G589" s="410"/>
      <c r="H589" s="999">
        <v>10000000</v>
      </c>
      <c r="I589" s="973">
        <f>H589</f>
        <v>10000000</v>
      </c>
      <c r="J589" s="974"/>
      <c r="K589" s="1001">
        <v>10000000</v>
      </c>
      <c r="L589" s="1001">
        <f>K589</f>
        <v>10000000</v>
      </c>
      <c r="M589" s="1002">
        <f>K589-H589</f>
        <v>0</v>
      </c>
      <c r="O589">
        <v>2837707</v>
      </c>
    </row>
    <row r="590" spans="1:15">
      <c r="A590" s="1304"/>
      <c r="B590" s="1122"/>
      <c r="C590" s="914"/>
      <c r="D590" s="660"/>
      <c r="E590" s="879"/>
      <c r="F590" s="879"/>
      <c r="G590" s="412"/>
      <c r="H590" s="916"/>
      <c r="I590" s="906"/>
      <c r="J590" s="910"/>
      <c r="K590" s="920"/>
      <c r="L590" s="920"/>
      <c r="M590" s="951"/>
      <c r="O590">
        <v>2837707</v>
      </c>
    </row>
    <row r="591" spans="1:15">
      <c r="A591" s="1303">
        <v>290</v>
      </c>
      <c r="B591" s="1114"/>
      <c r="C591" s="986" t="s">
        <v>682</v>
      </c>
      <c r="D591" s="987" t="s">
        <v>677</v>
      </c>
      <c r="E591" s="983" t="s">
        <v>687</v>
      </c>
      <c r="F591" s="983"/>
      <c r="G591" s="412"/>
      <c r="H591" s="988">
        <v>3000000</v>
      </c>
      <c r="I591" s="916">
        <f>H591</f>
        <v>3000000</v>
      </c>
      <c r="J591" s="909"/>
      <c r="K591" s="984">
        <v>3000000</v>
      </c>
      <c r="L591" s="984">
        <v>3000000</v>
      </c>
      <c r="M591" s="985">
        <f>K591-H591</f>
        <v>0</v>
      </c>
      <c r="O591">
        <v>2837707</v>
      </c>
    </row>
    <row r="592" spans="1:15">
      <c r="A592" s="1304"/>
      <c r="B592" s="1116"/>
      <c r="C592" s="914"/>
      <c r="D592" s="660"/>
      <c r="E592" s="879"/>
      <c r="F592" s="879"/>
      <c r="G592" s="412"/>
      <c r="H592" s="916"/>
      <c r="I592" s="906"/>
      <c r="J592" s="910"/>
      <c r="K592" s="920"/>
      <c r="L592" s="920"/>
      <c r="M592" s="951"/>
      <c r="O592">
        <v>2837707</v>
      </c>
    </row>
    <row r="593" spans="1:15">
      <c r="A593" s="1303">
        <v>291</v>
      </c>
      <c r="B593" s="1301"/>
      <c r="C593" s="986" t="s">
        <v>683</v>
      </c>
      <c r="D593" s="987" t="s">
        <v>677</v>
      </c>
      <c r="E593" s="983" t="s">
        <v>15</v>
      </c>
      <c r="F593" s="983"/>
      <c r="G593" s="412"/>
      <c r="H593" s="988">
        <v>2550000</v>
      </c>
      <c r="I593" s="916">
        <f>H593</f>
        <v>2550000</v>
      </c>
      <c r="J593" s="909"/>
      <c r="K593" s="984">
        <v>2550000</v>
      </c>
      <c r="L593" s="984">
        <v>2550000</v>
      </c>
      <c r="M593" s="985">
        <f>K593-H593</f>
        <v>0</v>
      </c>
      <c r="O593">
        <v>2837707</v>
      </c>
    </row>
    <row r="594" spans="1:15" ht="13.5" thickBot="1">
      <c r="A594" s="1304"/>
      <c r="B594" s="1230"/>
      <c r="C594" s="1249"/>
      <c r="D594" s="1196"/>
      <c r="E594" s="1197"/>
      <c r="F594" s="1197"/>
      <c r="G594" s="415"/>
      <c r="H594" s="1091"/>
      <c r="I594" s="943"/>
      <c r="J594" s="944"/>
      <c r="K594" s="1041"/>
      <c r="L594" s="1041"/>
      <c r="M594" s="1149"/>
      <c r="O594">
        <v>2837707</v>
      </c>
    </row>
    <row r="595" spans="1:15">
      <c r="A595" s="1303">
        <v>292</v>
      </c>
      <c r="B595" s="1121" t="s">
        <v>663</v>
      </c>
      <c r="C595" s="1018" t="s">
        <v>751</v>
      </c>
      <c r="D595" s="1019" t="s">
        <v>669</v>
      </c>
      <c r="E595" s="1017" t="s">
        <v>20</v>
      </c>
      <c r="F595" s="1017"/>
      <c r="G595" s="410"/>
      <c r="H595" s="999">
        <v>10000000</v>
      </c>
      <c r="I595" s="973">
        <f>H595</f>
        <v>10000000</v>
      </c>
      <c r="J595" s="974"/>
      <c r="K595" s="1001">
        <v>10000000</v>
      </c>
      <c r="L595" s="1001">
        <v>10000000</v>
      </c>
      <c r="M595" s="1002">
        <f>K595-H595</f>
        <v>0</v>
      </c>
      <c r="O595">
        <v>2837707</v>
      </c>
    </row>
    <row r="596" spans="1:15">
      <c r="A596" s="1304"/>
      <c r="B596" s="1122"/>
      <c r="C596" s="914"/>
      <c r="D596" s="660"/>
      <c r="E596" s="879"/>
      <c r="F596" s="879"/>
      <c r="G596" s="412"/>
      <c r="H596" s="916"/>
      <c r="I596" s="906"/>
      <c r="J596" s="910"/>
      <c r="K596" s="920"/>
      <c r="L596" s="920"/>
      <c r="M596" s="951"/>
      <c r="O596">
        <v>2837707</v>
      </c>
    </row>
    <row r="597" spans="1:15" ht="12.75" customHeight="1">
      <c r="A597" s="1303">
        <v>293</v>
      </c>
      <c r="B597" s="1114"/>
      <c r="C597" s="986" t="s">
        <v>676</v>
      </c>
      <c r="D597" s="987" t="s">
        <v>677</v>
      </c>
      <c r="E597" s="983" t="s">
        <v>142</v>
      </c>
      <c r="F597" s="983"/>
      <c r="G597" s="412"/>
      <c r="H597" s="988">
        <v>450000</v>
      </c>
      <c r="I597" s="916">
        <f>H597</f>
        <v>450000</v>
      </c>
      <c r="J597" s="909"/>
      <c r="K597" s="984">
        <v>450000</v>
      </c>
      <c r="L597" s="984">
        <v>450000</v>
      </c>
      <c r="M597" s="985">
        <f>K597-H597</f>
        <v>0</v>
      </c>
      <c r="O597">
        <v>2837707</v>
      </c>
    </row>
    <row r="598" spans="1:15" ht="12.75" customHeight="1">
      <c r="A598" s="1304"/>
      <c r="B598" s="1116"/>
      <c r="C598" s="914"/>
      <c r="D598" s="660"/>
      <c r="E598" s="879"/>
      <c r="F598" s="879"/>
      <c r="G598" s="412"/>
      <c r="H598" s="916"/>
      <c r="I598" s="906"/>
      <c r="J598" s="910"/>
      <c r="K598" s="920"/>
      <c r="L598" s="920"/>
      <c r="M598" s="951"/>
      <c r="O598">
        <v>2837707</v>
      </c>
    </row>
    <row r="599" spans="1:15">
      <c r="A599" s="1303">
        <v>294</v>
      </c>
      <c r="B599" s="1301"/>
      <c r="C599" s="986" t="s">
        <v>679</v>
      </c>
      <c r="D599" s="987" t="s">
        <v>677</v>
      </c>
      <c r="E599" s="983" t="s">
        <v>680</v>
      </c>
      <c r="F599" s="983"/>
      <c r="G599" s="412" t="s">
        <v>703</v>
      </c>
      <c r="H599" s="988">
        <v>9900</v>
      </c>
      <c r="I599" s="916">
        <f>H599*J599</f>
        <v>2682900</v>
      </c>
      <c r="J599" s="909">
        <v>271</v>
      </c>
      <c r="K599" s="984">
        <v>9900</v>
      </c>
      <c r="L599" s="984">
        <v>9900</v>
      </c>
      <c r="M599" s="985">
        <f>K599-H599</f>
        <v>0</v>
      </c>
      <c r="O599">
        <v>2837707</v>
      </c>
    </row>
    <row r="600" spans="1:15">
      <c r="A600" s="1304"/>
      <c r="B600" s="1122"/>
      <c r="C600" s="914"/>
      <c r="D600" s="660"/>
      <c r="E600" s="879"/>
      <c r="F600" s="879"/>
      <c r="G600" s="412" t="s">
        <v>120</v>
      </c>
      <c r="H600" s="916"/>
      <c r="I600" s="906"/>
      <c r="J600" s="910"/>
      <c r="K600" s="920"/>
      <c r="L600" s="920"/>
      <c r="M600" s="951"/>
      <c r="O600">
        <v>2837707</v>
      </c>
    </row>
    <row r="601" spans="1:15">
      <c r="A601" s="1303">
        <v>295</v>
      </c>
      <c r="B601" s="1301"/>
      <c r="C601" s="986" t="s">
        <v>681</v>
      </c>
      <c r="D601" s="987" t="s">
        <v>677</v>
      </c>
      <c r="E601" s="983" t="s">
        <v>688</v>
      </c>
      <c r="F601" s="983"/>
      <c r="G601" s="412" t="s">
        <v>439</v>
      </c>
      <c r="H601" s="988">
        <v>1400000</v>
      </c>
      <c r="I601" s="916">
        <f>H601</f>
        <v>1400000</v>
      </c>
      <c r="J601" s="909"/>
      <c r="K601" s="984">
        <v>1400000</v>
      </c>
      <c r="L601" s="984">
        <v>1400000</v>
      </c>
      <c r="M601" s="985">
        <f>K601-H601</f>
        <v>0</v>
      </c>
      <c r="O601">
        <v>2837707</v>
      </c>
    </row>
    <row r="602" spans="1:15" ht="13.5" thickBot="1">
      <c r="A602" s="1304"/>
      <c r="B602" s="1301"/>
      <c r="C602" s="986"/>
      <c r="D602" s="987"/>
      <c r="E602" s="983"/>
      <c r="F602" s="983"/>
      <c r="G602" s="417"/>
      <c r="H602" s="988"/>
      <c r="I602" s="982"/>
      <c r="J602" s="917"/>
      <c r="K602" s="984"/>
      <c r="L602" s="984"/>
      <c r="M602" s="985"/>
      <c r="O602">
        <v>2837707</v>
      </c>
    </row>
    <row r="603" spans="1:15">
      <c r="A603" s="1303">
        <v>296</v>
      </c>
      <c r="B603" s="1017" t="s">
        <v>664</v>
      </c>
      <c r="C603" s="1018" t="s">
        <v>666</v>
      </c>
      <c r="D603" s="1019" t="s">
        <v>672</v>
      </c>
      <c r="E603" s="1017" t="s">
        <v>524</v>
      </c>
      <c r="F603" s="1017"/>
      <c r="G603" s="410"/>
      <c r="H603" s="999">
        <v>936000</v>
      </c>
      <c r="I603" s="973">
        <f>H603</f>
        <v>936000</v>
      </c>
      <c r="J603" s="974"/>
      <c r="K603" s="1001">
        <v>936000</v>
      </c>
      <c r="L603" s="1001">
        <f>K603</f>
        <v>936000</v>
      </c>
      <c r="M603" s="1002">
        <f>K603-H603</f>
        <v>0</v>
      </c>
      <c r="O603">
        <v>2837707</v>
      </c>
    </row>
    <row r="604" spans="1:15">
      <c r="A604" s="1304"/>
      <c r="B604" s="879"/>
      <c r="C604" s="914"/>
      <c r="D604" s="660"/>
      <c r="E604" s="879"/>
      <c r="F604" s="879"/>
      <c r="G604" s="412"/>
      <c r="H604" s="916"/>
      <c r="I604" s="906"/>
      <c r="J604" s="910"/>
      <c r="K604" s="920"/>
      <c r="L604" s="920"/>
      <c r="M604" s="951"/>
      <c r="O604">
        <v>2837707</v>
      </c>
    </row>
    <row r="605" spans="1:15">
      <c r="A605" s="1303">
        <v>297</v>
      </c>
      <c r="B605" s="1114"/>
      <c r="C605" s="986"/>
      <c r="D605" s="987"/>
      <c r="E605" s="1305"/>
      <c r="F605" s="983"/>
      <c r="G605" s="412"/>
      <c r="H605" s="988"/>
      <c r="I605" s="916"/>
      <c r="J605" s="909"/>
      <c r="K605" s="984"/>
      <c r="L605" s="984"/>
      <c r="M605" s="985">
        <f>K605-H605</f>
        <v>0</v>
      </c>
      <c r="O605">
        <v>2837707</v>
      </c>
    </row>
    <row r="606" spans="1:15" ht="13.5" thickBot="1">
      <c r="A606" s="1304"/>
      <c r="B606" s="1115"/>
      <c r="C606" s="1249"/>
      <c r="D606" s="1196"/>
      <c r="E606" s="1306"/>
      <c r="F606" s="1197"/>
      <c r="G606" s="415"/>
      <c r="H606" s="1091"/>
      <c r="I606" s="943"/>
      <c r="J606" s="944"/>
      <c r="K606" s="1041"/>
      <c r="L606" s="1041"/>
      <c r="M606" s="1149"/>
      <c r="O606">
        <v>2837707</v>
      </c>
    </row>
    <row r="607" spans="1:15">
      <c r="A607" s="1303">
        <v>298</v>
      </c>
      <c r="B607" s="1017" t="s">
        <v>671</v>
      </c>
      <c r="C607" s="1018"/>
      <c r="D607" s="1019" t="s">
        <v>672</v>
      </c>
      <c r="E607" s="1017" t="s">
        <v>665</v>
      </c>
      <c r="F607" s="1017"/>
      <c r="G607" s="410"/>
      <c r="H607" s="999">
        <v>0</v>
      </c>
      <c r="I607" s="973"/>
      <c r="J607" s="974"/>
      <c r="K607" s="1001"/>
      <c r="L607" s="1001"/>
      <c r="M607" s="1002">
        <f>K607-H607</f>
        <v>0</v>
      </c>
      <c r="O607">
        <v>2837707</v>
      </c>
    </row>
    <row r="608" spans="1:15" ht="13.5" thickBot="1">
      <c r="A608" s="1304"/>
      <c r="B608" s="1197"/>
      <c r="C608" s="1249"/>
      <c r="D608" s="1196"/>
      <c r="E608" s="1197"/>
      <c r="F608" s="1197"/>
      <c r="G608" s="415"/>
      <c r="H608" s="1091"/>
      <c r="I608" s="943"/>
      <c r="J608" s="944"/>
      <c r="K608" s="1041"/>
      <c r="L608" s="1041"/>
      <c r="M608" s="1149"/>
      <c r="O608">
        <v>2837707</v>
      </c>
    </row>
    <row r="609" spans="1:15">
      <c r="A609" s="1303">
        <v>299</v>
      </c>
      <c r="B609" s="1121" t="s">
        <v>685</v>
      </c>
      <c r="C609" s="1018" t="s">
        <v>675</v>
      </c>
      <c r="D609" s="1019" t="s">
        <v>686</v>
      </c>
      <c r="E609" s="1017" t="s">
        <v>670</v>
      </c>
      <c r="F609" s="1017" t="s">
        <v>684</v>
      </c>
      <c r="G609" s="410"/>
      <c r="H609" s="999">
        <v>753000</v>
      </c>
      <c r="I609" s="973">
        <f>H609</f>
        <v>753000</v>
      </c>
      <c r="J609" s="974"/>
      <c r="K609" s="1001">
        <v>753000</v>
      </c>
      <c r="L609" s="1001">
        <v>753000</v>
      </c>
      <c r="M609" s="1002">
        <f>K609-H609</f>
        <v>0</v>
      </c>
      <c r="O609">
        <v>2837707</v>
      </c>
    </row>
    <row r="610" spans="1:15">
      <c r="A610" s="1304"/>
      <c r="B610" s="1122"/>
      <c r="C610" s="914"/>
      <c r="D610" s="660"/>
      <c r="E610" s="879"/>
      <c r="F610" s="879"/>
      <c r="G610" s="412"/>
      <c r="H610" s="916"/>
      <c r="I610" s="906"/>
      <c r="J610" s="910"/>
      <c r="K610" s="920"/>
      <c r="L610" s="920"/>
      <c r="M610" s="951"/>
      <c r="O610">
        <v>2837707</v>
      </c>
    </row>
    <row r="611" spans="1:15">
      <c r="A611" s="1303">
        <v>300</v>
      </c>
      <c r="B611" s="1114"/>
      <c r="C611" s="986"/>
      <c r="D611" s="987"/>
      <c r="E611" s="1305"/>
      <c r="F611" s="983"/>
      <c r="G611" s="412"/>
      <c r="H611" s="988"/>
      <c r="I611" s="916"/>
      <c r="J611" s="909"/>
      <c r="K611" s="984"/>
      <c r="L611" s="984"/>
      <c r="M611" s="985">
        <f>K611-H611</f>
        <v>0</v>
      </c>
      <c r="O611">
        <v>2837707</v>
      </c>
    </row>
    <row r="612" spans="1:15" ht="13.5" thickBot="1">
      <c r="A612" s="1304"/>
      <c r="B612" s="1115"/>
      <c r="C612" s="1249"/>
      <c r="D612" s="1196"/>
      <c r="E612" s="1306"/>
      <c r="F612" s="1197"/>
      <c r="G612" s="415"/>
      <c r="H612" s="1091"/>
      <c r="I612" s="943"/>
      <c r="J612" s="944"/>
      <c r="K612" s="1041"/>
      <c r="L612" s="1041"/>
      <c r="M612" s="1149"/>
      <c r="O612">
        <v>2837707</v>
      </c>
    </row>
    <row r="613" spans="1:15">
      <c r="A613" s="1303">
        <v>301</v>
      </c>
      <c r="B613" s="1121" t="s">
        <v>674</v>
      </c>
      <c r="C613" s="1018" t="s">
        <v>747</v>
      </c>
      <c r="D613" s="1019" t="s">
        <v>748</v>
      </c>
      <c r="E613" s="1017" t="s">
        <v>20</v>
      </c>
      <c r="F613" s="1382"/>
      <c r="G613" s="410"/>
      <c r="H613" s="999">
        <v>10000000</v>
      </c>
      <c r="I613" s="973">
        <f>H613</f>
        <v>10000000</v>
      </c>
      <c r="J613" s="974"/>
      <c r="K613" s="1001">
        <v>10000000</v>
      </c>
      <c r="L613" s="1001">
        <v>10000000</v>
      </c>
      <c r="M613" s="1002">
        <f>K613-H613</f>
        <v>0</v>
      </c>
      <c r="O613">
        <v>2837707</v>
      </c>
    </row>
    <row r="614" spans="1:15">
      <c r="A614" s="1304"/>
      <c r="B614" s="1122"/>
      <c r="C614" s="914"/>
      <c r="D614" s="660"/>
      <c r="E614" s="879"/>
      <c r="F614" s="879"/>
      <c r="G614" s="412"/>
      <c r="H614" s="916"/>
      <c r="I614" s="906"/>
      <c r="J614" s="910"/>
      <c r="K614" s="920"/>
      <c r="L614" s="920"/>
      <c r="M614" s="951"/>
      <c r="O614">
        <v>2837707</v>
      </c>
    </row>
    <row r="615" spans="1:15" ht="12.75" customHeight="1">
      <c r="A615" s="1303">
        <v>302</v>
      </c>
      <c r="B615" s="1114"/>
      <c r="C615" s="986" t="s">
        <v>700</v>
      </c>
      <c r="D615" s="987" t="s">
        <v>699</v>
      </c>
      <c r="E615" s="983" t="s">
        <v>697</v>
      </c>
      <c r="F615" s="983"/>
      <c r="G615" s="412"/>
      <c r="H615" s="988">
        <v>900000</v>
      </c>
      <c r="I615" s="916">
        <f>H615</f>
        <v>900000</v>
      </c>
      <c r="J615" s="909"/>
      <c r="K615" s="984">
        <v>900000</v>
      </c>
      <c r="L615" s="984">
        <v>900000</v>
      </c>
      <c r="M615" s="985">
        <f>K615-H615</f>
        <v>0</v>
      </c>
      <c r="O615">
        <v>2837707</v>
      </c>
    </row>
    <row r="616" spans="1:15" ht="12.75" customHeight="1">
      <c r="A616" s="1304"/>
      <c r="B616" s="1116"/>
      <c r="C616" s="914"/>
      <c r="D616" s="660"/>
      <c r="E616" s="879"/>
      <c r="F616" s="879"/>
      <c r="G616" s="412"/>
      <c r="H616" s="916"/>
      <c r="I616" s="906"/>
      <c r="J616" s="910"/>
      <c r="K616" s="920"/>
      <c r="L616" s="920"/>
      <c r="M616" s="951"/>
      <c r="O616">
        <v>2837707</v>
      </c>
    </row>
    <row r="617" spans="1:15" ht="12.75" customHeight="1">
      <c r="A617" s="1303">
        <v>303</v>
      </c>
      <c r="B617" s="1114"/>
      <c r="C617" s="986" t="s">
        <v>701</v>
      </c>
      <c r="D617" s="987" t="s">
        <v>699</v>
      </c>
      <c r="E617" s="983" t="s">
        <v>98</v>
      </c>
      <c r="F617" s="983"/>
      <c r="G617" s="412"/>
      <c r="H617" s="988">
        <v>700000</v>
      </c>
      <c r="I617" s="916">
        <f>H617</f>
        <v>700000</v>
      </c>
      <c r="J617" s="909"/>
      <c r="K617" s="984">
        <v>700000</v>
      </c>
      <c r="L617" s="984">
        <v>700000</v>
      </c>
      <c r="M617" s="985">
        <f>K617-H617</f>
        <v>0</v>
      </c>
      <c r="O617">
        <v>2837707</v>
      </c>
    </row>
    <row r="618" spans="1:15" ht="12.75" customHeight="1">
      <c r="A618" s="1304"/>
      <c r="B618" s="1116"/>
      <c r="C618" s="914"/>
      <c r="D618" s="660"/>
      <c r="E618" s="879"/>
      <c r="F618" s="879"/>
      <c r="G618" s="412"/>
      <c r="H618" s="916"/>
      <c r="I618" s="906"/>
      <c r="J618" s="910"/>
      <c r="K618" s="920"/>
      <c r="L618" s="920"/>
      <c r="M618" s="951"/>
      <c r="O618">
        <v>2837707</v>
      </c>
    </row>
    <row r="619" spans="1:15" ht="12.75" customHeight="1">
      <c r="A619" s="1303">
        <v>304</v>
      </c>
      <c r="B619" s="1114"/>
      <c r="C619" s="986" t="s">
        <v>702</v>
      </c>
      <c r="D619" s="987" t="s">
        <v>699</v>
      </c>
      <c r="E619" s="983" t="s">
        <v>698</v>
      </c>
      <c r="F619" s="983"/>
      <c r="G619" s="412"/>
      <c r="H619" s="988">
        <v>4545000</v>
      </c>
      <c r="I619" s="916">
        <f>H619</f>
        <v>4545000</v>
      </c>
      <c r="J619" s="909"/>
      <c r="K619" s="984">
        <v>4545000</v>
      </c>
      <c r="L619" s="984">
        <v>454000</v>
      </c>
      <c r="M619" s="985">
        <f>K619-H619</f>
        <v>0</v>
      </c>
      <c r="O619">
        <v>2837707</v>
      </c>
    </row>
    <row r="620" spans="1:15" ht="12.75" customHeight="1" thickBot="1">
      <c r="A620" s="1304"/>
      <c r="B620" s="1115"/>
      <c r="C620" s="1249"/>
      <c r="D620" s="1196"/>
      <c r="E620" s="1197"/>
      <c r="F620" s="1197"/>
      <c r="G620" s="415"/>
      <c r="H620" s="1091"/>
      <c r="I620" s="943"/>
      <c r="J620" s="944"/>
      <c r="K620" s="1041"/>
      <c r="L620" s="1041"/>
      <c r="M620" s="1149"/>
      <c r="O620">
        <v>2837707</v>
      </c>
    </row>
    <row r="621" spans="1:15">
      <c r="A621" s="1303">
        <v>305</v>
      </c>
      <c r="B621" s="983" t="s">
        <v>678</v>
      </c>
      <c r="C621" s="986" t="s">
        <v>755</v>
      </c>
      <c r="D621" s="987" t="s">
        <v>699</v>
      </c>
      <c r="E621" s="983" t="s">
        <v>20</v>
      </c>
      <c r="F621" s="983"/>
      <c r="G621" s="412"/>
      <c r="H621" s="988">
        <v>9700000</v>
      </c>
      <c r="I621" s="916">
        <f>H621</f>
        <v>9700000</v>
      </c>
      <c r="J621" s="949"/>
      <c r="K621" s="984">
        <v>9700000</v>
      </c>
      <c r="L621" s="984">
        <f>K621</f>
        <v>9700000</v>
      </c>
      <c r="M621" s="1076">
        <f>K621-H621</f>
        <v>0</v>
      </c>
      <c r="O621">
        <v>2837707</v>
      </c>
    </row>
    <row r="622" spans="1:15">
      <c r="A622" s="1304"/>
      <c r="B622" s="879"/>
      <c r="C622" s="914"/>
      <c r="D622" s="660"/>
      <c r="E622" s="879"/>
      <c r="F622" s="879"/>
      <c r="G622" s="412"/>
      <c r="H622" s="916"/>
      <c r="I622" s="906"/>
      <c r="J622" s="910"/>
      <c r="K622" s="920"/>
      <c r="L622" s="920"/>
      <c r="M622" s="901"/>
      <c r="O622">
        <v>2837707</v>
      </c>
    </row>
    <row r="623" spans="1:15">
      <c r="A623" s="1303">
        <v>306</v>
      </c>
      <c r="B623" s="1114"/>
      <c r="C623" s="986" t="s">
        <v>704</v>
      </c>
      <c r="D623" s="987" t="s">
        <v>705</v>
      </c>
      <c r="E623" s="983" t="s">
        <v>707</v>
      </c>
      <c r="F623" s="983"/>
      <c r="G623" s="412" t="s">
        <v>439</v>
      </c>
      <c r="H623" s="988">
        <v>2500000</v>
      </c>
      <c r="I623" s="916">
        <f>H623</f>
        <v>2500000</v>
      </c>
      <c r="J623" s="909"/>
      <c r="K623" s="984">
        <v>2500000</v>
      </c>
      <c r="L623" s="984">
        <f>K623</f>
        <v>2500000</v>
      </c>
      <c r="M623" s="1076">
        <f>K623-H623</f>
        <v>0</v>
      </c>
      <c r="O623">
        <v>2837707</v>
      </c>
    </row>
    <row r="624" spans="1:15">
      <c r="A624" s="1304"/>
      <c r="B624" s="1116"/>
      <c r="C624" s="914"/>
      <c r="D624" s="660"/>
      <c r="E624" s="879"/>
      <c r="F624" s="879"/>
      <c r="G624" s="412"/>
      <c r="H624" s="916"/>
      <c r="I624" s="906"/>
      <c r="J624" s="910"/>
      <c r="K624" s="920"/>
      <c r="L624" s="920"/>
      <c r="M624" s="901"/>
      <c r="O624">
        <v>2837707</v>
      </c>
    </row>
    <row r="625" spans="1:15">
      <c r="A625" s="1303">
        <v>307</v>
      </c>
      <c r="B625" s="983"/>
      <c r="C625" s="986" t="s">
        <v>708</v>
      </c>
      <c r="D625" s="987" t="s">
        <v>706</v>
      </c>
      <c r="E625" s="983" t="s">
        <v>712</v>
      </c>
      <c r="F625" s="983"/>
      <c r="G625" s="412"/>
      <c r="H625" s="988">
        <v>3620000</v>
      </c>
      <c r="I625" s="916">
        <f>H625</f>
        <v>3620000</v>
      </c>
      <c r="J625" s="909"/>
      <c r="K625" s="984">
        <v>3620000</v>
      </c>
      <c r="L625" s="984">
        <v>3620000</v>
      </c>
      <c r="M625" s="1076">
        <f>K625-H625</f>
        <v>0</v>
      </c>
      <c r="O625">
        <v>2837707</v>
      </c>
    </row>
    <row r="626" spans="1:15" ht="13.5" thickBot="1">
      <c r="A626" s="1304"/>
      <c r="B626" s="983"/>
      <c r="C626" s="986"/>
      <c r="D626" s="987"/>
      <c r="E626" s="983"/>
      <c r="F626" s="983"/>
      <c r="G626" s="417"/>
      <c r="H626" s="988"/>
      <c r="I626" s="982"/>
      <c r="J626" s="917"/>
      <c r="K626" s="984"/>
      <c r="L626" s="984"/>
      <c r="M626" s="1076"/>
      <c r="O626">
        <v>2837707</v>
      </c>
    </row>
    <row r="627" spans="1:15">
      <c r="A627" s="1303">
        <v>308</v>
      </c>
      <c r="B627" s="1121" t="s">
        <v>692</v>
      </c>
      <c r="C627" s="1018" t="s">
        <v>693</v>
      </c>
      <c r="D627" s="1019" t="s">
        <v>695</v>
      </c>
      <c r="E627" s="1017" t="s">
        <v>524</v>
      </c>
      <c r="F627" s="1017"/>
      <c r="G627" s="410"/>
      <c r="H627" s="999">
        <v>807000</v>
      </c>
      <c r="I627" s="973">
        <f>H627</f>
        <v>807000</v>
      </c>
      <c r="J627" s="974"/>
      <c r="K627" s="1001">
        <v>807000</v>
      </c>
      <c r="L627" s="1001">
        <v>807000</v>
      </c>
      <c r="M627" s="1002">
        <f>K627-H627</f>
        <v>0</v>
      </c>
      <c r="O627">
        <v>2837707</v>
      </c>
    </row>
    <row r="628" spans="1:15">
      <c r="A628" s="1304"/>
      <c r="B628" s="1122"/>
      <c r="C628" s="914"/>
      <c r="D628" s="660"/>
      <c r="E628" s="879"/>
      <c r="F628" s="879"/>
      <c r="G628" s="412"/>
      <c r="H628" s="916"/>
      <c r="I628" s="906"/>
      <c r="J628" s="910"/>
      <c r="K628" s="920"/>
      <c r="L628" s="920"/>
      <c r="M628" s="951"/>
      <c r="O628">
        <v>2837707</v>
      </c>
    </row>
    <row r="629" spans="1:15">
      <c r="A629" s="1303">
        <v>309</v>
      </c>
      <c r="B629" s="1114"/>
      <c r="C629" s="986" t="s">
        <v>694</v>
      </c>
      <c r="D629" s="987" t="s">
        <v>695</v>
      </c>
      <c r="E629" s="983" t="s">
        <v>308</v>
      </c>
      <c r="F629" s="983"/>
      <c r="G629" s="412"/>
      <c r="H629" s="988">
        <v>2140</v>
      </c>
      <c r="I629" s="916">
        <f>H629*J629</f>
        <v>577800</v>
      </c>
      <c r="J629" s="909">
        <v>270</v>
      </c>
      <c r="K629" s="984">
        <v>2140</v>
      </c>
      <c r="L629" s="984">
        <v>2140</v>
      </c>
      <c r="M629" s="985">
        <f>K629-H629</f>
        <v>0</v>
      </c>
      <c r="O629">
        <v>2837707</v>
      </c>
    </row>
    <row r="630" spans="1:15" ht="13.5" thickBot="1">
      <c r="A630" s="1304"/>
      <c r="B630" s="1115"/>
      <c r="C630" s="1249"/>
      <c r="D630" s="1196"/>
      <c r="E630" s="1197"/>
      <c r="F630" s="1197"/>
      <c r="G630" s="415"/>
      <c r="H630" s="1091"/>
      <c r="I630" s="943"/>
      <c r="J630" s="944"/>
      <c r="K630" s="1041"/>
      <c r="L630" s="1041"/>
      <c r="M630" s="1149"/>
      <c r="O630">
        <v>2837707</v>
      </c>
    </row>
    <row r="631" spans="1:15">
      <c r="A631" s="1303">
        <v>310</v>
      </c>
      <c r="B631" s="1121" t="s">
        <v>690</v>
      </c>
      <c r="C631" s="1018" t="s">
        <v>758</v>
      </c>
      <c r="D631" s="1019" t="s">
        <v>699</v>
      </c>
      <c r="E631" s="1017" t="s">
        <v>20</v>
      </c>
      <c r="F631" s="1017"/>
      <c r="G631" s="410"/>
      <c r="H631" s="999">
        <v>9700000</v>
      </c>
      <c r="I631" s="973">
        <f>H631</f>
        <v>9700000</v>
      </c>
      <c r="J631" s="974"/>
      <c r="K631" s="1001">
        <v>9700000</v>
      </c>
      <c r="L631" s="1001">
        <f>K631</f>
        <v>9700000</v>
      </c>
      <c r="M631" s="1002">
        <f>K631-H631</f>
        <v>0</v>
      </c>
      <c r="O631">
        <v>2837707</v>
      </c>
    </row>
    <row r="632" spans="1:15">
      <c r="A632" s="1304"/>
      <c r="B632" s="1122"/>
      <c r="C632" s="914"/>
      <c r="D632" s="660"/>
      <c r="E632" s="879"/>
      <c r="F632" s="879"/>
      <c r="G632" s="412"/>
      <c r="H632" s="916"/>
      <c r="I632" s="906"/>
      <c r="J632" s="910"/>
      <c r="K632" s="920"/>
      <c r="L632" s="920"/>
      <c r="M632" s="951"/>
      <c r="O632">
        <v>2837707</v>
      </c>
    </row>
    <row r="633" spans="1:15">
      <c r="A633" s="1303">
        <v>311</v>
      </c>
      <c r="B633" s="1114"/>
      <c r="C633" s="986" t="s">
        <v>709</v>
      </c>
      <c r="D633" s="987" t="s">
        <v>713</v>
      </c>
      <c r="E633" s="983" t="s">
        <v>15</v>
      </c>
      <c r="F633" s="983"/>
      <c r="G633" s="412"/>
      <c r="H633" s="988">
        <v>2400000</v>
      </c>
      <c r="I633" s="916">
        <f>H633</f>
        <v>2400000</v>
      </c>
      <c r="J633" s="909"/>
      <c r="K633" s="984">
        <v>2400000</v>
      </c>
      <c r="L633" s="984">
        <v>2400000</v>
      </c>
      <c r="M633" s="985">
        <f>K633-H633</f>
        <v>0</v>
      </c>
      <c r="O633">
        <v>2837707</v>
      </c>
    </row>
    <row r="634" spans="1:15">
      <c r="A634" s="1304"/>
      <c r="B634" s="1116"/>
      <c r="C634" s="914"/>
      <c r="D634" s="660"/>
      <c r="E634" s="879"/>
      <c r="F634" s="879"/>
      <c r="G634" s="412"/>
      <c r="H634" s="916"/>
      <c r="I634" s="906"/>
      <c r="J634" s="910"/>
      <c r="K634" s="920"/>
      <c r="L634" s="920"/>
      <c r="M634" s="951"/>
      <c r="O634">
        <v>2837707</v>
      </c>
    </row>
    <row r="635" spans="1:15">
      <c r="A635" s="1303">
        <v>312</v>
      </c>
      <c r="B635" s="1114"/>
      <c r="C635" s="913" t="s">
        <v>710</v>
      </c>
      <c r="D635" s="659" t="s">
        <v>713</v>
      </c>
      <c r="E635" s="878" t="s">
        <v>26</v>
      </c>
      <c r="F635" s="878" t="s">
        <v>715</v>
      </c>
      <c r="G635" s="409"/>
      <c r="H635" s="915">
        <f>9200*200</f>
        <v>1840000</v>
      </c>
      <c r="I635" s="905">
        <f>H635</f>
        <v>1840000</v>
      </c>
      <c r="J635" s="909"/>
      <c r="K635" s="919">
        <v>1840000</v>
      </c>
      <c r="L635" s="919">
        <f>K635</f>
        <v>1840000</v>
      </c>
      <c r="M635" s="950">
        <f>K635-H635</f>
        <v>0</v>
      </c>
      <c r="O635">
        <v>2837707</v>
      </c>
    </row>
    <row r="636" spans="1:15">
      <c r="A636" s="1304"/>
      <c r="B636" s="1116"/>
      <c r="C636" s="914"/>
      <c r="D636" s="660"/>
      <c r="E636" s="879"/>
      <c r="F636" s="879"/>
      <c r="G636" s="412"/>
      <c r="H636" s="916"/>
      <c r="I636" s="906"/>
      <c r="J636" s="910"/>
      <c r="K636" s="920"/>
      <c r="L636" s="920"/>
      <c r="M636" s="951"/>
      <c r="O636">
        <v>2837707</v>
      </c>
    </row>
    <row r="637" spans="1:15">
      <c r="A637" s="1303">
        <v>313</v>
      </c>
      <c r="B637" s="878"/>
      <c r="C637" s="913" t="s">
        <v>711</v>
      </c>
      <c r="D637" s="659" t="s">
        <v>713</v>
      </c>
      <c r="E637" s="878" t="s">
        <v>524</v>
      </c>
      <c r="F637" s="878"/>
      <c r="G637" s="409"/>
      <c r="H637" s="915">
        <v>873000</v>
      </c>
      <c r="I637" s="905">
        <f>H637</f>
        <v>873000</v>
      </c>
      <c r="J637" s="909"/>
      <c r="K637" s="919">
        <v>873000</v>
      </c>
      <c r="L637" s="919">
        <f>K637</f>
        <v>873000</v>
      </c>
      <c r="M637" s="900">
        <f>K637-H637</f>
        <v>0</v>
      </c>
      <c r="O637">
        <v>2837707</v>
      </c>
    </row>
    <row r="638" spans="1:15" ht="13.5" thickBot="1">
      <c r="A638" s="1304"/>
      <c r="B638" s="1197"/>
      <c r="C638" s="1249"/>
      <c r="D638" s="1196"/>
      <c r="E638" s="1197"/>
      <c r="F638" s="1197"/>
      <c r="G638" s="415"/>
      <c r="H638" s="1091"/>
      <c r="I638" s="943"/>
      <c r="J638" s="944"/>
      <c r="K638" s="1041"/>
      <c r="L638" s="1041"/>
      <c r="M638" s="1309"/>
      <c r="O638">
        <v>2837707</v>
      </c>
    </row>
    <row r="639" spans="1:15">
      <c r="A639" s="1303">
        <v>314</v>
      </c>
      <c r="B639" s="983" t="s">
        <v>696</v>
      </c>
      <c r="C639" s="986" t="s">
        <v>749</v>
      </c>
      <c r="D639" s="987" t="s">
        <v>713</v>
      </c>
      <c r="E639" s="983" t="s">
        <v>20</v>
      </c>
      <c r="F639" s="983"/>
      <c r="G639" s="412"/>
      <c r="H639" s="988">
        <v>10000000</v>
      </c>
      <c r="I639" s="916">
        <f>H639</f>
        <v>10000000</v>
      </c>
      <c r="J639" s="949"/>
      <c r="K639" s="984">
        <v>10000000</v>
      </c>
      <c r="L639" s="984">
        <v>10000000</v>
      </c>
      <c r="M639" s="1076">
        <f>K639-H639</f>
        <v>0</v>
      </c>
      <c r="O639">
        <v>2837707</v>
      </c>
    </row>
    <row r="640" spans="1:15">
      <c r="A640" s="1304"/>
      <c r="B640" s="879"/>
      <c r="C640" s="914"/>
      <c r="D640" s="660"/>
      <c r="E640" s="879"/>
      <c r="F640" s="879"/>
      <c r="G640" s="412"/>
      <c r="H640" s="916"/>
      <c r="I640" s="906"/>
      <c r="J640" s="910"/>
      <c r="K640" s="920"/>
      <c r="L640" s="920"/>
      <c r="M640" s="901"/>
      <c r="O640">
        <v>2837707</v>
      </c>
    </row>
    <row r="641" spans="1:15" ht="12.75" customHeight="1">
      <c r="A641" s="1303">
        <v>315</v>
      </c>
      <c r="B641" s="1114"/>
      <c r="C641" s="986" t="s">
        <v>716</v>
      </c>
      <c r="D641" s="987" t="s">
        <v>718</v>
      </c>
      <c r="E641" s="983" t="s">
        <v>142</v>
      </c>
      <c r="F641" s="983"/>
      <c r="G641" s="412"/>
      <c r="H641" s="988">
        <v>450000</v>
      </c>
      <c r="I641" s="916">
        <f>H641</f>
        <v>450000</v>
      </c>
      <c r="J641" s="909"/>
      <c r="K641" s="984">
        <v>450000</v>
      </c>
      <c r="L641" s="984">
        <v>450000</v>
      </c>
      <c r="M641" s="1076">
        <f>K641-H641</f>
        <v>0</v>
      </c>
      <c r="O641">
        <v>2837707</v>
      </c>
    </row>
    <row r="642" spans="1:15" ht="12.75" customHeight="1">
      <c r="A642" s="1304"/>
      <c r="B642" s="1116"/>
      <c r="C642" s="914"/>
      <c r="D642" s="660"/>
      <c r="E642" s="879"/>
      <c r="F642" s="879"/>
      <c r="G642" s="412"/>
      <c r="H642" s="916"/>
      <c r="I642" s="906"/>
      <c r="J642" s="910"/>
      <c r="K642" s="920"/>
      <c r="L642" s="920"/>
      <c r="M642" s="901"/>
      <c r="O642">
        <v>2837707</v>
      </c>
    </row>
    <row r="643" spans="1:15" ht="12.75" customHeight="1">
      <c r="A643" s="1303">
        <v>316</v>
      </c>
      <c r="B643" s="878"/>
      <c r="C643" s="913" t="s">
        <v>717</v>
      </c>
      <c r="D643" s="659" t="s">
        <v>718</v>
      </c>
      <c r="E643" s="878" t="s">
        <v>186</v>
      </c>
      <c r="F643" s="878"/>
      <c r="G643" s="409"/>
      <c r="H643" s="915">
        <v>1800000</v>
      </c>
      <c r="I643" s="905">
        <f>H643</f>
        <v>1800000</v>
      </c>
      <c r="J643" s="909"/>
      <c r="K643" s="919">
        <v>1800000</v>
      </c>
      <c r="L643" s="919">
        <v>1800000</v>
      </c>
      <c r="M643" s="900">
        <f>K643-H643</f>
        <v>0</v>
      </c>
      <c r="O643">
        <v>2837707</v>
      </c>
    </row>
    <row r="644" spans="1:15" ht="12.75" customHeight="1" thickBot="1">
      <c r="A644" s="1304"/>
      <c r="B644" s="1197"/>
      <c r="C644" s="1249"/>
      <c r="D644" s="1196"/>
      <c r="E644" s="1197"/>
      <c r="F644" s="1197"/>
      <c r="G644" s="415"/>
      <c r="H644" s="1091"/>
      <c r="I644" s="943"/>
      <c r="J644" s="944"/>
      <c r="K644" s="1041"/>
      <c r="L644" s="1041"/>
      <c r="M644" s="1309"/>
      <c r="O644">
        <v>2837707</v>
      </c>
    </row>
    <row r="645" spans="1:15">
      <c r="A645" s="1303">
        <v>317</v>
      </c>
      <c r="B645" s="983" t="s">
        <v>790</v>
      </c>
      <c r="C645" s="986" t="s">
        <v>759</v>
      </c>
      <c r="D645" s="987" t="s">
        <v>718</v>
      </c>
      <c r="E645" s="983" t="s">
        <v>20</v>
      </c>
      <c r="F645" s="983"/>
      <c r="G645" s="412"/>
      <c r="H645" s="988">
        <v>10000000</v>
      </c>
      <c r="I645" s="916">
        <f>H645</f>
        <v>10000000</v>
      </c>
      <c r="J645" s="949"/>
      <c r="K645" s="984">
        <v>10000000</v>
      </c>
      <c r="L645" s="984">
        <v>10000000</v>
      </c>
      <c r="M645" s="1076">
        <f>K645-H645</f>
        <v>0</v>
      </c>
      <c r="O645">
        <v>2837707</v>
      </c>
    </row>
    <row r="646" spans="1:15">
      <c r="A646" s="1304"/>
      <c r="B646" s="879"/>
      <c r="C646" s="914"/>
      <c r="D646" s="660"/>
      <c r="E646" s="879"/>
      <c r="F646" s="879"/>
      <c r="G646" s="412"/>
      <c r="H646" s="916"/>
      <c r="I646" s="906"/>
      <c r="J646" s="910"/>
      <c r="K646" s="920"/>
      <c r="L646" s="920"/>
      <c r="M646" s="901"/>
      <c r="O646">
        <v>2837707</v>
      </c>
    </row>
    <row r="647" spans="1:15">
      <c r="A647" s="1303">
        <v>318</v>
      </c>
      <c r="B647" s="1114"/>
      <c r="C647" s="986" t="s">
        <v>720</v>
      </c>
      <c r="D647" s="987" t="s">
        <v>723</v>
      </c>
      <c r="E647" s="983" t="s">
        <v>419</v>
      </c>
      <c r="F647" s="983"/>
      <c r="G647" s="412"/>
      <c r="H647" s="988">
        <v>3600000</v>
      </c>
      <c r="I647" s="916">
        <v>3600000</v>
      </c>
      <c r="J647" s="909"/>
      <c r="K647" s="984">
        <v>3600000</v>
      </c>
      <c r="L647" s="984">
        <v>3600000</v>
      </c>
      <c r="M647" s="1076">
        <f>K647-H647</f>
        <v>0</v>
      </c>
      <c r="O647">
        <v>2837707</v>
      </c>
    </row>
    <row r="648" spans="1:15">
      <c r="A648" s="1304"/>
      <c r="B648" s="1116"/>
      <c r="C648" s="914"/>
      <c r="D648" s="660"/>
      <c r="E648" s="879"/>
      <c r="F648" s="879"/>
      <c r="G648" s="412"/>
      <c r="H648" s="916"/>
      <c r="I648" s="906"/>
      <c r="J648" s="910"/>
      <c r="K648" s="920"/>
      <c r="L648" s="920"/>
      <c r="M648" s="901"/>
      <c r="O648">
        <v>2837707</v>
      </c>
    </row>
    <row r="649" spans="1:15">
      <c r="A649" s="1303">
        <v>319</v>
      </c>
      <c r="B649" s="983"/>
      <c r="C649" s="986" t="s">
        <v>721</v>
      </c>
      <c r="D649" s="987" t="s">
        <v>723</v>
      </c>
      <c r="E649" s="983" t="s">
        <v>724</v>
      </c>
      <c r="F649" s="983"/>
      <c r="G649" s="412"/>
      <c r="H649" s="988">
        <v>2250000</v>
      </c>
      <c r="I649" s="916">
        <f>H649</f>
        <v>2250000</v>
      </c>
      <c r="J649" s="909"/>
      <c r="K649" s="984">
        <v>2250000</v>
      </c>
      <c r="L649" s="984">
        <v>2250000</v>
      </c>
      <c r="M649" s="1076">
        <f>K649-H649</f>
        <v>0</v>
      </c>
      <c r="O649">
        <v>2837707</v>
      </c>
    </row>
    <row r="650" spans="1:15">
      <c r="A650" s="1304"/>
      <c r="B650" s="879"/>
      <c r="C650" s="914"/>
      <c r="D650" s="660"/>
      <c r="E650" s="879"/>
      <c r="F650" s="879"/>
      <c r="G650" s="412"/>
      <c r="H650" s="916"/>
      <c r="I650" s="906"/>
      <c r="J650" s="910"/>
      <c r="K650" s="920"/>
      <c r="L650" s="920"/>
      <c r="M650" s="901"/>
      <c r="O650">
        <v>2837707</v>
      </c>
    </row>
    <row r="651" spans="1:15">
      <c r="A651" s="1303">
        <v>320</v>
      </c>
      <c r="B651" s="983"/>
      <c r="C651" s="986" t="s">
        <v>722</v>
      </c>
      <c r="D651" s="987" t="s">
        <v>723</v>
      </c>
      <c r="E651" s="983" t="s">
        <v>725</v>
      </c>
      <c r="F651" s="983"/>
      <c r="G651" s="412"/>
      <c r="H651" s="988">
        <v>2000000</v>
      </c>
      <c r="I651" s="916">
        <f>H651</f>
        <v>2000000</v>
      </c>
      <c r="J651" s="909"/>
      <c r="K651" s="984">
        <v>2000000</v>
      </c>
      <c r="L651" s="984">
        <v>2000000</v>
      </c>
      <c r="M651" s="1076">
        <f>K651-H651</f>
        <v>0</v>
      </c>
      <c r="O651">
        <v>2837707</v>
      </c>
    </row>
    <row r="652" spans="1:15" ht="13.5" thickBot="1">
      <c r="A652" s="1304"/>
      <c r="B652" s="1197"/>
      <c r="C652" s="1249"/>
      <c r="D652" s="1196"/>
      <c r="E652" s="1197"/>
      <c r="F652" s="1197"/>
      <c r="G652" s="415"/>
      <c r="H652" s="1091"/>
      <c r="I652" s="943"/>
      <c r="J652" s="944"/>
      <c r="K652" s="1041"/>
      <c r="L652" s="1041"/>
      <c r="M652" s="1309"/>
      <c r="O652">
        <v>2837707</v>
      </c>
    </row>
    <row r="653" spans="1:15">
      <c r="A653" s="1303">
        <v>321</v>
      </c>
      <c r="B653" s="983" t="s">
        <v>714</v>
      </c>
      <c r="C653" s="986" t="s">
        <v>756</v>
      </c>
      <c r="D653" s="987" t="s">
        <v>757</v>
      </c>
      <c r="E653" s="983" t="s">
        <v>20</v>
      </c>
      <c r="F653" s="983"/>
      <c r="G653" s="412"/>
      <c r="H653" s="988">
        <v>9700000</v>
      </c>
      <c r="I653" s="916">
        <f>H653</f>
        <v>9700000</v>
      </c>
      <c r="J653" s="949"/>
      <c r="K653" s="984">
        <v>9700000</v>
      </c>
      <c r="L653" s="984">
        <v>9700000</v>
      </c>
      <c r="M653" s="1076">
        <f>K653-H653</f>
        <v>0</v>
      </c>
      <c r="O653">
        <v>2837707</v>
      </c>
    </row>
    <row r="654" spans="1:15">
      <c r="A654" s="1304"/>
      <c r="B654" s="879"/>
      <c r="C654" s="914"/>
      <c r="D654" s="660"/>
      <c r="E654" s="879"/>
      <c r="F654" s="879"/>
      <c r="G654" s="412"/>
      <c r="H654" s="916"/>
      <c r="I654" s="906"/>
      <c r="J654" s="910"/>
      <c r="K654" s="920"/>
      <c r="L654" s="920"/>
      <c r="M654" s="901"/>
      <c r="O654">
        <v>2837707</v>
      </c>
    </row>
    <row r="655" spans="1:15" ht="25.5">
      <c r="A655" s="1303">
        <v>322</v>
      </c>
      <c r="B655" s="1114"/>
      <c r="C655" s="986" t="s">
        <v>734</v>
      </c>
      <c r="D655" s="987" t="s">
        <v>733</v>
      </c>
      <c r="E655" s="983" t="s">
        <v>325</v>
      </c>
      <c r="F655" s="983"/>
      <c r="G655" s="412" t="s">
        <v>19</v>
      </c>
      <c r="H655" s="988">
        <v>4000000</v>
      </c>
      <c r="I655" s="916">
        <f>H655</f>
        <v>4000000</v>
      </c>
      <c r="J655" s="909"/>
      <c r="K655" s="984">
        <v>4000000</v>
      </c>
      <c r="L655" s="984">
        <v>4000000</v>
      </c>
      <c r="M655" s="1076">
        <f>K655-H655</f>
        <v>0</v>
      </c>
      <c r="O655">
        <v>2837707</v>
      </c>
    </row>
    <row r="656" spans="1:15">
      <c r="A656" s="1304"/>
      <c r="B656" s="1116"/>
      <c r="C656" s="914"/>
      <c r="D656" s="660"/>
      <c r="E656" s="879"/>
      <c r="F656" s="879"/>
      <c r="G656" s="412" t="s">
        <v>887</v>
      </c>
      <c r="H656" s="916"/>
      <c r="I656" s="906"/>
      <c r="J656" s="910"/>
      <c r="K656" s="920"/>
      <c r="L656" s="920"/>
      <c r="M656" s="901"/>
      <c r="O656">
        <v>2837707</v>
      </c>
    </row>
    <row r="657" spans="1:15" ht="12.75" customHeight="1">
      <c r="A657" s="1303">
        <v>323</v>
      </c>
      <c r="B657" s="1114"/>
      <c r="C657" s="986" t="s">
        <v>735</v>
      </c>
      <c r="D657" s="987" t="s">
        <v>737</v>
      </c>
      <c r="E657" s="983" t="s">
        <v>738</v>
      </c>
      <c r="F657" s="983"/>
      <c r="G657" s="412"/>
      <c r="H657" s="988">
        <v>5200000</v>
      </c>
      <c r="I657" s="916">
        <f>H657</f>
        <v>5200000</v>
      </c>
      <c r="J657" s="909"/>
      <c r="K657" s="984">
        <v>5200000</v>
      </c>
      <c r="L657" s="984">
        <v>5200000</v>
      </c>
      <c r="M657" s="1076">
        <f>K657-H657</f>
        <v>0</v>
      </c>
      <c r="O657">
        <v>2837707</v>
      </c>
    </row>
    <row r="658" spans="1:15" ht="12.75" customHeight="1">
      <c r="A658" s="1304"/>
      <c r="B658" s="1116"/>
      <c r="C658" s="914"/>
      <c r="D658" s="660"/>
      <c r="E658" s="879"/>
      <c r="F658" s="879"/>
      <c r="G658" s="412"/>
      <c r="H658" s="916"/>
      <c r="I658" s="906"/>
      <c r="J658" s="910"/>
      <c r="K658" s="920"/>
      <c r="L658" s="920"/>
      <c r="M658" s="901"/>
      <c r="O658">
        <v>2837707</v>
      </c>
    </row>
    <row r="659" spans="1:15">
      <c r="A659" s="1303">
        <v>324</v>
      </c>
      <c r="B659" s="983"/>
      <c r="C659" s="986" t="s">
        <v>736</v>
      </c>
      <c r="D659" s="987" t="s">
        <v>737</v>
      </c>
      <c r="E659" s="983" t="s">
        <v>18</v>
      </c>
      <c r="F659" s="983" t="s">
        <v>795</v>
      </c>
      <c r="G659" s="412"/>
      <c r="H659" s="988">
        <v>900000</v>
      </c>
      <c r="I659" s="916">
        <f>H659</f>
        <v>900000</v>
      </c>
      <c r="J659" s="909"/>
      <c r="K659" s="984">
        <v>900000</v>
      </c>
      <c r="L659" s="984">
        <v>900000</v>
      </c>
      <c r="M659" s="1076">
        <f>K659-H659</f>
        <v>0</v>
      </c>
      <c r="O659">
        <v>2837707</v>
      </c>
    </row>
    <row r="660" spans="1:15" ht="13.5" thickBot="1">
      <c r="A660" s="1304"/>
      <c r="B660" s="879"/>
      <c r="C660" s="914"/>
      <c r="D660" s="660"/>
      <c r="E660" s="879"/>
      <c r="F660" s="879"/>
      <c r="G660" s="412"/>
      <c r="H660" s="916"/>
      <c r="I660" s="1160"/>
      <c r="J660" s="1165"/>
      <c r="K660" s="920"/>
      <c r="L660" s="920"/>
      <c r="M660" s="901"/>
      <c r="O660">
        <v>2837707</v>
      </c>
    </row>
    <row r="661" spans="1:15" ht="19.5" thickBot="1">
      <c r="A661" s="51"/>
      <c r="B661" s="1367" t="s">
        <v>727</v>
      </c>
      <c r="C661" s="1368"/>
      <c r="D661" s="1368"/>
      <c r="E661" s="1368"/>
      <c r="F661" s="1368"/>
      <c r="G661" s="1368"/>
      <c r="H661" s="1368"/>
      <c r="I661" s="1368"/>
      <c r="J661" s="1368"/>
      <c r="K661" s="1368"/>
      <c r="L661" s="1368"/>
      <c r="M661" s="1369"/>
      <c r="N661" s="7">
        <f>SUM(I655:I660,I662:I671,I676:I753)</f>
        <v>196228165</v>
      </c>
      <c r="O661" s="8"/>
    </row>
    <row r="662" spans="1:15">
      <c r="A662" s="1303">
        <v>325</v>
      </c>
      <c r="B662" s="1121" t="s">
        <v>766</v>
      </c>
      <c r="C662" s="1018" t="s">
        <v>752</v>
      </c>
      <c r="D662" s="1019" t="s">
        <v>737</v>
      </c>
      <c r="E662" s="1017" t="s">
        <v>20</v>
      </c>
      <c r="F662" s="1017"/>
      <c r="G662" s="410"/>
      <c r="H662" s="999">
        <v>9700000</v>
      </c>
      <c r="I662" s="973">
        <f>H662</f>
        <v>9700000</v>
      </c>
      <c r="J662" s="974"/>
      <c r="K662" s="1001">
        <v>9700000</v>
      </c>
      <c r="L662" s="1001">
        <f>K662</f>
        <v>9700000</v>
      </c>
      <c r="M662" s="1002">
        <f>K662-H662</f>
        <v>0</v>
      </c>
      <c r="N662" t="e">
        <f>E662+E666+E676+E688</f>
        <v>#VALUE!</v>
      </c>
      <c r="O662">
        <v>2837707</v>
      </c>
    </row>
    <row r="663" spans="1:15">
      <c r="A663" s="1304"/>
      <c r="B663" s="1122"/>
      <c r="C663" s="914"/>
      <c r="D663" s="660"/>
      <c r="E663" s="879"/>
      <c r="F663" s="879"/>
      <c r="G663" s="412"/>
      <c r="H663" s="916"/>
      <c r="I663" s="906"/>
      <c r="J663" s="910"/>
      <c r="K663" s="920"/>
      <c r="L663" s="920"/>
      <c r="M663" s="951"/>
      <c r="O663">
        <v>2837707</v>
      </c>
    </row>
    <row r="664" spans="1:15">
      <c r="A664" s="1303">
        <v>326</v>
      </c>
      <c r="B664" s="1114"/>
      <c r="C664" s="986" t="s">
        <v>741</v>
      </c>
      <c r="D664" s="987" t="s">
        <v>743</v>
      </c>
      <c r="E664" s="983" t="s">
        <v>643</v>
      </c>
      <c r="F664" s="983"/>
      <c r="G664" s="412"/>
      <c r="H664" s="988">
        <v>4500000</v>
      </c>
      <c r="I664" s="916">
        <v>4500000</v>
      </c>
      <c r="J664" s="909"/>
      <c r="K664" s="984">
        <v>4500000</v>
      </c>
      <c r="L664" s="984">
        <v>4500000</v>
      </c>
      <c r="M664" s="985">
        <f>K664-H664</f>
        <v>0</v>
      </c>
      <c r="O664">
        <v>2837707</v>
      </c>
    </row>
    <row r="665" spans="1:15" ht="13.5" thickBot="1">
      <c r="A665" s="1304"/>
      <c r="B665" s="1115"/>
      <c r="C665" s="1249"/>
      <c r="D665" s="1196"/>
      <c r="E665" s="1197"/>
      <c r="F665" s="1197"/>
      <c r="G665" s="415"/>
      <c r="H665" s="1091"/>
      <c r="I665" s="943"/>
      <c r="J665" s="944"/>
      <c r="K665" s="1041"/>
      <c r="L665" s="1041"/>
      <c r="M665" s="1149"/>
      <c r="N665" s="5">
        <f>H653+H662+H666+H676+H688+H694+H700+H708+H714+H718+H734+H738+H742+H752</f>
        <v>143200000</v>
      </c>
      <c r="O665">
        <v>2837707</v>
      </c>
    </row>
    <row r="666" spans="1:15">
      <c r="A666" s="1303">
        <v>327</v>
      </c>
      <c r="B666" s="983" t="s">
        <v>719</v>
      </c>
      <c r="C666" s="986"/>
      <c r="D666" s="987"/>
      <c r="E666" s="983" t="s">
        <v>20</v>
      </c>
      <c r="F666" s="983"/>
      <c r="G666" s="412"/>
      <c r="H666" s="988">
        <v>10300000</v>
      </c>
      <c r="I666" s="916">
        <f>H666</f>
        <v>10300000</v>
      </c>
      <c r="J666" s="949"/>
      <c r="K666" s="984">
        <v>10300000</v>
      </c>
      <c r="L666" s="984">
        <v>10300000</v>
      </c>
      <c r="M666" s="1076">
        <f>K666-H666</f>
        <v>0</v>
      </c>
      <c r="N666" t="s">
        <v>518</v>
      </c>
      <c r="O666">
        <v>2837707</v>
      </c>
    </row>
    <row r="667" spans="1:15">
      <c r="A667" s="1304"/>
      <c r="B667" s="879"/>
      <c r="C667" s="914"/>
      <c r="D667" s="660"/>
      <c r="E667" s="879"/>
      <c r="F667" s="879"/>
      <c r="G667" s="412"/>
      <c r="H667" s="916"/>
      <c r="I667" s="906"/>
      <c r="J667" s="910"/>
      <c r="K667" s="920"/>
      <c r="L667" s="920"/>
      <c r="M667" s="901"/>
      <c r="O667">
        <v>2837707</v>
      </c>
    </row>
    <row r="668" spans="1:15">
      <c r="A668" s="1303">
        <v>328</v>
      </c>
      <c r="B668" s="1114"/>
      <c r="C668" s="986" t="s">
        <v>762</v>
      </c>
      <c r="D668" s="987" t="s">
        <v>761</v>
      </c>
      <c r="E668" s="983" t="s">
        <v>142</v>
      </c>
      <c r="F668" s="983" t="s">
        <v>765</v>
      </c>
      <c r="G668" s="412"/>
      <c r="H668" s="988">
        <v>455000</v>
      </c>
      <c r="I668" s="916">
        <f>H668</f>
        <v>455000</v>
      </c>
      <c r="J668" s="909"/>
      <c r="K668" s="984">
        <v>455000</v>
      </c>
      <c r="L668" s="984">
        <v>455000</v>
      </c>
      <c r="M668" s="1076">
        <f>K668-H668</f>
        <v>0</v>
      </c>
      <c r="O668">
        <v>2837707</v>
      </c>
    </row>
    <row r="669" spans="1:15">
      <c r="A669" s="1304"/>
      <c r="B669" s="1116"/>
      <c r="C669" s="914"/>
      <c r="D669" s="660"/>
      <c r="E669" s="879"/>
      <c r="F669" s="879"/>
      <c r="G669" s="412"/>
      <c r="H669" s="916"/>
      <c r="I669" s="906"/>
      <c r="J669" s="910"/>
      <c r="K669" s="920"/>
      <c r="L669" s="920"/>
      <c r="M669" s="901"/>
      <c r="O669">
        <v>2837707</v>
      </c>
    </row>
    <row r="670" spans="1:15">
      <c r="A670" s="1303">
        <v>329</v>
      </c>
      <c r="B670" s="983"/>
      <c r="C670" s="986" t="s">
        <v>763</v>
      </c>
      <c r="D670" s="987" t="s">
        <v>761</v>
      </c>
      <c r="E670" s="983" t="s">
        <v>768</v>
      </c>
      <c r="F670" s="983"/>
      <c r="G670" s="412" t="s">
        <v>439</v>
      </c>
      <c r="H670" s="988">
        <v>3680000</v>
      </c>
      <c r="I670" s="916">
        <f>H670</f>
        <v>3680000</v>
      </c>
      <c r="J670" s="909"/>
      <c r="K670" s="984">
        <v>3680000</v>
      </c>
      <c r="L670" s="984">
        <f>K670</f>
        <v>3680000</v>
      </c>
      <c r="M670" s="1076">
        <f>K670-H670</f>
        <v>0</v>
      </c>
      <c r="O670">
        <v>2837707</v>
      </c>
    </row>
    <row r="671" spans="1:15" ht="13.5" thickBot="1">
      <c r="A671" s="1304"/>
      <c r="B671" s="879"/>
      <c r="C671" s="914"/>
      <c r="D671" s="660"/>
      <c r="E671" s="879"/>
      <c r="F671" s="879"/>
      <c r="G671" s="412"/>
      <c r="H671" s="916"/>
      <c r="I671" s="906"/>
      <c r="J671" s="910"/>
      <c r="K671" s="920"/>
      <c r="L671" s="920"/>
      <c r="M671" s="901"/>
      <c r="O671">
        <v>2837707</v>
      </c>
    </row>
    <row r="672" spans="1:15">
      <c r="A672" s="1303">
        <v>330</v>
      </c>
      <c r="B672" s="1121" t="s">
        <v>726</v>
      </c>
      <c r="C672" s="1018" t="s">
        <v>728</v>
      </c>
      <c r="D672" s="1019" t="s">
        <v>729</v>
      </c>
      <c r="E672" s="1017" t="s">
        <v>731</v>
      </c>
      <c r="F672" s="1017"/>
      <c r="G672" s="410"/>
      <c r="H672" s="999">
        <v>903000</v>
      </c>
      <c r="I672" s="973">
        <f>H672</f>
        <v>903000</v>
      </c>
      <c r="J672" s="974"/>
      <c r="K672" s="1001">
        <v>903000</v>
      </c>
      <c r="L672" s="1001">
        <v>903000</v>
      </c>
      <c r="M672" s="1002">
        <f>K672-H672</f>
        <v>0</v>
      </c>
      <c r="O672">
        <v>2837707</v>
      </c>
    </row>
    <row r="673" spans="1:15">
      <c r="A673" s="1304"/>
      <c r="B673" s="1122"/>
      <c r="C673" s="914"/>
      <c r="D673" s="660"/>
      <c r="E673" s="879"/>
      <c r="F673" s="879"/>
      <c r="G673" s="412"/>
      <c r="H673" s="916"/>
      <c r="I673" s="906"/>
      <c r="J673" s="910"/>
      <c r="K673" s="920"/>
      <c r="L673" s="920"/>
      <c r="M673" s="951"/>
      <c r="O673">
        <v>2837707</v>
      </c>
    </row>
    <row r="674" spans="1:15">
      <c r="A674" s="1303">
        <v>331</v>
      </c>
      <c r="B674" s="1114"/>
      <c r="C674" s="986" t="s">
        <v>732</v>
      </c>
      <c r="D674" s="987" t="s">
        <v>729</v>
      </c>
      <c r="E674" s="983" t="s">
        <v>308</v>
      </c>
      <c r="F674" s="983"/>
      <c r="G674" s="412"/>
      <c r="H674" s="988">
        <v>2103</v>
      </c>
      <c r="I674" s="916">
        <f>J674*H674</f>
        <v>568861.5</v>
      </c>
      <c r="J674" s="909">
        <v>270.5</v>
      </c>
      <c r="K674" s="984">
        <v>2103</v>
      </c>
      <c r="L674" s="984">
        <v>2103</v>
      </c>
      <c r="M674" s="950">
        <v>0</v>
      </c>
      <c r="O674">
        <v>2837707</v>
      </c>
    </row>
    <row r="675" spans="1:15" ht="13.5" thickBot="1">
      <c r="A675" s="1304"/>
      <c r="B675" s="1115"/>
      <c r="C675" s="1249"/>
      <c r="D675" s="1196"/>
      <c r="E675" s="1197"/>
      <c r="F675" s="1197"/>
      <c r="G675" s="415"/>
      <c r="H675" s="1091"/>
      <c r="I675" s="943"/>
      <c r="J675" s="944"/>
      <c r="K675" s="1041"/>
      <c r="L675" s="1041"/>
      <c r="M675" s="1149"/>
      <c r="O675">
        <v>2837707</v>
      </c>
    </row>
    <row r="676" spans="1:15">
      <c r="A676" s="1303">
        <v>332</v>
      </c>
      <c r="B676" s="1121" t="s">
        <v>730</v>
      </c>
      <c r="C676" s="1018" t="s">
        <v>760</v>
      </c>
      <c r="D676" s="1019" t="s">
        <v>737</v>
      </c>
      <c r="E676" s="1017" t="s">
        <v>20</v>
      </c>
      <c r="F676" s="1017"/>
      <c r="G676" s="410"/>
      <c r="H676" s="999">
        <v>10000000</v>
      </c>
      <c r="I676" s="973">
        <f>H676</f>
        <v>10000000</v>
      </c>
      <c r="J676" s="974"/>
      <c r="K676" s="1001">
        <v>10000000</v>
      </c>
      <c r="L676" s="1001">
        <v>10000000</v>
      </c>
      <c r="M676" s="901">
        <f>K676-H676</f>
        <v>0</v>
      </c>
      <c r="O676">
        <v>2837707</v>
      </c>
    </row>
    <row r="677" spans="1:15">
      <c r="A677" s="1304"/>
      <c r="B677" s="1122"/>
      <c r="C677" s="914"/>
      <c r="D677" s="660"/>
      <c r="E677" s="879"/>
      <c r="F677" s="879"/>
      <c r="G677" s="412"/>
      <c r="H677" s="916"/>
      <c r="I677" s="906"/>
      <c r="J677" s="910"/>
      <c r="K677" s="920"/>
      <c r="L677" s="920"/>
      <c r="M677" s="903"/>
      <c r="O677">
        <v>2837707</v>
      </c>
    </row>
    <row r="678" spans="1:15">
      <c r="A678" s="1303">
        <v>333</v>
      </c>
      <c r="B678" s="1114"/>
      <c r="C678" s="986" t="s">
        <v>742</v>
      </c>
      <c r="D678" s="987" t="s">
        <v>745</v>
      </c>
      <c r="E678" s="983" t="s">
        <v>15</v>
      </c>
      <c r="F678" s="983"/>
      <c r="G678" s="412"/>
      <c r="H678" s="988">
        <v>2550000</v>
      </c>
      <c r="I678" s="916">
        <f>H678</f>
        <v>2550000</v>
      </c>
      <c r="J678" s="909"/>
      <c r="K678" s="984">
        <v>2550000</v>
      </c>
      <c r="L678" s="984">
        <v>2550000</v>
      </c>
      <c r="M678" s="903">
        <f>K678-H678</f>
        <v>0</v>
      </c>
      <c r="O678">
        <v>2837707</v>
      </c>
    </row>
    <row r="679" spans="1:15" ht="13.5" thickBot="1">
      <c r="A679" s="1304"/>
      <c r="B679" s="1115"/>
      <c r="C679" s="1249"/>
      <c r="D679" s="1196"/>
      <c r="E679" s="1197"/>
      <c r="F679" s="1197"/>
      <c r="G679" s="415"/>
      <c r="H679" s="1091"/>
      <c r="I679" s="943"/>
      <c r="J679" s="944"/>
      <c r="K679" s="1041"/>
      <c r="L679" s="1041"/>
      <c r="M679" s="1178"/>
      <c r="O679">
        <v>2837707</v>
      </c>
    </row>
    <row r="680" spans="1:15" ht="12.75" customHeight="1">
      <c r="A680" s="1303">
        <v>334</v>
      </c>
      <c r="B680" s="1121" t="s">
        <v>739</v>
      </c>
      <c r="C680" s="1018" t="s">
        <v>740</v>
      </c>
      <c r="D680" s="1019" t="s">
        <v>743</v>
      </c>
      <c r="E680" s="1017" t="s">
        <v>25</v>
      </c>
      <c r="F680" s="1017" t="s">
        <v>744</v>
      </c>
      <c r="G680" s="410"/>
      <c r="H680" s="999">
        <v>752000</v>
      </c>
      <c r="I680" s="973">
        <f>H680</f>
        <v>752000</v>
      </c>
      <c r="J680" s="974"/>
      <c r="K680" s="1001">
        <v>752000</v>
      </c>
      <c r="L680" s="1001">
        <v>752000</v>
      </c>
      <c r="M680" s="901">
        <f>K680-H680</f>
        <v>0</v>
      </c>
      <c r="O680">
        <v>2837707</v>
      </c>
    </row>
    <row r="681" spans="1:15" ht="12.75" customHeight="1">
      <c r="A681" s="1304"/>
      <c r="B681" s="1122"/>
      <c r="C681" s="914"/>
      <c r="D681" s="660"/>
      <c r="E681" s="879"/>
      <c r="F681" s="879"/>
      <c r="G681" s="412"/>
      <c r="H681" s="916"/>
      <c r="I681" s="906"/>
      <c r="J681" s="910"/>
      <c r="K681" s="920"/>
      <c r="L681" s="920"/>
      <c r="M681" s="903"/>
      <c r="O681">
        <v>2837707</v>
      </c>
    </row>
    <row r="682" spans="1:15" ht="12.75" customHeight="1">
      <c r="A682" s="1303">
        <v>335</v>
      </c>
      <c r="B682" s="1114"/>
      <c r="C682" s="986"/>
      <c r="D682" s="987"/>
      <c r="E682" s="1305"/>
      <c r="F682" s="983"/>
      <c r="G682" s="412"/>
      <c r="H682" s="988"/>
      <c r="I682" s="916"/>
      <c r="J682" s="909"/>
      <c r="K682" s="984"/>
      <c r="L682" s="984"/>
      <c r="M682" s="903">
        <f>K682-H682</f>
        <v>0</v>
      </c>
      <c r="O682">
        <v>2837707</v>
      </c>
    </row>
    <row r="683" spans="1:15" ht="13.5" customHeight="1" thickBot="1">
      <c r="A683" s="1304"/>
      <c r="B683" s="1115"/>
      <c r="C683" s="1249"/>
      <c r="D683" s="1196"/>
      <c r="E683" s="1306"/>
      <c r="F683" s="1197"/>
      <c r="G683" s="415"/>
      <c r="H683" s="1091"/>
      <c r="I683" s="943"/>
      <c r="J683" s="944"/>
      <c r="K683" s="1041"/>
      <c r="L683" s="1041"/>
      <c r="M683" s="1178"/>
      <c r="O683">
        <v>2837707</v>
      </c>
    </row>
    <row r="684" spans="1:15" ht="12.75" customHeight="1">
      <c r="A684" s="1303">
        <v>336</v>
      </c>
      <c r="B684" s="1121" t="s">
        <v>764</v>
      </c>
      <c r="C684" s="1018" t="s">
        <v>774</v>
      </c>
      <c r="D684" s="1019" t="s">
        <v>771</v>
      </c>
      <c r="E684" s="1017" t="s">
        <v>8</v>
      </c>
      <c r="F684" s="1017"/>
      <c r="G684" s="410"/>
      <c r="H684" s="999">
        <v>902000</v>
      </c>
      <c r="I684" s="973">
        <v>902000</v>
      </c>
      <c r="J684" s="974"/>
      <c r="K684" s="1001">
        <v>902000</v>
      </c>
      <c r="L684" s="1001">
        <v>902000</v>
      </c>
      <c r="M684" s="901">
        <f>K684-H684</f>
        <v>0</v>
      </c>
      <c r="O684">
        <v>2837707</v>
      </c>
    </row>
    <row r="685" spans="1:15" ht="12.75" customHeight="1">
      <c r="A685" s="1304"/>
      <c r="B685" s="1122"/>
      <c r="C685" s="914"/>
      <c r="D685" s="660"/>
      <c r="E685" s="879"/>
      <c r="F685" s="879"/>
      <c r="G685" s="412"/>
      <c r="H685" s="916"/>
      <c r="I685" s="906"/>
      <c r="J685" s="910"/>
      <c r="K685" s="920"/>
      <c r="L685" s="920"/>
      <c r="M685" s="903"/>
      <c r="O685">
        <v>2837707</v>
      </c>
    </row>
    <row r="686" spans="1:15" ht="12.75" customHeight="1">
      <c r="A686" s="1303">
        <v>337</v>
      </c>
      <c r="B686" s="1114"/>
      <c r="C686" s="986"/>
      <c r="D686" s="987"/>
      <c r="E686" s="1305"/>
      <c r="F686" s="983"/>
      <c r="G686" s="412"/>
      <c r="H686" s="988"/>
      <c r="I686" s="916"/>
      <c r="J686" s="909"/>
      <c r="K686" s="984"/>
      <c r="L686" s="984"/>
      <c r="M686" s="903">
        <f>K686-H686</f>
        <v>0</v>
      </c>
      <c r="O686">
        <v>2837707</v>
      </c>
    </row>
    <row r="687" spans="1:15" ht="13.5" customHeight="1" thickBot="1">
      <c r="A687" s="1304"/>
      <c r="B687" s="1115"/>
      <c r="C687" s="1249"/>
      <c r="D687" s="1196"/>
      <c r="E687" s="1306"/>
      <c r="F687" s="1197"/>
      <c r="G687" s="415"/>
      <c r="H687" s="1091"/>
      <c r="I687" s="943"/>
      <c r="J687" s="944"/>
      <c r="K687" s="1041"/>
      <c r="L687" s="1041"/>
      <c r="M687" s="903"/>
      <c r="O687">
        <v>2837707</v>
      </c>
    </row>
    <row r="688" spans="1:15" ht="12.75" customHeight="1">
      <c r="A688" s="1303">
        <v>338</v>
      </c>
      <c r="B688" s="1121" t="s">
        <v>746</v>
      </c>
      <c r="C688" s="1018"/>
      <c r="D688" s="1019"/>
      <c r="E688" s="1017" t="s">
        <v>20</v>
      </c>
      <c r="F688" s="1017"/>
      <c r="G688" s="410"/>
      <c r="H688" s="999">
        <v>10000000</v>
      </c>
      <c r="I688" s="973">
        <v>10000000</v>
      </c>
      <c r="J688" s="974"/>
      <c r="K688" s="1001">
        <v>10000000</v>
      </c>
      <c r="L688" s="1001">
        <v>10000000</v>
      </c>
      <c r="M688" s="903">
        <f>K688-H688</f>
        <v>0</v>
      </c>
      <c r="O688">
        <v>2837707</v>
      </c>
    </row>
    <row r="689" spans="1:15" ht="12.75" customHeight="1">
      <c r="A689" s="1304"/>
      <c r="B689" s="1122"/>
      <c r="C689" s="914"/>
      <c r="D689" s="660"/>
      <c r="E689" s="879"/>
      <c r="F689" s="879"/>
      <c r="G689" s="412"/>
      <c r="H689" s="916"/>
      <c r="I689" s="906"/>
      <c r="J689" s="910"/>
      <c r="K689" s="920"/>
      <c r="L689" s="920"/>
      <c r="M689" s="903"/>
      <c r="O689">
        <v>2837707</v>
      </c>
    </row>
    <row r="690" spans="1:15" ht="12.75" customHeight="1">
      <c r="A690" s="1303">
        <v>339</v>
      </c>
      <c r="B690" s="1114"/>
      <c r="C690" s="986" t="s">
        <v>772</v>
      </c>
      <c r="D690" s="987" t="s">
        <v>771</v>
      </c>
      <c r="E690" s="983" t="s">
        <v>769</v>
      </c>
      <c r="F690" s="983"/>
      <c r="G690" s="412"/>
      <c r="H690" s="988">
        <v>2250000</v>
      </c>
      <c r="I690" s="916">
        <f>H690</f>
        <v>2250000</v>
      </c>
      <c r="J690" s="909"/>
      <c r="K690" s="984">
        <v>2250000</v>
      </c>
      <c r="L690" s="984">
        <v>2250000</v>
      </c>
      <c r="M690" s="903">
        <f>K690-H690</f>
        <v>0</v>
      </c>
      <c r="O690">
        <v>2837707</v>
      </c>
    </row>
    <row r="691" spans="1:15" ht="12.75" customHeight="1">
      <c r="A691" s="1304"/>
      <c r="B691" s="1116"/>
      <c r="C691" s="914"/>
      <c r="D691" s="660"/>
      <c r="E691" s="879"/>
      <c r="F691" s="879"/>
      <c r="G691" s="412"/>
      <c r="H691" s="916"/>
      <c r="I691" s="906"/>
      <c r="J691" s="910"/>
      <c r="K691" s="920"/>
      <c r="L691" s="920"/>
      <c r="M691" s="903"/>
      <c r="O691">
        <v>2837707</v>
      </c>
    </row>
    <row r="692" spans="1:15" ht="12.75" customHeight="1">
      <c r="A692" s="1303">
        <v>340</v>
      </c>
      <c r="B692" s="1301"/>
      <c r="C692" s="986" t="s">
        <v>773</v>
      </c>
      <c r="D692" s="987" t="s">
        <v>771</v>
      </c>
      <c r="E692" s="983" t="s">
        <v>770</v>
      </c>
      <c r="F692" s="983"/>
      <c r="G692" s="412"/>
      <c r="H692" s="988">
        <v>3000000</v>
      </c>
      <c r="I692" s="916">
        <f>H692</f>
        <v>3000000</v>
      </c>
      <c r="J692" s="909"/>
      <c r="K692" s="984">
        <v>3000000</v>
      </c>
      <c r="L692" s="984">
        <v>3000000</v>
      </c>
      <c r="M692" s="903">
        <f>K692-H692</f>
        <v>0</v>
      </c>
      <c r="O692">
        <v>2837707</v>
      </c>
    </row>
    <row r="693" spans="1:15" ht="13.5" customHeight="1" thickBot="1">
      <c r="A693" s="1304"/>
      <c r="B693" s="1230"/>
      <c r="C693" s="1249"/>
      <c r="D693" s="1196"/>
      <c r="E693" s="1197"/>
      <c r="F693" s="1197"/>
      <c r="G693" s="415"/>
      <c r="H693" s="1091"/>
      <c r="I693" s="943"/>
      <c r="J693" s="944"/>
      <c r="K693" s="1041"/>
      <c r="L693" s="1041"/>
      <c r="M693" s="1178"/>
      <c r="O693">
        <v>2837707</v>
      </c>
    </row>
    <row r="694" spans="1:15" ht="12.75" customHeight="1">
      <c r="A694" s="1303">
        <v>341</v>
      </c>
      <c r="B694" s="1121" t="s">
        <v>838</v>
      </c>
      <c r="C694" s="1018"/>
      <c r="D694" s="1019"/>
      <c r="E694" s="1017" t="s">
        <v>20</v>
      </c>
      <c r="F694" s="1017"/>
      <c r="G694" s="410"/>
      <c r="H694" s="999">
        <v>9700000</v>
      </c>
      <c r="I694" s="973">
        <v>9700000</v>
      </c>
      <c r="J694" s="974"/>
      <c r="K694" s="1001">
        <v>9700000</v>
      </c>
      <c r="L694" s="1001">
        <v>9700000</v>
      </c>
      <c r="M694" s="901">
        <f>K694-H694</f>
        <v>0</v>
      </c>
      <c r="O694">
        <v>2837707</v>
      </c>
    </row>
    <row r="695" spans="1:15" ht="12.75" customHeight="1">
      <c r="A695" s="1304"/>
      <c r="B695" s="1122"/>
      <c r="C695" s="914"/>
      <c r="D695" s="660"/>
      <c r="E695" s="879"/>
      <c r="F695" s="879"/>
      <c r="G695" s="412"/>
      <c r="H695" s="916"/>
      <c r="I695" s="906"/>
      <c r="J695" s="910"/>
      <c r="K695" s="920"/>
      <c r="L695" s="920"/>
      <c r="M695" s="903"/>
      <c r="O695">
        <v>2837707</v>
      </c>
    </row>
    <row r="696" spans="1:15" ht="12.75" customHeight="1">
      <c r="A696" s="1303">
        <v>342</v>
      </c>
      <c r="B696" s="1114"/>
      <c r="C696" s="986" t="s">
        <v>778</v>
      </c>
      <c r="D696" s="987" t="s">
        <v>780</v>
      </c>
      <c r="E696" s="983" t="s">
        <v>324</v>
      </c>
      <c r="F696" s="983"/>
      <c r="G696" s="412"/>
      <c r="H696" s="988">
        <v>1800000</v>
      </c>
      <c r="I696" s="916">
        <f>H696</f>
        <v>1800000</v>
      </c>
      <c r="J696" s="909"/>
      <c r="K696" s="984">
        <v>1800000</v>
      </c>
      <c r="L696" s="984">
        <v>1800000</v>
      </c>
      <c r="M696" s="903">
        <f>K696-H696</f>
        <v>0</v>
      </c>
      <c r="O696">
        <v>2837707</v>
      </c>
    </row>
    <row r="697" spans="1:15" ht="25.5">
      <c r="A697" s="1304"/>
      <c r="B697" s="1116"/>
      <c r="C697" s="914"/>
      <c r="D697" s="660"/>
      <c r="E697" s="879"/>
      <c r="F697" s="879"/>
      <c r="G697" s="412" t="s">
        <v>785</v>
      </c>
      <c r="H697" s="916"/>
      <c r="I697" s="906"/>
      <c r="J697" s="910"/>
      <c r="K697" s="920"/>
      <c r="L697" s="920"/>
      <c r="M697" s="903"/>
      <c r="O697">
        <v>2837707</v>
      </c>
    </row>
    <row r="698" spans="1:15" ht="12.75" customHeight="1">
      <c r="A698" s="1303">
        <v>343</v>
      </c>
      <c r="B698" s="1114"/>
      <c r="C698" s="986" t="s">
        <v>779</v>
      </c>
      <c r="D698" s="987" t="s">
        <v>783</v>
      </c>
      <c r="E698" s="983" t="s">
        <v>777</v>
      </c>
      <c r="F698" s="983"/>
      <c r="G698" s="412"/>
      <c r="H698" s="988">
        <v>700000</v>
      </c>
      <c r="I698" s="916">
        <v>700000</v>
      </c>
      <c r="J698" s="909"/>
      <c r="K698" s="984">
        <v>700000</v>
      </c>
      <c r="L698" s="984">
        <v>700000</v>
      </c>
      <c r="M698" s="903">
        <f>K698-H698</f>
        <v>0</v>
      </c>
      <c r="O698">
        <v>2837707</v>
      </c>
    </row>
    <row r="699" spans="1:15" ht="13.5" customHeight="1" thickBot="1">
      <c r="A699" s="1304"/>
      <c r="B699" s="1116"/>
      <c r="C699" s="986"/>
      <c r="D699" s="987"/>
      <c r="E699" s="983"/>
      <c r="F699" s="983"/>
      <c r="G699" s="417"/>
      <c r="H699" s="988"/>
      <c r="I699" s="982"/>
      <c r="J699" s="917"/>
      <c r="K699" s="984"/>
      <c r="L699" s="984"/>
      <c r="M699" s="1178"/>
      <c r="O699">
        <v>2837707</v>
      </c>
    </row>
    <row r="700" spans="1:15">
      <c r="A700" s="1303">
        <v>344</v>
      </c>
      <c r="B700" s="975" t="s">
        <v>767</v>
      </c>
      <c r="C700" s="1018" t="s">
        <v>789</v>
      </c>
      <c r="D700" s="1019" t="s">
        <v>784</v>
      </c>
      <c r="E700" s="1017" t="s">
        <v>20</v>
      </c>
      <c r="F700" s="1017"/>
      <c r="G700" s="410"/>
      <c r="H700" s="999">
        <v>10000000</v>
      </c>
      <c r="I700" s="973">
        <f>H700</f>
        <v>10000000</v>
      </c>
      <c r="J700" s="974"/>
      <c r="K700" s="1001">
        <v>10000000</v>
      </c>
      <c r="L700" s="1001">
        <v>10000000</v>
      </c>
      <c r="M700" s="901">
        <f>K700-H700</f>
        <v>0</v>
      </c>
      <c r="O700">
        <v>2837707</v>
      </c>
    </row>
    <row r="701" spans="1:15">
      <c r="A701" s="1304"/>
      <c r="B701" s="976"/>
      <c r="C701" s="914"/>
      <c r="D701" s="660"/>
      <c r="E701" s="879"/>
      <c r="F701" s="879"/>
      <c r="G701" s="412"/>
      <c r="H701" s="916"/>
      <c r="I701" s="906"/>
      <c r="J701" s="910"/>
      <c r="K701" s="920"/>
      <c r="L701" s="920"/>
      <c r="M701" s="903"/>
      <c r="O701">
        <v>2837707</v>
      </c>
    </row>
    <row r="702" spans="1:15" ht="25.5">
      <c r="A702" s="1303">
        <v>345</v>
      </c>
      <c r="B702" s="1079"/>
      <c r="C702" s="986" t="s">
        <v>782</v>
      </c>
      <c r="D702" s="987" t="s">
        <v>783</v>
      </c>
      <c r="E702" s="983" t="s">
        <v>142</v>
      </c>
      <c r="F702" s="983"/>
      <c r="G702" s="412" t="s">
        <v>786</v>
      </c>
      <c r="H702" s="988">
        <v>460000</v>
      </c>
      <c r="I702" s="916">
        <v>460000</v>
      </c>
      <c r="J702" s="909"/>
      <c r="K702" s="984">
        <v>460000</v>
      </c>
      <c r="L702" s="984">
        <v>460000</v>
      </c>
      <c r="M702" s="901">
        <f>H702-K702</f>
        <v>0</v>
      </c>
      <c r="O702">
        <v>2837707</v>
      </c>
    </row>
    <row r="703" spans="1:15" ht="13.5" customHeight="1" thickBot="1">
      <c r="A703" s="1304"/>
      <c r="B703" s="1080"/>
      <c r="C703" s="1249"/>
      <c r="D703" s="1196"/>
      <c r="E703" s="1197"/>
      <c r="F703" s="1197"/>
      <c r="G703" s="415"/>
      <c r="H703" s="1091"/>
      <c r="I703" s="943"/>
      <c r="J703" s="944"/>
      <c r="K703" s="1041"/>
      <c r="L703" s="1041"/>
      <c r="M703" s="903"/>
      <c r="O703">
        <v>2837707</v>
      </c>
    </row>
    <row r="704" spans="1:15">
      <c r="A704" s="1303">
        <v>346</v>
      </c>
      <c r="B704" s="1121" t="s">
        <v>776</v>
      </c>
      <c r="C704" s="1018" t="s">
        <v>791</v>
      </c>
      <c r="D704" s="1019" t="s">
        <v>780</v>
      </c>
      <c r="E704" s="1017" t="s">
        <v>775</v>
      </c>
      <c r="F704" s="1017"/>
      <c r="G704" s="410"/>
      <c r="H704" s="999">
        <v>607000</v>
      </c>
      <c r="I704" s="973">
        <f>H704</f>
        <v>607000</v>
      </c>
      <c r="J704" s="974"/>
      <c r="K704" s="1001">
        <v>607000</v>
      </c>
      <c r="L704" s="1001">
        <v>607000</v>
      </c>
      <c r="M704" s="1002">
        <f>H704-K704</f>
        <v>0</v>
      </c>
      <c r="O704">
        <v>2837707</v>
      </c>
    </row>
    <row r="705" spans="1:15">
      <c r="A705" s="1304"/>
      <c r="B705" s="1122"/>
      <c r="C705" s="914"/>
      <c r="D705" s="660"/>
      <c r="E705" s="879"/>
      <c r="F705" s="879"/>
      <c r="G705" s="412"/>
      <c r="H705" s="916"/>
      <c r="I705" s="906"/>
      <c r="J705" s="910"/>
      <c r="K705" s="920"/>
      <c r="L705" s="920"/>
      <c r="M705" s="951"/>
      <c r="O705">
        <v>2837707</v>
      </c>
    </row>
    <row r="706" spans="1:15">
      <c r="A706" s="1303">
        <v>347</v>
      </c>
      <c r="B706" s="1114"/>
      <c r="C706" s="986" t="s">
        <v>792</v>
      </c>
      <c r="D706" s="987" t="s">
        <v>780</v>
      </c>
      <c r="E706" s="983" t="s">
        <v>308</v>
      </c>
      <c r="F706" s="983"/>
      <c r="G706" s="412"/>
      <c r="H706" s="988">
        <v>2470</v>
      </c>
      <c r="I706" s="916">
        <f>H706*J706</f>
        <v>682955</v>
      </c>
      <c r="J706" s="909">
        <v>276.5</v>
      </c>
      <c r="K706" s="984">
        <v>2470</v>
      </c>
      <c r="L706" s="984">
        <v>2470</v>
      </c>
      <c r="M706" s="985"/>
      <c r="O706">
        <v>2837707</v>
      </c>
    </row>
    <row r="707" spans="1:15" ht="13.5" thickBot="1">
      <c r="A707" s="1304"/>
      <c r="B707" s="1115"/>
      <c r="C707" s="1249"/>
      <c r="D707" s="1196"/>
      <c r="E707" s="1197"/>
      <c r="F707" s="1197"/>
      <c r="G707" s="415"/>
      <c r="H707" s="1091"/>
      <c r="I707" s="943"/>
      <c r="J707" s="944"/>
      <c r="K707" s="1041"/>
      <c r="L707" s="1041"/>
      <c r="M707" s="1149"/>
      <c r="O707">
        <v>2837707</v>
      </c>
    </row>
    <row r="708" spans="1:15" ht="12.75" customHeight="1">
      <c r="A708" s="1303">
        <v>348</v>
      </c>
      <c r="B708" s="1121" t="s">
        <v>781</v>
      </c>
      <c r="C708" s="1018"/>
      <c r="D708" s="1019" t="s">
        <v>783</v>
      </c>
      <c r="E708" s="1017" t="s">
        <v>20</v>
      </c>
      <c r="F708" s="1017"/>
      <c r="G708" s="410"/>
      <c r="H708" s="999">
        <v>10000000</v>
      </c>
      <c r="I708" s="973">
        <f>H708</f>
        <v>10000000</v>
      </c>
      <c r="J708" s="974"/>
      <c r="K708" s="1001">
        <v>10000000</v>
      </c>
      <c r="L708" s="1001">
        <v>10000</v>
      </c>
      <c r="M708" s="985">
        <f>K708-H708</f>
        <v>0</v>
      </c>
      <c r="O708">
        <v>2837707</v>
      </c>
    </row>
    <row r="709" spans="1:15" ht="12.75" customHeight="1" thickBot="1">
      <c r="A709" s="1304"/>
      <c r="B709" s="1122"/>
      <c r="C709" s="914"/>
      <c r="D709" s="660"/>
      <c r="E709" s="879"/>
      <c r="F709" s="879"/>
      <c r="G709" s="412"/>
      <c r="H709" s="916"/>
      <c r="I709" s="906"/>
      <c r="J709" s="910"/>
      <c r="K709" s="920"/>
      <c r="L709" s="920"/>
      <c r="M709" s="1149"/>
      <c r="O709">
        <v>2837707</v>
      </c>
    </row>
    <row r="710" spans="1:15" ht="12.75" customHeight="1">
      <c r="A710" s="1303">
        <v>349</v>
      </c>
      <c r="B710" s="1114"/>
      <c r="C710" s="986" t="s">
        <v>799</v>
      </c>
      <c r="D710" s="987" t="s">
        <v>798</v>
      </c>
      <c r="E710" s="983" t="s">
        <v>738</v>
      </c>
      <c r="F710" s="983"/>
      <c r="G710" s="412"/>
      <c r="H710" s="988">
        <v>5200000</v>
      </c>
      <c r="I710" s="916">
        <f>H710</f>
        <v>5200000</v>
      </c>
      <c r="J710" s="909"/>
      <c r="K710" s="984">
        <v>5200000</v>
      </c>
      <c r="L710" s="984">
        <v>5200000</v>
      </c>
      <c r="M710" s="985">
        <f>K710-H710</f>
        <v>0</v>
      </c>
      <c r="O710">
        <v>2837707</v>
      </c>
    </row>
    <row r="711" spans="1:15" ht="12.75" customHeight="1" thickBot="1">
      <c r="A711" s="1304"/>
      <c r="B711" s="1116"/>
      <c r="C711" s="914"/>
      <c r="D711" s="660"/>
      <c r="E711" s="879"/>
      <c r="F711" s="879"/>
      <c r="G711" s="412"/>
      <c r="H711" s="916"/>
      <c r="I711" s="906"/>
      <c r="J711" s="910"/>
      <c r="K711" s="920"/>
      <c r="L711" s="920"/>
      <c r="M711" s="1149"/>
      <c r="O711">
        <v>2837707</v>
      </c>
    </row>
    <row r="712" spans="1:15" ht="12.75" customHeight="1">
      <c r="A712" s="1303">
        <v>350</v>
      </c>
      <c r="B712" s="1301"/>
      <c r="C712" s="986" t="s">
        <v>800</v>
      </c>
      <c r="D712" s="987" t="s">
        <v>798</v>
      </c>
      <c r="E712" s="983" t="s">
        <v>808</v>
      </c>
      <c r="F712" s="983"/>
      <c r="G712" s="412" t="s">
        <v>120</v>
      </c>
      <c r="H712" s="988">
        <v>1808000</v>
      </c>
      <c r="I712" s="916">
        <f>H712</f>
        <v>1808000</v>
      </c>
      <c r="J712" s="909"/>
      <c r="K712" s="984">
        <v>1808000</v>
      </c>
      <c r="L712" s="984">
        <v>1808000</v>
      </c>
      <c r="M712" s="985">
        <f>K712-H712</f>
        <v>0</v>
      </c>
      <c r="O712">
        <v>2837707</v>
      </c>
    </row>
    <row r="713" spans="1:15" ht="13.5" customHeight="1" thickBot="1">
      <c r="A713" s="1304"/>
      <c r="B713" s="1230"/>
      <c r="C713" s="1249"/>
      <c r="D713" s="1196"/>
      <c r="E713" s="1197"/>
      <c r="F713" s="1197"/>
      <c r="G713" s="415"/>
      <c r="H713" s="1091"/>
      <c r="I713" s="943"/>
      <c r="J713" s="944"/>
      <c r="K713" s="1041"/>
      <c r="L713" s="1041"/>
      <c r="M713" s="1149"/>
      <c r="O713">
        <v>2837707</v>
      </c>
    </row>
    <row r="714" spans="1:15" ht="12.75" customHeight="1">
      <c r="A714" s="1303">
        <v>351</v>
      </c>
      <c r="B714" s="1121" t="s">
        <v>787</v>
      </c>
      <c r="C714" s="1018"/>
      <c r="D714" s="1019" t="s">
        <v>803</v>
      </c>
      <c r="E714" s="1017" t="s">
        <v>20</v>
      </c>
      <c r="F714" s="1017"/>
      <c r="G714" s="410"/>
      <c r="H714" s="999">
        <v>9700000</v>
      </c>
      <c r="I714" s="973">
        <f>H714</f>
        <v>9700000</v>
      </c>
      <c r="J714" s="974"/>
      <c r="K714" s="1001">
        <v>9700000</v>
      </c>
      <c r="L714" s="1001">
        <v>9700000</v>
      </c>
      <c r="M714" s="985">
        <f>K714-H714</f>
        <v>0</v>
      </c>
      <c r="O714">
        <v>2837707</v>
      </c>
    </row>
    <row r="715" spans="1:15" ht="12.75" customHeight="1" thickBot="1">
      <c r="A715" s="1304"/>
      <c r="B715" s="1122"/>
      <c r="C715" s="914"/>
      <c r="D715" s="660"/>
      <c r="E715" s="879"/>
      <c r="F715" s="879"/>
      <c r="G715" s="412"/>
      <c r="H715" s="916"/>
      <c r="I715" s="906"/>
      <c r="J715" s="910"/>
      <c r="K715" s="920"/>
      <c r="L715" s="920"/>
      <c r="M715" s="1149"/>
      <c r="O715">
        <v>2837707</v>
      </c>
    </row>
    <row r="716" spans="1:15" ht="12.75" customHeight="1">
      <c r="A716" s="1303">
        <v>352</v>
      </c>
      <c r="B716" s="1079"/>
      <c r="C716" s="986" t="s">
        <v>807</v>
      </c>
      <c r="D716" s="987" t="s">
        <v>806</v>
      </c>
      <c r="E716" s="983" t="s">
        <v>804</v>
      </c>
      <c r="F716" s="983"/>
      <c r="G716" s="412"/>
      <c r="H716" s="988">
        <v>3600000</v>
      </c>
      <c r="I716" s="916">
        <f>H716</f>
        <v>3600000</v>
      </c>
      <c r="J716" s="909"/>
      <c r="K716" s="984">
        <v>3600000</v>
      </c>
      <c r="L716" s="984">
        <v>3600000</v>
      </c>
      <c r="M716" s="985">
        <f>K716-H716</f>
        <v>0</v>
      </c>
      <c r="O716">
        <v>2837707</v>
      </c>
    </row>
    <row r="717" spans="1:15" ht="13.5" customHeight="1" thickBot="1">
      <c r="A717" s="1304"/>
      <c r="B717" s="1114"/>
      <c r="C717" s="986"/>
      <c r="D717" s="987"/>
      <c r="E717" s="983"/>
      <c r="F717" s="983"/>
      <c r="G717" s="417"/>
      <c r="H717" s="988"/>
      <c r="I717" s="982"/>
      <c r="J717" s="917"/>
      <c r="K717" s="984"/>
      <c r="L717" s="984"/>
      <c r="M717" s="1149"/>
      <c r="O717">
        <v>2837707</v>
      </c>
    </row>
    <row r="718" spans="1:15" ht="12.75" customHeight="1">
      <c r="A718" s="1303">
        <v>353</v>
      </c>
      <c r="B718" s="1121" t="s">
        <v>788</v>
      </c>
      <c r="C718" s="1018"/>
      <c r="D718" s="1019"/>
      <c r="E718" s="1017" t="s">
        <v>20</v>
      </c>
      <c r="F718" s="1017"/>
      <c r="G718" s="410"/>
      <c r="H718" s="999">
        <v>10000000</v>
      </c>
      <c r="I718" s="973">
        <f>H718</f>
        <v>10000000</v>
      </c>
      <c r="J718" s="974"/>
      <c r="K718" s="1001">
        <v>10000000</v>
      </c>
      <c r="L718" s="1001"/>
      <c r="M718" s="985">
        <f>K718-H718</f>
        <v>0</v>
      </c>
      <c r="O718">
        <v>2837707</v>
      </c>
    </row>
    <row r="719" spans="1:15" ht="12.75" customHeight="1" thickBot="1">
      <c r="A719" s="1304"/>
      <c r="B719" s="1122"/>
      <c r="C719" s="914"/>
      <c r="D719" s="660"/>
      <c r="E719" s="879"/>
      <c r="F719" s="879"/>
      <c r="G719" s="412"/>
      <c r="H719" s="916"/>
      <c r="I719" s="906"/>
      <c r="J719" s="910"/>
      <c r="K719" s="920"/>
      <c r="L719" s="920"/>
      <c r="M719" s="1149"/>
      <c r="O719">
        <v>2837707</v>
      </c>
    </row>
    <row r="720" spans="1:15" ht="12.75" customHeight="1">
      <c r="A720" s="1303">
        <v>354</v>
      </c>
      <c r="B720" s="1079"/>
      <c r="C720" s="986" t="s">
        <v>801</v>
      </c>
      <c r="D720" s="987" t="s">
        <v>802</v>
      </c>
      <c r="E720" s="983" t="s">
        <v>805</v>
      </c>
      <c r="F720" s="983"/>
      <c r="G720" s="412" t="s">
        <v>817</v>
      </c>
      <c r="H720" s="988">
        <v>5000000</v>
      </c>
      <c r="I720" s="916">
        <f>H720</f>
        <v>5000000</v>
      </c>
      <c r="J720" s="909"/>
      <c r="K720" s="984">
        <v>5000000</v>
      </c>
      <c r="L720" s="984">
        <v>5000000</v>
      </c>
      <c r="M720" s="985">
        <f>K720-H720</f>
        <v>0</v>
      </c>
      <c r="O720">
        <v>2837707</v>
      </c>
    </row>
    <row r="721" spans="1:15" ht="12.75" customHeight="1" thickBot="1">
      <c r="A721" s="1304"/>
      <c r="B721" s="1080"/>
      <c r="C721" s="1249"/>
      <c r="D721" s="1196"/>
      <c r="E721" s="1197"/>
      <c r="F721" s="1197"/>
      <c r="G721" s="415"/>
      <c r="H721" s="1091"/>
      <c r="I721" s="943"/>
      <c r="J721" s="944"/>
      <c r="K721" s="1041"/>
      <c r="L721" s="1041"/>
      <c r="M721" s="1149"/>
      <c r="O721">
        <v>2837707</v>
      </c>
    </row>
    <row r="722" spans="1:15" ht="12.75" customHeight="1">
      <c r="A722" s="1303">
        <v>355</v>
      </c>
      <c r="B722" s="983" t="s">
        <v>793</v>
      </c>
      <c r="C722" s="986" t="s">
        <v>6</v>
      </c>
      <c r="D722" s="987" t="s">
        <v>806</v>
      </c>
      <c r="E722" s="983" t="s">
        <v>13</v>
      </c>
      <c r="F722" s="983"/>
      <c r="G722" s="412"/>
      <c r="H722" s="988">
        <v>3300</v>
      </c>
      <c r="I722" s="916">
        <f>H722*J722</f>
        <v>938850</v>
      </c>
      <c r="J722" s="909">
        <v>284.5</v>
      </c>
      <c r="K722" s="984">
        <v>3300</v>
      </c>
      <c r="L722" s="984">
        <v>3300</v>
      </c>
      <c r="M722" s="985">
        <f>K722-H722</f>
        <v>0</v>
      </c>
      <c r="O722">
        <v>2837707</v>
      </c>
    </row>
    <row r="723" spans="1:15" ht="12.75" customHeight="1" thickBot="1">
      <c r="A723" s="1304"/>
      <c r="B723" s="879"/>
      <c r="C723" s="914"/>
      <c r="D723" s="660"/>
      <c r="E723" s="879"/>
      <c r="F723" s="879"/>
      <c r="G723" s="412"/>
      <c r="H723" s="916"/>
      <c r="I723" s="906"/>
      <c r="J723" s="910"/>
      <c r="K723" s="920"/>
      <c r="L723" s="920"/>
      <c r="M723" s="1149"/>
      <c r="O723">
        <v>2837707</v>
      </c>
    </row>
    <row r="724" spans="1:15" ht="12.75" customHeight="1">
      <c r="A724" s="1303">
        <v>356</v>
      </c>
      <c r="B724" s="1114"/>
      <c r="C724" s="986" t="s">
        <v>812</v>
      </c>
      <c r="D724" s="987" t="s">
        <v>816</v>
      </c>
      <c r="E724" s="983" t="s">
        <v>142</v>
      </c>
      <c r="F724" s="983"/>
      <c r="G724" s="412"/>
      <c r="H724" s="988">
        <v>460000</v>
      </c>
      <c r="I724" s="916">
        <v>460000</v>
      </c>
      <c r="J724" s="909"/>
      <c r="K724" s="984">
        <v>460000</v>
      </c>
      <c r="L724" s="984">
        <v>460000</v>
      </c>
      <c r="M724" s="1002">
        <f>K724-H724</f>
        <v>0</v>
      </c>
      <c r="O724">
        <v>2837707</v>
      </c>
    </row>
    <row r="725" spans="1:15" ht="12.75" customHeight="1">
      <c r="A725" s="1304"/>
      <c r="B725" s="1116"/>
      <c r="C725" s="914"/>
      <c r="D725" s="660"/>
      <c r="E725" s="879"/>
      <c r="F725" s="879"/>
      <c r="G725" s="412"/>
      <c r="H725" s="916"/>
      <c r="I725" s="906"/>
      <c r="J725" s="910"/>
      <c r="K725" s="920"/>
      <c r="L725" s="920"/>
      <c r="M725" s="985"/>
      <c r="O725">
        <v>2837707</v>
      </c>
    </row>
    <row r="726" spans="1:15" ht="12.75" customHeight="1">
      <c r="A726" s="1303">
        <v>357</v>
      </c>
      <c r="B726" s="1159"/>
      <c r="C726" s="913" t="s">
        <v>820</v>
      </c>
      <c r="D726" s="659" t="s">
        <v>816</v>
      </c>
      <c r="E726" s="878" t="s">
        <v>819</v>
      </c>
      <c r="F726" s="878"/>
      <c r="G726" s="409" t="s">
        <v>858</v>
      </c>
      <c r="H726" s="915">
        <v>2500000</v>
      </c>
      <c r="I726" s="905">
        <v>2500000</v>
      </c>
      <c r="J726" s="909"/>
      <c r="K726" s="919">
        <v>2500000</v>
      </c>
      <c r="L726" s="919">
        <v>2500000</v>
      </c>
      <c r="M726" s="903">
        <f>K726-H726</f>
        <v>0</v>
      </c>
      <c r="O726">
        <v>2837707</v>
      </c>
    </row>
    <row r="727" spans="1:15" ht="12.75" customHeight="1">
      <c r="A727" s="1304"/>
      <c r="B727" s="1122"/>
      <c r="C727" s="914"/>
      <c r="D727" s="660"/>
      <c r="E727" s="879"/>
      <c r="F727" s="879"/>
      <c r="G727" s="412"/>
      <c r="H727" s="916"/>
      <c r="I727" s="906"/>
      <c r="J727" s="910"/>
      <c r="K727" s="920"/>
      <c r="L727" s="920"/>
      <c r="M727" s="903"/>
      <c r="O727">
        <v>2837707</v>
      </c>
    </row>
    <row r="728" spans="1:15" ht="12.75" customHeight="1">
      <c r="A728" s="1303">
        <v>358</v>
      </c>
      <c r="B728" s="983"/>
      <c r="C728" s="986" t="s">
        <v>813</v>
      </c>
      <c r="D728" s="987" t="s">
        <v>816</v>
      </c>
      <c r="E728" s="983" t="s">
        <v>724</v>
      </c>
      <c r="F728" s="983"/>
      <c r="G728" s="412"/>
      <c r="H728" s="988">
        <v>2250000</v>
      </c>
      <c r="I728" s="916">
        <f>H728</f>
        <v>2250000</v>
      </c>
      <c r="J728" s="949"/>
      <c r="K728" s="984">
        <v>2250000</v>
      </c>
      <c r="L728" s="984">
        <v>2250000</v>
      </c>
      <c r="M728" s="903">
        <f>K728-H728</f>
        <v>0</v>
      </c>
      <c r="O728">
        <v>2837707</v>
      </c>
    </row>
    <row r="729" spans="1:15" ht="12.75" customHeight="1" thickBot="1">
      <c r="A729" s="1304"/>
      <c r="B729" s="983"/>
      <c r="C729" s="986"/>
      <c r="D729" s="987"/>
      <c r="E729" s="983"/>
      <c r="F729" s="983"/>
      <c r="G729" s="417"/>
      <c r="H729" s="988"/>
      <c r="I729" s="982"/>
      <c r="J729" s="917"/>
      <c r="K729" s="984"/>
      <c r="L729" s="984"/>
      <c r="M729" s="903"/>
      <c r="O729">
        <v>2837707</v>
      </c>
    </row>
    <row r="730" spans="1:15" ht="12.75" customHeight="1">
      <c r="A730" s="1303">
        <v>359</v>
      </c>
      <c r="B730" s="1121" t="s">
        <v>809</v>
      </c>
      <c r="C730" s="1018" t="s">
        <v>810</v>
      </c>
      <c r="D730" s="1019" t="s">
        <v>802</v>
      </c>
      <c r="E730" s="1017" t="s">
        <v>130</v>
      </c>
      <c r="F730" s="1017"/>
      <c r="G730" s="410"/>
      <c r="H730" s="999">
        <v>784000</v>
      </c>
      <c r="I730" s="973">
        <v>784000</v>
      </c>
      <c r="J730" s="974"/>
      <c r="K730" s="1001">
        <v>784000</v>
      </c>
      <c r="L730" s="1001">
        <v>784000</v>
      </c>
      <c r="M730" s="903">
        <f>K730-H730</f>
        <v>0</v>
      </c>
      <c r="O730">
        <v>2837707</v>
      </c>
    </row>
    <row r="731" spans="1:15" ht="12.75" customHeight="1">
      <c r="A731" s="1304"/>
      <c r="B731" s="1122"/>
      <c r="C731" s="914"/>
      <c r="D731" s="660"/>
      <c r="E731" s="879"/>
      <c r="F731" s="879"/>
      <c r="G731" s="412"/>
      <c r="H731" s="916"/>
      <c r="I731" s="906"/>
      <c r="J731" s="910"/>
      <c r="K731" s="920"/>
      <c r="L731" s="920"/>
      <c r="M731" s="903"/>
      <c r="O731">
        <v>2837707</v>
      </c>
    </row>
    <row r="732" spans="1:15" ht="12.75" customHeight="1">
      <c r="A732" s="1303">
        <v>360</v>
      </c>
      <c r="B732" s="1114"/>
      <c r="C732" s="986"/>
      <c r="D732" s="987"/>
      <c r="E732" s="1305"/>
      <c r="F732" s="983"/>
      <c r="G732" s="412"/>
      <c r="H732" s="988"/>
      <c r="I732" s="916"/>
      <c r="J732" s="909"/>
      <c r="K732" s="984"/>
      <c r="L732" s="984"/>
      <c r="M732" s="903">
        <f>K732-H732</f>
        <v>0</v>
      </c>
      <c r="O732">
        <v>2837707</v>
      </c>
    </row>
    <row r="733" spans="1:15" ht="13.5" customHeight="1" thickBot="1">
      <c r="A733" s="1304"/>
      <c r="B733" s="1115"/>
      <c r="C733" s="1249"/>
      <c r="D733" s="1196"/>
      <c r="E733" s="1306"/>
      <c r="F733" s="1197"/>
      <c r="G733" s="415"/>
      <c r="H733" s="1091"/>
      <c r="I733" s="943"/>
      <c r="J733" s="944"/>
      <c r="K733" s="1041"/>
      <c r="L733" s="1041"/>
      <c r="M733" s="903"/>
      <c r="O733">
        <v>2837707</v>
      </c>
    </row>
    <row r="734" spans="1:15" ht="12.75" customHeight="1">
      <c r="A734" s="1303">
        <v>361</v>
      </c>
      <c r="B734" s="1121" t="s">
        <v>794</v>
      </c>
      <c r="C734" s="1018"/>
      <c r="D734" s="1019"/>
      <c r="E734" s="1017" t="s">
        <v>20</v>
      </c>
      <c r="F734" s="1017"/>
      <c r="G734" s="410"/>
      <c r="H734" s="999">
        <v>11100000</v>
      </c>
      <c r="I734" s="973">
        <v>11100000</v>
      </c>
      <c r="J734" s="974"/>
      <c r="K734" s="1001">
        <v>11100000</v>
      </c>
      <c r="L734" s="1001">
        <v>11100000</v>
      </c>
      <c r="M734" s="903">
        <f>K734-H734</f>
        <v>0</v>
      </c>
      <c r="O734">
        <v>2837707</v>
      </c>
    </row>
    <row r="735" spans="1:15" ht="12.75" customHeight="1">
      <c r="A735" s="1304"/>
      <c r="B735" s="1122"/>
      <c r="C735" s="914"/>
      <c r="D735" s="660"/>
      <c r="E735" s="879"/>
      <c r="F735" s="879"/>
      <c r="G735" s="412"/>
      <c r="H735" s="916"/>
      <c r="I735" s="906"/>
      <c r="J735" s="910"/>
      <c r="K735" s="920"/>
      <c r="L735" s="920"/>
      <c r="M735" s="903"/>
      <c r="O735">
        <v>2837707</v>
      </c>
    </row>
    <row r="736" spans="1:15" ht="12.75" customHeight="1">
      <c r="A736" s="1303">
        <v>362</v>
      </c>
      <c r="B736" s="1079"/>
      <c r="C736" s="986" t="s">
        <v>811</v>
      </c>
      <c r="D736" s="987" t="s">
        <v>120</v>
      </c>
      <c r="E736" s="983" t="s">
        <v>105</v>
      </c>
      <c r="F736" s="983"/>
      <c r="G736" s="412"/>
      <c r="H736" s="988">
        <v>450000</v>
      </c>
      <c r="I736" s="916">
        <v>450000</v>
      </c>
      <c r="J736" s="909"/>
      <c r="K736" s="984">
        <v>450000</v>
      </c>
      <c r="L736" s="984">
        <v>450000</v>
      </c>
      <c r="M736" s="903">
        <f>K736-H736</f>
        <v>0</v>
      </c>
      <c r="O736">
        <v>2837707</v>
      </c>
    </row>
    <row r="737" spans="1:15" ht="12.75" customHeight="1" thickBot="1">
      <c r="A737" s="1304"/>
      <c r="B737" s="1080"/>
      <c r="C737" s="1249"/>
      <c r="D737" s="1196"/>
      <c r="E737" s="1197"/>
      <c r="F737" s="1197"/>
      <c r="G737" s="415"/>
      <c r="H737" s="1091"/>
      <c r="I737" s="943"/>
      <c r="J737" s="944"/>
      <c r="K737" s="1041"/>
      <c r="L737" s="1041"/>
      <c r="M737" s="903"/>
      <c r="O737">
        <v>2837707</v>
      </c>
    </row>
    <row r="738" spans="1:15" ht="12.75" customHeight="1">
      <c r="A738" s="1303">
        <v>363</v>
      </c>
      <c r="B738" s="1121" t="s">
        <v>796</v>
      </c>
      <c r="C738" s="1018"/>
      <c r="D738" s="1019" t="s">
        <v>829</v>
      </c>
      <c r="E738" s="1017" t="s">
        <v>20</v>
      </c>
      <c r="F738" s="1017"/>
      <c r="G738" s="410"/>
      <c r="H738" s="999">
        <v>11600000</v>
      </c>
      <c r="I738" s="973">
        <v>11600000</v>
      </c>
      <c r="J738" s="974"/>
      <c r="K738" s="1001">
        <v>11600000</v>
      </c>
      <c r="L738" s="1001">
        <f>K738</f>
        <v>11600000</v>
      </c>
      <c r="M738" s="903">
        <f>K738-H738</f>
        <v>0</v>
      </c>
      <c r="O738">
        <v>2837707</v>
      </c>
    </row>
    <row r="739" spans="1:15" ht="12.75" customHeight="1">
      <c r="A739" s="1304"/>
      <c r="B739" s="1122"/>
      <c r="C739" s="914"/>
      <c r="D739" s="660"/>
      <c r="E739" s="879"/>
      <c r="F739" s="879"/>
      <c r="G739" s="412"/>
      <c r="H739" s="916"/>
      <c r="I739" s="906"/>
      <c r="J739" s="910"/>
      <c r="K739" s="920"/>
      <c r="L739" s="920"/>
      <c r="M739" s="903"/>
      <c r="O739">
        <v>2837707</v>
      </c>
    </row>
    <row r="740" spans="1:15" ht="12.75" customHeight="1">
      <c r="A740" s="1303">
        <v>364</v>
      </c>
      <c r="B740" s="1079"/>
      <c r="C740" s="986" t="s">
        <v>821</v>
      </c>
      <c r="D740" s="987" t="s">
        <v>822</v>
      </c>
      <c r="E740" s="983" t="s">
        <v>830</v>
      </c>
      <c r="F740" s="983" t="s">
        <v>961</v>
      </c>
      <c r="G740" s="412"/>
      <c r="H740" s="988">
        <v>2500000</v>
      </c>
      <c r="I740" s="916">
        <f>H740</f>
        <v>2500000</v>
      </c>
      <c r="J740" s="909"/>
      <c r="K740" s="984">
        <v>2500000</v>
      </c>
      <c r="L740" s="984">
        <v>2500000</v>
      </c>
      <c r="M740" s="903">
        <f>K740-H740</f>
        <v>0</v>
      </c>
      <c r="O740">
        <v>2837707</v>
      </c>
    </row>
    <row r="741" spans="1:15" ht="12.75" customHeight="1" thickBot="1">
      <c r="A741" s="1304"/>
      <c r="B741" s="1080"/>
      <c r="C741" s="1249"/>
      <c r="D741" s="1196"/>
      <c r="E741" s="1197"/>
      <c r="F741" s="1197"/>
      <c r="G741" s="415"/>
      <c r="H741" s="1091"/>
      <c r="I741" s="943"/>
      <c r="J741" s="944"/>
      <c r="K741" s="1041"/>
      <c r="L741" s="1041"/>
      <c r="M741" s="903"/>
      <c r="O741">
        <v>2837707</v>
      </c>
    </row>
    <row r="742" spans="1:15" ht="12.75" customHeight="1">
      <c r="A742" s="1303">
        <v>365</v>
      </c>
      <c r="B742" s="1121" t="s">
        <v>797</v>
      </c>
      <c r="C742" s="1018"/>
      <c r="D742" s="1019" t="s">
        <v>829</v>
      </c>
      <c r="E742" s="1017" t="s">
        <v>20</v>
      </c>
      <c r="F742" s="1017"/>
      <c r="G742" s="410"/>
      <c r="H742" s="999">
        <v>10700000</v>
      </c>
      <c r="I742" s="973">
        <f>H742</f>
        <v>10700000</v>
      </c>
      <c r="J742" s="974"/>
      <c r="K742" s="1001">
        <v>10700000</v>
      </c>
      <c r="L742" s="1001">
        <f>K742</f>
        <v>10700000</v>
      </c>
      <c r="M742" s="903">
        <f>K742-H742</f>
        <v>0</v>
      </c>
      <c r="O742">
        <v>2837707</v>
      </c>
    </row>
    <row r="743" spans="1:15" ht="12.75" customHeight="1">
      <c r="A743" s="1304"/>
      <c r="B743" s="1122"/>
      <c r="C743" s="914"/>
      <c r="D743" s="660"/>
      <c r="E743" s="879"/>
      <c r="F743" s="879"/>
      <c r="G743" s="412"/>
      <c r="H743" s="916"/>
      <c r="I743" s="906"/>
      <c r="J743" s="910"/>
      <c r="K743" s="920"/>
      <c r="L743" s="920"/>
      <c r="M743" s="903"/>
      <c r="O743">
        <v>2837707</v>
      </c>
    </row>
    <row r="744" spans="1:15" ht="12.75" customHeight="1">
      <c r="A744" s="1303">
        <v>366</v>
      </c>
      <c r="B744" s="1079"/>
      <c r="C744" s="986" t="s">
        <v>824</v>
      </c>
      <c r="D744" s="987" t="s">
        <v>825</v>
      </c>
      <c r="E744" s="983" t="s">
        <v>630</v>
      </c>
      <c r="F744" s="983"/>
      <c r="G744" s="412"/>
      <c r="H744" s="988">
        <v>1300000</v>
      </c>
      <c r="I744" s="916">
        <f>H744</f>
        <v>1300000</v>
      </c>
      <c r="J744" s="909"/>
      <c r="K744" s="984">
        <v>1300000</v>
      </c>
      <c r="L744" s="984">
        <v>1300000</v>
      </c>
      <c r="M744" s="985">
        <f>K744-H744</f>
        <v>0</v>
      </c>
      <c r="O744">
        <v>2837707</v>
      </c>
    </row>
    <row r="745" spans="1:15" ht="12.75" customHeight="1" thickBot="1">
      <c r="A745" s="1304"/>
      <c r="B745" s="1079"/>
      <c r="C745" s="914"/>
      <c r="D745" s="660"/>
      <c r="E745" s="879"/>
      <c r="F745" s="879"/>
      <c r="G745" s="412"/>
      <c r="H745" s="916"/>
      <c r="I745" s="906"/>
      <c r="J745" s="910"/>
      <c r="K745" s="920"/>
      <c r="L745" s="920"/>
      <c r="M745" s="1149"/>
      <c r="O745">
        <v>2837707</v>
      </c>
    </row>
    <row r="746" spans="1:15" ht="12.75" customHeight="1">
      <c r="A746" s="1403">
        <v>367</v>
      </c>
      <c r="B746" s="1388"/>
      <c r="C746" s="1390" t="s">
        <v>826</v>
      </c>
      <c r="D746" s="1300" t="s">
        <v>825</v>
      </c>
      <c r="E746" s="1391" t="s">
        <v>835</v>
      </c>
      <c r="F746" s="1391"/>
      <c r="G746" s="419"/>
      <c r="H746" s="1383">
        <v>2200000</v>
      </c>
      <c r="I746" s="1221">
        <f>H746</f>
        <v>2200000</v>
      </c>
      <c r="J746" s="1329"/>
      <c r="K746" s="1385"/>
      <c r="L746" s="1385"/>
      <c r="M746" s="1386">
        <f>K746-H746</f>
        <v>-2200000</v>
      </c>
      <c r="O746">
        <v>2837707</v>
      </c>
    </row>
    <row r="747" spans="1:15" ht="12.75" customHeight="1" thickBot="1">
      <c r="A747" s="1404"/>
      <c r="B747" s="1389"/>
      <c r="C747" s="1320"/>
      <c r="D747" s="1126"/>
      <c r="E747" s="1318"/>
      <c r="F747" s="1318"/>
      <c r="G747" s="418"/>
      <c r="H747" s="1327"/>
      <c r="I747" s="1384"/>
      <c r="J747" s="1330"/>
      <c r="K747" s="1332"/>
      <c r="L747" s="1332"/>
      <c r="M747" s="1387"/>
      <c r="O747">
        <v>2837707</v>
      </c>
    </row>
    <row r="748" spans="1:15" ht="12.75" customHeight="1">
      <c r="A748" s="1303">
        <v>368</v>
      </c>
      <c r="B748" s="1121" t="s">
        <v>814</v>
      </c>
      <c r="C748" s="1018" t="s">
        <v>6</v>
      </c>
      <c r="D748" s="1019" t="s">
        <v>823</v>
      </c>
      <c r="E748" s="1017" t="s">
        <v>8</v>
      </c>
      <c r="F748" s="1017"/>
      <c r="G748" s="410"/>
      <c r="H748" s="999">
        <v>686000</v>
      </c>
      <c r="I748" s="973">
        <f>H748</f>
        <v>686000</v>
      </c>
      <c r="J748" s="974"/>
      <c r="K748" s="1001">
        <v>686000</v>
      </c>
      <c r="L748" s="1001">
        <v>686000</v>
      </c>
      <c r="M748" s="985">
        <f>K748-H748</f>
        <v>0</v>
      </c>
      <c r="O748">
        <v>2837707</v>
      </c>
    </row>
    <row r="749" spans="1:15" ht="12.75" customHeight="1" thickBot="1">
      <c r="A749" s="1304"/>
      <c r="B749" s="1122"/>
      <c r="C749" s="914"/>
      <c r="D749" s="660"/>
      <c r="E749" s="879"/>
      <c r="F749" s="879"/>
      <c r="G749" s="412"/>
      <c r="H749" s="916"/>
      <c r="I749" s="906"/>
      <c r="J749" s="910"/>
      <c r="K749" s="920"/>
      <c r="L749" s="920"/>
      <c r="M749" s="1149"/>
      <c r="O749">
        <v>2837707</v>
      </c>
    </row>
    <row r="750" spans="1:15" ht="12.75" customHeight="1">
      <c r="A750" s="1303">
        <v>369</v>
      </c>
      <c r="B750" s="1114"/>
      <c r="C750" s="986" t="s">
        <v>6</v>
      </c>
      <c r="D750" s="987" t="s">
        <v>816</v>
      </c>
      <c r="E750" s="983" t="s">
        <v>308</v>
      </c>
      <c r="F750" s="983"/>
      <c r="G750" s="412"/>
      <c r="H750" s="988">
        <v>2160</v>
      </c>
      <c r="I750" s="916">
        <f>H750*J750</f>
        <v>612360</v>
      </c>
      <c r="J750" s="909">
        <v>283.5</v>
      </c>
      <c r="K750" s="984">
        <v>2160</v>
      </c>
      <c r="L750" s="984">
        <v>2160</v>
      </c>
      <c r="M750" s="985">
        <f>K750-H750</f>
        <v>0</v>
      </c>
      <c r="O750">
        <v>2837707</v>
      </c>
    </row>
    <row r="751" spans="1:15" ht="12.75" customHeight="1" thickBot="1">
      <c r="A751" s="1304"/>
      <c r="B751" s="1115"/>
      <c r="C751" s="1249"/>
      <c r="D751" s="1196"/>
      <c r="E751" s="1197"/>
      <c r="F751" s="1197"/>
      <c r="G751" s="415"/>
      <c r="H751" s="1091"/>
      <c r="I751" s="943"/>
      <c r="J751" s="944"/>
      <c r="K751" s="1041"/>
      <c r="L751" s="1041"/>
      <c r="M751" s="1149"/>
      <c r="O751">
        <v>2837707</v>
      </c>
    </row>
    <row r="752" spans="1:15" ht="12.75" customHeight="1">
      <c r="A752" s="1303">
        <v>370</v>
      </c>
      <c r="B752" s="1121" t="s">
        <v>815</v>
      </c>
      <c r="C752" s="1018"/>
      <c r="D752" s="1019"/>
      <c r="E752" s="1017" t="s">
        <v>20</v>
      </c>
      <c r="F752" s="1017"/>
      <c r="G752" s="410"/>
      <c r="H752" s="999">
        <v>10700000</v>
      </c>
      <c r="I752" s="973">
        <f>H752</f>
        <v>10700000</v>
      </c>
      <c r="J752" s="974"/>
      <c r="K752" s="1001">
        <v>10700000</v>
      </c>
      <c r="L752" s="1001">
        <f>K752</f>
        <v>10700000</v>
      </c>
      <c r="M752" s="985">
        <f>K752-H752</f>
        <v>0</v>
      </c>
      <c r="O752">
        <v>2837707</v>
      </c>
    </row>
    <row r="753" spans="1:15" ht="12.75" customHeight="1" thickBot="1">
      <c r="A753" s="1304"/>
      <c r="B753" s="1122"/>
      <c r="C753" s="914"/>
      <c r="D753" s="660"/>
      <c r="E753" s="879"/>
      <c r="F753" s="879"/>
      <c r="G753" s="412"/>
      <c r="H753" s="916"/>
      <c r="I753" s="906"/>
      <c r="J753" s="910"/>
      <c r="K753" s="920"/>
      <c r="L753" s="920"/>
      <c r="M753" s="1149"/>
      <c r="O753">
        <v>2837707</v>
      </c>
    </row>
    <row r="754" spans="1:15" ht="12.75" customHeight="1">
      <c r="A754" s="1303">
        <v>371</v>
      </c>
      <c r="B754" s="1079"/>
      <c r="C754" s="986" t="s">
        <v>833</v>
      </c>
      <c r="D754" s="987" t="s">
        <v>834</v>
      </c>
      <c r="E754" s="983" t="s">
        <v>836</v>
      </c>
      <c r="F754" s="983"/>
      <c r="G754" s="412" t="s">
        <v>122</v>
      </c>
      <c r="H754" s="988">
        <v>4300000</v>
      </c>
      <c r="I754" s="916">
        <f>H754</f>
        <v>4300000</v>
      </c>
      <c r="J754" s="909"/>
      <c r="K754" s="984">
        <v>4300000</v>
      </c>
      <c r="L754" s="984">
        <v>4300000</v>
      </c>
      <c r="M754" s="985">
        <f>K754-H754</f>
        <v>0</v>
      </c>
      <c r="O754">
        <v>2837707</v>
      </c>
    </row>
    <row r="755" spans="1:15" ht="12.75" customHeight="1" thickBot="1">
      <c r="A755" s="1304"/>
      <c r="B755" s="1079"/>
      <c r="C755" s="914"/>
      <c r="D755" s="660"/>
      <c r="E755" s="879"/>
      <c r="F755" s="879"/>
      <c r="G755" s="412"/>
      <c r="H755" s="916"/>
      <c r="I755" s="906"/>
      <c r="J755" s="910"/>
      <c r="K755" s="920"/>
      <c r="L755" s="920"/>
      <c r="M755" s="1149"/>
      <c r="O755">
        <v>2837707</v>
      </c>
    </row>
    <row r="756" spans="1:15" ht="12.75" customHeight="1">
      <c r="A756" s="1302"/>
      <c r="B756" s="1301"/>
      <c r="C756" s="986"/>
      <c r="D756" s="987"/>
      <c r="E756" s="1305"/>
      <c r="F756" s="983" t="s">
        <v>795</v>
      </c>
      <c r="G756" s="412"/>
      <c r="H756" s="988"/>
      <c r="I756" s="916"/>
      <c r="J756" s="909"/>
      <c r="K756" s="984"/>
      <c r="L756" s="984"/>
      <c r="M756" s="985">
        <f>K756-H756</f>
        <v>0</v>
      </c>
      <c r="O756">
        <v>2837707</v>
      </c>
    </row>
    <row r="757" spans="1:15" ht="13.5" customHeight="1" thickBot="1">
      <c r="A757" s="1066"/>
      <c r="B757" s="1230"/>
      <c r="C757" s="1249"/>
      <c r="D757" s="1196"/>
      <c r="E757" s="1306"/>
      <c r="F757" s="879"/>
      <c r="G757" s="415"/>
      <c r="H757" s="1091"/>
      <c r="I757" s="943"/>
      <c r="J757" s="944"/>
      <c r="K757" s="1041"/>
      <c r="L757" s="1041"/>
      <c r="M757" s="1149"/>
      <c r="O757">
        <v>2837707</v>
      </c>
    </row>
    <row r="758" spans="1:15" ht="18.75">
      <c r="A758" s="51"/>
      <c r="B758" s="1394" t="s">
        <v>818</v>
      </c>
      <c r="C758" s="1395"/>
      <c r="D758" s="1395"/>
      <c r="E758" s="1395"/>
      <c r="F758" s="1395"/>
      <c r="G758" s="1395"/>
      <c r="H758" s="1395"/>
      <c r="I758" s="1395"/>
      <c r="J758" s="1395"/>
      <c r="K758" s="1395"/>
      <c r="L758" s="1395"/>
      <c r="M758" s="1396"/>
      <c r="N758" s="7">
        <f>SUM(I754,I760:I851)</f>
        <v>197588440</v>
      </c>
      <c r="O758" s="8"/>
    </row>
    <row r="759" spans="1:15" ht="19.5" thickBot="1">
      <c r="A759" s="53"/>
      <c r="B759" s="1408" t="s">
        <v>862</v>
      </c>
      <c r="C759" s="1409"/>
      <c r="D759" s="1409"/>
      <c r="E759" s="1409"/>
      <c r="F759" s="1409"/>
      <c r="G759" s="1409"/>
      <c r="H759" s="1409"/>
      <c r="I759" s="1409"/>
      <c r="J759" s="1409"/>
      <c r="K759" s="1409"/>
      <c r="L759" s="1409"/>
      <c r="M759" s="1410"/>
      <c r="N759" s="7"/>
      <c r="O759" s="8"/>
    </row>
    <row r="760" spans="1:15">
      <c r="A760" s="1302">
        <v>372</v>
      </c>
      <c r="B760" s="1121" t="s">
        <v>827</v>
      </c>
      <c r="C760" s="1018" t="s">
        <v>6</v>
      </c>
      <c r="D760" s="1019" t="s">
        <v>832</v>
      </c>
      <c r="E760" s="1017" t="s">
        <v>13</v>
      </c>
      <c r="F760" s="1017"/>
      <c r="G760" s="67"/>
      <c r="H760" s="999">
        <v>3300</v>
      </c>
      <c r="I760" s="973">
        <f>H760*J760</f>
        <v>928950</v>
      </c>
      <c r="J760" s="974">
        <v>281.5</v>
      </c>
      <c r="K760" s="1001">
        <v>3300</v>
      </c>
      <c r="L760" s="1001">
        <v>3300</v>
      </c>
      <c r="M760" s="903">
        <f>K760-H760</f>
        <v>0</v>
      </c>
      <c r="O760">
        <v>2837707</v>
      </c>
    </row>
    <row r="761" spans="1:15">
      <c r="A761" s="1066"/>
      <c r="B761" s="1122"/>
      <c r="C761" s="914"/>
      <c r="D761" s="660"/>
      <c r="E761" s="879"/>
      <c r="F761" s="879"/>
      <c r="G761" s="60"/>
      <c r="H761" s="916"/>
      <c r="I761" s="906"/>
      <c r="J761" s="910"/>
      <c r="K761" s="920"/>
      <c r="L761" s="920"/>
      <c r="M761" s="903"/>
      <c r="O761">
        <v>2837707</v>
      </c>
    </row>
    <row r="762" spans="1:15" ht="12.75" customHeight="1">
      <c r="A762" s="1302">
        <v>373</v>
      </c>
      <c r="B762" s="1079"/>
      <c r="C762" s="986" t="s">
        <v>6</v>
      </c>
      <c r="D762" s="987" t="s">
        <v>832</v>
      </c>
      <c r="E762" s="983" t="s">
        <v>410</v>
      </c>
      <c r="F762" s="983"/>
      <c r="G762" s="144"/>
      <c r="H762" s="988">
        <v>850000</v>
      </c>
      <c r="I762" s="916">
        <v>850000</v>
      </c>
      <c r="J762" s="909"/>
      <c r="K762" s="984">
        <f>50000+500000+300000</f>
        <v>850000</v>
      </c>
      <c r="L762" s="984"/>
      <c r="M762" s="903">
        <f>K762-H762</f>
        <v>0</v>
      </c>
      <c r="O762">
        <v>2837707</v>
      </c>
    </row>
    <row r="763" spans="1:15" ht="12.75" customHeight="1">
      <c r="A763" s="1066"/>
      <c r="B763" s="1079"/>
      <c r="C763" s="914"/>
      <c r="D763" s="660"/>
      <c r="E763" s="879"/>
      <c r="F763" s="879"/>
      <c r="G763" s="144"/>
      <c r="H763" s="916"/>
      <c r="I763" s="906"/>
      <c r="J763" s="910"/>
      <c r="K763" s="920"/>
      <c r="L763" s="920"/>
      <c r="M763" s="903"/>
      <c r="O763">
        <v>2837707</v>
      </c>
    </row>
    <row r="764" spans="1:15" ht="12.75" customHeight="1">
      <c r="A764" s="1302">
        <v>374</v>
      </c>
      <c r="B764" s="1255"/>
      <c r="C764" s="986" t="s">
        <v>852</v>
      </c>
      <c r="D764" s="987" t="s">
        <v>850</v>
      </c>
      <c r="E764" s="983" t="s">
        <v>724</v>
      </c>
      <c r="F764" s="983"/>
      <c r="G764" s="60"/>
      <c r="H764" s="988">
        <v>2000000</v>
      </c>
      <c r="I764" s="916">
        <f>H764</f>
        <v>2000000</v>
      </c>
      <c r="J764" s="909"/>
      <c r="K764" s="984">
        <v>2000000</v>
      </c>
      <c r="L764" s="984">
        <f>K764</f>
        <v>2000000</v>
      </c>
      <c r="M764" s="903">
        <f>K764-H764</f>
        <v>0</v>
      </c>
      <c r="O764">
        <v>2837707</v>
      </c>
    </row>
    <row r="765" spans="1:15" ht="12.75" customHeight="1">
      <c r="A765" s="1066"/>
      <c r="B765" s="1116"/>
      <c r="C765" s="914"/>
      <c r="D765" s="660"/>
      <c r="E765" s="879"/>
      <c r="F765" s="879"/>
      <c r="G765" s="60"/>
      <c r="H765" s="916"/>
      <c r="I765" s="906"/>
      <c r="J765" s="910"/>
      <c r="K765" s="920"/>
      <c r="L765" s="920"/>
      <c r="M765" s="903"/>
      <c r="O765">
        <v>2837707</v>
      </c>
    </row>
    <row r="766" spans="1:15" ht="12.75" customHeight="1">
      <c r="A766" s="1302">
        <v>375</v>
      </c>
      <c r="B766" s="983"/>
      <c r="C766" s="986" t="s">
        <v>851</v>
      </c>
      <c r="D766" s="987" t="s">
        <v>847</v>
      </c>
      <c r="E766" s="983" t="s">
        <v>853</v>
      </c>
      <c r="F766" s="983" t="s">
        <v>456</v>
      </c>
      <c r="G766" s="60"/>
      <c r="H766" s="988">
        <v>3200000</v>
      </c>
      <c r="I766" s="916">
        <f>H766</f>
        <v>3200000</v>
      </c>
      <c r="J766" s="909"/>
      <c r="K766" s="984">
        <v>3200000</v>
      </c>
      <c r="L766" s="984">
        <v>3200000</v>
      </c>
      <c r="M766" s="903">
        <f>K766-H766</f>
        <v>0</v>
      </c>
      <c r="O766">
        <v>2837707</v>
      </c>
    </row>
    <row r="767" spans="1:15" ht="12.75" customHeight="1" thickBot="1">
      <c r="A767" s="1066"/>
      <c r="B767" s="879"/>
      <c r="C767" s="914"/>
      <c r="D767" s="660"/>
      <c r="E767" s="879"/>
      <c r="F767" s="879"/>
      <c r="G767" s="60"/>
      <c r="H767" s="916"/>
      <c r="I767" s="906"/>
      <c r="J767" s="910"/>
      <c r="K767" s="920"/>
      <c r="L767" s="920"/>
      <c r="M767" s="903"/>
      <c r="O767">
        <v>2837707</v>
      </c>
    </row>
    <row r="768" spans="1:15" ht="12.75" customHeight="1">
      <c r="A768" s="1302">
        <v>376</v>
      </c>
      <c r="B768" s="1121" t="s">
        <v>828</v>
      </c>
      <c r="C768" s="1018" t="s">
        <v>841</v>
      </c>
      <c r="D768" s="1019" t="s">
        <v>832</v>
      </c>
      <c r="E768" s="1017" t="s">
        <v>8</v>
      </c>
      <c r="F768" s="1017"/>
      <c r="G768" s="67"/>
      <c r="H768" s="999">
        <v>907000</v>
      </c>
      <c r="I768" s="973">
        <f>H768</f>
        <v>907000</v>
      </c>
      <c r="J768" s="974"/>
      <c r="K768" s="1001">
        <v>907000</v>
      </c>
      <c r="L768" s="1001">
        <v>907000</v>
      </c>
      <c r="M768" s="901">
        <f>K768-H768</f>
        <v>0</v>
      </c>
      <c r="O768">
        <v>2837707</v>
      </c>
    </row>
    <row r="769" spans="1:15" ht="12.75" customHeight="1">
      <c r="A769" s="1066"/>
      <c r="B769" s="1122"/>
      <c r="C769" s="914"/>
      <c r="D769" s="660"/>
      <c r="E769" s="879"/>
      <c r="F769" s="879"/>
      <c r="G769" s="60"/>
      <c r="H769" s="916"/>
      <c r="I769" s="906"/>
      <c r="J769" s="910"/>
      <c r="K769" s="920"/>
      <c r="L769" s="920"/>
      <c r="M769" s="903"/>
      <c r="O769">
        <v>2837707</v>
      </c>
    </row>
    <row r="770" spans="1:15" ht="12.75" customHeight="1">
      <c r="A770" s="1302">
        <v>377</v>
      </c>
      <c r="B770" s="1114"/>
      <c r="C770" s="986" t="s">
        <v>842</v>
      </c>
      <c r="D770" s="987" t="s">
        <v>832</v>
      </c>
      <c r="E770" s="983" t="s">
        <v>308</v>
      </c>
      <c r="F770" s="983"/>
      <c r="G770" s="60"/>
      <c r="H770" s="988">
        <v>2060</v>
      </c>
      <c r="I770" s="916">
        <v>579890</v>
      </c>
      <c r="J770" s="909"/>
      <c r="K770" s="984">
        <v>2060</v>
      </c>
      <c r="L770" s="984">
        <v>2060</v>
      </c>
      <c r="M770" s="903">
        <f>K770-H770</f>
        <v>0</v>
      </c>
      <c r="O770">
        <v>2837707</v>
      </c>
    </row>
    <row r="771" spans="1:15" ht="13.5" customHeight="1" thickBot="1">
      <c r="A771" s="1066"/>
      <c r="B771" s="1255"/>
      <c r="C771" s="986"/>
      <c r="D771" s="987"/>
      <c r="E771" s="983"/>
      <c r="F771" s="983"/>
      <c r="G771" s="59"/>
      <c r="H771" s="988"/>
      <c r="I771" s="982"/>
      <c r="J771" s="917"/>
      <c r="K771" s="984"/>
      <c r="L771" s="984"/>
      <c r="M771" s="1178"/>
      <c r="O771">
        <v>2837707</v>
      </c>
    </row>
    <row r="772" spans="1:15" ht="12.75" customHeight="1">
      <c r="A772" s="1302">
        <v>378</v>
      </c>
      <c r="B772" s="968" t="s">
        <v>831</v>
      </c>
      <c r="C772" s="969"/>
      <c r="D772" s="970"/>
      <c r="E772" s="968" t="s">
        <v>13</v>
      </c>
      <c r="F772" s="968"/>
      <c r="G772" s="67"/>
      <c r="H772" s="973">
        <v>3300</v>
      </c>
      <c r="I772" s="973">
        <v>930600</v>
      </c>
      <c r="J772" s="974"/>
      <c r="K772" s="966">
        <v>3300</v>
      </c>
      <c r="L772" s="966">
        <v>3300</v>
      </c>
      <c r="M772" s="901">
        <f>K772-H772</f>
        <v>0</v>
      </c>
      <c r="O772">
        <v>2837707</v>
      </c>
    </row>
    <row r="773" spans="1:15" ht="12.75" customHeight="1">
      <c r="A773" s="1066"/>
      <c r="B773" s="865"/>
      <c r="C773" s="904"/>
      <c r="D773" s="658"/>
      <c r="E773" s="865"/>
      <c r="F773" s="865"/>
      <c r="G773" s="63"/>
      <c r="H773" s="905"/>
      <c r="I773" s="906"/>
      <c r="J773" s="910"/>
      <c r="K773" s="911"/>
      <c r="L773" s="911"/>
      <c r="M773" s="903"/>
      <c r="O773">
        <v>2837707</v>
      </c>
    </row>
    <row r="774" spans="1:15" ht="12.75" customHeight="1">
      <c r="A774" s="1302">
        <v>379</v>
      </c>
      <c r="B774" s="1039"/>
      <c r="C774" s="904" t="s">
        <v>843</v>
      </c>
      <c r="D774" s="658" t="s">
        <v>847</v>
      </c>
      <c r="E774" s="865" t="s">
        <v>142</v>
      </c>
      <c r="F774" s="865"/>
      <c r="G774" s="63"/>
      <c r="H774" s="905">
        <v>460000</v>
      </c>
      <c r="I774" s="905">
        <f>H774</f>
        <v>460000</v>
      </c>
      <c r="J774" s="909"/>
      <c r="K774" s="911">
        <v>460000</v>
      </c>
      <c r="L774" s="911">
        <f>K774</f>
        <v>460000</v>
      </c>
      <c r="M774" s="903">
        <f>K774-H774</f>
        <v>0</v>
      </c>
      <c r="O774">
        <v>2837707</v>
      </c>
    </row>
    <row r="775" spans="1:15" ht="12.75" customHeight="1">
      <c r="A775" s="1066"/>
      <c r="B775" s="1039"/>
      <c r="C775" s="904"/>
      <c r="D775" s="658"/>
      <c r="E775" s="865"/>
      <c r="F775" s="865"/>
      <c r="G775" s="63"/>
      <c r="H775" s="905"/>
      <c r="I775" s="906"/>
      <c r="J775" s="910"/>
      <c r="K775" s="911"/>
      <c r="L775" s="911"/>
      <c r="M775" s="903"/>
      <c r="O775">
        <v>2837707</v>
      </c>
    </row>
    <row r="776" spans="1:15" ht="12.75" customHeight="1">
      <c r="A776" s="1302">
        <v>380</v>
      </c>
      <c r="B776" s="1039"/>
      <c r="C776" s="904" t="s">
        <v>844</v>
      </c>
      <c r="D776" s="658" t="s">
        <v>847</v>
      </c>
      <c r="E776" s="865" t="s">
        <v>846</v>
      </c>
      <c r="F776" s="865"/>
      <c r="G776" s="63"/>
      <c r="H776" s="905">
        <v>7500000</v>
      </c>
      <c r="I776" s="905">
        <f>H776</f>
        <v>7500000</v>
      </c>
      <c r="J776" s="909"/>
      <c r="K776" s="911">
        <v>7500000</v>
      </c>
      <c r="L776" s="911">
        <v>7500000</v>
      </c>
      <c r="M776" s="903">
        <f>K776-H776</f>
        <v>0</v>
      </c>
      <c r="O776">
        <v>2837707</v>
      </c>
    </row>
    <row r="777" spans="1:15" ht="12.75" customHeight="1">
      <c r="A777" s="1066"/>
      <c r="B777" s="1039"/>
      <c r="C777" s="904"/>
      <c r="D777" s="658"/>
      <c r="E777" s="865"/>
      <c r="F777" s="865"/>
      <c r="G777" s="63"/>
      <c r="H777" s="905"/>
      <c r="I777" s="906"/>
      <c r="J777" s="910"/>
      <c r="K777" s="911"/>
      <c r="L777" s="911"/>
      <c r="M777" s="903"/>
      <c r="O777">
        <v>2837707</v>
      </c>
    </row>
    <row r="778" spans="1:15" ht="12.75" customHeight="1">
      <c r="A778" s="1302">
        <v>381</v>
      </c>
      <c r="B778" s="865"/>
      <c r="C778" s="904" t="s">
        <v>845</v>
      </c>
      <c r="D778" s="658" t="s">
        <v>847</v>
      </c>
      <c r="E778" s="865" t="s">
        <v>26</v>
      </c>
      <c r="F778" s="865" t="s">
        <v>849</v>
      </c>
      <c r="G778" s="63"/>
      <c r="H778" s="905">
        <v>920000</v>
      </c>
      <c r="I778" s="905">
        <v>920000</v>
      </c>
      <c r="J778" s="909"/>
      <c r="K778" s="911">
        <v>920000</v>
      </c>
      <c r="L778" s="911">
        <v>920000</v>
      </c>
      <c r="M778" s="903">
        <f>K778-H778</f>
        <v>0</v>
      </c>
      <c r="O778">
        <v>2837707</v>
      </c>
    </row>
    <row r="779" spans="1:15" ht="26.25" thickBot="1">
      <c r="A779" s="1066"/>
      <c r="B779" s="937"/>
      <c r="C779" s="938"/>
      <c r="D779" s="939"/>
      <c r="E779" s="937"/>
      <c r="F779" s="937"/>
      <c r="G779" s="64" t="s">
        <v>848</v>
      </c>
      <c r="H779" s="942"/>
      <c r="I779" s="943"/>
      <c r="J779" s="944"/>
      <c r="K779" s="945"/>
      <c r="L779" s="945"/>
      <c r="M779" s="1178"/>
      <c r="O779">
        <v>2837707</v>
      </c>
    </row>
    <row r="780" spans="1:15" ht="12.75" customHeight="1">
      <c r="A780" s="1302">
        <v>382</v>
      </c>
      <c r="B780" s="1017" t="s">
        <v>837</v>
      </c>
      <c r="C780" s="1018"/>
      <c r="D780" s="1019"/>
      <c r="E780" s="1017" t="s">
        <v>20</v>
      </c>
      <c r="F780" s="1017"/>
      <c r="G780" s="67"/>
      <c r="H780" s="999">
        <v>10700000</v>
      </c>
      <c r="I780" s="973">
        <f>H780</f>
        <v>10700000</v>
      </c>
      <c r="J780" s="974"/>
      <c r="K780" s="1001">
        <f>L780</f>
        <v>10700000</v>
      </c>
      <c r="L780" s="1001">
        <v>10700000</v>
      </c>
      <c r="M780" s="901">
        <f>K780-H780</f>
        <v>0</v>
      </c>
      <c r="O780">
        <v>2837707</v>
      </c>
    </row>
    <row r="781" spans="1:15" ht="12.75" customHeight="1">
      <c r="A781" s="1066"/>
      <c r="B781" s="879"/>
      <c r="C781" s="914"/>
      <c r="D781" s="660"/>
      <c r="E781" s="879"/>
      <c r="F781" s="879"/>
      <c r="G781" s="60"/>
      <c r="H781" s="916"/>
      <c r="I781" s="906"/>
      <c r="J781" s="910"/>
      <c r="K781" s="920"/>
      <c r="L781" s="920"/>
      <c r="M781" s="903"/>
      <c r="O781">
        <v>2837707</v>
      </c>
    </row>
    <row r="782" spans="1:15" ht="12.75" customHeight="1">
      <c r="A782" s="1302">
        <v>383</v>
      </c>
      <c r="B782" s="1039"/>
      <c r="C782" s="986" t="s">
        <v>855</v>
      </c>
      <c r="D782" s="987" t="s">
        <v>854</v>
      </c>
      <c r="E782" s="983" t="s">
        <v>419</v>
      </c>
      <c r="F782" s="983"/>
      <c r="G782" s="60"/>
      <c r="H782" s="988">
        <v>6700000</v>
      </c>
      <c r="I782" s="916">
        <f>H782</f>
        <v>6700000</v>
      </c>
      <c r="J782" s="909"/>
      <c r="K782" s="984">
        <v>6700000</v>
      </c>
      <c r="L782" s="984">
        <v>6700000</v>
      </c>
      <c r="M782" s="903">
        <f>K782-H782</f>
        <v>0</v>
      </c>
      <c r="O782">
        <v>2837707</v>
      </c>
    </row>
    <row r="783" spans="1:15" ht="12.75" customHeight="1">
      <c r="A783" s="1066"/>
      <c r="B783" s="1039"/>
      <c r="C783" s="914"/>
      <c r="D783" s="660"/>
      <c r="E783" s="879"/>
      <c r="F783" s="879"/>
      <c r="G783" s="60"/>
      <c r="H783" s="916"/>
      <c r="I783" s="906"/>
      <c r="J783" s="910"/>
      <c r="K783" s="920"/>
      <c r="L783" s="920"/>
      <c r="M783" s="903"/>
      <c r="O783">
        <v>2837707</v>
      </c>
    </row>
    <row r="784" spans="1:15" ht="12.75" customHeight="1">
      <c r="A784" s="1302">
        <v>384</v>
      </c>
      <c r="B784" s="983"/>
      <c r="C784" s="986" t="s">
        <v>856</v>
      </c>
      <c r="D784" s="987" t="s">
        <v>854</v>
      </c>
      <c r="E784" s="983" t="s">
        <v>840</v>
      </c>
      <c r="F784" s="983"/>
      <c r="G784" s="60"/>
      <c r="H784" s="988">
        <v>3500000</v>
      </c>
      <c r="I784" s="916">
        <f>H784</f>
        <v>3500000</v>
      </c>
      <c r="J784" s="909"/>
      <c r="K784" s="984">
        <v>3500000</v>
      </c>
      <c r="L784" s="984">
        <v>350000</v>
      </c>
      <c r="M784" s="903">
        <f>K784-H784</f>
        <v>0</v>
      </c>
      <c r="O784">
        <v>2837707</v>
      </c>
    </row>
    <row r="785" spans="1:15" ht="13.5" customHeight="1" thickBot="1">
      <c r="A785" s="1066"/>
      <c r="B785" s="1197"/>
      <c r="C785" s="1249"/>
      <c r="D785" s="1196"/>
      <c r="E785" s="1197"/>
      <c r="F785" s="1197"/>
      <c r="G785" s="61"/>
      <c r="H785" s="1091"/>
      <c r="I785" s="943"/>
      <c r="J785" s="944"/>
      <c r="K785" s="1041"/>
      <c r="L785" s="1041"/>
      <c r="M785" s="1178"/>
      <c r="O785">
        <v>2837707</v>
      </c>
    </row>
    <row r="786" spans="1:15" ht="12.75" customHeight="1">
      <c r="A786" s="1302">
        <v>385</v>
      </c>
      <c r="B786" s="983" t="s">
        <v>839</v>
      </c>
      <c r="C786" s="986"/>
      <c r="D786" s="987" t="s">
        <v>854</v>
      </c>
      <c r="E786" s="983" t="s">
        <v>20</v>
      </c>
      <c r="F786" s="983"/>
      <c r="G786" s="60"/>
      <c r="H786" s="988">
        <v>10700000</v>
      </c>
      <c r="I786" s="916">
        <f>H786</f>
        <v>10700000</v>
      </c>
      <c r="J786" s="949"/>
      <c r="K786" s="984">
        <v>10700000</v>
      </c>
      <c r="L786" s="984">
        <f>K786</f>
        <v>10700000</v>
      </c>
      <c r="M786" s="901">
        <f>K786-H786</f>
        <v>0</v>
      </c>
      <c r="O786">
        <v>2837707</v>
      </c>
    </row>
    <row r="787" spans="1:15" ht="12.75" customHeight="1">
      <c r="A787" s="1066"/>
      <c r="B787" s="879"/>
      <c r="C787" s="914"/>
      <c r="D787" s="660"/>
      <c r="E787" s="879"/>
      <c r="F787" s="879"/>
      <c r="G787" s="60"/>
      <c r="H787" s="916"/>
      <c r="I787" s="906"/>
      <c r="J787" s="910"/>
      <c r="K787" s="920"/>
      <c r="L787" s="920"/>
      <c r="M787" s="903"/>
      <c r="O787">
        <v>2837707</v>
      </c>
    </row>
    <row r="788" spans="1:15" ht="12.75" customHeight="1">
      <c r="A788" s="1302">
        <v>386</v>
      </c>
      <c r="B788" s="1039"/>
      <c r="C788" s="986" t="s">
        <v>866</v>
      </c>
      <c r="D788" s="987" t="s">
        <v>865</v>
      </c>
      <c r="E788" s="983" t="s">
        <v>142</v>
      </c>
      <c r="F788" s="983" t="s">
        <v>869</v>
      </c>
      <c r="G788" s="60"/>
      <c r="H788" s="988">
        <v>460000</v>
      </c>
      <c r="I788" s="916">
        <f>H788</f>
        <v>460000</v>
      </c>
      <c r="J788" s="909"/>
      <c r="K788" s="984">
        <v>460000</v>
      </c>
      <c r="L788" s="984">
        <f>K788</f>
        <v>460000</v>
      </c>
      <c r="M788" s="903">
        <f>K788-H788</f>
        <v>0</v>
      </c>
      <c r="O788">
        <v>2837707</v>
      </c>
    </row>
    <row r="789" spans="1:15" ht="12.75" customHeight="1">
      <c r="A789" s="1066"/>
      <c r="B789" s="1039"/>
      <c r="C789" s="914"/>
      <c r="D789" s="660"/>
      <c r="E789" s="879"/>
      <c r="F789" s="879"/>
      <c r="G789" s="60"/>
      <c r="H789" s="916"/>
      <c r="I789" s="906"/>
      <c r="J789" s="910"/>
      <c r="K789" s="920"/>
      <c r="L789" s="920"/>
      <c r="M789" s="903"/>
      <c r="O789">
        <v>2837707</v>
      </c>
    </row>
    <row r="790" spans="1:15" ht="12.75" customHeight="1">
      <c r="A790" s="1302">
        <v>387</v>
      </c>
      <c r="B790" s="983"/>
      <c r="C790" s="986" t="s">
        <v>867</v>
      </c>
      <c r="D790" s="987" t="s">
        <v>865</v>
      </c>
      <c r="E790" s="983" t="s">
        <v>15</v>
      </c>
      <c r="F790" s="983"/>
      <c r="G790" s="60"/>
      <c r="H790" s="988">
        <v>2400000</v>
      </c>
      <c r="I790" s="916">
        <f>H790</f>
        <v>2400000</v>
      </c>
      <c r="J790" s="909"/>
      <c r="K790" s="984">
        <v>2400000</v>
      </c>
      <c r="L790" s="984">
        <f>K790</f>
        <v>2400000</v>
      </c>
      <c r="M790" s="903">
        <f>K790-H790</f>
        <v>0</v>
      </c>
      <c r="O790">
        <v>2837707</v>
      </c>
    </row>
    <row r="791" spans="1:15" ht="12.75" customHeight="1">
      <c r="A791" s="1066"/>
      <c r="B791" s="879"/>
      <c r="C791" s="914"/>
      <c r="D791" s="660"/>
      <c r="E791" s="879"/>
      <c r="F791" s="879"/>
      <c r="G791" s="60"/>
      <c r="H791" s="916"/>
      <c r="I791" s="906"/>
      <c r="J791" s="910"/>
      <c r="K791" s="920"/>
      <c r="L791" s="920"/>
      <c r="M791" s="903"/>
      <c r="O791">
        <v>2837707</v>
      </c>
    </row>
    <row r="792" spans="1:15" ht="12.75" customHeight="1">
      <c r="A792" s="1302">
        <v>388</v>
      </c>
      <c r="B792" s="983"/>
      <c r="C792" s="986" t="s">
        <v>868</v>
      </c>
      <c r="D792" s="987" t="s">
        <v>865</v>
      </c>
      <c r="E792" s="983" t="s">
        <v>324</v>
      </c>
      <c r="F792" s="983"/>
      <c r="G792" s="60"/>
      <c r="H792" s="988">
        <v>2500000</v>
      </c>
      <c r="I792" s="916">
        <f>H792</f>
        <v>2500000</v>
      </c>
      <c r="J792" s="909"/>
      <c r="K792" s="984">
        <v>2500000</v>
      </c>
      <c r="L792" s="984">
        <v>2500000</v>
      </c>
      <c r="M792" s="903">
        <f>K792-H792</f>
        <v>0</v>
      </c>
      <c r="O792">
        <v>2837707</v>
      </c>
    </row>
    <row r="793" spans="1:15" ht="12.75" customHeight="1" thickBot="1">
      <c r="A793" s="1066"/>
      <c r="B793" s="983"/>
      <c r="C793" s="986"/>
      <c r="D793" s="987"/>
      <c r="E793" s="983"/>
      <c r="F793" s="983"/>
      <c r="G793" s="59"/>
      <c r="H793" s="988"/>
      <c r="I793" s="982"/>
      <c r="J793" s="917"/>
      <c r="K793" s="984"/>
      <c r="L793" s="984"/>
      <c r="M793" s="900"/>
      <c r="O793">
        <v>2837707</v>
      </c>
    </row>
    <row r="794" spans="1:15" ht="12.75" customHeight="1">
      <c r="A794" s="1302">
        <v>389</v>
      </c>
      <c r="B794" s="1121" t="s">
        <v>876</v>
      </c>
      <c r="C794" s="1018" t="s">
        <v>871</v>
      </c>
      <c r="D794" s="1019" t="s">
        <v>870</v>
      </c>
      <c r="E794" s="1017" t="s">
        <v>873</v>
      </c>
      <c r="F794" s="1017"/>
      <c r="G794" s="67"/>
      <c r="H794" s="999">
        <v>1053000</v>
      </c>
      <c r="I794" s="973">
        <f>H794</f>
        <v>1053000</v>
      </c>
      <c r="J794" s="974"/>
      <c r="K794" s="1001">
        <v>1053000</v>
      </c>
      <c r="L794" s="1001">
        <v>1053000</v>
      </c>
      <c r="M794" s="967">
        <f>K794-H794</f>
        <v>0</v>
      </c>
      <c r="O794">
        <v>2837707</v>
      </c>
    </row>
    <row r="795" spans="1:15" ht="12.75" customHeight="1">
      <c r="A795" s="1066"/>
      <c r="B795" s="1122"/>
      <c r="C795" s="914"/>
      <c r="D795" s="660"/>
      <c r="E795" s="879"/>
      <c r="F795" s="879"/>
      <c r="G795" s="60"/>
      <c r="H795" s="916"/>
      <c r="I795" s="906"/>
      <c r="J795" s="910"/>
      <c r="K795" s="920"/>
      <c r="L795" s="920"/>
      <c r="M795" s="946"/>
      <c r="O795">
        <v>2837707</v>
      </c>
    </row>
    <row r="796" spans="1:15" ht="12.75" customHeight="1">
      <c r="A796" s="1302">
        <v>390</v>
      </c>
      <c r="B796" s="1114"/>
      <c r="C796" s="986" t="s">
        <v>872</v>
      </c>
      <c r="D796" s="987" t="s">
        <v>870</v>
      </c>
      <c r="E796" s="983" t="s">
        <v>55</v>
      </c>
      <c r="F796" s="983"/>
      <c r="G796" s="60"/>
      <c r="H796" s="988">
        <v>1470</v>
      </c>
      <c r="I796" s="916">
        <v>416010</v>
      </c>
      <c r="J796" s="909"/>
      <c r="K796" s="984">
        <v>1470</v>
      </c>
      <c r="L796" s="984">
        <v>1470</v>
      </c>
      <c r="M796" s="946">
        <f>K796-H796</f>
        <v>0</v>
      </c>
      <c r="O796">
        <v>2837707</v>
      </c>
    </row>
    <row r="797" spans="1:15" ht="12.75" customHeight="1" thickBot="1">
      <c r="A797" s="1066"/>
      <c r="B797" s="1115"/>
      <c r="C797" s="1249"/>
      <c r="D797" s="1196"/>
      <c r="E797" s="1197"/>
      <c r="F797" s="1197"/>
      <c r="G797" s="61"/>
      <c r="H797" s="1091"/>
      <c r="I797" s="943"/>
      <c r="J797" s="944"/>
      <c r="K797" s="1041"/>
      <c r="L797" s="1041"/>
      <c r="M797" s="947"/>
      <c r="O797">
        <v>2837707</v>
      </c>
    </row>
    <row r="798" spans="1:15" ht="12.75" customHeight="1">
      <c r="A798" s="1302">
        <v>391</v>
      </c>
      <c r="B798" s="1121" t="s">
        <v>857</v>
      </c>
      <c r="C798" s="1018"/>
      <c r="D798" s="1019"/>
      <c r="E798" s="1017" t="s">
        <v>20</v>
      </c>
      <c r="F798" s="1017"/>
      <c r="G798" s="67"/>
      <c r="H798" s="999">
        <v>11100000</v>
      </c>
      <c r="I798" s="973">
        <f>H798</f>
        <v>11100000</v>
      </c>
      <c r="J798" s="974"/>
      <c r="K798" s="1001">
        <v>11100000</v>
      </c>
      <c r="L798" s="1001">
        <v>11100000</v>
      </c>
      <c r="M798" s="967">
        <f>K798-H798</f>
        <v>0</v>
      </c>
      <c r="O798">
        <v>2837707</v>
      </c>
    </row>
    <row r="799" spans="1:15" ht="12.75" customHeight="1">
      <c r="A799" s="1066"/>
      <c r="B799" s="1122"/>
      <c r="C799" s="914"/>
      <c r="D799" s="660"/>
      <c r="E799" s="879"/>
      <c r="F799" s="879"/>
      <c r="G799" s="60"/>
      <c r="H799" s="916"/>
      <c r="I799" s="906"/>
      <c r="J799" s="910"/>
      <c r="K799" s="920"/>
      <c r="L799" s="920"/>
      <c r="M799" s="946"/>
      <c r="O799">
        <v>2837707</v>
      </c>
    </row>
    <row r="800" spans="1:15" ht="12.75" customHeight="1">
      <c r="A800" s="1302">
        <v>392</v>
      </c>
      <c r="B800" s="1079"/>
      <c r="C800" s="986" t="s">
        <v>877</v>
      </c>
      <c r="D800" s="987" t="s">
        <v>892</v>
      </c>
      <c r="E800" s="983" t="s">
        <v>891</v>
      </c>
      <c r="F800" s="983" t="s">
        <v>907</v>
      </c>
      <c r="G800" s="60"/>
      <c r="H800" s="988">
        <v>4000000</v>
      </c>
      <c r="I800" s="916">
        <f>H800</f>
        <v>4000000</v>
      </c>
      <c r="J800" s="909"/>
      <c r="K800" s="984">
        <v>4000000</v>
      </c>
      <c r="L800" s="984">
        <v>4000000</v>
      </c>
      <c r="M800" s="946">
        <f>K800-H800</f>
        <v>0</v>
      </c>
      <c r="O800">
        <v>2837707</v>
      </c>
    </row>
    <row r="801" spans="1:15" ht="12.75" customHeight="1">
      <c r="A801" s="1066"/>
      <c r="B801" s="1079"/>
      <c r="C801" s="914"/>
      <c r="D801" s="660"/>
      <c r="E801" s="879"/>
      <c r="F801" s="879"/>
      <c r="G801" s="60"/>
      <c r="H801" s="916"/>
      <c r="I801" s="906"/>
      <c r="J801" s="910"/>
      <c r="K801" s="920"/>
      <c r="L801" s="920"/>
      <c r="M801" s="946"/>
      <c r="O801">
        <v>2837707</v>
      </c>
    </row>
    <row r="802" spans="1:15" ht="12.75" customHeight="1">
      <c r="A802" s="1302">
        <v>393</v>
      </c>
      <c r="B802" s="1301"/>
      <c r="C802" s="986" t="s">
        <v>878</v>
      </c>
      <c r="D802" s="987" t="s">
        <v>880</v>
      </c>
      <c r="E802" s="983" t="s">
        <v>725</v>
      </c>
      <c r="F802" s="983"/>
      <c r="G802" s="60"/>
      <c r="H802" s="988">
        <v>1001120</v>
      </c>
      <c r="I802" s="916">
        <f>H802</f>
        <v>1001120</v>
      </c>
      <c r="J802" s="909"/>
      <c r="K802" s="984">
        <v>1001120</v>
      </c>
      <c r="L802" s="984">
        <f>K802</f>
        <v>1001120</v>
      </c>
      <c r="M802" s="946">
        <f>K802-H802</f>
        <v>0</v>
      </c>
      <c r="O802">
        <v>2837707</v>
      </c>
    </row>
    <row r="803" spans="1:15" ht="12.75" customHeight="1">
      <c r="A803" s="1066"/>
      <c r="B803" s="1122"/>
      <c r="C803" s="914"/>
      <c r="D803" s="660"/>
      <c r="E803" s="879"/>
      <c r="F803" s="879"/>
      <c r="G803" s="60"/>
      <c r="H803" s="916"/>
      <c r="I803" s="906"/>
      <c r="J803" s="910"/>
      <c r="K803" s="920"/>
      <c r="L803" s="920"/>
      <c r="M803" s="946"/>
      <c r="O803">
        <v>2837707</v>
      </c>
    </row>
    <row r="804" spans="1:15" ht="12.75" customHeight="1">
      <c r="A804" s="1302">
        <v>394</v>
      </c>
      <c r="B804" s="1301"/>
      <c r="C804" s="986" t="s">
        <v>879</v>
      </c>
      <c r="D804" s="987" t="s">
        <v>880</v>
      </c>
      <c r="E804" s="983" t="s">
        <v>881</v>
      </c>
      <c r="F804" s="983"/>
      <c r="G804" s="60"/>
      <c r="H804" s="988">
        <v>2000000</v>
      </c>
      <c r="I804" s="916">
        <f>H804</f>
        <v>2000000</v>
      </c>
      <c r="J804" s="909"/>
      <c r="K804" s="984">
        <v>2000000</v>
      </c>
      <c r="L804" s="984">
        <v>2000000</v>
      </c>
      <c r="M804" s="946">
        <f>K804-H804</f>
        <v>0</v>
      </c>
      <c r="O804">
        <v>2837707</v>
      </c>
    </row>
    <row r="805" spans="1:15" ht="12.75" customHeight="1" thickBot="1">
      <c r="A805" s="1066"/>
      <c r="B805" s="1230"/>
      <c r="C805" s="1249"/>
      <c r="D805" s="1196"/>
      <c r="E805" s="1197"/>
      <c r="F805" s="1197"/>
      <c r="G805" s="61"/>
      <c r="H805" s="1091"/>
      <c r="I805" s="906"/>
      <c r="J805" s="944"/>
      <c r="K805" s="1041"/>
      <c r="L805" s="1041"/>
      <c r="M805" s="947"/>
      <c r="O805">
        <v>2837707</v>
      </c>
    </row>
    <row r="806" spans="1:15" ht="12.75" customHeight="1">
      <c r="A806" s="1302">
        <v>395</v>
      </c>
      <c r="B806" s="1121" t="s">
        <v>863</v>
      </c>
      <c r="C806" s="1018"/>
      <c r="D806" s="1019"/>
      <c r="E806" s="1017" t="s">
        <v>20</v>
      </c>
      <c r="F806" s="1017"/>
      <c r="G806" s="67"/>
      <c r="H806" s="999">
        <v>10700000</v>
      </c>
      <c r="I806" s="973">
        <f>H806</f>
        <v>10700000</v>
      </c>
      <c r="J806" s="974"/>
      <c r="K806" s="1001">
        <v>10700000</v>
      </c>
      <c r="L806" s="1001">
        <v>10700000</v>
      </c>
      <c r="M806" s="967">
        <f>K806-H806</f>
        <v>0</v>
      </c>
      <c r="O806">
        <v>2837707</v>
      </c>
    </row>
    <row r="807" spans="1:15" ht="12.75" customHeight="1">
      <c r="A807" s="1066"/>
      <c r="B807" s="1122"/>
      <c r="C807" s="914"/>
      <c r="D807" s="660"/>
      <c r="E807" s="879"/>
      <c r="F807" s="879"/>
      <c r="G807" s="60"/>
      <c r="H807" s="916"/>
      <c r="I807" s="906"/>
      <c r="J807" s="910"/>
      <c r="K807" s="920"/>
      <c r="L807" s="920"/>
      <c r="M807" s="946"/>
      <c r="O807">
        <v>2837707</v>
      </c>
    </row>
    <row r="808" spans="1:15" ht="12.75" customHeight="1">
      <c r="A808" s="1302">
        <v>396</v>
      </c>
      <c r="B808" s="1079"/>
      <c r="C808" s="986" t="s">
        <v>884</v>
      </c>
      <c r="D808" s="987" t="s">
        <v>890</v>
      </c>
      <c r="E808" s="983" t="s">
        <v>889</v>
      </c>
      <c r="F808" s="983"/>
      <c r="G808" s="60" t="s">
        <v>875</v>
      </c>
      <c r="H808" s="988">
        <v>3000000</v>
      </c>
      <c r="I808" s="916">
        <f>H808</f>
        <v>3000000</v>
      </c>
      <c r="J808" s="909"/>
      <c r="K808" s="984">
        <v>3000000</v>
      </c>
      <c r="L808" s="984">
        <v>3000000</v>
      </c>
      <c r="M808" s="946">
        <f>K808-H808</f>
        <v>0</v>
      </c>
      <c r="O808">
        <v>2837707</v>
      </c>
    </row>
    <row r="809" spans="1:15" ht="12.75" customHeight="1">
      <c r="A809" s="1066"/>
      <c r="B809" s="1079"/>
      <c r="C809" s="914"/>
      <c r="D809" s="660"/>
      <c r="E809" s="879"/>
      <c r="F809" s="879"/>
      <c r="G809" s="60"/>
      <c r="H809" s="916"/>
      <c r="I809" s="906"/>
      <c r="J809" s="910"/>
      <c r="K809" s="920"/>
      <c r="L809" s="920"/>
      <c r="M809" s="946"/>
      <c r="O809">
        <v>2837707</v>
      </c>
    </row>
    <row r="810" spans="1:15" ht="12.75" customHeight="1">
      <c r="A810" s="1302">
        <v>397</v>
      </c>
      <c r="B810" s="1301"/>
      <c r="C810" s="986" t="s">
        <v>885</v>
      </c>
      <c r="D810" s="987" t="s">
        <v>890</v>
      </c>
      <c r="E810" s="983" t="s">
        <v>874</v>
      </c>
      <c r="F810" s="983" t="s">
        <v>883</v>
      </c>
      <c r="G810" s="60"/>
      <c r="H810" s="988">
        <v>475000</v>
      </c>
      <c r="I810" s="916">
        <f>H810</f>
        <v>475000</v>
      </c>
      <c r="J810" s="909"/>
      <c r="K810" s="984">
        <v>475000</v>
      </c>
      <c r="L810" s="984">
        <v>475000</v>
      </c>
      <c r="M810" s="946">
        <f>K810-H810</f>
        <v>0</v>
      </c>
      <c r="O810">
        <v>2837707</v>
      </c>
    </row>
    <row r="811" spans="1:15" ht="12.75" customHeight="1">
      <c r="A811" s="1066"/>
      <c r="B811" s="1122"/>
      <c r="C811" s="914"/>
      <c r="D811" s="660"/>
      <c r="E811" s="879"/>
      <c r="F811" s="879"/>
      <c r="G811" s="60"/>
      <c r="H811" s="916"/>
      <c r="I811" s="906"/>
      <c r="J811" s="910"/>
      <c r="K811" s="920"/>
      <c r="L811" s="920"/>
      <c r="M811" s="946"/>
      <c r="O811">
        <v>2837707</v>
      </c>
    </row>
    <row r="812" spans="1:15" ht="12.75" customHeight="1">
      <c r="A812" s="1302">
        <v>398</v>
      </c>
      <c r="B812" s="1114"/>
      <c r="C812" s="913" t="s">
        <v>886</v>
      </c>
      <c r="D812" s="659" t="s">
        <v>890</v>
      </c>
      <c r="E812" s="878" t="s">
        <v>697</v>
      </c>
      <c r="F812" s="878"/>
      <c r="G812" s="60"/>
      <c r="H812" s="915">
        <v>1000000</v>
      </c>
      <c r="I812" s="915">
        <f>H812</f>
        <v>1000000</v>
      </c>
      <c r="J812" s="948"/>
      <c r="K812" s="919">
        <v>1000000</v>
      </c>
      <c r="L812" s="919">
        <v>1000000</v>
      </c>
      <c r="M812" s="950">
        <f>K812-H812</f>
        <v>0</v>
      </c>
      <c r="O812">
        <v>2837707</v>
      </c>
    </row>
    <row r="813" spans="1:15" ht="12.75" customHeight="1" thickBot="1">
      <c r="A813" s="1066"/>
      <c r="B813" s="1115"/>
      <c r="C813" s="1249"/>
      <c r="D813" s="1196"/>
      <c r="E813" s="1197"/>
      <c r="F813" s="1197"/>
      <c r="G813" s="61"/>
      <c r="H813" s="1091"/>
      <c r="I813" s="1091"/>
      <c r="J813" s="1148"/>
      <c r="K813" s="1041"/>
      <c r="L813" s="1041"/>
      <c r="M813" s="1149"/>
      <c r="O813">
        <v>2837707</v>
      </c>
    </row>
    <row r="814" spans="1:15" ht="12.75" customHeight="1">
      <c r="A814" s="1302">
        <v>399</v>
      </c>
      <c r="B814" s="1121" t="s">
        <v>864</v>
      </c>
      <c r="C814" s="1018"/>
      <c r="D814" s="1019" t="s">
        <v>951</v>
      </c>
      <c r="E814" s="1017" t="s">
        <v>20</v>
      </c>
      <c r="F814" s="1017"/>
      <c r="G814" s="67"/>
      <c r="H814" s="999">
        <v>10700000</v>
      </c>
      <c r="I814" s="973">
        <f>H814</f>
        <v>10700000</v>
      </c>
      <c r="J814" s="974"/>
      <c r="K814" s="1001">
        <v>10700000</v>
      </c>
      <c r="L814" s="1001">
        <v>10700000</v>
      </c>
      <c r="M814" s="967">
        <f>K814-H814</f>
        <v>0</v>
      </c>
      <c r="O814">
        <v>2837707</v>
      </c>
    </row>
    <row r="815" spans="1:15" ht="12.75" customHeight="1">
      <c r="A815" s="1066"/>
      <c r="B815" s="1122"/>
      <c r="C815" s="914"/>
      <c r="D815" s="660"/>
      <c r="E815" s="879"/>
      <c r="F815" s="879"/>
      <c r="G815" s="60"/>
      <c r="H815" s="916"/>
      <c r="I815" s="906"/>
      <c r="J815" s="910"/>
      <c r="K815" s="920"/>
      <c r="L815" s="920"/>
      <c r="M815" s="946"/>
      <c r="O815">
        <v>2837707</v>
      </c>
    </row>
    <row r="816" spans="1:15" ht="12.75" customHeight="1">
      <c r="A816" s="1302">
        <v>400</v>
      </c>
      <c r="B816" s="1079"/>
      <c r="C816" s="986" t="s">
        <v>893</v>
      </c>
      <c r="D816" s="987" t="s">
        <v>899</v>
      </c>
      <c r="E816" s="983" t="s">
        <v>898</v>
      </c>
      <c r="F816" s="983"/>
      <c r="G816" s="60"/>
      <c r="H816" s="988">
        <v>500000</v>
      </c>
      <c r="I816" s="916">
        <v>500000</v>
      </c>
      <c r="J816" s="909"/>
      <c r="K816" s="984">
        <v>500000</v>
      </c>
      <c r="L816" s="984">
        <v>500000</v>
      </c>
      <c r="M816" s="946">
        <f>K816-H816</f>
        <v>0</v>
      </c>
      <c r="O816">
        <v>2837707</v>
      </c>
    </row>
    <row r="817" spans="1:15" ht="12.75" customHeight="1" thickBot="1">
      <c r="A817" s="1066"/>
      <c r="B817" s="1080"/>
      <c r="C817" s="1249"/>
      <c r="D817" s="1196"/>
      <c r="E817" s="1197"/>
      <c r="F817" s="1197"/>
      <c r="G817" s="61"/>
      <c r="H817" s="1091"/>
      <c r="I817" s="943"/>
      <c r="J817" s="944"/>
      <c r="K817" s="1041"/>
      <c r="L817" s="1041"/>
      <c r="M817" s="947"/>
      <c r="O817">
        <v>2837707</v>
      </c>
    </row>
    <row r="818" spans="1:15" ht="12.75" customHeight="1">
      <c r="A818" s="1302">
        <v>401</v>
      </c>
      <c r="B818" s="1121" t="s">
        <v>882</v>
      </c>
      <c r="C818" s="1018"/>
      <c r="D818" s="1019" t="s">
        <v>899</v>
      </c>
      <c r="E818" s="1017" t="s">
        <v>20</v>
      </c>
      <c r="F818" s="1017"/>
      <c r="G818" s="67"/>
      <c r="H818" s="999">
        <v>10700000</v>
      </c>
      <c r="I818" s="973">
        <f>H818</f>
        <v>10700000</v>
      </c>
      <c r="J818" s="974"/>
      <c r="K818" s="1001">
        <v>10700000</v>
      </c>
      <c r="L818" s="1001">
        <v>10700000</v>
      </c>
      <c r="M818" s="967">
        <f>K818-H818</f>
        <v>0</v>
      </c>
      <c r="O818">
        <v>2837707</v>
      </c>
    </row>
    <row r="819" spans="1:15" ht="12.75" customHeight="1">
      <c r="A819" s="1066"/>
      <c r="B819" s="1122"/>
      <c r="C819" s="914"/>
      <c r="D819" s="660"/>
      <c r="E819" s="879"/>
      <c r="F819" s="879"/>
      <c r="G819" s="60"/>
      <c r="H819" s="916"/>
      <c r="I819" s="906"/>
      <c r="J819" s="910"/>
      <c r="K819" s="920"/>
      <c r="L819" s="920"/>
      <c r="M819" s="946"/>
      <c r="O819">
        <v>2837707</v>
      </c>
    </row>
    <row r="820" spans="1:15" ht="12.75" customHeight="1">
      <c r="A820" s="1302">
        <v>402</v>
      </c>
      <c r="B820" s="1079"/>
      <c r="C820" s="986" t="s">
        <v>896</v>
      </c>
      <c r="D820" s="987" t="s">
        <v>904</v>
      </c>
      <c r="E820" s="983" t="s">
        <v>902</v>
      </c>
      <c r="F820" s="983"/>
      <c r="G820" s="60"/>
      <c r="H820" s="988">
        <v>2000000</v>
      </c>
      <c r="I820" s="916">
        <f>H820</f>
        <v>2000000</v>
      </c>
      <c r="J820" s="909"/>
      <c r="K820" s="984">
        <v>2000000</v>
      </c>
      <c r="L820" s="984">
        <v>2000000</v>
      </c>
      <c r="M820" s="946">
        <f>K820-H820</f>
        <v>0</v>
      </c>
      <c r="O820">
        <v>2837707</v>
      </c>
    </row>
    <row r="821" spans="1:15" ht="12.75" customHeight="1">
      <c r="A821" s="1066"/>
      <c r="B821" s="1079"/>
      <c r="C821" s="914"/>
      <c r="D821" s="660"/>
      <c r="E821" s="879"/>
      <c r="F821" s="879"/>
      <c r="G821" s="60"/>
      <c r="H821" s="916"/>
      <c r="I821" s="906"/>
      <c r="J821" s="910"/>
      <c r="K821" s="920"/>
      <c r="L821" s="920"/>
      <c r="M821" s="946"/>
      <c r="O821">
        <v>2837707</v>
      </c>
    </row>
    <row r="822" spans="1:15" ht="12.75" customHeight="1">
      <c r="A822" s="1302">
        <v>403</v>
      </c>
      <c r="B822" s="1301"/>
      <c r="C822" s="986" t="s">
        <v>903</v>
      </c>
      <c r="D822" s="987" t="s">
        <v>905</v>
      </c>
      <c r="E822" s="983" t="s">
        <v>906</v>
      </c>
      <c r="F822" s="983" t="s">
        <v>907</v>
      </c>
      <c r="G822" s="60"/>
      <c r="H822" s="988">
        <v>4200000</v>
      </c>
      <c r="I822" s="916">
        <f>H822</f>
        <v>4200000</v>
      </c>
      <c r="J822" s="909"/>
      <c r="K822" s="984">
        <v>4200000</v>
      </c>
      <c r="L822" s="984">
        <f>K822</f>
        <v>4200000</v>
      </c>
      <c r="M822" s="946">
        <f>K822-H822</f>
        <v>0</v>
      </c>
      <c r="O822">
        <v>2837707</v>
      </c>
    </row>
    <row r="823" spans="1:15" ht="12.75" customHeight="1" thickBot="1">
      <c r="A823" s="1066"/>
      <c r="B823" s="1230"/>
      <c r="C823" s="1249"/>
      <c r="D823" s="1196"/>
      <c r="E823" s="1197"/>
      <c r="F823" s="1197"/>
      <c r="G823" s="61"/>
      <c r="H823" s="1091"/>
      <c r="I823" s="943"/>
      <c r="J823" s="944"/>
      <c r="K823" s="1041"/>
      <c r="L823" s="1041"/>
      <c r="M823" s="947"/>
      <c r="O823">
        <v>2837707</v>
      </c>
    </row>
    <row r="824" spans="1:15" ht="12.75" customHeight="1">
      <c r="A824" s="1302">
        <v>404</v>
      </c>
      <c r="B824" s="1121" t="s">
        <v>894</v>
      </c>
      <c r="C824" s="1018"/>
      <c r="D824" s="1019"/>
      <c r="E824" s="1017" t="s">
        <v>20</v>
      </c>
      <c r="F824" s="1017"/>
      <c r="G824" s="67"/>
      <c r="H824" s="999">
        <v>10700000</v>
      </c>
      <c r="I824" s="973">
        <f>H824</f>
        <v>10700000</v>
      </c>
      <c r="J824" s="974"/>
      <c r="K824" s="1001">
        <v>10700000</v>
      </c>
      <c r="L824" s="1001">
        <v>10700000</v>
      </c>
      <c r="M824" s="967">
        <f>K824-H824</f>
        <v>0</v>
      </c>
      <c r="O824">
        <v>2837707</v>
      </c>
    </row>
    <row r="825" spans="1:15" ht="12.75" customHeight="1">
      <c r="A825" s="1066"/>
      <c r="B825" s="1122"/>
      <c r="C825" s="914"/>
      <c r="D825" s="660"/>
      <c r="E825" s="879"/>
      <c r="F825" s="879"/>
      <c r="G825" s="60"/>
      <c r="H825" s="916"/>
      <c r="I825" s="906"/>
      <c r="J825" s="910"/>
      <c r="K825" s="920"/>
      <c r="L825" s="920"/>
      <c r="M825" s="946"/>
      <c r="O825">
        <v>2837707</v>
      </c>
    </row>
    <row r="826" spans="1:15" ht="12.75" customHeight="1">
      <c r="A826" s="1302">
        <v>405</v>
      </c>
      <c r="B826" s="1079"/>
      <c r="C826" s="986" t="s">
        <v>910</v>
      </c>
      <c r="D826" s="987" t="s">
        <v>904</v>
      </c>
      <c r="E826" s="983" t="s">
        <v>576</v>
      </c>
      <c r="F826" s="983" t="s">
        <v>204</v>
      </c>
      <c r="G826" s="60"/>
      <c r="H826" s="988">
        <v>5500000</v>
      </c>
      <c r="I826" s="916">
        <f>H826</f>
        <v>5500000</v>
      </c>
      <c r="J826" s="909"/>
      <c r="K826" s="984">
        <v>5500000</v>
      </c>
      <c r="L826" s="984">
        <v>5500000</v>
      </c>
      <c r="M826" s="946">
        <f>K826-H826</f>
        <v>0</v>
      </c>
      <c r="O826">
        <v>2837707</v>
      </c>
    </row>
    <row r="827" spans="1:15" ht="12.75" customHeight="1" thickBot="1">
      <c r="A827" s="1066"/>
      <c r="B827" s="1114"/>
      <c r="C827" s="986"/>
      <c r="D827" s="987"/>
      <c r="E827" s="983"/>
      <c r="F827" s="983"/>
      <c r="G827" s="59"/>
      <c r="H827" s="988"/>
      <c r="I827" s="982"/>
      <c r="J827" s="917"/>
      <c r="K827" s="984"/>
      <c r="L827" s="984"/>
      <c r="M827" s="950"/>
      <c r="O827">
        <v>2837707</v>
      </c>
    </row>
    <row r="828" spans="1:15" ht="12.75" customHeight="1">
      <c r="A828" s="1302">
        <v>406</v>
      </c>
      <c r="B828" s="1121" t="s">
        <v>888</v>
      </c>
      <c r="C828" s="1018"/>
      <c r="D828" s="1019"/>
      <c r="E828" s="1017" t="s">
        <v>20</v>
      </c>
      <c r="F828" s="1017"/>
      <c r="G828" s="67"/>
      <c r="H828" s="999">
        <v>10700000</v>
      </c>
      <c r="I828" s="973">
        <f>H828</f>
        <v>10700000</v>
      </c>
      <c r="J828" s="974"/>
      <c r="K828" s="1001">
        <v>10700000</v>
      </c>
      <c r="L828" s="1001">
        <v>10700000</v>
      </c>
      <c r="M828" s="967">
        <f>K828-H828</f>
        <v>0</v>
      </c>
      <c r="O828">
        <v>2837707</v>
      </c>
    </row>
    <row r="829" spans="1:15" ht="12.75" customHeight="1">
      <c r="A829" s="1066"/>
      <c r="B829" s="1122"/>
      <c r="C829" s="914"/>
      <c r="D829" s="660"/>
      <c r="E829" s="879"/>
      <c r="F829" s="879"/>
      <c r="G829" s="60"/>
      <c r="H829" s="916"/>
      <c r="I829" s="906"/>
      <c r="J829" s="910"/>
      <c r="K829" s="920"/>
      <c r="L829" s="920"/>
      <c r="M829" s="946"/>
      <c r="O829">
        <v>2837707</v>
      </c>
    </row>
    <row r="830" spans="1:15" ht="12.75" customHeight="1">
      <c r="A830" s="1302">
        <v>407</v>
      </c>
      <c r="B830" s="1079"/>
      <c r="C830" s="986" t="s">
        <v>913</v>
      </c>
      <c r="D830" s="987" t="s">
        <v>909</v>
      </c>
      <c r="E830" s="983" t="s">
        <v>142</v>
      </c>
      <c r="F830" s="983" t="s">
        <v>911</v>
      </c>
      <c r="G830" s="60" t="s">
        <v>912</v>
      </c>
      <c r="H830" s="988">
        <v>475000</v>
      </c>
      <c r="I830" s="916">
        <f>H830</f>
        <v>475000</v>
      </c>
      <c r="J830" s="909"/>
      <c r="K830" s="984">
        <v>475000</v>
      </c>
      <c r="L830" s="984">
        <f>K830</f>
        <v>475000</v>
      </c>
      <c r="M830" s="946">
        <f>K830-H830</f>
        <v>0</v>
      </c>
      <c r="O830">
        <v>2837707</v>
      </c>
    </row>
    <row r="831" spans="1:15" ht="12.75" customHeight="1">
      <c r="A831" s="1066"/>
      <c r="B831" s="1079"/>
      <c r="C831" s="914"/>
      <c r="D831" s="660"/>
      <c r="E831" s="879"/>
      <c r="F831" s="879"/>
      <c r="G831" s="60"/>
      <c r="H831" s="916"/>
      <c r="I831" s="906"/>
      <c r="J831" s="910"/>
      <c r="K831" s="920"/>
      <c r="L831" s="920"/>
      <c r="M831" s="946"/>
      <c r="O831">
        <v>2837707</v>
      </c>
    </row>
    <row r="832" spans="1:15" ht="12.75" customHeight="1">
      <c r="A832" s="1302">
        <v>408</v>
      </c>
      <c r="B832" s="1301"/>
      <c r="C832" s="986" t="s">
        <v>914</v>
      </c>
      <c r="D832" s="987" t="s">
        <v>917</v>
      </c>
      <c r="E832" s="983" t="s">
        <v>14</v>
      </c>
      <c r="F832" s="1392" t="s">
        <v>919</v>
      </c>
      <c r="G832" s="60"/>
      <c r="H832" s="988">
        <v>7600000</v>
      </c>
      <c r="I832" s="916">
        <f>H832</f>
        <v>7600000</v>
      </c>
      <c r="J832" s="909"/>
      <c r="K832" s="984">
        <v>7600000</v>
      </c>
      <c r="L832" s="984">
        <f>K832</f>
        <v>7600000</v>
      </c>
      <c r="M832" s="946">
        <f>K832-H832</f>
        <v>0</v>
      </c>
      <c r="O832">
        <v>2837707</v>
      </c>
    </row>
    <row r="833" spans="1:15" ht="12.75" customHeight="1">
      <c r="A833" s="1066"/>
      <c r="B833" s="1122"/>
      <c r="C833" s="914"/>
      <c r="D833" s="660"/>
      <c r="E833" s="879"/>
      <c r="F833" s="1393"/>
      <c r="G833" s="60"/>
      <c r="H833" s="916"/>
      <c r="I833" s="906"/>
      <c r="J833" s="910"/>
      <c r="K833" s="920"/>
      <c r="L833" s="920"/>
      <c r="M833" s="946"/>
      <c r="O833">
        <v>2837707</v>
      </c>
    </row>
    <row r="834" spans="1:15" ht="12.75" customHeight="1">
      <c r="A834" s="1302">
        <v>409</v>
      </c>
      <c r="B834" s="1301"/>
      <c r="C834" s="986" t="s">
        <v>918</v>
      </c>
      <c r="D834" s="987" t="s">
        <v>917</v>
      </c>
      <c r="E834" s="983" t="s">
        <v>908</v>
      </c>
      <c r="F834" s="983" t="s">
        <v>849</v>
      </c>
      <c r="G834" s="60"/>
      <c r="H834" s="988">
        <v>950000</v>
      </c>
      <c r="I834" s="916">
        <f>H834</f>
        <v>950000</v>
      </c>
      <c r="J834" s="909"/>
      <c r="K834" s="984">
        <v>950000</v>
      </c>
      <c r="L834" s="984">
        <v>950000</v>
      </c>
      <c r="M834" s="946">
        <f>K834-H834</f>
        <v>0</v>
      </c>
      <c r="O834">
        <v>2837707</v>
      </c>
    </row>
    <row r="835" spans="1:15" ht="12.75" customHeight="1" thickBot="1">
      <c r="A835" s="1066"/>
      <c r="B835" s="1230"/>
      <c r="C835" s="1249"/>
      <c r="D835" s="1196"/>
      <c r="E835" s="1197"/>
      <c r="F835" s="1197"/>
      <c r="G835" s="61"/>
      <c r="H835" s="1091"/>
      <c r="I835" s="943"/>
      <c r="J835" s="944"/>
      <c r="K835" s="1041"/>
      <c r="L835" s="1041"/>
      <c r="M835" s="947"/>
      <c r="O835">
        <v>2837707</v>
      </c>
    </row>
    <row r="836" spans="1:15" ht="12.75" customHeight="1">
      <c r="A836" s="1302">
        <v>410</v>
      </c>
      <c r="B836" s="1121" t="s">
        <v>895</v>
      </c>
      <c r="C836" s="1018" t="s">
        <v>896</v>
      </c>
      <c r="D836" s="1019" t="s">
        <v>897</v>
      </c>
      <c r="E836" s="1017" t="s">
        <v>308</v>
      </c>
      <c r="F836" s="1017"/>
      <c r="G836" s="67"/>
      <c r="H836" s="999">
        <v>2380</v>
      </c>
      <c r="I836" s="973">
        <f>H836*J836</f>
        <v>681870</v>
      </c>
      <c r="J836" s="974">
        <v>286.5</v>
      </c>
      <c r="K836" s="1001">
        <v>2380</v>
      </c>
      <c r="L836" s="1001">
        <v>2380</v>
      </c>
      <c r="M836" s="967">
        <f>K836-H836</f>
        <v>0</v>
      </c>
      <c r="O836">
        <v>2837707</v>
      </c>
    </row>
    <row r="837" spans="1:15" ht="12.75" customHeight="1">
      <c r="A837" s="1066"/>
      <c r="B837" s="1122"/>
      <c r="C837" s="914"/>
      <c r="D837" s="660"/>
      <c r="E837" s="879"/>
      <c r="F837" s="879"/>
      <c r="G837" s="60"/>
      <c r="H837" s="916"/>
      <c r="I837" s="906"/>
      <c r="J837" s="910"/>
      <c r="K837" s="920"/>
      <c r="L837" s="920"/>
      <c r="M837" s="946"/>
      <c r="O837">
        <v>2837707</v>
      </c>
    </row>
    <row r="838" spans="1:15" ht="12" customHeight="1" thickBot="1">
      <c r="A838" s="1302">
        <v>411</v>
      </c>
      <c r="B838" s="1114"/>
      <c r="C838" s="986"/>
      <c r="D838" s="987"/>
      <c r="E838" s="983"/>
      <c r="F838" s="983"/>
      <c r="G838" s="60"/>
      <c r="H838" s="988"/>
      <c r="I838" s="916"/>
      <c r="J838" s="909"/>
      <c r="K838" s="984"/>
      <c r="L838" s="984"/>
      <c r="M838" s="946"/>
      <c r="O838">
        <v>2837707</v>
      </c>
    </row>
    <row r="839" spans="1:15" ht="12.75" hidden="1" customHeight="1" thickBot="1">
      <c r="A839" s="1066"/>
      <c r="B839" s="1115"/>
      <c r="C839" s="1249"/>
      <c r="D839" s="1196"/>
      <c r="E839" s="1197"/>
      <c r="F839" s="1197"/>
      <c r="G839" s="61"/>
      <c r="H839" s="1091"/>
      <c r="I839" s="943"/>
      <c r="J839" s="944"/>
      <c r="K839" s="1041"/>
      <c r="L839" s="1041"/>
      <c r="M839" s="947"/>
      <c r="O839">
        <v>2837707</v>
      </c>
    </row>
    <row r="840" spans="1:15" ht="12.75" customHeight="1">
      <c r="A840" s="1302">
        <v>412</v>
      </c>
      <c r="B840" s="1121" t="s">
        <v>900</v>
      </c>
      <c r="C840" s="1018"/>
      <c r="D840" s="1019"/>
      <c r="E840" s="1017" t="s">
        <v>20</v>
      </c>
      <c r="F840" s="1017"/>
      <c r="G840" s="67"/>
      <c r="H840" s="999">
        <v>10700000</v>
      </c>
      <c r="I840" s="973">
        <f>H840</f>
        <v>10700000</v>
      </c>
      <c r="J840" s="974"/>
      <c r="K840" s="1001">
        <v>10700000</v>
      </c>
      <c r="L840" s="1001">
        <v>10700000</v>
      </c>
      <c r="M840" s="967">
        <f>K840-H840</f>
        <v>0</v>
      </c>
      <c r="O840">
        <v>2837707</v>
      </c>
    </row>
    <row r="841" spans="1:15" ht="12.75" customHeight="1">
      <c r="A841" s="1066"/>
      <c r="B841" s="1122"/>
      <c r="C841" s="914"/>
      <c r="D841" s="660"/>
      <c r="E841" s="879"/>
      <c r="F841" s="879"/>
      <c r="G841" s="60"/>
      <c r="H841" s="916"/>
      <c r="I841" s="906"/>
      <c r="J841" s="910"/>
      <c r="K841" s="920"/>
      <c r="L841" s="920"/>
      <c r="M841" s="946"/>
      <c r="O841">
        <v>2837707</v>
      </c>
    </row>
    <row r="842" spans="1:15" ht="12.75" customHeight="1">
      <c r="A842" s="1302">
        <v>413</v>
      </c>
      <c r="B842" s="1079"/>
      <c r="C842" s="986" t="s">
        <v>921</v>
      </c>
      <c r="D842" s="987" t="s">
        <v>920</v>
      </c>
      <c r="E842" s="983" t="s">
        <v>846</v>
      </c>
      <c r="F842" s="983"/>
      <c r="G842" s="60"/>
      <c r="H842" s="988">
        <v>3000000</v>
      </c>
      <c r="I842" s="916">
        <f>H842</f>
        <v>3000000</v>
      </c>
      <c r="J842" s="909"/>
      <c r="K842" s="984">
        <v>3000000</v>
      </c>
      <c r="L842" s="984">
        <v>3000000</v>
      </c>
      <c r="M842" s="946">
        <f>K842-H842</f>
        <v>0</v>
      </c>
      <c r="O842">
        <v>2837707</v>
      </c>
    </row>
    <row r="843" spans="1:15" ht="12.75" customHeight="1">
      <c r="A843" s="1066"/>
      <c r="B843" s="1079"/>
      <c r="C843" s="914"/>
      <c r="D843" s="660"/>
      <c r="E843" s="879"/>
      <c r="F843" s="879"/>
      <c r="G843" s="60"/>
      <c r="H843" s="916"/>
      <c r="I843" s="906"/>
      <c r="J843" s="910"/>
      <c r="K843" s="920"/>
      <c r="L843" s="920"/>
      <c r="M843" s="946"/>
      <c r="O843">
        <v>2837707</v>
      </c>
    </row>
    <row r="844" spans="1:15" ht="12.75" customHeight="1">
      <c r="A844" s="1302">
        <v>414</v>
      </c>
      <c r="B844" s="1301"/>
      <c r="C844" s="986" t="s">
        <v>922</v>
      </c>
      <c r="D844" s="987" t="s">
        <v>923</v>
      </c>
      <c r="E844" s="983" t="s">
        <v>934</v>
      </c>
      <c r="F844" s="983"/>
      <c r="G844" s="60" t="s">
        <v>19</v>
      </c>
      <c r="H844" s="988">
        <v>2700000</v>
      </c>
      <c r="I844" s="916">
        <f>H844</f>
        <v>2700000</v>
      </c>
      <c r="J844" s="909"/>
      <c r="K844" s="984">
        <v>2700000</v>
      </c>
      <c r="L844" s="984">
        <v>2700000</v>
      </c>
      <c r="M844" s="946">
        <f>K844-H844</f>
        <v>0</v>
      </c>
      <c r="O844">
        <v>2837707</v>
      </c>
    </row>
    <row r="845" spans="1:15" ht="12.75" customHeight="1" thickBot="1">
      <c r="A845" s="1066"/>
      <c r="B845" s="1230"/>
      <c r="C845" s="1249"/>
      <c r="D845" s="1196"/>
      <c r="E845" s="1197"/>
      <c r="F845" s="1197"/>
      <c r="G845" s="61"/>
      <c r="H845" s="1091"/>
      <c r="I845" s="943"/>
      <c r="J845" s="944"/>
      <c r="K845" s="1041"/>
      <c r="L845" s="1041"/>
      <c r="M845" s="947"/>
      <c r="O845">
        <v>2837707</v>
      </c>
    </row>
    <row r="846" spans="1:15" ht="12.75" customHeight="1">
      <c r="A846" s="1302">
        <v>415</v>
      </c>
      <c r="B846" s="1121" t="s">
        <v>901</v>
      </c>
      <c r="C846" s="1018"/>
      <c r="D846" s="1019"/>
      <c r="E846" s="1017" t="s">
        <v>20</v>
      </c>
      <c r="F846" s="1017"/>
      <c r="G846" s="67"/>
      <c r="H846" s="999">
        <v>11100000</v>
      </c>
      <c r="I846" s="973">
        <f>H846</f>
        <v>11100000</v>
      </c>
      <c r="J846" s="974"/>
      <c r="K846" s="1001">
        <v>11100000</v>
      </c>
      <c r="L846" s="1001">
        <v>11100000</v>
      </c>
      <c r="M846" s="967">
        <f>K846-H846</f>
        <v>0</v>
      </c>
      <c r="O846">
        <v>2837707</v>
      </c>
    </row>
    <row r="847" spans="1:15" ht="12.75" customHeight="1">
      <c r="A847" s="1066"/>
      <c r="B847" s="1122"/>
      <c r="C847" s="914"/>
      <c r="D847" s="660"/>
      <c r="E847" s="879"/>
      <c r="F847" s="879"/>
      <c r="G847" s="60"/>
      <c r="H847" s="916"/>
      <c r="I847" s="906"/>
      <c r="J847" s="910"/>
      <c r="K847" s="920"/>
      <c r="L847" s="920"/>
      <c r="M847" s="946"/>
      <c r="O847">
        <v>2837707</v>
      </c>
    </row>
    <row r="848" spans="1:15" ht="12.75" customHeight="1">
      <c r="A848" s="1302">
        <v>416</v>
      </c>
      <c r="B848" s="1079"/>
      <c r="C848" s="986"/>
      <c r="D848" s="987"/>
      <c r="E848" s="983"/>
      <c r="F848" s="983"/>
      <c r="G848" s="60"/>
      <c r="H848" s="988"/>
      <c r="I848" s="916"/>
      <c r="J848" s="909"/>
      <c r="K848" s="984"/>
      <c r="L848" s="984"/>
      <c r="M848" s="946">
        <f>K848-H848</f>
        <v>0</v>
      </c>
      <c r="O848">
        <v>2837707</v>
      </c>
    </row>
    <row r="849" spans="1:15" ht="12.75" customHeight="1" thickBot="1">
      <c r="A849" s="1066"/>
      <c r="B849" s="1114"/>
      <c r="C849" s="986"/>
      <c r="D849" s="987"/>
      <c r="E849" s="983"/>
      <c r="F849" s="983"/>
      <c r="G849" s="59"/>
      <c r="H849" s="988"/>
      <c r="I849" s="982"/>
      <c r="J849" s="917"/>
      <c r="K849" s="984"/>
      <c r="L849" s="984"/>
      <c r="M849" s="950"/>
      <c r="O849">
        <v>2837707</v>
      </c>
    </row>
    <row r="850" spans="1:15" ht="12.75" customHeight="1">
      <c r="A850" s="1302">
        <v>417</v>
      </c>
      <c r="B850" s="1017" t="s">
        <v>916</v>
      </c>
      <c r="C850" s="1018"/>
      <c r="D850" s="1019" t="s">
        <v>920</v>
      </c>
      <c r="E850" s="1017" t="s">
        <v>20</v>
      </c>
      <c r="F850" s="1017"/>
      <c r="G850" s="67"/>
      <c r="H850" s="999">
        <v>11100000</v>
      </c>
      <c r="I850" s="973">
        <f>H850</f>
        <v>11100000</v>
      </c>
      <c r="J850" s="974"/>
      <c r="K850" s="1001">
        <v>11100000</v>
      </c>
      <c r="L850" s="1001">
        <v>11100000</v>
      </c>
      <c r="M850" s="967">
        <f>K850-H850</f>
        <v>0</v>
      </c>
      <c r="O850">
        <v>2837707</v>
      </c>
    </row>
    <row r="851" spans="1:15" ht="12.75" customHeight="1">
      <c r="A851" s="1066"/>
      <c r="B851" s="879"/>
      <c r="C851" s="914"/>
      <c r="D851" s="660"/>
      <c r="E851" s="879"/>
      <c r="F851" s="879"/>
      <c r="G851" s="60"/>
      <c r="H851" s="916"/>
      <c r="I851" s="906"/>
      <c r="J851" s="910"/>
      <c r="K851" s="920"/>
      <c r="L851" s="920"/>
      <c r="M851" s="946"/>
      <c r="O851">
        <v>2837707</v>
      </c>
    </row>
    <row r="852" spans="1:15" ht="12.75" customHeight="1">
      <c r="A852" s="1302">
        <v>418</v>
      </c>
      <c r="B852" s="1079"/>
      <c r="C852" s="986" t="s">
        <v>927</v>
      </c>
      <c r="D852" s="1300" t="s">
        <v>929</v>
      </c>
      <c r="E852" s="983" t="s">
        <v>874</v>
      </c>
      <c r="F852" s="983"/>
      <c r="G852" s="60"/>
      <c r="H852" s="988">
        <v>475000</v>
      </c>
      <c r="I852" s="916">
        <f>H852</f>
        <v>475000</v>
      </c>
      <c r="J852" s="909"/>
      <c r="K852" s="984">
        <v>475000</v>
      </c>
      <c r="L852" s="984">
        <v>475000</v>
      </c>
      <c r="M852" s="946">
        <f>K852-H852</f>
        <v>0</v>
      </c>
      <c r="O852">
        <v>2837707</v>
      </c>
    </row>
    <row r="853" spans="1:15" ht="12.75" customHeight="1">
      <c r="A853" s="1066"/>
      <c r="B853" s="1079"/>
      <c r="C853" s="914"/>
      <c r="D853" s="732"/>
      <c r="E853" s="879"/>
      <c r="F853" s="879"/>
      <c r="G853" s="60"/>
      <c r="H853" s="916"/>
      <c r="I853" s="906"/>
      <c r="J853" s="910"/>
      <c r="K853" s="920"/>
      <c r="L853" s="920"/>
      <c r="M853" s="946"/>
      <c r="O853">
        <v>2837707</v>
      </c>
    </row>
    <row r="854" spans="1:15" ht="12.75" customHeight="1">
      <c r="A854" s="1302">
        <v>419</v>
      </c>
      <c r="B854" s="983"/>
      <c r="C854" s="986" t="s">
        <v>928</v>
      </c>
      <c r="D854" s="1300" t="s">
        <v>929</v>
      </c>
      <c r="E854" s="983" t="s">
        <v>280</v>
      </c>
      <c r="F854" s="983" t="s">
        <v>931</v>
      </c>
      <c r="G854" s="60"/>
      <c r="H854" s="988">
        <v>475000</v>
      </c>
      <c r="I854" s="916">
        <f>H854</f>
        <v>475000</v>
      </c>
      <c r="J854" s="909"/>
      <c r="K854" s="984">
        <v>475000</v>
      </c>
      <c r="L854" s="984">
        <f>K854</f>
        <v>475000</v>
      </c>
      <c r="M854" s="946">
        <f>K854-H854</f>
        <v>0</v>
      </c>
      <c r="O854">
        <v>2837707</v>
      </c>
    </row>
    <row r="855" spans="1:15" ht="12.75" customHeight="1" thickBot="1">
      <c r="A855" s="1066"/>
      <c r="B855" s="1197"/>
      <c r="C855" s="1249"/>
      <c r="D855" s="1126"/>
      <c r="E855" s="1197"/>
      <c r="F855" s="1197"/>
      <c r="G855" s="61"/>
      <c r="H855" s="1091"/>
      <c r="I855" s="943"/>
      <c r="J855" s="944"/>
      <c r="K855" s="1041"/>
      <c r="L855" s="1041"/>
      <c r="M855" s="947"/>
      <c r="O855">
        <v>2837707</v>
      </c>
    </row>
    <row r="856" spans="1:15" ht="12.75" customHeight="1">
      <c r="A856" s="1302">
        <v>420</v>
      </c>
      <c r="B856" s="983" t="s">
        <v>915</v>
      </c>
      <c r="C856" s="986"/>
      <c r="D856" s="1300" t="s">
        <v>930</v>
      </c>
      <c r="E856" s="983" t="s">
        <v>20</v>
      </c>
      <c r="F856" s="983"/>
      <c r="G856" s="60"/>
      <c r="H856" s="988">
        <v>11100000</v>
      </c>
      <c r="I856" s="916">
        <f>H856</f>
        <v>11100000</v>
      </c>
      <c r="J856" s="949"/>
      <c r="K856" s="984">
        <v>11100000</v>
      </c>
      <c r="L856" s="984">
        <v>11100000</v>
      </c>
      <c r="M856" s="901">
        <f>K856-H856</f>
        <v>0</v>
      </c>
      <c r="O856">
        <v>2837707</v>
      </c>
    </row>
    <row r="857" spans="1:15" ht="12.75" customHeight="1">
      <c r="A857" s="1066"/>
      <c r="B857" s="879"/>
      <c r="C857" s="914"/>
      <c r="D857" s="732"/>
      <c r="E857" s="879"/>
      <c r="F857" s="879"/>
      <c r="G857" s="60"/>
      <c r="H857" s="916"/>
      <c r="I857" s="906"/>
      <c r="J857" s="910"/>
      <c r="K857" s="920"/>
      <c r="L857" s="920"/>
      <c r="M857" s="903"/>
      <c r="O857">
        <v>2837707</v>
      </c>
    </row>
    <row r="858" spans="1:15" ht="12.75" customHeight="1">
      <c r="A858" s="1302">
        <v>421</v>
      </c>
      <c r="B858" s="1079"/>
      <c r="C858" s="986"/>
      <c r="D858" s="987"/>
      <c r="E858" s="983" t="s">
        <v>1003</v>
      </c>
      <c r="F858" s="983"/>
      <c r="G858" s="60"/>
      <c r="H858" s="988"/>
      <c r="I858" s="916"/>
      <c r="J858" s="909"/>
      <c r="K858" s="984"/>
      <c r="L858" s="984"/>
      <c r="M858" s="903"/>
      <c r="O858">
        <v>2837707</v>
      </c>
    </row>
    <row r="859" spans="1:15" ht="12.75" customHeight="1" thickBot="1">
      <c r="A859" s="1066"/>
      <c r="B859" s="1079"/>
      <c r="C859" s="914"/>
      <c r="D859" s="660"/>
      <c r="E859" s="879"/>
      <c r="F859" s="879"/>
      <c r="G859" s="60"/>
      <c r="H859" s="916"/>
      <c r="I859" s="906"/>
      <c r="J859" s="910"/>
      <c r="K859" s="920"/>
      <c r="L859" s="920"/>
      <c r="M859" s="903"/>
      <c r="O859">
        <v>2837707</v>
      </c>
    </row>
    <row r="860" spans="1:15" ht="19.5" thickBot="1">
      <c r="A860" s="51"/>
      <c r="B860" s="1394" t="s">
        <v>555</v>
      </c>
      <c r="C860" s="1395"/>
      <c r="D860" s="1395"/>
      <c r="E860" s="1395"/>
      <c r="F860" s="1395"/>
      <c r="G860" s="1395"/>
      <c r="H860" s="1395"/>
      <c r="I860" s="1395"/>
      <c r="J860" s="1395"/>
      <c r="K860" s="1395"/>
      <c r="L860" s="1395"/>
      <c r="M860" s="1396"/>
      <c r="N860" s="7">
        <f>SUM(I852:I857,I861:I922,I929:I934)</f>
        <v>170868280</v>
      </c>
      <c r="O860" s="8"/>
    </row>
    <row r="861" spans="1:15" ht="12.75" customHeight="1">
      <c r="A861" s="1059">
        <v>422</v>
      </c>
      <c r="B861" s="1017" t="s">
        <v>924</v>
      </c>
      <c r="C861" s="1018"/>
      <c r="D861" s="1019" t="s">
        <v>1077</v>
      </c>
      <c r="E861" s="1017" t="s">
        <v>13</v>
      </c>
      <c r="F861" s="1017"/>
      <c r="G861" s="67"/>
      <c r="H861" s="999">
        <v>3300</v>
      </c>
      <c r="I861" s="973">
        <v>943800</v>
      </c>
      <c r="J861" s="974"/>
      <c r="K861" s="1001">
        <v>3300</v>
      </c>
      <c r="L861" s="1001">
        <v>3300</v>
      </c>
      <c r="M861" s="1002">
        <v>0</v>
      </c>
      <c r="O861">
        <v>2837707</v>
      </c>
    </row>
    <row r="862" spans="1:15" ht="13.5" thickBot="1">
      <c r="A862" s="1061"/>
      <c r="B862" s="879"/>
      <c r="C862" s="914"/>
      <c r="D862" s="660"/>
      <c r="E862" s="879"/>
      <c r="F862" s="879"/>
      <c r="G862" s="60"/>
      <c r="H862" s="916"/>
      <c r="I862" s="906"/>
      <c r="J862" s="910"/>
      <c r="K862" s="920"/>
      <c r="L862" s="920"/>
      <c r="M862" s="951"/>
      <c r="O862">
        <v>2837707</v>
      </c>
    </row>
    <row r="863" spans="1:15">
      <c r="A863" s="1059">
        <v>423</v>
      </c>
      <c r="B863" s="1079"/>
      <c r="C863" s="986" t="s">
        <v>941</v>
      </c>
      <c r="D863" s="987" t="s">
        <v>943</v>
      </c>
      <c r="E863" s="983" t="s">
        <v>940</v>
      </c>
      <c r="F863" s="983"/>
      <c r="G863" s="60"/>
      <c r="H863" s="988">
        <v>4000000</v>
      </c>
      <c r="I863" s="916">
        <f>H863</f>
        <v>4000000</v>
      </c>
      <c r="J863" s="909"/>
      <c r="K863" s="984">
        <v>4000000</v>
      </c>
      <c r="L863" s="984">
        <v>4000000</v>
      </c>
      <c r="M863" s="985">
        <f>K863-I863</f>
        <v>0</v>
      </c>
      <c r="O863">
        <v>2837707</v>
      </c>
    </row>
    <row r="864" spans="1:15" ht="13.5" thickBot="1">
      <c r="A864" s="1061"/>
      <c r="B864" s="1080"/>
      <c r="C864" s="1249"/>
      <c r="D864" s="1196"/>
      <c r="E864" s="1197"/>
      <c r="F864" s="1197"/>
      <c r="G864" s="61"/>
      <c r="H864" s="1091"/>
      <c r="I864" s="943"/>
      <c r="J864" s="944"/>
      <c r="K864" s="1041"/>
      <c r="L864" s="1041"/>
      <c r="M864" s="1149"/>
      <c r="O864">
        <v>2837707</v>
      </c>
    </row>
    <row r="865" spans="1:15" ht="12.75" customHeight="1">
      <c r="A865" s="1059">
        <v>424</v>
      </c>
      <c r="B865" s="1017" t="s">
        <v>925</v>
      </c>
      <c r="C865" s="1018"/>
      <c r="D865" s="1019"/>
      <c r="E865" s="1017" t="s">
        <v>13</v>
      </c>
      <c r="F865" s="1017"/>
      <c r="G865" s="67"/>
      <c r="H865" s="999">
        <v>3300</v>
      </c>
      <c r="I865" s="973">
        <v>942150</v>
      </c>
      <c r="J865" s="974"/>
      <c r="K865" s="1001">
        <v>3300</v>
      </c>
      <c r="L865" s="1001">
        <v>3300</v>
      </c>
      <c r="M865" s="985"/>
      <c r="O865">
        <v>2837707</v>
      </c>
    </row>
    <row r="866" spans="1:15" ht="13.5" customHeight="1" thickBot="1">
      <c r="A866" s="1061"/>
      <c r="B866" s="879"/>
      <c r="C866" s="914"/>
      <c r="D866" s="660"/>
      <c r="E866" s="879"/>
      <c r="F866" s="879"/>
      <c r="G866" s="60"/>
      <c r="H866" s="916"/>
      <c r="I866" s="906"/>
      <c r="J866" s="910"/>
      <c r="K866" s="920"/>
      <c r="L866" s="920"/>
      <c r="M866" s="1149"/>
      <c r="O866">
        <v>2837707</v>
      </c>
    </row>
    <row r="867" spans="1:15" ht="12.75" customHeight="1">
      <c r="A867" s="1059">
        <v>425</v>
      </c>
      <c r="B867" s="983"/>
      <c r="C867" s="986" t="s">
        <v>948</v>
      </c>
      <c r="D867" s="987" t="s">
        <v>947</v>
      </c>
      <c r="E867" s="983" t="s">
        <v>410</v>
      </c>
      <c r="F867" s="983"/>
      <c r="G867" s="165"/>
      <c r="H867" s="988">
        <v>4500000</v>
      </c>
      <c r="I867" s="916">
        <f>H867</f>
        <v>4500000</v>
      </c>
      <c r="J867" s="909"/>
      <c r="K867" s="984">
        <f>1000000+500000+500000+500000+450000+550000+500000+500000</f>
        <v>4500000</v>
      </c>
      <c r="L867" s="984"/>
      <c r="M867" s="985">
        <f>K867-I867</f>
        <v>0</v>
      </c>
      <c r="O867">
        <v>2837707</v>
      </c>
    </row>
    <row r="868" spans="1:15" ht="13.5" customHeight="1" thickBot="1">
      <c r="A868" s="1061"/>
      <c r="B868" s="879"/>
      <c r="C868" s="914"/>
      <c r="D868" s="660"/>
      <c r="E868" s="879"/>
      <c r="F868" s="879"/>
      <c r="G868" s="165"/>
      <c r="H868" s="916"/>
      <c r="I868" s="906"/>
      <c r="J868" s="910"/>
      <c r="K868" s="920"/>
      <c r="L868" s="920"/>
      <c r="M868" s="1149"/>
      <c r="O868">
        <v>2837707</v>
      </c>
    </row>
    <row r="869" spans="1:15" ht="12.75" customHeight="1">
      <c r="A869" s="1059">
        <v>426</v>
      </c>
      <c r="B869" s="1079"/>
      <c r="C869" s="986" t="s">
        <v>944</v>
      </c>
      <c r="D869" s="987" t="s">
        <v>943</v>
      </c>
      <c r="E869" s="983" t="s">
        <v>942</v>
      </c>
      <c r="F869" s="983"/>
      <c r="G869" s="60"/>
      <c r="H869" s="988">
        <v>4800000</v>
      </c>
      <c r="I869" s="916">
        <f>H869</f>
        <v>4800000</v>
      </c>
      <c r="J869" s="909"/>
      <c r="K869" s="984">
        <v>4800000</v>
      </c>
      <c r="L869" s="984">
        <v>4800000</v>
      </c>
      <c r="M869" s="985">
        <f>K869-I869</f>
        <v>0</v>
      </c>
      <c r="O869">
        <v>2837707</v>
      </c>
    </row>
    <row r="870" spans="1:15" ht="12.75" customHeight="1" thickBot="1">
      <c r="A870" s="1061"/>
      <c r="B870" s="1079"/>
      <c r="C870" s="914"/>
      <c r="D870" s="660"/>
      <c r="E870" s="879"/>
      <c r="F870" s="879"/>
      <c r="G870" s="60"/>
      <c r="H870" s="916"/>
      <c r="I870" s="906"/>
      <c r="J870" s="910"/>
      <c r="K870" s="920"/>
      <c r="L870" s="920"/>
      <c r="M870" s="1149"/>
      <c r="O870">
        <v>2837707</v>
      </c>
    </row>
    <row r="871" spans="1:15">
      <c r="A871" s="1059">
        <v>427</v>
      </c>
      <c r="B871" s="1017" t="s">
        <v>926</v>
      </c>
      <c r="C871" s="1018"/>
      <c r="D871" s="1019" t="s">
        <v>939</v>
      </c>
      <c r="E871" s="1017" t="s">
        <v>20</v>
      </c>
      <c r="F871" s="1017"/>
      <c r="G871" s="67"/>
      <c r="H871" s="999">
        <v>13600000</v>
      </c>
      <c r="I871" s="973">
        <f>H871</f>
        <v>13600000</v>
      </c>
      <c r="J871" s="974"/>
      <c r="K871" s="1001">
        <v>13600000</v>
      </c>
      <c r="L871" s="1001">
        <v>13600000</v>
      </c>
      <c r="M871" s="1002">
        <f>K871-I871</f>
        <v>0</v>
      </c>
      <c r="O871">
        <v>2837707</v>
      </c>
    </row>
    <row r="872" spans="1:15" ht="13.5" thickBot="1">
      <c r="A872" s="1061"/>
      <c r="B872" s="879"/>
      <c r="C872" s="914"/>
      <c r="D872" s="660"/>
      <c r="E872" s="879"/>
      <c r="F872" s="879"/>
      <c r="G872" s="60"/>
      <c r="H872" s="916"/>
      <c r="I872" s="906"/>
      <c r="J872" s="910"/>
      <c r="K872" s="920"/>
      <c r="L872" s="920"/>
      <c r="M872" s="951"/>
      <c r="O872">
        <v>2837707</v>
      </c>
    </row>
    <row r="873" spans="1:15" ht="26.25" customHeight="1">
      <c r="A873" s="1059">
        <v>428</v>
      </c>
      <c r="B873" s="1079"/>
      <c r="C873" s="986" t="s">
        <v>945</v>
      </c>
      <c r="D873" s="987" t="s">
        <v>938</v>
      </c>
      <c r="E873" s="983" t="s">
        <v>804</v>
      </c>
      <c r="F873" s="983"/>
      <c r="G873" s="60"/>
      <c r="H873" s="988">
        <v>2565000</v>
      </c>
      <c r="I873" s="916">
        <f>H873</f>
        <v>2565000</v>
      </c>
      <c r="J873" s="909"/>
      <c r="K873" s="984">
        <v>2565000</v>
      </c>
      <c r="L873" s="984">
        <v>2565000</v>
      </c>
      <c r="M873" s="985">
        <f>K873-I873</f>
        <v>0</v>
      </c>
      <c r="O873">
        <v>2837707</v>
      </c>
    </row>
    <row r="874" spans="1:15" ht="13.5" thickBot="1">
      <c r="A874" s="1061"/>
      <c r="B874" s="1080"/>
      <c r="C874" s="1249"/>
      <c r="D874" s="1196"/>
      <c r="E874" s="1197"/>
      <c r="F874" s="1197"/>
      <c r="G874" s="61"/>
      <c r="H874" s="1091"/>
      <c r="I874" s="943"/>
      <c r="J874" s="944"/>
      <c r="K874" s="1041"/>
      <c r="L874" s="1041"/>
      <c r="M874" s="1149"/>
      <c r="O874">
        <v>2837707</v>
      </c>
    </row>
    <row r="875" spans="1:15">
      <c r="A875" s="1059">
        <v>429</v>
      </c>
      <c r="B875" s="983" t="s">
        <v>932</v>
      </c>
      <c r="C875" s="986"/>
      <c r="D875" s="987" t="s">
        <v>939</v>
      </c>
      <c r="E875" s="983" t="s">
        <v>20</v>
      </c>
      <c r="F875" s="983"/>
      <c r="G875" s="60"/>
      <c r="H875" s="988">
        <v>11100000</v>
      </c>
      <c r="I875" s="916">
        <f>H875</f>
        <v>11100000</v>
      </c>
      <c r="J875" s="909"/>
      <c r="K875" s="984">
        <v>11100000</v>
      </c>
      <c r="L875" s="984">
        <v>11100000</v>
      </c>
      <c r="M875" s="1076">
        <f>K875-I875</f>
        <v>0</v>
      </c>
      <c r="O875">
        <v>2837707</v>
      </c>
    </row>
    <row r="876" spans="1:15" ht="13.5" thickBot="1">
      <c r="A876" s="1061"/>
      <c r="B876" s="879"/>
      <c r="C876" s="914"/>
      <c r="D876" s="660"/>
      <c r="E876" s="879"/>
      <c r="F876" s="879"/>
      <c r="G876" s="60"/>
      <c r="H876" s="916"/>
      <c r="I876" s="906"/>
      <c r="J876" s="910"/>
      <c r="K876" s="920"/>
      <c r="L876" s="920"/>
      <c r="M876" s="901"/>
      <c r="O876">
        <v>2837707</v>
      </c>
    </row>
    <row r="877" spans="1:15">
      <c r="A877" s="1059">
        <v>430</v>
      </c>
      <c r="B877" s="1079"/>
      <c r="C877" s="986" t="s">
        <v>946</v>
      </c>
      <c r="D877" s="987" t="s">
        <v>947</v>
      </c>
      <c r="E877" s="983" t="s">
        <v>952</v>
      </c>
      <c r="F877" s="983"/>
      <c r="G877" s="60"/>
      <c r="H877" s="988">
        <v>7125000</v>
      </c>
      <c r="I877" s="916">
        <f>H877</f>
        <v>7125000</v>
      </c>
      <c r="J877" s="909"/>
      <c r="K877" s="984">
        <v>7125000</v>
      </c>
      <c r="L877" s="984">
        <v>7125000</v>
      </c>
      <c r="M877" s="1076">
        <f>K877-I877</f>
        <v>0</v>
      </c>
      <c r="O877">
        <v>2837707</v>
      </c>
    </row>
    <row r="878" spans="1:15" ht="13.5" thickBot="1">
      <c r="A878" s="1061"/>
      <c r="B878" s="1079"/>
      <c r="C878" s="914"/>
      <c r="D878" s="660"/>
      <c r="E878" s="879"/>
      <c r="F878" s="879"/>
      <c r="G878" s="60"/>
      <c r="H878" s="916"/>
      <c r="I878" s="906"/>
      <c r="J878" s="910"/>
      <c r="K878" s="920"/>
      <c r="L878" s="920"/>
      <c r="M878" s="901"/>
      <c r="O878">
        <v>2837707</v>
      </c>
    </row>
    <row r="879" spans="1:15">
      <c r="A879" s="1059">
        <v>431</v>
      </c>
      <c r="B879" s="1017" t="s">
        <v>933</v>
      </c>
      <c r="C879" s="1018" t="s">
        <v>949</v>
      </c>
      <c r="D879" s="1019" t="s">
        <v>943</v>
      </c>
      <c r="E879" s="1017" t="s">
        <v>524</v>
      </c>
      <c r="F879" s="1017"/>
      <c r="G879" s="67"/>
      <c r="H879" s="999">
        <v>1378000</v>
      </c>
      <c r="I879" s="973">
        <f>H879</f>
        <v>1378000</v>
      </c>
      <c r="J879" s="974"/>
      <c r="K879" s="1001">
        <v>1378000</v>
      </c>
      <c r="L879" s="1001">
        <v>1378000</v>
      </c>
      <c r="M879" s="1002">
        <f>K879-I879</f>
        <v>0</v>
      </c>
      <c r="O879">
        <v>2837707</v>
      </c>
    </row>
    <row r="880" spans="1:15" ht="13.5" thickBot="1">
      <c r="A880" s="1061"/>
      <c r="B880" s="879"/>
      <c r="C880" s="914"/>
      <c r="D880" s="660"/>
      <c r="E880" s="879"/>
      <c r="F880" s="879"/>
      <c r="G880" s="60"/>
      <c r="H880" s="916"/>
      <c r="I880" s="906"/>
      <c r="J880" s="910"/>
      <c r="K880" s="920"/>
      <c r="L880" s="920"/>
      <c r="M880" s="951"/>
      <c r="O880">
        <v>2837707</v>
      </c>
    </row>
    <row r="881" spans="1:15">
      <c r="A881" s="1059">
        <v>432</v>
      </c>
      <c r="B881" s="1114"/>
      <c r="C881" s="986" t="s">
        <v>950</v>
      </c>
      <c r="D881" s="987" t="s">
        <v>943</v>
      </c>
      <c r="E881" s="983" t="s">
        <v>55</v>
      </c>
      <c r="F881" s="983"/>
      <c r="G881" s="60"/>
      <c r="H881" s="988">
        <v>2531</v>
      </c>
      <c r="I881" s="916">
        <v>720070</v>
      </c>
      <c r="J881" s="909"/>
      <c r="K881" s="984"/>
      <c r="L881" s="984"/>
      <c r="M881" s="985">
        <v>0</v>
      </c>
      <c r="O881">
        <v>2837707</v>
      </c>
    </row>
    <row r="882" spans="1:15" ht="13.5" thickBot="1">
      <c r="A882" s="1061"/>
      <c r="B882" s="1115"/>
      <c r="C882" s="1249"/>
      <c r="D882" s="1196"/>
      <c r="E882" s="1197"/>
      <c r="F882" s="1197"/>
      <c r="G882" s="61"/>
      <c r="H882" s="1091"/>
      <c r="I882" s="943"/>
      <c r="J882" s="944"/>
      <c r="K882" s="1041"/>
      <c r="L882" s="1041"/>
      <c r="M882" s="985"/>
      <c r="O882">
        <v>2837707</v>
      </c>
    </row>
    <row r="883" spans="1:15">
      <c r="A883" s="1059">
        <v>433</v>
      </c>
      <c r="B883" s="1121" t="s">
        <v>935</v>
      </c>
      <c r="C883" s="1018"/>
      <c r="D883" s="1019" t="s">
        <v>947</v>
      </c>
      <c r="E883" s="1017" t="s">
        <v>20</v>
      </c>
      <c r="F883" s="1017"/>
      <c r="G883" s="67"/>
      <c r="H883" s="999">
        <v>10700000</v>
      </c>
      <c r="I883" s="973">
        <f>H883</f>
        <v>10700000</v>
      </c>
      <c r="J883" s="974"/>
      <c r="K883" s="1001">
        <v>10700000</v>
      </c>
      <c r="L883" s="1001">
        <v>10700000</v>
      </c>
      <c r="M883" s="903">
        <f>K883-I883</f>
        <v>0</v>
      </c>
      <c r="O883">
        <v>2837707</v>
      </c>
    </row>
    <row r="884" spans="1:15" ht="13.5" thickBot="1">
      <c r="A884" s="1061"/>
      <c r="B884" s="1122"/>
      <c r="C884" s="914"/>
      <c r="D884" s="660"/>
      <c r="E884" s="879"/>
      <c r="F884" s="879"/>
      <c r="G884" s="60"/>
      <c r="H884" s="916"/>
      <c r="I884" s="906"/>
      <c r="J884" s="910"/>
      <c r="K884" s="920"/>
      <c r="L884" s="920"/>
      <c r="M884" s="903"/>
      <c r="O884">
        <v>2837707</v>
      </c>
    </row>
    <row r="885" spans="1:15" ht="12.75" customHeight="1">
      <c r="A885" s="1059">
        <v>434</v>
      </c>
      <c r="B885" s="1079"/>
      <c r="C885" s="986" t="s">
        <v>958</v>
      </c>
      <c r="D885" s="987" t="s">
        <v>955</v>
      </c>
      <c r="E885" s="983" t="s">
        <v>410</v>
      </c>
      <c r="F885" s="983"/>
      <c r="G885" s="60"/>
      <c r="H885" s="988">
        <v>4700000</v>
      </c>
      <c r="I885" s="916">
        <f>H885</f>
        <v>4700000</v>
      </c>
      <c r="J885" s="909"/>
      <c r="K885" s="984">
        <f>3800000+500000+400000</f>
        <v>4700000</v>
      </c>
      <c r="L885" s="984"/>
      <c r="M885" s="903">
        <f>K885-I885</f>
        <v>0</v>
      </c>
      <c r="O885">
        <v>2837707</v>
      </c>
    </row>
    <row r="886" spans="1:15" ht="12.75" customHeight="1" thickBot="1">
      <c r="A886" s="1061"/>
      <c r="B886" s="1079"/>
      <c r="C886" s="914"/>
      <c r="D886" s="660"/>
      <c r="E886" s="879"/>
      <c r="F886" s="879"/>
      <c r="G886" s="60"/>
      <c r="H886" s="916"/>
      <c r="I886" s="906"/>
      <c r="J886" s="910"/>
      <c r="K886" s="920"/>
      <c r="L886" s="920"/>
      <c r="M886" s="903"/>
      <c r="O886">
        <v>2837707</v>
      </c>
    </row>
    <row r="887" spans="1:15" ht="12.75" customHeight="1">
      <c r="A887" s="1059">
        <v>435</v>
      </c>
      <c r="B887" s="1301"/>
      <c r="C887" s="986" t="s">
        <v>959</v>
      </c>
      <c r="D887" s="987" t="s">
        <v>955</v>
      </c>
      <c r="E887" s="983" t="s">
        <v>954</v>
      </c>
      <c r="F887" s="983"/>
      <c r="G887" s="60"/>
      <c r="H887" s="988">
        <v>11090</v>
      </c>
      <c r="I887" s="916">
        <v>3132925</v>
      </c>
      <c r="J887" s="909"/>
      <c r="K887" s="984">
        <v>11090</v>
      </c>
      <c r="L887" s="984">
        <f>K887</f>
        <v>11090</v>
      </c>
      <c r="M887" s="903">
        <v>0</v>
      </c>
      <c r="O887">
        <v>2837707</v>
      </c>
    </row>
    <row r="888" spans="1:15" ht="12.75" customHeight="1" thickBot="1">
      <c r="A888" s="1061"/>
      <c r="B888" s="1122"/>
      <c r="C888" s="914"/>
      <c r="D888" s="660"/>
      <c r="E888" s="879"/>
      <c r="F888" s="879"/>
      <c r="G888" s="60"/>
      <c r="H888" s="916"/>
      <c r="I888" s="906"/>
      <c r="J888" s="910"/>
      <c r="K888" s="920"/>
      <c r="L888" s="920"/>
      <c r="M888" s="903"/>
      <c r="O888">
        <v>2837707</v>
      </c>
    </row>
    <row r="889" spans="1:15" ht="12.75" customHeight="1">
      <c r="A889" s="1059">
        <v>436</v>
      </c>
      <c r="B889" s="1301"/>
      <c r="C889" s="986" t="s">
        <v>960</v>
      </c>
      <c r="D889" s="987" t="s">
        <v>957</v>
      </c>
      <c r="E889" s="983" t="s">
        <v>889</v>
      </c>
      <c r="F889" s="983"/>
      <c r="G889" s="60"/>
      <c r="H889" s="988">
        <v>700000</v>
      </c>
      <c r="I889" s="916">
        <f>H889</f>
        <v>700000</v>
      </c>
      <c r="J889" s="909"/>
      <c r="K889" s="984">
        <v>700000</v>
      </c>
      <c r="L889" s="984">
        <v>700000</v>
      </c>
      <c r="M889" s="903">
        <f>K889-I889</f>
        <v>0</v>
      </c>
      <c r="O889">
        <v>2837707</v>
      </c>
    </row>
    <row r="890" spans="1:15" ht="13.5" customHeight="1" thickBot="1">
      <c r="A890" s="1061"/>
      <c r="B890" s="1230"/>
      <c r="C890" s="1249"/>
      <c r="D890" s="1196"/>
      <c r="E890" s="879"/>
      <c r="F890" s="1197"/>
      <c r="G890" s="61"/>
      <c r="H890" s="1091"/>
      <c r="I890" s="943"/>
      <c r="J890" s="944"/>
      <c r="K890" s="1041"/>
      <c r="L890" s="1041"/>
      <c r="M890" s="903"/>
      <c r="O890">
        <v>2837707</v>
      </c>
    </row>
    <row r="891" spans="1:15" ht="12.75" customHeight="1">
      <c r="A891" s="1059">
        <v>437</v>
      </c>
      <c r="B891" s="1121" t="s">
        <v>936</v>
      </c>
      <c r="C891" s="1018"/>
      <c r="D891" s="1019" t="s">
        <v>947</v>
      </c>
      <c r="E891" s="1017" t="s">
        <v>20</v>
      </c>
      <c r="F891" s="1017"/>
      <c r="G891" s="67"/>
      <c r="H891" s="999">
        <v>10700000</v>
      </c>
      <c r="I891" s="973">
        <f>H891</f>
        <v>10700000</v>
      </c>
      <c r="J891" s="974"/>
      <c r="K891" s="1001">
        <v>10700000</v>
      </c>
      <c r="L891" s="1001">
        <v>10700000</v>
      </c>
      <c r="M891" s="903">
        <f>K891-I891</f>
        <v>0</v>
      </c>
      <c r="O891">
        <v>2837707</v>
      </c>
    </row>
    <row r="892" spans="1:15" ht="12.75" customHeight="1" thickBot="1">
      <c r="A892" s="1061"/>
      <c r="B892" s="1122"/>
      <c r="C892" s="914"/>
      <c r="D892" s="660"/>
      <c r="E892" s="879"/>
      <c r="F892" s="879"/>
      <c r="G892" s="60"/>
      <c r="H892" s="916"/>
      <c r="I892" s="906"/>
      <c r="J892" s="910"/>
      <c r="K892" s="920"/>
      <c r="L892" s="920"/>
      <c r="M892" s="903"/>
      <c r="O892">
        <v>2837707</v>
      </c>
    </row>
    <row r="893" spans="1:15" ht="12.75" customHeight="1">
      <c r="A893" s="1059">
        <v>438</v>
      </c>
      <c r="B893" s="1399"/>
      <c r="C893" s="1390" t="s">
        <v>962</v>
      </c>
      <c r="D893" s="1300" t="s">
        <v>955</v>
      </c>
      <c r="E893" s="1391" t="s">
        <v>984</v>
      </c>
      <c r="F893" s="1391" t="s">
        <v>1154</v>
      </c>
      <c r="G893" s="419"/>
      <c r="H893" s="1383">
        <v>3000000</v>
      </c>
      <c r="I893" s="1221">
        <f>H893</f>
        <v>3000000</v>
      </c>
      <c r="J893" s="1329"/>
      <c r="K893" s="1385"/>
      <c r="L893" s="1385"/>
      <c r="M893" s="1294">
        <f>K893-I893</f>
        <v>-3000000</v>
      </c>
      <c r="O893">
        <v>2837707</v>
      </c>
    </row>
    <row r="894" spans="1:15" ht="13.5" customHeight="1" thickBot="1">
      <c r="A894" s="1061"/>
      <c r="B894" s="1400"/>
      <c r="C894" s="1320"/>
      <c r="D894" s="1126"/>
      <c r="E894" s="1318"/>
      <c r="F894" s="1318"/>
      <c r="G894" s="418"/>
      <c r="H894" s="1327"/>
      <c r="I894" s="1397"/>
      <c r="J894" s="1398"/>
      <c r="K894" s="1332"/>
      <c r="L894" s="1332"/>
      <c r="M894" s="1294"/>
      <c r="O894">
        <v>2837707</v>
      </c>
    </row>
    <row r="895" spans="1:15" ht="12.75" customHeight="1">
      <c r="A895" s="1059">
        <v>439</v>
      </c>
      <c r="B895" s="1121" t="s">
        <v>937</v>
      </c>
      <c r="C895" s="1018"/>
      <c r="D895" s="1019" t="s">
        <v>953</v>
      </c>
      <c r="E895" s="1017" t="s">
        <v>20</v>
      </c>
      <c r="F895" s="1017"/>
      <c r="G895" s="67"/>
      <c r="H895" s="999">
        <v>10700000</v>
      </c>
      <c r="I895" s="973">
        <f>H895</f>
        <v>10700000</v>
      </c>
      <c r="J895" s="974"/>
      <c r="K895" s="1001">
        <v>10700000</v>
      </c>
      <c r="L895" s="1001">
        <f>K895</f>
        <v>10700000</v>
      </c>
      <c r="M895" s="903">
        <f>K895-I895</f>
        <v>0</v>
      </c>
      <c r="O895">
        <v>2837707</v>
      </c>
    </row>
    <row r="896" spans="1:15" ht="12.75" customHeight="1" thickBot="1">
      <c r="A896" s="1061"/>
      <c r="B896" s="1122"/>
      <c r="C896" s="914"/>
      <c r="D896" s="660"/>
      <c r="E896" s="879"/>
      <c r="F896" s="879"/>
      <c r="G896" s="60"/>
      <c r="H896" s="916"/>
      <c r="I896" s="906"/>
      <c r="J896" s="910"/>
      <c r="K896" s="920"/>
      <c r="L896" s="920"/>
      <c r="M896" s="903"/>
      <c r="O896">
        <v>2837707</v>
      </c>
    </row>
    <row r="897" spans="1:15" ht="12.75" customHeight="1">
      <c r="A897" s="1059">
        <v>440</v>
      </c>
      <c r="B897" s="1079"/>
      <c r="C897" s="986" t="s">
        <v>963</v>
      </c>
      <c r="D897" s="987" t="s">
        <v>964</v>
      </c>
      <c r="E897" s="983" t="s">
        <v>142</v>
      </c>
      <c r="F897" s="983" t="s">
        <v>967</v>
      </c>
      <c r="G897" s="60"/>
      <c r="H897" s="988">
        <v>475000</v>
      </c>
      <c r="I897" s="916">
        <f>H897</f>
        <v>475000</v>
      </c>
      <c r="J897" s="909"/>
      <c r="K897" s="984">
        <v>475000</v>
      </c>
      <c r="L897" s="984">
        <f>K897</f>
        <v>475000</v>
      </c>
      <c r="M897" s="903">
        <f>K897-I897</f>
        <v>0</v>
      </c>
      <c r="O897">
        <v>2837707</v>
      </c>
    </row>
    <row r="898" spans="1:15" ht="13.5" customHeight="1" thickBot="1">
      <c r="A898" s="1061"/>
      <c r="B898" s="1079"/>
      <c r="C898" s="914"/>
      <c r="D898" s="660"/>
      <c r="E898" s="879"/>
      <c r="F898" s="879"/>
      <c r="G898" s="60"/>
      <c r="H898" s="916"/>
      <c r="I898" s="906"/>
      <c r="J898" s="910"/>
      <c r="K898" s="920"/>
      <c r="L898" s="920"/>
      <c r="M898" s="903"/>
      <c r="O898">
        <v>2837707</v>
      </c>
    </row>
    <row r="899" spans="1:15" ht="12.75" customHeight="1">
      <c r="A899" s="1059">
        <v>441</v>
      </c>
      <c r="B899" s="1121" t="s">
        <v>956</v>
      </c>
      <c r="C899" s="1018" t="s">
        <v>968</v>
      </c>
      <c r="D899" s="1019" t="s">
        <v>964</v>
      </c>
      <c r="E899" s="1017" t="s">
        <v>8</v>
      </c>
      <c r="F899" s="1017"/>
      <c r="G899" s="67"/>
      <c r="H899" s="999">
        <v>1453000</v>
      </c>
      <c r="I899" s="973">
        <f>H899</f>
        <v>1453000</v>
      </c>
      <c r="J899" s="974"/>
      <c r="K899" s="1001">
        <v>1453000</v>
      </c>
      <c r="L899" s="1001">
        <v>1453000</v>
      </c>
      <c r="M899" s="903">
        <f>K899-I899</f>
        <v>0</v>
      </c>
      <c r="O899">
        <v>2837707</v>
      </c>
    </row>
    <row r="900" spans="1:15" ht="13.5" customHeight="1" thickBot="1">
      <c r="A900" s="1061"/>
      <c r="B900" s="1122"/>
      <c r="C900" s="914"/>
      <c r="D900" s="660"/>
      <c r="E900" s="879"/>
      <c r="F900" s="879"/>
      <c r="G900" s="60"/>
      <c r="H900" s="916"/>
      <c r="I900" s="906"/>
      <c r="J900" s="910"/>
      <c r="K900" s="920"/>
      <c r="L900" s="920"/>
      <c r="M900" s="903"/>
      <c r="O900">
        <v>2837707</v>
      </c>
    </row>
    <row r="901" spans="1:15" ht="12.75" customHeight="1">
      <c r="A901" s="1059">
        <v>442</v>
      </c>
      <c r="B901" s="1114"/>
      <c r="C901" s="986" t="s">
        <v>969</v>
      </c>
      <c r="D901" s="1019" t="s">
        <v>964</v>
      </c>
      <c r="E901" s="983" t="s">
        <v>308</v>
      </c>
      <c r="F901" s="983"/>
      <c r="G901" s="60"/>
      <c r="H901" s="988">
        <v>2657</v>
      </c>
      <c r="I901" s="916">
        <v>753260</v>
      </c>
      <c r="J901" s="909"/>
      <c r="K901" s="984"/>
      <c r="L901" s="984"/>
      <c r="M901" s="903">
        <v>0</v>
      </c>
      <c r="O901">
        <v>2837707</v>
      </c>
    </row>
    <row r="902" spans="1:15" ht="13.5" customHeight="1" thickBot="1">
      <c r="A902" s="1061"/>
      <c r="B902" s="1255"/>
      <c r="C902" s="986"/>
      <c r="D902" s="987"/>
      <c r="E902" s="983"/>
      <c r="F902" s="983"/>
      <c r="G902" s="59"/>
      <c r="H902" s="988"/>
      <c r="I902" s="982"/>
      <c r="J902" s="917"/>
      <c r="K902" s="984"/>
      <c r="L902" s="984"/>
      <c r="M902" s="900"/>
      <c r="O902">
        <v>2837707</v>
      </c>
    </row>
    <row r="903" spans="1:15" ht="12.75" customHeight="1">
      <c r="A903" s="1059">
        <v>443</v>
      </c>
      <c r="B903" s="1121" t="s">
        <v>966</v>
      </c>
      <c r="C903" s="1018"/>
      <c r="D903" s="1019"/>
      <c r="E903" s="1017" t="s">
        <v>20</v>
      </c>
      <c r="F903" s="1017"/>
      <c r="G903" s="67"/>
      <c r="H903" s="999">
        <v>10700000</v>
      </c>
      <c r="I903" s="973">
        <f>H903</f>
        <v>10700000</v>
      </c>
      <c r="J903" s="974"/>
      <c r="K903" s="1001">
        <v>10700000</v>
      </c>
      <c r="L903" s="1001">
        <v>10700000</v>
      </c>
      <c r="M903" s="967">
        <f>K903-I903</f>
        <v>0</v>
      </c>
      <c r="O903">
        <v>2837707</v>
      </c>
    </row>
    <row r="904" spans="1:15" ht="12.75" customHeight="1" thickBot="1">
      <c r="A904" s="1061"/>
      <c r="B904" s="1122"/>
      <c r="C904" s="914"/>
      <c r="D904" s="660"/>
      <c r="E904" s="879"/>
      <c r="F904" s="879"/>
      <c r="G904" s="60"/>
      <c r="H904" s="916"/>
      <c r="I904" s="906"/>
      <c r="J904" s="910"/>
      <c r="K904" s="920"/>
      <c r="L904" s="920"/>
      <c r="M904" s="946"/>
      <c r="O904">
        <v>2837707</v>
      </c>
    </row>
    <row r="905" spans="1:15" ht="12.75" customHeight="1">
      <c r="A905" s="1059">
        <v>444</v>
      </c>
      <c r="B905" s="1079"/>
      <c r="C905" s="986" t="s">
        <v>972</v>
      </c>
      <c r="D905" s="987" t="s">
        <v>973</v>
      </c>
      <c r="E905" s="983" t="s">
        <v>874</v>
      </c>
      <c r="F905" s="983"/>
      <c r="G905" s="60"/>
      <c r="H905" s="988">
        <v>450000</v>
      </c>
      <c r="I905" s="916">
        <f>H905</f>
        <v>450000</v>
      </c>
      <c r="J905" s="909"/>
      <c r="K905" s="984">
        <v>450000</v>
      </c>
      <c r="L905" s="984">
        <f>K905</f>
        <v>450000</v>
      </c>
      <c r="M905" s="946">
        <f>K905-I905</f>
        <v>0</v>
      </c>
      <c r="O905">
        <v>2837707</v>
      </c>
    </row>
    <row r="906" spans="1:15" ht="12.75" customHeight="1" thickBot="1">
      <c r="A906" s="1061"/>
      <c r="B906" s="1114"/>
      <c r="C906" s="986"/>
      <c r="D906" s="987"/>
      <c r="E906" s="983"/>
      <c r="F906" s="983"/>
      <c r="G906" s="59"/>
      <c r="H906" s="988"/>
      <c r="I906" s="982"/>
      <c r="J906" s="917"/>
      <c r="K906" s="984"/>
      <c r="L906" s="984"/>
      <c r="M906" s="950"/>
      <c r="O906">
        <v>2837707</v>
      </c>
    </row>
    <row r="907" spans="1:15" ht="12.75" customHeight="1">
      <c r="A907" s="1059">
        <v>445</v>
      </c>
      <c r="B907" s="1121" t="s">
        <v>965</v>
      </c>
      <c r="C907" s="1018"/>
      <c r="D907" s="1019"/>
      <c r="E907" s="1017" t="s">
        <v>20</v>
      </c>
      <c r="F907" s="1017"/>
      <c r="G907" s="67"/>
      <c r="H907" s="999">
        <v>11600000</v>
      </c>
      <c r="I907" s="973">
        <f>H907</f>
        <v>11600000</v>
      </c>
      <c r="J907" s="974"/>
      <c r="K907" s="1001">
        <v>11600000</v>
      </c>
      <c r="L907" s="1001">
        <v>11600000</v>
      </c>
      <c r="M907" s="967">
        <f>K907-I907</f>
        <v>0</v>
      </c>
      <c r="O907">
        <v>2837707</v>
      </c>
    </row>
    <row r="908" spans="1:15" ht="12.75" customHeight="1" thickBot="1">
      <c r="A908" s="1061"/>
      <c r="B908" s="1122"/>
      <c r="C908" s="914"/>
      <c r="D908" s="660"/>
      <c r="E908" s="879"/>
      <c r="F908" s="879"/>
      <c r="G908" s="60"/>
      <c r="H908" s="916"/>
      <c r="I908" s="906"/>
      <c r="J908" s="910"/>
      <c r="K908" s="920"/>
      <c r="L908" s="920"/>
      <c r="M908" s="946"/>
      <c r="O908">
        <v>2837707</v>
      </c>
    </row>
    <row r="909" spans="1:15" ht="12.75" customHeight="1">
      <c r="A909" s="1059">
        <v>446</v>
      </c>
      <c r="B909" s="1079"/>
      <c r="C909" s="986" t="s">
        <v>983</v>
      </c>
      <c r="D909" s="987" t="s">
        <v>976</v>
      </c>
      <c r="E909" s="983" t="s">
        <v>982</v>
      </c>
      <c r="F909" s="983" t="s">
        <v>439</v>
      </c>
      <c r="G909" s="60"/>
      <c r="H909" s="988">
        <v>3000000</v>
      </c>
      <c r="I909" s="916">
        <f>H909</f>
        <v>3000000</v>
      </c>
      <c r="J909" s="909"/>
      <c r="K909" s="984">
        <v>3000000</v>
      </c>
      <c r="L909" s="984">
        <v>3000000</v>
      </c>
      <c r="M909" s="946">
        <f>K909-I909</f>
        <v>0</v>
      </c>
      <c r="O909">
        <v>2837707</v>
      </c>
    </row>
    <row r="910" spans="1:15" ht="12.75" customHeight="1" thickBot="1">
      <c r="A910" s="1061"/>
      <c r="B910" s="1114"/>
      <c r="C910" s="986"/>
      <c r="D910" s="987"/>
      <c r="E910" s="983"/>
      <c r="F910" s="983"/>
      <c r="G910" s="59"/>
      <c r="H910" s="988"/>
      <c r="I910" s="982"/>
      <c r="J910" s="917"/>
      <c r="K910" s="984"/>
      <c r="L910" s="984"/>
      <c r="M910" s="950"/>
      <c r="O910">
        <v>2837707</v>
      </c>
    </row>
    <row r="911" spans="1:15" ht="12.75" customHeight="1">
      <c r="A911" s="1059">
        <v>447</v>
      </c>
      <c r="B911" s="1017" t="s">
        <v>970</v>
      </c>
      <c r="C911" s="1018" t="s">
        <v>6</v>
      </c>
      <c r="D911" s="1019" t="s">
        <v>1027</v>
      </c>
      <c r="E911" s="1401" t="s">
        <v>13</v>
      </c>
      <c r="F911" s="1017"/>
      <c r="G911" s="67"/>
      <c r="H911" s="999">
        <v>3300</v>
      </c>
      <c r="I911" s="973">
        <v>940500</v>
      </c>
      <c r="J911" s="974"/>
      <c r="K911" s="1001"/>
      <c r="L911" s="1001"/>
      <c r="M911" s="967">
        <f>K911-I911</f>
        <v>-940500</v>
      </c>
      <c r="O911">
        <v>2837707</v>
      </c>
    </row>
    <row r="912" spans="1:15" ht="12.75" customHeight="1" thickBot="1">
      <c r="A912" s="1061"/>
      <c r="B912" s="879"/>
      <c r="C912" s="914"/>
      <c r="D912" s="660"/>
      <c r="E912" s="1402"/>
      <c r="F912" s="879"/>
      <c r="G912" s="60"/>
      <c r="H912" s="916"/>
      <c r="I912" s="906"/>
      <c r="J912" s="910"/>
      <c r="K912" s="920"/>
      <c r="L912" s="920"/>
      <c r="M912" s="946"/>
      <c r="O912">
        <v>2837707</v>
      </c>
    </row>
    <row r="913" spans="1:15" ht="12.75" customHeight="1">
      <c r="A913" s="1059">
        <v>448</v>
      </c>
      <c r="B913" s="1079"/>
      <c r="C913" s="986" t="s">
        <v>977</v>
      </c>
      <c r="D913" s="987" t="s">
        <v>976</v>
      </c>
      <c r="E913" s="983" t="s">
        <v>142</v>
      </c>
      <c r="F913" s="983" t="s">
        <v>975</v>
      </c>
      <c r="G913" s="60"/>
      <c r="H913" s="988">
        <v>475000</v>
      </c>
      <c r="I913" s="916">
        <f>H913</f>
        <v>475000</v>
      </c>
      <c r="J913" s="909"/>
      <c r="K913" s="984">
        <v>475000</v>
      </c>
      <c r="L913" s="984">
        <f>K913</f>
        <v>475000</v>
      </c>
      <c r="M913" s="946">
        <f>K913-I913</f>
        <v>0</v>
      </c>
      <c r="O913">
        <v>2837707</v>
      </c>
    </row>
    <row r="914" spans="1:15" ht="12.75" customHeight="1" thickBot="1">
      <c r="A914" s="1061"/>
      <c r="B914" s="1079"/>
      <c r="C914" s="914"/>
      <c r="D914" s="660"/>
      <c r="E914" s="879"/>
      <c r="F914" s="879"/>
      <c r="G914" s="60"/>
      <c r="H914" s="916"/>
      <c r="I914" s="906"/>
      <c r="J914" s="910"/>
      <c r="K914" s="920"/>
      <c r="L914" s="920"/>
      <c r="M914" s="946"/>
      <c r="O914">
        <v>2837707</v>
      </c>
    </row>
    <row r="915" spans="1:15" ht="12.75" customHeight="1">
      <c r="A915" s="1059">
        <v>449</v>
      </c>
      <c r="B915" s="983"/>
      <c r="C915" s="986" t="s">
        <v>978</v>
      </c>
      <c r="D915" s="987" t="s">
        <v>976</v>
      </c>
      <c r="E915" s="983" t="s">
        <v>14</v>
      </c>
      <c r="F915" s="983" t="s">
        <v>979</v>
      </c>
      <c r="G915" s="60"/>
      <c r="H915" s="988">
        <v>5300000</v>
      </c>
      <c r="I915" s="916">
        <v>5300000</v>
      </c>
      <c r="J915" s="909"/>
      <c r="K915" s="984">
        <v>5300000</v>
      </c>
      <c r="L915" s="984">
        <v>5300000</v>
      </c>
      <c r="M915" s="946">
        <f>K915-I915</f>
        <v>0</v>
      </c>
      <c r="O915">
        <v>2837707</v>
      </c>
    </row>
    <row r="916" spans="1:15" ht="12.75" customHeight="1" thickBot="1">
      <c r="A916" s="1061"/>
      <c r="B916" s="1197"/>
      <c r="C916" s="1249"/>
      <c r="D916" s="1196"/>
      <c r="E916" s="1197"/>
      <c r="F916" s="1197"/>
      <c r="G916" s="61"/>
      <c r="H916" s="1091"/>
      <c r="I916" s="943"/>
      <c r="J916" s="944"/>
      <c r="K916" s="1041"/>
      <c r="L916" s="1041"/>
      <c r="M916" s="947"/>
      <c r="O916">
        <v>2837707</v>
      </c>
    </row>
    <row r="917" spans="1:15" ht="12.75" customHeight="1">
      <c r="A917" s="1059">
        <v>450</v>
      </c>
      <c r="B917" s="983" t="s">
        <v>974</v>
      </c>
      <c r="C917" s="986"/>
      <c r="D917" s="987" t="s">
        <v>985</v>
      </c>
      <c r="E917" s="983" t="s">
        <v>20</v>
      </c>
      <c r="F917" s="983"/>
      <c r="G917" s="60"/>
      <c r="H917" s="988">
        <v>12000000</v>
      </c>
      <c r="I917" s="916">
        <f>H917</f>
        <v>12000000</v>
      </c>
      <c r="J917" s="949"/>
      <c r="K917" s="984">
        <v>12000000</v>
      </c>
      <c r="L917" s="984">
        <v>12000000</v>
      </c>
      <c r="M917" s="901">
        <f>K917-I917</f>
        <v>0</v>
      </c>
      <c r="O917">
        <v>2837707</v>
      </c>
    </row>
    <row r="918" spans="1:15" ht="12.75" customHeight="1" thickBot="1">
      <c r="A918" s="1061"/>
      <c r="B918" s="879"/>
      <c r="C918" s="914"/>
      <c r="D918" s="660"/>
      <c r="E918" s="879"/>
      <c r="F918" s="879"/>
      <c r="G918" s="60"/>
      <c r="H918" s="916"/>
      <c r="I918" s="906"/>
      <c r="J918" s="910"/>
      <c r="K918" s="920"/>
      <c r="L918" s="920"/>
      <c r="M918" s="903"/>
      <c r="O918">
        <v>2837707</v>
      </c>
    </row>
    <row r="919" spans="1:15">
      <c r="A919" s="1059">
        <v>451</v>
      </c>
      <c r="B919" s="1079"/>
      <c r="C919" s="986" t="s">
        <v>988</v>
      </c>
      <c r="D919" s="987" t="s">
        <v>986</v>
      </c>
      <c r="E919" s="983" t="s">
        <v>989</v>
      </c>
      <c r="F919" s="983" t="s">
        <v>987</v>
      </c>
      <c r="G919" s="60"/>
      <c r="H919" s="988">
        <v>2332500</v>
      </c>
      <c r="I919" s="916">
        <f>H919</f>
        <v>2332500</v>
      </c>
      <c r="J919" s="909"/>
      <c r="K919" s="984">
        <v>2332500</v>
      </c>
      <c r="L919" s="984">
        <f>2332500</f>
        <v>2332500</v>
      </c>
      <c r="M919" s="1076">
        <f>K919-I919</f>
        <v>0</v>
      </c>
      <c r="O919">
        <v>2837707</v>
      </c>
    </row>
    <row r="920" spans="1:15" ht="13.5" thickBot="1">
      <c r="A920" s="1061"/>
      <c r="B920" s="1079"/>
      <c r="C920" s="914"/>
      <c r="D920" s="660"/>
      <c r="E920" s="879"/>
      <c r="F920" s="879"/>
      <c r="G920" s="60"/>
      <c r="H920" s="916"/>
      <c r="I920" s="906"/>
      <c r="J920" s="910"/>
      <c r="K920" s="920"/>
      <c r="L920" s="920"/>
      <c r="M920" s="901"/>
      <c r="O920">
        <v>2837707</v>
      </c>
    </row>
    <row r="921" spans="1:15" ht="12.75" customHeight="1">
      <c r="A921" s="1059">
        <v>452</v>
      </c>
      <c r="B921" s="1121" t="s">
        <v>971</v>
      </c>
      <c r="C921" s="1018"/>
      <c r="D921" s="1019" t="s">
        <v>986</v>
      </c>
      <c r="E921" s="1017" t="s">
        <v>20</v>
      </c>
      <c r="F921" s="1017"/>
      <c r="G921" s="67"/>
      <c r="H921" s="999">
        <v>11100000</v>
      </c>
      <c r="I921" s="973">
        <f>H921</f>
        <v>11100000</v>
      </c>
      <c r="J921" s="974"/>
      <c r="K921" s="1001">
        <v>11100000</v>
      </c>
      <c r="L921" s="1001">
        <v>11100000</v>
      </c>
      <c r="M921" s="1076">
        <f>K921-I921</f>
        <v>0</v>
      </c>
      <c r="O921">
        <v>2837707</v>
      </c>
    </row>
    <row r="922" spans="1:15" ht="12.75" customHeight="1" thickBot="1">
      <c r="A922" s="1061"/>
      <c r="B922" s="1122"/>
      <c r="C922" s="914"/>
      <c r="D922" s="660"/>
      <c r="E922" s="879"/>
      <c r="F922" s="879"/>
      <c r="G922" s="60"/>
      <c r="H922" s="916"/>
      <c r="I922" s="906"/>
      <c r="J922" s="910"/>
      <c r="K922" s="920"/>
      <c r="L922" s="920"/>
      <c r="M922" s="901"/>
      <c r="O922">
        <v>2837707</v>
      </c>
    </row>
    <row r="923" spans="1:15" ht="12.75" customHeight="1">
      <c r="A923" s="1059">
        <v>453</v>
      </c>
      <c r="B923" s="1079"/>
      <c r="C923" s="913" t="s">
        <v>1000</v>
      </c>
      <c r="D923" s="731" t="s">
        <v>999</v>
      </c>
      <c r="E923" s="878" t="s">
        <v>142</v>
      </c>
      <c r="F923" s="878" t="s">
        <v>1005</v>
      </c>
      <c r="G923" s="63"/>
      <c r="H923" s="915">
        <v>475000</v>
      </c>
      <c r="I923" s="905">
        <f>H923</f>
        <v>475000</v>
      </c>
      <c r="J923" s="909"/>
      <c r="K923" s="919">
        <v>475000</v>
      </c>
      <c r="L923" s="919">
        <f>K923</f>
        <v>475000</v>
      </c>
      <c r="M923" s="1076">
        <f>K923-I923</f>
        <v>0</v>
      </c>
      <c r="O923">
        <v>2837707</v>
      </c>
    </row>
    <row r="924" spans="1:15" ht="12.75" customHeight="1" thickBot="1">
      <c r="A924" s="1061"/>
      <c r="B924" s="1079"/>
      <c r="C924" s="914"/>
      <c r="D924" s="732"/>
      <c r="E924" s="879"/>
      <c r="F924" s="879"/>
      <c r="G924" s="60"/>
      <c r="H924" s="916"/>
      <c r="I924" s="906"/>
      <c r="J924" s="910"/>
      <c r="K924" s="920"/>
      <c r="L924" s="920"/>
      <c r="M924" s="901"/>
      <c r="O924">
        <v>2837707</v>
      </c>
    </row>
    <row r="925" spans="1:15" ht="12.75" customHeight="1">
      <c r="A925" s="1059">
        <v>454</v>
      </c>
      <c r="B925" s="1159"/>
      <c r="C925" s="913" t="s">
        <v>1001</v>
      </c>
      <c r="D925" s="731" t="s">
        <v>999</v>
      </c>
      <c r="E925" s="878" t="s">
        <v>997</v>
      </c>
      <c r="F925" s="878"/>
      <c r="G925" s="63"/>
      <c r="H925" s="915">
        <v>3000000</v>
      </c>
      <c r="I925" s="905">
        <f>H925</f>
        <v>3000000</v>
      </c>
      <c r="J925" s="909"/>
      <c r="K925" s="919">
        <v>3000000</v>
      </c>
      <c r="L925" s="919">
        <v>3000000</v>
      </c>
      <c r="M925" s="1076">
        <f>K925-I925</f>
        <v>0</v>
      </c>
      <c r="O925">
        <v>2837707</v>
      </c>
    </row>
    <row r="926" spans="1:15" ht="12.75" customHeight="1" thickBot="1">
      <c r="A926" s="1061"/>
      <c r="B926" s="1122"/>
      <c r="C926" s="914"/>
      <c r="D926" s="732"/>
      <c r="E926" s="879"/>
      <c r="F926" s="879"/>
      <c r="G926" s="60"/>
      <c r="H926" s="916"/>
      <c r="I926" s="906"/>
      <c r="J926" s="910"/>
      <c r="K926" s="920"/>
      <c r="L926" s="920"/>
      <c r="M926" s="901"/>
      <c r="O926">
        <v>2837707</v>
      </c>
    </row>
    <row r="927" spans="1:15" ht="12.75" customHeight="1">
      <c r="A927" s="1059">
        <v>455</v>
      </c>
      <c r="B927" s="1301"/>
      <c r="C927" s="986" t="s">
        <v>1002</v>
      </c>
      <c r="D927" s="1300" t="s">
        <v>999</v>
      </c>
      <c r="E927" s="983" t="s">
        <v>1007</v>
      </c>
      <c r="F927" s="983" t="s">
        <v>998</v>
      </c>
      <c r="G927" s="60"/>
      <c r="H927" s="988">
        <v>2000000</v>
      </c>
      <c r="I927" s="916">
        <f>H927</f>
        <v>2000000</v>
      </c>
      <c r="J927" s="949"/>
      <c r="K927" s="984">
        <v>2000000</v>
      </c>
      <c r="L927" s="984">
        <v>2000000</v>
      </c>
      <c r="M927" s="1076">
        <f>K927-I927</f>
        <v>0</v>
      </c>
      <c r="O927">
        <v>2837707</v>
      </c>
    </row>
    <row r="928" spans="1:15" ht="13.5" customHeight="1" thickBot="1">
      <c r="A928" s="1061"/>
      <c r="B928" s="1230"/>
      <c r="C928" s="1249"/>
      <c r="D928" s="1126"/>
      <c r="E928" s="1197"/>
      <c r="F928" s="1197"/>
      <c r="G928" s="61"/>
      <c r="H928" s="1091"/>
      <c r="I928" s="943"/>
      <c r="J928" s="944"/>
      <c r="K928" s="1041"/>
      <c r="L928" s="1041"/>
      <c r="M928" s="901"/>
      <c r="O928">
        <v>2837707</v>
      </c>
    </row>
    <row r="929" spans="1:15" ht="12.75" customHeight="1">
      <c r="A929" s="1059">
        <v>456</v>
      </c>
      <c r="B929" s="1301" t="s">
        <v>980</v>
      </c>
      <c r="C929" s="986" t="s">
        <v>993</v>
      </c>
      <c r="D929" s="987" t="s">
        <v>992</v>
      </c>
      <c r="E929" s="983" t="s">
        <v>775</v>
      </c>
      <c r="F929" s="983"/>
      <c r="G929" s="60"/>
      <c r="H929" s="988">
        <v>1450000</v>
      </c>
      <c r="I929" s="916">
        <f>H929</f>
        <v>1450000</v>
      </c>
      <c r="J929" s="949"/>
      <c r="K929" s="984">
        <v>1450000</v>
      </c>
      <c r="L929" s="984">
        <v>1450000</v>
      </c>
      <c r="M929" s="1076">
        <f>K929-I929</f>
        <v>0</v>
      </c>
      <c r="O929">
        <v>2837707</v>
      </c>
    </row>
    <row r="930" spans="1:15" ht="12.75" customHeight="1" thickBot="1">
      <c r="A930" s="1061"/>
      <c r="B930" s="1122"/>
      <c r="C930" s="914"/>
      <c r="D930" s="660"/>
      <c r="E930" s="879"/>
      <c r="F930" s="879"/>
      <c r="G930" s="60"/>
      <c r="H930" s="916"/>
      <c r="I930" s="906"/>
      <c r="J930" s="910"/>
      <c r="K930" s="920"/>
      <c r="L930" s="920"/>
      <c r="M930" s="901"/>
      <c r="O930">
        <v>2837707</v>
      </c>
    </row>
    <row r="931" spans="1:15" ht="12.75" customHeight="1">
      <c r="A931" s="1059">
        <v>457</v>
      </c>
      <c r="B931" s="1114"/>
      <c r="C931" s="986" t="s">
        <v>554</v>
      </c>
      <c r="D931" s="987" t="s">
        <v>992</v>
      </c>
      <c r="E931" s="983" t="s">
        <v>308</v>
      </c>
      <c r="F931" s="983"/>
      <c r="G931" s="60"/>
      <c r="H931" s="988">
        <v>2110</v>
      </c>
      <c r="I931" s="916">
        <v>596075</v>
      </c>
      <c r="J931" s="909"/>
      <c r="K931" s="984"/>
      <c r="L931" s="984"/>
      <c r="M931" s="1076">
        <v>0</v>
      </c>
      <c r="O931">
        <v>2837707</v>
      </c>
    </row>
    <row r="932" spans="1:15" ht="13.5" customHeight="1" thickBot="1">
      <c r="A932" s="1061"/>
      <c r="B932" s="1255"/>
      <c r="C932" s="986"/>
      <c r="D932" s="987"/>
      <c r="E932" s="983"/>
      <c r="F932" s="983"/>
      <c r="G932" s="59"/>
      <c r="H932" s="988"/>
      <c r="I932" s="982"/>
      <c r="J932" s="917"/>
      <c r="K932" s="984"/>
      <c r="L932" s="984"/>
      <c r="M932" s="901"/>
      <c r="O932">
        <v>2837707</v>
      </c>
    </row>
    <row r="933" spans="1:15" ht="12.75" customHeight="1">
      <c r="A933" s="1059">
        <v>458</v>
      </c>
      <c r="B933" s="1121" t="s">
        <v>981</v>
      </c>
      <c r="C933" s="1018" t="s">
        <v>994</v>
      </c>
      <c r="D933" s="1019" t="s">
        <v>995</v>
      </c>
      <c r="E933" s="1017" t="s">
        <v>25</v>
      </c>
      <c r="F933" s="1017"/>
      <c r="G933" s="67"/>
      <c r="H933" s="999">
        <v>886000</v>
      </c>
      <c r="I933" s="973">
        <f>H933</f>
        <v>886000</v>
      </c>
      <c r="J933" s="974"/>
      <c r="K933" s="1001">
        <v>886000</v>
      </c>
      <c r="L933" s="1001"/>
      <c r="M933" s="1076">
        <f>K933-I933</f>
        <v>0</v>
      </c>
      <c r="O933">
        <v>2837707</v>
      </c>
    </row>
    <row r="934" spans="1:15" ht="12.75" customHeight="1" thickBot="1">
      <c r="A934" s="1061"/>
      <c r="B934" s="1122"/>
      <c r="C934" s="914"/>
      <c r="D934" s="660"/>
      <c r="E934" s="879"/>
      <c r="F934" s="879"/>
      <c r="G934" s="60"/>
      <c r="H934" s="916"/>
      <c r="I934" s="906"/>
      <c r="J934" s="910"/>
      <c r="K934" s="920"/>
      <c r="L934" s="920"/>
      <c r="M934" s="901"/>
    </row>
    <row r="935" spans="1:15">
      <c r="A935" s="1059">
        <v>459</v>
      </c>
      <c r="B935" s="1114"/>
      <c r="C935" s="986" t="s">
        <v>996</v>
      </c>
      <c r="D935" s="987" t="s">
        <v>1006</v>
      </c>
      <c r="E935" s="983"/>
      <c r="F935" s="983"/>
      <c r="G935" s="60"/>
      <c r="H935" s="988"/>
      <c r="I935" s="916"/>
      <c r="J935" s="909"/>
      <c r="K935" s="984"/>
      <c r="L935" s="984"/>
      <c r="M935" s="985"/>
    </row>
    <row r="936" spans="1:15" ht="13.5" thickBot="1">
      <c r="A936" s="1061"/>
      <c r="B936" s="1115"/>
      <c r="C936" s="1249"/>
      <c r="D936" s="1196"/>
      <c r="E936" s="1197"/>
      <c r="F936" s="1197"/>
      <c r="G936" s="61"/>
      <c r="H936" s="1091"/>
      <c r="I936" s="943"/>
      <c r="J936" s="944"/>
      <c r="K936" s="1041"/>
      <c r="L936" s="1041"/>
      <c r="M936" s="1149"/>
    </row>
    <row r="937" spans="1:15" ht="19.5" thickBot="1">
      <c r="A937" s="51"/>
      <c r="B937" s="1394" t="s">
        <v>572</v>
      </c>
      <c r="C937" s="1395"/>
      <c r="D937" s="1395"/>
      <c r="E937" s="1395"/>
      <c r="F937" s="1395"/>
      <c r="G937" s="1395"/>
      <c r="H937" s="1395"/>
      <c r="I937" s="1395"/>
      <c r="J937" s="1395"/>
      <c r="K937" s="1395"/>
      <c r="L937" s="1395"/>
      <c r="M937" s="1396"/>
      <c r="N937" s="7">
        <f>SUM(I923:I928,I938:I1026)</f>
        <v>226278911</v>
      </c>
      <c r="O937" s="8"/>
    </row>
    <row r="938" spans="1:15">
      <c r="A938" s="1302">
        <v>460</v>
      </c>
      <c r="B938" s="1121" t="s">
        <v>990</v>
      </c>
      <c r="C938" s="1018"/>
      <c r="D938" s="1019" t="s">
        <v>1004</v>
      </c>
      <c r="E938" s="1017" t="s">
        <v>20</v>
      </c>
      <c r="F938" s="1017"/>
      <c r="G938" s="67"/>
      <c r="H938" s="999">
        <v>11600000</v>
      </c>
      <c r="I938" s="973">
        <f>H938</f>
        <v>11600000</v>
      </c>
      <c r="J938" s="974"/>
      <c r="K938" s="1001">
        <v>11600000</v>
      </c>
      <c r="L938" s="1001">
        <f>K938</f>
        <v>11600000</v>
      </c>
      <c r="M938" s="903">
        <f>K938-I938</f>
        <v>0</v>
      </c>
    </row>
    <row r="939" spans="1:15">
      <c r="A939" s="1066"/>
      <c r="B939" s="1122"/>
      <c r="C939" s="914"/>
      <c r="D939" s="660"/>
      <c r="E939" s="879"/>
      <c r="F939" s="879"/>
      <c r="G939" s="60"/>
      <c r="H939" s="916"/>
      <c r="I939" s="906"/>
      <c r="J939" s="910"/>
      <c r="K939" s="920"/>
      <c r="L939" s="920"/>
      <c r="M939" s="903"/>
    </row>
    <row r="940" spans="1:15" ht="12.75" customHeight="1">
      <c r="A940" s="1302">
        <v>496</v>
      </c>
      <c r="B940" s="1079"/>
      <c r="C940" s="986" t="s">
        <v>6</v>
      </c>
      <c r="D940" s="987" t="s">
        <v>1025</v>
      </c>
      <c r="E940" s="983" t="s">
        <v>410</v>
      </c>
      <c r="F940" s="983"/>
      <c r="G940" s="60"/>
      <c r="H940" s="988">
        <v>1100000</v>
      </c>
      <c r="I940" s="916">
        <f>H940</f>
        <v>1100000</v>
      </c>
      <c r="J940" s="909"/>
      <c r="K940" s="984">
        <f>100000+500000+500000</f>
        <v>1100000</v>
      </c>
      <c r="L940" s="984"/>
      <c r="M940" s="903">
        <f>K940-I940</f>
        <v>0</v>
      </c>
    </row>
    <row r="941" spans="1:15" ht="12.75" customHeight="1">
      <c r="A941" s="1066"/>
      <c r="B941" s="1079"/>
      <c r="C941" s="914"/>
      <c r="D941" s="660"/>
      <c r="E941" s="879"/>
      <c r="F941" s="879"/>
      <c r="G941" s="60"/>
      <c r="H941" s="916"/>
      <c r="I941" s="906"/>
      <c r="J941" s="910"/>
      <c r="K941" s="920"/>
      <c r="L941" s="920"/>
      <c r="M941" s="903"/>
    </row>
    <row r="942" spans="1:15" ht="12.75" customHeight="1">
      <c r="A942" s="1302">
        <v>497</v>
      </c>
      <c r="B942" s="1301"/>
      <c r="C942" s="986" t="s">
        <v>1026</v>
      </c>
      <c r="D942" s="987" t="s">
        <v>1025</v>
      </c>
      <c r="E942" s="878" t="s">
        <v>898</v>
      </c>
      <c r="F942" s="983"/>
      <c r="G942" s="60"/>
      <c r="H942" s="988">
        <v>500000</v>
      </c>
      <c r="I942" s="916">
        <f>H942</f>
        <v>500000</v>
      </c>
      <c r="J942" s="909"/>
      <c r="K942" s="984">
        <v>500000</v>
      </c>
      <c r="L942" s="984">
        <v>500000</v>
      </c>
      <c r="M942" s="903">
        <f>K942-I942</f>
        <v>0</v>
      </c>
    </row>
    <row r="943" spans="1:15" ht="13.5" customHeight="1" thickBot="1">
      <c r="A943" s="1066"/>
      <c r="B943" s="1122"/>
      <c r="C943" s="914"/>
      <c r="D943" s="660"/>
      <c r="E943" s="879"/>
      <c r="F943" s="879"/>
      <c r="G943" s="60"/>
      <c r="H943" s="916"/>
      <c r="I943" s="906"/>
      <c r="J943" s="910"/>
      <c r="K943" s="920"/>
      <c r="L943" s="920"/>
      <c r="M943" s="1178"/>
    </row>
    <row r="944" spans="1:15" ht="12.75" customHeight="1">
      <c r="A944" s="1302">
        <v>499</v>
      </c>
      <c r="B944" s="1121" t="s">
        <v>1015</v>
      </c>
      <c r="C944" s="1018"/>
      <c r="D944" s="1019" t="s">
        <v>999</v>
      </c>
      <c r="E944" s="1017" t="s">
        <v>20</v>
      </c>
      <c r="F944" s="1017"/>
      <c r="G944" s="67"/>
      <c r="H944" s="999">
        <v>10700000</v>
      </c>
      <c r="I944" s="973">
        <f>H944</f>
        <v>10700000</v>
      </c>
      <c r="J944" s="974"/>
      <c r="K944" s="1001">
        <v>10700000</v>
      </c>
      <c r="L944" s="1001">
        <f>K944</f>
        <v>10700000</v>
      </c>
      <c r="M944" s="901">
        <f>K944-I944</f>
        <v>0</v>
      </c>
    </row>
    <row r="945" spans="1:13" ht="12.75" customHeight="1">
      <c r="A945" s="1066"/>
      <c r="B945" s="1122"/>
      <c r="C945" s="914"/>
      <c r="D945" s="660"/>
      <c r="E945" s="879"/>
      <c r="F945" s="879"/>
      <c r="G945" s="60"/>
      <c r="H945" s="916"/>
      <c r="I945" s="906"/>
      <c r="J945" s="910"/>
      <c r="K945" s="920"/>
      <c r="L945" s="920"/>
      <c r="M945" s="903"/>
    </row>
    <row r="946" spans="1:13" ht="12.75" customHeight="1">
      <c r="A946" s="1302">
        <v>501</v>
      </c>
      <c r="B946" s="1079"/>
      <c r="C946" s="986" t="s">
        <v>1011</v>
      </c>
      <c r="D946" s="987" t="s">
        <v>1014</v>
      </c>
      <c r="E946" s="983" t="s">
        <v>1008</v>
      </c>
      <c r="F946" s="983"/>
      <c r="G946" s="60"/>
      <c r="H946" s="988">
        <v>2300000</v>
      </c>
      <c r="I946" s="916">
        <f>H946</f>
        <v>2300000</v>
      </c>
      <c r="J946" s="909"/>
      <c r="K946" s="984">
        <v>2300000</v>
      </c>
      <c r="L946" s="984">
        <v>2300000</v>
      </c>
      <c r="M946" s="903">
        <f>K946-I946</f>
        <v>0</v>
      </c>
    </row>
    <row r="947" spans="1:13" ht="12.75" customHeight="1">
      <c r="A947" s="1066"/>
      <c r="B947" s="1079"/>
      <c r="C947" s="914"/>
      <c r="D947" s="660"/>
      <c r="E947" s="879"/>
      <c r="F947" s="879"/>
      <c r="G947" s="60"/>
      <c r="H947" s="916"/>
      <c r="I947" s="906"/>
      <c r="J947" s="910"/>
      <c r="K947" s="920"/>
      <c r="L947" s="920"/>
      <c r="M947" s="903"/>
    </row>
    <row r="948" spans="1:13" ht="12.75" customHeight="1">
      <c r="A948" s="1302">
        <v>500</v>
      </c>
      <c r="B948" s="1079"/>
      <c r="C948" s="986" t="s">
        <v>1012</v>
      </c>
      <c r="D948" s="987" t="s">
        <v>1014</v>
      </c>
      <c r="E948" s="983" t="s">
        <v>1009</v>
      </c>
      <c r="F948" s="983" t="s">
        <v>1017</v>
      </c>
      <c r="G948" s="60"/>
      <c r="H948" s="988">
        <v>950000</v>
      </c>
      <c r="I948" s="916">
        <f>H948</f>
        <v>950000</v>
      </c>
      <c r="J948" s="909"/>
      <c r="K948" s="984">
        <v>950000</v>
      </c>
      <c r="L948" s="984">
        <v>950000</v>
      </c>
      <c r="M948" s="903">
        <f>K948-I948</f>
        <v>0</v>
      </c>
    </row>
    <row r="949" spans="1:13" ht="12.75" customHeight="1">
      <c r="A949" s="1066"/>
      <c r="B949" s="1079"/>
      <c r="C949" s="914"/>
      <c r="D949" s="660"/>
      <c r="E949" s="879"/>
      <c r="F949" s="879"/>
      <c r="G949" s="60"/>
      <c r="H949" s="916"/>
      <c r="I949" s="906"/>
      <c r="J949" s="910"/>
      <c r="K949" s="920"/>
      <c r="L949" s="920"/>
      <c r="M949" s="903"/>
    </row>
    <row r="950" spans="1:13" ht="12.75" customHeight="1">
      <c r="A950" s="1302">
        <v>501</v>
      </c>
      <c r="B950" s="1301"/>
      <c r="C950" s="986" t="s">
        <v>1013</v>
      </c>
      <c r="D950" s="987" t="s">
        <v>1014</v>
      </c>
      <c r="E950" s="983" t="s">
        <v>1010</v>
      </c>
      <c r="F950" s="983"/>
      <c r="G950" s="60"/>
      <c r="H950" s="988">
        <v>5600000</v>
      </c>
      <c r="I950" s="916">
        <f>H950</f>
        <v>5600000</v>
      </c>
      <c r="J950" s="909"/>
      <c r="K950" s="984">
        <v>5600000</v>
      </c>
      <c r="L950" s="984">
        <v>5600000</v>
      </c>
      <c r="M950" s="903">
        <f>K950-I950</f>
        <v>0</v>
      </c>
    </row>
    <row r="951" spans="1:13" ht="13.5" customHeight="1" thickBot="1">
      <c r="A951" s="1066"/>
      <c r="B951" s="1230"/>
      <c r="C951" s="1249"/>
      <c r="D951" s="1196"/>
      <c r="E951" s="1197"/>
      <c r="F951" s="1197"/>
      <c r="G951" s="61"/>
      <c r="H951" s="1091"/>
      <c r="I951" s="943"/>
      <c r="J951" s="944"/>
      <c r="K951" s="1041"/>
      <c r="L951" s="1041"/>
      <c r="M951" s="1178"/>
    </row>
    <row r="952" spans="1:13" ht="25.5">
      <c r="A952" s="1302">
        <v>502</v>
      </c>
      <c r="B952" s="1121" t="s">
        <v>991</v>
      </c>
      <c r="C952" s="1018"/>
      <c r="D952" s="1019" t="s">
        <v>1099</v>
      </c>
      <c r="E952" s="1017" t="s">
        <v>20</v>
      </c>
      <c r="F952" s="1017"/>
      <c r="G952" s="67" t="s">
        <v>1022</v>
      </c>
      <c r="H952" s="999">
        <v>10700000</v>
      </c>
      <c r="I952" s="973">
        <f>H952</f>
        <v>10700000</v>
      </c>
      <c r="J952" s="974"/>
      <c r="K952" s="1001">
        <v>10700000</v>
      </c>
      <c r="L952" s="1001">
        <v>10700000</v>
      </c>
      <c r="M952" s="901">
        <f>K952-I952</f>
        <v>0</v>
      </c>
    </row>
    <row r="953" spans="1:13" ht="12.75" customHeight="1">
      <c r="A953" s="1066"/>
      <c r="B953" s="1122"/>
      <c r="C953" s="914"/>
      <c r="D953" s="660"/>
      <c r="E953" s="879"/>
      <c r="F953" s="879"/>
      <c r="G953" s="60" t="s">
        <v>1023</v>
      </c>
      <c r="H953" s="916"/>
      <c r="I953" s="906"/>
      <c r="J953" s="910"/>
      <c r="K953" s="920"/>
      <c r="L953" s="920"/>
      <c r="M953" s="903"/>
    </row>
    <row r="954" spans="1:13" ht="12.75" customHeight="1">
      <c r="A954" s="1302">
        <v>503</v>
      </c>
      <c r="B954" s="1079"/>
      <c r="C954" s="986" t="s">
        <v>1019</v>
      </c>
      <c r="D954" s="987" t="s">
        <v>1021</v>
      </c>
      <c r="E954" s="983" t="s">
        <v>142</v>
      </c>
      <c r="F954" s="983" t="s">
        <v>1018</v>
      </c>
      <c r="G954" s="60">
        <v>300</v>
      </c>
      <c r="H954" s="988">
        <v>475000</v>
      </c>
      <c r="I954" s="916">
        <f>H954</f>
        <v>475000</v>
      </c>
      <c r="J954" s="909"/>
      <c r="K954" s="984">
        <v>475000</v>
      </c>
      <c r="L954" s="984">
        <f>K954</f>
        <v>475000</v>
      </c>
      <c r="M954" s="903">
        <f>K954-I954</f>
        <v>0</v>
      </c>
    </row>
    <row r="955" spans="1:13" ht="12.75" customHeight="1">
      <c r="A955" s="1066"/>
      <c r="B955" s="1079"/>
      <c r="C955" s="914"/>
      <c r="D955" s="660"/>
      <c r="E955" s="879"/>
      <c r="F955" s="879"/>
      <c r="G955" s="60"/>
      <c r="H955" s="916"/>
      <c r="I955" s="906"/>
      <c r="J955" s="910"/>
      <c r="K955" s="920"/>
      <c r="L955" s="920"/>
      <c r="M955" s="903"/>
    </row>
    <row r="956" spans="1:13" ht="12.75" customHeight="1">
      <c r="A956" s="1302">
        <v>504</v>
      </c>
      <c r="B956" s="1301"/>
      <c r="C956" s="986" t="s">
        <v>1020</v>
      </c>
      <c r="D956" s="987" t="s">
        <v>1021</v>
      </c>
      <c r="E956" s="983" t="s">
        <v>98</v>
      </c>
      <c r="F956" s="983"/>
      <c r="G956" s="60"/>
      <c r="H956" s="988">
        <v>475000</v>
      </c>
      <c r="I956" s="916">
        <f>H956</f>
        <v>475000</v>
      </c>
      <c r="J956" s="909"/>
      <c r="K956" s="984">
        <v>475000</v>
      </c>
      <c r="L956" s="984">
        <v>475000</v>
      </c>
      <c r="M956" s="903">
        <f>K956-I956</f>
        <v>0</v>
      </c>
    </row>
    <row r="957" spans="1:13" ht="13.5" customHeight="1" thickBot="1">
      <c r="A957" s="1066"/>
      <c r="B957" s="1230"/>
      <c r="C957" s="1249"/>
      <c r="D957" s="1196"/>
      <c r="E957" s="1197"/>
      <c r="F957" s="1197"/>
      <c r="G957" s="61"/>
      <c r="H957" s="1091"/>
      <c r="I957" s="943"/>
      <c r="J957" s="944"/>
      <c r="K957" s="1041"/>
      <c r="L957" s="1041"/>
      <c r="M957" s="1178"/>
    </row>
    <row r="958" spans="1:13" ht="12.75" customHeight="1">
      <c r="A958" s="1302">
        <v>505</v>
      </c>
      <c r="B958" s="983" t="s">
        <v>1068</v>
      </c>
      <c r="C958" s="986"/>
      <c r="D958" s="987"/>
      <c r="E958" s="983" t="s">
        <v>20</v>
      </c>
      <c r="F958" s="983"/>
      <c r="G958" s="60"/>
      <c r="H958" s="988">
        <v>10700000</v>
      </c>
      <c r="I958" s="916">
        <f>H958</f>
        <v>10700000</v>
      </c>
      <c r="J958" s="949"/>
      <c r="K958" s="984">
        <v>10700000</v>
      </c>
      <c r="L958" s="984">
        <v>10700000</v>
      </c>
      <c r="M958" s="901">
        <f>K958-I958</f>
        <v>0</v>
      </c>
    </row>
    <row r="959" spans="1:13" ht="12.75" customHeight="1">
      <c r="A959" s="1066"/>
      <c r="B959" s="879"/>
      <c r="C959" s="914"/>
      <c r="D959" s="660"/>
      <c r="E959" s="879"/>
      <c r="F959" s="879"/>
      <c r="G959" s="60" t="s">
        <v>120</v>
      </c>
      <c r="H959" s="916"/>
      <c r="I959" s="906"/>
      <c r="J959" s="910"/>
      <c r="K959" s="920"/>
      <c r="L959" s="920"/>
      <c r="M959" s="903"/>
    </row>
    <row r="960" spans="1:13" ht="12.75" customHeight="1">
      <c r="A960" s="1302">
        <v>506</v>
      </c>
      <c r="B960" s="1079"/>
      <c r="C960" s="986" t="s">
        <v>1035</v>
      </c>
      <c r="D960" s="987" t="s">
        <v>1039</v>
      </c>
      <c r="E960" s="983" t="s">
        <v>280</v>
      </c>
      <c r="F960" s="983"/>
      <c r="G960" s="60"/>
      <c r="H960" s="988">
        <v>475000</v>
      </c>
      <c r="I960" s="916">
        <f>H960</f>
        <v>475000</v>
      </c>
      <c r="J960" s="909"/>
      <c r="K960" s="984">
        <v>475000</v>
      </c>
      <c r="L960" s="984">
        <f>K960</f>
        <v>475000</v>
      </c>
      <c r="M960" s="903">
        <f>K960-I960</f>
        <v>0</v>
      </c>
    </row>
    <row r="961" spans="1:13" ht="12.75" customHeight="1">
      <c r="A961" s="1066"/>
      <c r="B961" s="1079"/>
      <c r="C961" s="914"/>
      <c r="D961" s="660"/>
      <c r="E961" s="879"/>
      <c r="F961" s="879"/>
      <c r="G961" s="60"/>
      <c r="H961" s="916"/>
      <c r="I961" s="906"/>
      <c r="J961" s="910"/>
      <c r="K961" s="920"/>
      <c r="L961" s="920"/>
      <c r="M961" s="903"/>
    </row>
    <row r="962" spans="1:13" ht="12.75" customHeight="1">
      <c r="A962" s="1302">
        <v>507</v>
      </c>
      <c r="B962" s="983"/>
      <c r="C962" s="986" t="s">
        <v>1036</v>
      </c>
      <c r="D962" s="987" t="s">
        <v>1039</v>
      </c>
      <c r="E962" s="983" t="s">
        <v>724</v>
      </c>
      <c r="F962" s="983"/>
      <c r="G962" s="60"/>
      <c r="H962" s="988">
        <v>2200000</v>
      </c>
      <c r="I962" s="916">
        <f>H962</f>
        <v>2200000</v>
      </c>
      <c r="J962" s="909"/>
      <c r="K962" s="984">
        <v>2200000</v>
      </c>
      <c r="L962" s="984">
        <f>K962</f>
        <v>2200000</v>
      </c>
      <c r="M962" s="903">
        <f>K962-I962</f>
        <v>0</v>
      </c>
    </row>
    <row r="963" spans="1:13" ht="12.75" customHeight="1">
      <c r="A963" s="1066"/>
      <c r="B963" s="879"/>
      <c r="C963" s="914"/>
      <c r="D963" s="660"/>
      <c r="E963" s="879"/>
      <c r="F963" s="879"/>
      <c r="G963" s="60"/>
      <c r="H963" s="916"/>
      <c r="I963" s="906"/>
      <c r="J963" s="910"/>
      <c r="K963" s="920"/>
      <c r="L963" s="920"/>
      <c r="M963" s="903"/>
    </row>
    <row r="964" spans="1:13" ht="12.75" customHeight="1">
      <c r="A964" s="1302">
        <v>508</v>
      </c>
      <c r="B964" s="878"/>
      <c r="C964" s="913" t="s">
        <v>1037</v>
      </c>
      <c r="D964" s="659" t="s">
        <v>1039</v>
      </c>
      <c r="E964" s="878" t="s">
        <v>1062</v>
      </c>
      <c r="F964" s="878"/>
      <c r="G964" s="63"/>
      <c r="H964" s="915">
        <v>3000000</v>
      </c>
      <c r="I964" s="905">
        <f>H964</f>
        <v>3000000</v>
      </c>
      <c r="J964" s="909"/>
      <c r="K964" s="919">
        <v>3000000</v>
      </c>
      <c r="L964" s="919">
        <f>K964</f>
        <v>3000000</v>
      </c>
      <c r="M964" s="903">
        <f>K964-I964</f>
        <v>0</v>
      </c>
    </row>
    <row r="965" spans="1:13" ht="12.75" customHeight="1" thickBot="1">
      <c r="A965" s="1066"/>
      <c r="B965" s="1197"/>
      <c r="C965" s="1249"/>
      <c r="D965" s="1196"/>
      <c r="E965" s="1197"/>
      <c r="F965" s="1197"/>
      <c r="G965" s="61"/>
      <c r="H965" s="1091"/>
      <c r="I965" s="943"/>
      <c r="J965" s="944"/>
      <c r="K965" s="1041"/>
      <c r="L965" s="1041"/>
      <c r="M965" s="1178"/>
    </row>
    <row r="966" spans="1:13" ht="12.75" customHeight="1">
      <c r="A966" s="1302">
        <v>509</v>
      </c>
      <c r="B966" s="1121" t="s">
        <v>1016</v>
      </c>
      <c r="C966" s="1018"/>
      <c r="D966" s="1019"/>
      <c r="E966" s="1017" t="s">
        <v>20</v>
      </c>
      <c r="F966" s="1017"/>
      <c r="G966" s="67"/>
      <c r="H966" s="999">
        <v>10700000</v>
      </c>
      <c r="I966" s="973">
        <f>H966</f>
        <v>10700000</v>
      </c>
      <c r="J966" s="974"/>
      <c r="K966" s="1001">
        <v>10700000</v>
      </c>
      <c r="L966" s="1001">
        <v>10700000</v>
      </c>
      <c r="M966" s="967">
        <f>K966-I966</f>
        <v>0</v>
      </c>
    </row>
    <row r="967" spans="1:13" ht="12.75" customHeight="1">
      <c r="A967" s="1066"/>
      <c r="B967" s="1122"/>
      <c r="C967" s="914"/>
      <c r="D967" s="660"/>
      <c r="E967" s="879"/>
      <c r="F967" s="879"/>
      <c r="G967" s="60"/>
      <c r="H967" s="916"/>
      <c r="I967" s="906"/>
      <c r="J967" s="910"/>
      <c r="K967" s="920"/>
      <c r="L967" s="920"/>
      <c r="M967" s="946"/>
    </row>
    <row r="968" spans="1:13" ht="12.75" customHeight="1">
      <c r="A968" s="1302">
        <v>510</v>
      </c>
      <c r="B968" s="1079"/>
      <c r="C968" s="986" t="s">
        <v>1030</v>
      </c>
      <c r="D968" s="987" t="s">
        <v>1032</v>
      </c>
      <c r="E968" s="983" t="s">
        <v>326</v>
      </c>
      <c r="F968" s="983" t="s">
        <v>1028</v>
      </c>
      <c r="G968" s="416" t="s">
        <v>1162</v>
      </c>
      <c r="H968" s="988">
        <v>5000000</v>
      </c>
      <c r="I968" s="916">
        <f>H968</f>
        <v>5000000</v>
      </c>
      <c r="J968" s="909"/>
      <c r="K968" s="984">
        <v>5000000</v>
      </c>
      <c r="L968" s="984">
        <v>5000000</v>
      </c>
      <c r="M968" s="946">
        <f>K968-I968</f>
        <v>0</v>
      </c>
    </row>
    <row r="969" spans="1:13" ht="12.75" customHeight="1">
      <c r="A969" s="1066"/>
      <c r="B969" s="1079"/>
      <c r="C969" s="914"/>
      <c r="D969" s="660"/>
      <c r="E969" s="879"/>
      <c r="F969" s="879"/>
      <c r="G969" s="412"/>
      <c r="H969" s="916"/>
      <c r="I969" s="906"/>
      <c r="J969" s="910"/>
      <c r="K969" s="920"/>
      <c r="L969" s="920"/>
      <c r="M969" s="946"/>
    </row>
    <row r="970" spans="1:13" ht="12.75" customHeight="1">
      <c r="A970" s="1302">
        <v>511</v>
      </c>
      <c r="B970" s="1301"/>
      <c r="C970" s="986" t="s">
        <v>1031</v>
      </c>
      <c r="D970" s="987" t="s">
        <v>1032</v>
      </c>
      <c r="E970" s="983" t="s">
        <v>1029</v>
      </c>
      <c r="F970" s="983"/>
      <c r="G970" s="412"/>
      <c r="H970" s="988">
        <v>2500000</v>
      </c>
      <c r="I970" s="905">
        <f>H970</f>
        <v>2500000</v>
      </c>
      <c r="J970" s="909"/>
      <c r="K970" s="984">
        <v>2500000</v>
      </c>
      <c r="L970" s="984">
        <v>2500000</v>
      </c>
      <c r="M970" s="946">
        <f>K970-I970</f>
        <v>0</v>
      </c>
    </row>
    <row r="971" spans="1:13" ht="12.75" customHeight="1" thickBot="1">
      <c r="A971" s="1066"/>
      <c r="B971" s="1230"/>
      <c r="C971" s="1249"/>
      <c r="D971" s="1196"/>
      <c r="E971" s="1197"/>
      <c r="F971" s="1197"/>
      <c r="G971" s="415"/>
      <c r="H971" s="1091"/>
      <c r="I971" s="943"/>
      <c r="J971" s="944"/>
      <c r="K971" s="1041"/>
      <c r="L971" s="1041"/>
      <c r="M971" s="947"/>
    </row>
    <row r="972" spans="1:13" ht="12.75" customHeight="1">
      <c r="A972" s="1302">
        <v>513</v>
      </c>
      <c r="B972" s="1121" t="s">
        <v>1024</v>
      </c>
      <c r="C972" s="1018"/>
      <c r="D972" s="1019"/>
      <c r="E972" s="1017" t="s">
        <v>20</v>
      </c>
      <c r="F972" s="1017"/>
      <c r="G972" s="410"/>
      <c r="H972" s="999" t="s">
        <v>120</v>
      </c>
      <c r="I972" s="916" t="str">
        <f>H972</f>
        <v xml:space="preserve"> </v>
      </c>
      <c r="J972" s="974"/>
      <c r="K972" s="1001">
        <v>10700000</v>
      </c>
      <c r="L972" s="1001">
        <v>10700000</v>
      </c>
      <c r="M972" s="967" t="e">
        <f>K972-I972</f>
        <v>#VALUE!</v>
      </c>
    </row>
    <row r="973" spans="1:13" ht="12.75" customHeight="1">
      <c r="A973" s="1066"/>
      <c r="B973" s="1122"/>
      <c r="C973" s="914"/>
      <c r="D973" s="660"/>
      <c r="E973" s="879"/>
      <c r="F973" s="879"/>
      <c r="G973" s="412"/>
      <c r="H973" s="916"/>
      <c r="I973" s="906"/>
      <c r="J973" s="910"/>
      <c r="K973" s="920"/>
      <c r="L973" s="920"/>
      <c r="M973" s="946"/>
    </row>
    <row r="974" spans="1:13" ht="12.75" customHeight="1">
      <c r="A974" s="1302">
        <v>514</v>
      </c>
      <c r="B974" s="1079"/>
      <c r="C974" s="986" t="s">
        <v>1038</v>
      </c>
      <c r="D974" s="987" t="s">
        <v>1039</v>
      </c>
      <c r="E974" s="983" t="s">
        <v>804</v>
      </c>
      <c r="F974" s="983"/>
      <c r="G974" s="412"/>
      <c r="H974" s="988">
        <v>2850000</v>
      </c>
      <c r="I974" s="905">
        <f>H974</f>
        <v>2850000</v>
      </c>
      <c r="J974" s="909"/>
      <c r="K974" s="984">
        <v>2850000</v>
      </c>
      <c r="L974" s="984">
        <v>2850000</v>
      </c>
      <c r="M974" s="946">
        <f>K974-I974</f>
        <v>0</v>
      </c>
    </row>
    <row r="975" spans="1:13" ht="25.5" customHeight="1" thickBot="1">
      <c r="A975" s="1066"/>
      <c r="B975" s="1080"/>
      <c r="C975" s="1249"/>
      <c r="D975" s="1196"/>
      <c r="E975" s="1197"/>
      <c r="F975" s="1197"/>
      <c r="G975" s="415"/>
      <c r="H975" s="1091"/>
      <c r="I975" s="943"/>
      <c r="J975" s="944"/>
      <c r="K975" s="1041"/>
      <c r="L975" s="1041"/>
      <c r="M975" s="947"/>
    </row>
    <row r="976" spans="1:13" ht="12.75" customHeight="1">
      <c r="A976" s="1302">
        <v>515</v>
      </c>
      <c r="B976" s="983" t="s">
        <v>1033</v>
      </c>
      <c r="C976" s="986" t="s">
        <v>1070</v>
      </c>
      <c r="D976" s="987" t="s">
        <v>1039</v>
      </c>
      <c r="E976" s="983" t="s">
        <v>20</v>
      </c>
      <c r="F976" s="983"/>
      <c r="G976" s="412"/>
      <c r="H976" s="988">
        <v>10700000</v>
      </c>
      <c r="I976" s="916">
        <f>H976</f>
        <v>10700000</v>
      </c>
      <c r="J976" s="949"/>
      <c r="K976" s="984">
        <v>10700000</v>
      </c>
      <c r="L976" s="984"/>
      <c r="M976" s="901">
        <f>K976-I976</f>
        <v>0</v>
      </c>
    </row>
    <row r="977" spans="1:13" ht="12.75" customHeight="1">
      <c r="A977" s="1066"/>
      <c r="B977" s="879"/>
      <c r="C977" s="914"/>
      <c r="D977" s="660"/>
      <c r="E977" s="879"/>
      <c r="F977" s="879"/>
      <c r="G977" s="412"/>
      <c r="H977" s="916"/>
      <c r="I977" s="906"/>
      <c r="J977" s="910"/>
      <c r="K977" s="920"/>
      <c r="L977" s="920"/>
      <c r="M977" s="903"/>
    </row>
    <row r="978" spans="1:13" ht="12.75" customHeight="1">
      <c r="A978" s="1302">
        <v>516</v>
      </c>
      <c r="B978" s="1079"/>
      <c r="C978" s="913" t="s">
        <v>1045</v>
      </c>
      <c r="D978" s="659" t="s">
        <v>1044</v>
      </c>
      <c r="E978" s="878" t="s">
        <v>1047</v>
      </c>
      <c r="F978" s="878"/>
      <c r="G978" s="409"/>
      <c r="H978" s="915">
        <v>12000</v>
      </c>
      <c r="I978" s="905">
        <v>3450000</v>
      </c>
      <c r="J978" s="909"/>
      <c r="K978" s="919">
        <v>3450000</v>
      </c>
      <c r="L978" s="919">
        <v>3450000</v>
      </c>
      <c r="M978" s="903">
        <f>K978-I978</f>
        <v>0</v>
      </c>
    </row>
    <row r="979" spans="1:13" ht="12.75" customHeight="1">
      <c r="A979" s="1066"/>
      <c r="B979" s="1079"/>
      <c r="C979" s="914"/>
      <c r="D979" s="660"/>
      <c r="E979" s="879"/>
      <c r="F979" s="879"/>
      <c r="G979" s="412"/>
      <c r="H979" s="916"/>
      <c r="I979" s="906"/>
      <c r="J979" s="910"/>
      <c r="K979" s="920"/>
      <c r="L979" s="920"/>
      <c r="M979" s="903"/>
    </row>
    <row r="980" spans="1:13" ht="12.75" customHeight="1">
      <c r="A980" s="1302">
        <v>517</v>
      </c>
      <c r="B980" s="878"/>
      <c r="C980" s="913" t="s">
        <v>1046</v>
      </c>
      <c r="D980" s="659" t="s">
        <v>1044</v>
      </c>
      <c r="E980" s="878" t="s">
        <v>1075</v>
      </c>
      <c r="F980" s="878" t="s">
        <v>1048</v>
      </c>
      <c r="G980" s="409"/>
      <c r="H980" s="915">
        <v>20000</v>
      </c>
      <c r="I980" s="905">
        <v>5750000</v>
      </c>
      <c r="J980" s="909"/>
      <c r="K980" s="919">
        <v>5750000</v>
      </c>
      <c r="L980" s="919"/>
      <c r="M980" s="903">
        <f>K980-I980</f>
        <v>0</v>
      </c>
    </row>
    <row r="981" spans="1:13" ht="12.75" customHeight="1" thickBot="1">
      <c r="A981" s="1066"/>
      <c r="B981" s="1197"/>
      <c r="C981" s="1249"/>
      <c r="D981" s="1196"/>
      <c r="E981" s="1197"/>
      <c r="F981" s="1197"/>
      <c r="G981" s="415"/>
      <c r="H981" s="1091"/>
      <c r="I981" s="943"/>
      <c r="J981" s="944"/>
      <c r="K981" s="1041"/>
      <c r="L981" s="1041"/>
      <c r="M981" s="1178"/>
    </row>
    <row r="982" spans="1:13" ht="12.75" customHeight="1">
      <c r="A982" s="1302">
        <v>519</v>
      </c>
      <c r="B982" s="983" t="s">
        <v>1034</v>
      </c>
      <c r="C982" s="986"/>
      <c r="D982" s="987"/>
      <c r="E982" s="983" t="s">
        <v>20</v>
      </c>
      <c r="F982" s="983"/>
      <c r="G982" s="60"/>
      <c r="H982" s="988">
        <v>10700000</v>
      </c>
      <c r="I982" s="905">
        <f>H982</f>
        <v>10700000</v>
      </c>
      <c r="J982" s="909"/>
      <c r="K982" s="984">
        <v>10700000</v>
      </c>
      <c r="L982" s="984">
        <f>K982</f>
        <v>10700000</v>
      </c>
      <c r="M982" s="903">
        <f>K982-I982</f>
        <v>0</v>
      </c>
    </row>
    <row r="983" spans="1:13" ht="12.75" customHeight="1">
      <c r="A983" s="1066"/>
      <c r="B983" s="879"/>
      <c r="C983" s="914"/>
      <c r="D983" s="660"/>
      <c r="E983" s="879"/>
      <c r="F983" s="879"/>
      <c r="G983" s="60"/>
      <c r="H983" s="916"/>
      <c r="I983" s="906"/>
      <c r="J983" s="910"/>
      <c r="K983" s="920"/>
      <c r="L983" s="920"/>
      <c r="M983" s="903"/>
    </row>
    <row r="984" spans="1:13" ht="12.75" customHeight="1">
      <c r="A984" s="1302">
        <v>521</v>
      </c>
      <c r="B984" s="1079"/>
      <c r="C984" s="986" t="s">
        <v>1052</v>
      </c>
      <c r="D984" s="987" t="s">
        <v>1059</v>
      </c>
      <c r="E984" s="983" t="s">
        <v>15</v>
      </c>
      <c r="F984" s="983"/>
      <c r="G984" s="60"/>
      <c r="H984" s="988">
        <v>4200000</v>
      </c>
      <c r="I984" s="905">
        <f>H984</f>
        <v>4200000</v>
      </c>
      <c r="J984" s="909"/>
      <c r="K984" s="984">
        <v>4200000</v>
      </c>
      <c r="L984" s="984">
        <v>4200000</v>
      </c>
      <c r="M984" s="903">
        <f>K984-I984</f>
        <v>0</v>
      </c>
    </row>
    <row r="985" spans="1:13" ht="12.75" customHeight="1">
      <c r="A985" s="1066"/>
      <c r="B985" s="1079"/>
      <c r="C985" s="914"/>
      <c r="D985" s="660"/>
      <c r="E985" s="879"/>
      <c r="F985" s="879"/>
      <c r="G985" s="60"/>
      <c r="H985" s="916"/>
      <c r="I985" s="906"/>
      <c r="J985" s="910"/>
      <c r="K985" s="920"/>
      <c r="L985" s="920"/>
      <c r="M985" s="903"/>
    </row>
    <row r="986" spans="1:13" ht="12.75" customHeight="1">
      <c r="A986" s="1302">
        <v>520</v>
      </c>
      <c r="B986" s="1079"/>
      <c r="C986" s="986" t="s">
        <v>1053</v>
      </c>
      <c r="D986" s="987" t="s">
        <v>1067</v>
      </c>
      <c r="E986" s="983" t="s">
        <v>1069</v>
      </c>
      <c r="F986" s="983" t="s">
        <v>1028</v>
      </c>
      <c r="G986" s="60"/>
      <c r="H986" s="988">
        <v>3200000</v>
      </c>
      <c r="I986" s="905">
        <f>H986</f>
        <v>3200000</v>
      </c>
      <c r="J986" s="909"/>
      <c r="K986" s="984">
        <v>3200000</v>
      </c>
      <c r="L986" s="984">
        <v>3200000</v>
      </c>
      <c r="M986" s="903">
        <f>K986-I986</f>
        <v>0</v>
      </c>
    </row>
    <row r="987" spans="1:13" ht="12.75" customHeight="1">
      <c r="A987" s="1066"/>
      <c r="B987" s="1079"/>
      <c r="C987" s="914"/>
      <c r="D987" s="660"/>
      <c r="E987" s="879"/>
      <c r="F987" s="879"/>
      <c r="G987" s="60"/>
      <c r="H987" s="916"/>
      <c r="I987" s="906"/>
      <c r="J987" s="910"/>
      <c r="K987" s="920"/>
      <c r="L987" s="920"/>
      <c r="M987" s="903"/>
    </row>
    <row r="988" spans="1:13" ht="12.75" customHeight="1">
      <c r="A988" s="1302">
        <v>521</v>
      </c>
      <c r="B988" s="878"/>
      <c r="C988" s="913" t="s">
        <v>1054</v>
      </c>
      <c r="D988" s="659" t="s">
        <v>1067</v>
      </c>
      <c r="E988" s="878" t="s">
        <v>1066</v>
      </c>
      <c r="F988" s="878" t="s">
        <v>1076</v>
      </c>
      <c r="G988" s="63"/>
      <c r="H988" s="915">
        <v>2375000</v>
      </c>
      <c r="I988" s="905">
        <f>H988</f>
        <v>2375000</v>
      </c>
      <c r="J988" s="909"/>
      <c r="K988" s="919">
        <v>2375000</v>
      </c>
      <c r="L988" s="919">
        <f>K988</f>
        <v>2375000</v>
      </c>
      <c r="M988" s="903">
        <f>K988-I988</f>
        <v>0</v>
      </c>
    </row>
    <row r="989" spans="1:13" ht="12.75" customHeight="1" thickBot="1">
      <c r="A989" s="1066"/>
      <c r="B989" s="1197"/>
      <c r="C989" s="1249"/>
      <c r="D989" s="1196"/>
      <c r="E989" s="1197"/>
      <c r="F989" s="1197"/>
      <c r="G989" s="61"/>
      <c r="H989" s="1091"/>
      <c r="I989" s="943"/>
      <c r="J989" s="944"/>
      <c r="K989" s="1041"/>
      <c r="L989" s="1041"/>
      <c r="M989" s="1178"/>
    </row>
    <row r="990" spans="1:13" ht="12.75" customHeight="1">
      <c r="A990" s="1302">
        <v>522</v>
      </c>
      <c r="B990" s="983" t="s">
        <v>1040</v>
      </c>
      <c r="C990" s="986"/>
      <c r="D990" s="987"/>
      <c r="E990" s="983" t="s">
        <v>20</v>
      </c>
      <c r="F990" s="983"/>
      <c r="G990" s="60"/>
      <c r="H990" s="988">
        <v>11100000</v>
      </c>
      <c r="I990" s="916">
        <f>H990</f>
        <v>11100000</v>
      </c>
      <c r="J990" s="949"/>
      <c r="K990" s="984">
        <v>11100000</v>
      </c>
      <c r="L990" s="984">
        <f>K990</f>
        <v>11100000</v>
      </c>
      <c r="M990" s="901">
        <f>K990-I990</f>
        <v>0</v>
      </c>
    </row>
    <row r="991" spans="1:13" ht="12.75" customHeight="1">
      <c r="A991" s="1066"/>
      <c r="B991" s="879"/>
      <c r="C991" s="914"/>
      <c r="D991" s="660"/>
      <c r="E991" s="879"/>
      <c r="F991" s="879"/>
      <c r="G991" s="60"/>
      <c r="H991" s="916"/>
      <c r="I991" s="906"/>
      <c r="J991" s="910"/>
      <c r="K991" s="920"/>
      <c r="L991" s="920"/>
      <c r="M991" s="903"/>
    </row>
    <row r="992" spans="1:13" ht="12.75" customHeight="1">
      <c r="A992" s="1302">
        <v>523</v>
      </c>
      <c r="B992" s="1079"/>
      <c r="C992" s="986" t="s">
        <v>1049</v>
      </c>
      <c r="D992" s="987" t="s">
        <v>1050</v>
      </c>
      <c r="E992" s="983" t="s">
        <v>1051</v>
      </c>
      <c r="F992" s="983"/>
      <c r="G992" s="60"/>
      <c r="H992" s="988">
        <v>7000000</v>
      </c>
      <c r="I992" s="905">
        <f>H992</f>
        <v>7000000</v>
      </c>
      <c r="J992" s="909"/>
      <c r="K992" s="984">
        <v>7000000</v>
      </c>
      <c r="L992" s="984">
        <v>7000000</v>
      </c>
      <c r="M992" s="903">
        <f>K992-I992</f>
        <v>0</v>
      </c>
    </row>
    <row r="993" spans="1:13" ht="12.75" customHeight="1">
      <c r="A993" s="1066"/>
      <c r="B993" s="1079"/>
      <c r="C993" s="914"/>
      <c r="D993" s="660"/>
      <c r="E993" s="879"/>
      <c r="F993" s="879"/>
      <c r="G993" s="60"/>
      <c r="H993" s="916"/>
      <c r="I993" s="906"/>
      <c r="J993" s="910"/>
      <c r="K993" s="920"/>
      <c r="L993" s="920"/>
      <c r="M993" s="903"/>
    </row>
    <row r="994" spans="1:13" ht="12.75" customHeight="1">
      <c r="A994" s="1302">
        <v>524</v>
      </c>
      <c r="B994" s="983"/>
      <c r="C994" s="986" t="s">
        <v>1055</v>
      </c>
      <c r="D994" s="987" t="s">
        <v>1050</v>
      </c>
      <c r="E994" s="983" t="s">
        <v>142</v>
      </c>
      <c r="F994" s="983"/>
      <c r="G994" s="60"/>
      <c r="H994" s="988">
        <v>475000</v>
      </c>
      <c r="I994" s="905">
        <f>H994</f>
        <v>475000</v>
      </c>
      <c r="J994" s="909"/>
      <c r="K994" s="984">
        <v>475000</v>
      </c>
      <c r="L994" s="984">
        <v>475000</v>
      </c>
      <c r="M994" s="903">
        <f>K994-I994</f>
        <v>0</v>
      </c>
    </row>
    <row r="995" spans="1:13" ht="12.75" customHeight="1">
      <c r="A995" s="1066"/>
      <c r="B995" s="879"/>
      <c r="C995" s="914"/>
      <c r="D995" s="660"/>
      <c r="E995" s="879"/>
      <c r="F995" s="879"/>
      <c r="G995" s="60"/>
      <c r="H995" s="916"/>
      <c r="I995" s="906"/>
      <c r="J995" s="910"/>
      <c r="K995" s="920"/>
      <c r="L995" s="920"/>
      <c r="M995" s="903"/>
    </row>
    <row r="996" spans="1:13" ht="12.75" customHeight="1">
      <c r="A996" s="1302">
        <v>525</v>
      </c>
      <c r="B996" s="983"/>
      <c r="C996" s="986" t="s">
        <v>1056</v>
      </c>
      <c r="D996" s="987" t="s">
        <v>1050</v>
      </c>
      <c r="E996" s="983" t="s">
        <v>26</v>
      </c>
      <c r="F996" s="983"/>
      <c r="G996" s="60"/>
      <c r="H996" s="988">
        <v>980000</v>
      </c>
      <c r="I996" s="905">
        <f>H996</f>
        <v>980000</v>
      </c>
      <c r="J996" s="909"/>
      <c r="K996" s="984">
        <v>980000</v>
      </c>
      <c r="L996" s="984">
        <v>980000</v>
      </c>
      <c r="M996" s="903">
        <f>K996-I996</f>
        <v>0</v>
      </c>
    </row>
    <row r="997" spans="1:13" ht="12.75" customHeight="1">
      <c r="A997" s="1066"/>
      <c r="B997" s="879"/>
      <c r="C997" s="914"/>
      <c r="D997" s="660"/>
      <c r="E997" s="879"/>
      <c r="F997" s="879"/>
      <c r="G997" s="60"/>
      <c r="H997" s="916"/>
      <c r="I997" s="906"/>
      <c r="J997" s="910"/>
      <c r="K997" s="920"/>
      <c r="L997" s="920"/>
      <c r="M997" s="903"/>
    </row>
    <row r="998" spans="1:13" ht="12.75" customHeight="1">
      <c r="A998" s="1302">
        <v>528</v>
      </c>
      <c r="B998" s="983"/>
      <c r="C998" s="986" t="s">
        <v>1057</v>
      </c>
      <c r="D998" s="987" t="s">
        <v>1061</v>
      </c>
      <c r="E998" s="983" t="s">
        <v>14</v>
      </c>
      <c r="F998" s="983"/>
      <c r="G998" s="60"/>
      <c r="H998" s="988">
        <v>5300000</v>
      </c>
      <c r="I998" s="905">
        <f>H998</f>
        <v>5300000</v>
      </c>
      <c r="J998" s="909"/>
      <c r="K998" s="984">
        <v>5300000</v>
      </c>
      <c r="L998" s="984">
        <f>K998</f>
        <v>5300000</v>
      </c>
      <c r="M998" s="903">
        <f>K998-I998</f>
        <v>0</v>
      </c>
    </row>
    <row r="999" spans="1:13" ht="13.5" customHeight="1" thickBot="1">
      <c r="A999" s="1066"/>
      <c r="B999" s="983"/>
      <c r="C999" s="986"/>
      <c r="D999" s="987"/>
      <c r="E999" s="983"/>
      <c r="F999" s="983"/>
      <c r="G999" s="59"/>
      <c r="H999" s="988"/>
      <c r="I999" s="982"/>
      <c r="J999" s="917"/>
      <c r="K999" s="984"/>
      <c r="L999" s="984"/>
      <c r="M999" s="903"/>
    </row>
    <row r="1000" spans="1:13" ht="12.75" customHeight="1">
      <c r="A1000" s="1302">
        <v>526</v>
      </c>
      <c r="B1000" s="1121" t="s">
        <v>1058</v>
      </c>
      <c r="C1000" s="1018" t="s">
        <v>1064</v>
      </c>
      <c r="D1000" s="1019" t="s">
        <v>1063</v>
      </c>
      <c r="E1000" s="1017" t="s">
        <v>8</v>
      </c>
      <c r="F1000" s="1017"/>
      <c r="G1000" s="67"/>
      <c r="H1000" s="999">
        <v>1156000</v>
      </c>
      <c r="I1000" s="973">
        <f>H1000</f>
        <v>1156000</v>
      </c>
      <c r="J1000" s="974"/>
      <c r="K1000" s="1001">
        <v>1156000</v>
      </c>
      <c r="L1000" s="1001">
        <f>K1000</f>
        <v>1156000</v>
      </c>
      <c r="M1000" s="967">
        <f>K1000-I1000</f>
        <v>0</v>
      </c>
    </row>
    <row r="1001" spans="1:13" ht="12.75" customHeight="1">
      <c r="A1001" s="1066"/>
      <c r="B1001" s="1122"/>
      <c r="C1001" s="914"/>
      <c r="D1001" s="660"/>
      <c r="E1001" s="879"/>
      <c r="F1001" s="879"/>
      <c r="G1001" s="60"/>
      <c r="H1001" s="916"/>
      <c r="I1001" s="906"/>
      <c r="J1001" s="910"/>
      <c r="K1001" s="920"/>
      <c r="L1001" s="920"/>
      <c r="M1001" s="946"/>
    </row>
    <row r="1002" spans="1:13" ht="12.75" customHeight="1">
      <c r="A1002" s="1302">
        <v>527</v>
      </c>
      <c r="B1002" s="1079"/>
      <c r="C1002" s="986" t="s">
        <v>1065</v>
      </c>
      <c r="D1002" s="987" t="s">
        <v>1063</v>
      </c>
      <c r="E1002" s="983" t="s">
        <v>308</v>
      </c>
      <c r="F1002" s="983"/>
      <c r="G1002" s="60"/>
      <c r="H1002" s="988">
        <v>2153</v>
      </c>
      <c r="I1002" s="905">
        <v>617911</v>
      </c>
      <c r="J1002" s="909"/>
      <c r="K1002" s="984"/>
      <c r="L1002" s="984"/>
      <c r="M1002" s="946">
        <v>0</v>
      </c>
    </row>
    <row r="1003" spans="1:13" ht="12.75" customHeight="1" thickBot="1">
      <c r="A1003" s="1067"/>
      <c r="B1003" s="1114"/>
      <c r="C1003" s="986"/>
      <c r="D1003" s="987"/>
      <c r="E1003" s="983"/>
      <c r="F1003" s="983"/>
      <c r="G1003" s="59"/>
      <c r="H1003" s="988"/>
      <c r="I1003" s="982"/>
      <c r="J1003" s="917"/>
      <c r="K1003" s="984"/>
      <c r="L1003" s="984"/>
      <c r="M1003" s="950"/>
    </row>
    <row r="1004" spans="1:13" ht="12.75" customHeight="1">
      <c r="A1004" s="1059">
        <v>529</v>
      </c>
      <c r="B1004" s="1017" t="s">
        <v>1041</v>
      </c>
      <c r="C1004" s="1018"/>
      <c r="D1004" s="1019"/>
      <c r="E1004" s="1017" t="s">
        <v>20</v>
      </c>
      <c r="F1004" s="1017"/>
      <c r="G1004" s="67"/>
      <c r="H1004" s="999">
        <v>10700000</v>
      </c>
      <c r="I1004" s="973">
        <f>H1004</f>
        <v>10700000</v>
      </c>
      <c r="J1004" s="974"/>
      <c r="K1004" s="1001">
        <v>10700000</v>
      </c>
      <c r="L1004" s="1001"/>
      <c r="M1004" s="967">
        <f>K1004-I1004</f>
        <v>0</v>
      </c>
    </row>
    <row r="1005" spans="1:13" ht="12.75" customHeight="1">
      <c r="A1005" s="1061"/>
      <c r="B1005" s="879"/>
      <c r="C1005" s="914"/>
      <c r="D1005" s="660"/>
      <c r="E1005" s="879"/>
      <c r="F1005" s="879"/>
      <c r="G1005" s="60"/>
      <c r="H1005" s="916"/>
      <c r="I1005" s="906"/>
      <c r="J1005" s="910"/>
      <c r="K1005" s="920"/>
      <c r="L1005" s="920"/>
      <c r="M1005" s="946"/>
    </row>
    <row r="1006" spans="1:13" ht="12.75" customHeight="1">
      <c r="A1006" s="1411">
        <v>530</v>
      </c>
      <c r="B1006" s="1079"/>
      <c r="C1006" s="986" t="s">
        <v>1057</v>
      </c>
      <c r="D1006" s="987" t="s">
        <v>1074</v>
      </c>
      <c r="E1006" s="983" t="s">
        <v>777</v>
      </c>
      <c r="F1006" s="983"/>
      <c r="G1006" s="60"/>
      <c r="H1006" s="988">
        <v>475000</v>
      </c>
      <c r="I1006" s="905">
        <f>H1006</f>
        <v>475000</v>
      </c>
      <c r="J1006" s="909"/>
      <c r="K1006" s="984">
        <v>475000</v>
      </c>
      <c r="L1006" s="984">
        <f>K1006</f>
        <v>475000</v>
      </c>
      <c r="M1006" s="946">
        <f>K1006-I1006</f>
        <v>0</v>
      </c>
    </row>
    <row r="1007" spans="1:13" ht="12.75" customHeight="1">
      <c r="A1007" s="1061"/>
      <c r="B1007" s="1079"/>
      <c r="C1007" s="914"/>
      <c r="D1007" s="660"/>
      <c r="E1007" s="879"/>
      <c r="F1007" s="879"/>
      <c r="G1007" s="60"/>
      <c r="H1007" s="916"/>
      <c r="I1007" s="906"/>
      <c r="J1007" s="910"/>
      <c r="K1007" s="920"/>
      <c r="L1007" s="920"/>
      <c r="M1007" s="946"/>
    </row>
    <row r="1008" spans="1:13" ht="12.75" customHeight="1">
      <c r="A1008" s="1411">
        <v>531</v>
      </c>
      <c r="B1008" s="983"/>
      <c r="C1008" s="986" t="s">
        <v>1072</v>
      </c>
      <c r="D1008" s="987" t="s">
        <v>1074</v>
      </c>
      <c r="E1008" s="983" t="s">
        <v>840</v>
      </c>
      <c r="F1008" s="983"/>
      <c r="G1008" s="60"/>
      <c r="H1008" s="988">
        <v>3800000</v>
      </c>
      <c r="I1008" s="905">
        <f>H1008</f>
        <v>3800000</v>
      </c>
      <c r="J1008" s="909"/>
      <c r="K1008" s="984">
        <v>3800000</v>
      </c>
      <c r="L1008" s="984">
        <f>K1008</f>
        <v>3800000</v>
      </c>
      <c r="M1008" s="946">
        <f>K1008-I1008</f>
        <v>0</v>
      </c>
    </row>
    <row r="1009" spans="1:13" ht="12.75" customHeight="1">
      <c r="A1009" s="1061"/>
      <c r="B1009" s="879"/>
      <c r="C1009" s="914"/>
      <c r="D1009" s="660"/>
      <c r="E1009" s="879"/>
      <c r="F1009" s="879"/>
      <c r="G1009" s="60"/>
      <c r="H1009" s="916"/>
      <c r="I1009" s="906"/>
      <c r="J1009" s="910"/>
      <c r="K1009" s="920"/>
      <c r="L1009" s="920"/>
      <c r="M1009" s="946"/>
    </row>
    <row r="1010" spans="1:13" ht="12.75" customHeight="1">
      <c r="A1010" s="1411">
        <v>532</v>
      </c>
      <c r="B1010" s="983"/>
      <c r="C1010" s="986" t="s">
        <v>1073</v>
      </c>
      <c r="D1010" s="987" t="s">
        <v>1074</v>
      </c>
      <c r="E1010" s="983" t="s">
        <v>1071</v>
      </c>
      <c r="F1010" s="983"/>
      <c r="G1010" s="60"/>
      <c r="H1010" s="988">
        <v>3300000</v>
      </c>
      <c r="I1010" s="905">
        <f>H1010</f>
        <v>3300000</v>
      </c>
      <c r="J1010" s="909"/>
      <c r="K1010" s="984">
        <v>3300000</v>
      </c>
      <c r="L1010" s="984">
        <v>3300000</v>
      </c>
      <c r="M1010" s="946">
        <f>K1010-I1010</f>
        <v>0</v>
      </c>
    </row>
    <row r="1011" spans="1:13" ht="12.75" customHeight="1" thickBot="1">
      <c r="A1011" s="1412"/>
      <c r="B1011" s="1197"/>
      <c r="C1011" s="1249"/>
      <c r="D1011" s="1196"/>
      <c r="E1011" s="1197"/>
      <c r="F1011" s="1197"/>
      <c r="G1011" s="61"/>
      <c r="H1011" s="1091"/>
      <c r="I1011" s="943"/>
      <c r="J1011" s="944"/>
      <c r="K1011" s="1041"/>
      <c r="L1011" s="1041"/>
      <c r="M1011" s="947"/>
    </row>
    <row r="1012" spans="1:13" ht="12.75" customHeight="1">
      <c r="A1012" s="1302">
        <v>534</v>
      </c>
      <c r="B1012" s="983" t="s">
        <v>1043</v>
      </c>
      <c r="C1012" s="986" t="s">
        <v>1082</v>
      </c>
      <c r="D1012" s="987" t="s">
        <v>1081</v>
      </c>
      <c r="E1012" s="983" t="s">
        <v>20</v>
      </c>
      <c r="F1012" s="983"/>
      <c r="G1012" s="60"/>
      <c r="H1012" s="988">
        <v>12000000</v>
      </c>
      <c r="I1012" s="916">
        <f>H1012</f>
        <v>12000000</v>
      </c>
      <c r="J1012" s="949"/>
      <c r="K1012" s="984">
        <v>12000000</v>
      </c>
      <c r="L1012" s="984">
        <f>K1012</f>
        <v>12000000</v>
      </c>
      <c r="M1012" s="901">
        <f>K1012-I1012</f>
        <v>0</v>
      </c>
    </row>
    <row r="1013" spans="1:13" ht="12.75" customHeight="1">
      <c r="A1013" s="1066"/>
      <c r="B1013" s="879"/>
      <c r="C1013" s="914"/>
      <c r="D1013" s="660"/>
      <c r="E1013" s="879"/>
      <c r="F1013" s="879"/>
      <c r="G1013" s="60"/>
      <c r="H1013" s="916"/>
      <c r="I1013" s="906"/>
      <c r="J1013" s="910"/>
      <c r="K1013" s="920"/>
      <c r="L1013" s="920"/>
      <c r="M1013" s="903"/>
    </row>
    <row r="1014" spans="1:13" ht="12.75" customHeight="1">
      <c r="A1014" s="1302">
        <v>535</v>
      </c>
      <c r="B1014" s="1079"/>
      <c r="C1014" s="986" t="s">
        <v>1083</v>
      </c>
      <c r="D1014" s="987" t="s">
        <v>1080</v>
      </c>
      <c r="E1014" s="983" t="s">
        <v>1078</v>
      </c>
      <c r="F1014" s="983"/>
      <c r="G1014" s="60"/>
      <c r="H1014" s="988">
        <v>2500000</v>
      </c>
      <c r="I1014" s="905">
        <f>H1014</f>
        <v>2500000</v>
      </c>
      <c r="J1014" s="909"/>
      <c r="K1014" s="984">
        <v>2500000</v>
      </c>
      <c r="L1014" s="984">
        <f>K1014</f>
        <v>2500000</v>
      </c>
      <c r="M1014" s="903">
        <f>K1014-I1014</f>
        <v>0</v>
      </c>
    </row>
    <row r="1015" spans="1:13" ht="12.75" customHeight="1">
      <c r="A1015" s="1066"/>
      <c r="B1015" s="1079"/>
      <c r="C1015" s="914"/>
      <c r="D1015" s="660"/>
      <c r="E1015" s="879"/>
      <c r="F1015" s="879"/>
      <c r="G1015" s="60"/>
      <c r="H1015" s="916"/>
      <c r="I1015" s="906"/>
      <c r="J1015" s="910"/>
      <c r="K1015" s="920"/>
      <c r="L1015" s="920"/>
      <c r="M1015" s="903"/>
    </row>
    <row r="1016" spans="1:13" ht="12.75" customHeight="1">
      <c r="A1016" s="1302">
        <v>536</v>
      </c>
      <c r="B1016" s="983"/>
      <c r="C1016" s="986" t="s">
        <v>1084</v>
      </c>
      <c r="D1016" s="987" t="s">
        <v>1080</v>
      </c>
      <c r="E1016" s="983" t="s">
        <v>1098</v>
      </c>
      <c r="F1016" s="983"/>
      <c r="G1016" s="60"/>
      <c r="H1016" s="988">
        <v>3395000</v>
      </c>
      <c r="I1016" s="905">
        <f>H1016</f>
        <v>3395000</v>
      </c>
      <c r="J1016" s="909"/>
      <c r="K1016" s="984">
        <v>3395000</v>
      </c>
      <c r="L1016" s="984">
        <f>K1016</f>
        <v>3395000</v>
      </c>
      <c r="M1016" s="903">
        <f>K1016-I1016</f>
        <v>0</v>
      </c>
    </row>
    <row r="1017" spans="1:13" ht="12.75" customHeight="1">
      <c r="A1017" s="1066"/>
      <c r="B1017" s="879"/>
      <c r="C1017" s="914"/>
      <c r="D1017" s="660"/>
      <c r="E1017" s="879"/>
      <c r="F1017" s="879"/>
      <c r="G1017" s="60"/>
      <c r="H1017" s="916"/>
      <c r="I1017" s="906"/>
      <c r="J1017" s="910"/>
      <c r="K1017" s="920"/>
      <c r="L1017" s="920"/>
      <c r="M1017" s="903"/>
    </row>
    <row r="1018" spans="1:13" ht="12.75" customHeight="1">
      <c r="A1018" s="58"/>
      <c r="B1018" s="63"/>
      <c r="C1018" s="65" t="s">
        <v>6</v>
      </c>
      <c r="D1018" s="66" t="s">
        <v>1080</v>
      </c>
      <c r="E1018" s="314" t="s">
        <v>1088</v>
      </c>
      <c r="F1018" s="63"/>
      <c r="G1018" s="63"/>
      <c r="H1018" s="54">
        <v>105000</v>
      </c>
      <c r="I1018" s="55">
        <v>105000</v>
      </c>
      <c r="J1018" s="56"/>
      <c r="K1018" s="62">
        <v>105000</v>
      </c>
      <c r="L1018" s="62">
        <f>K1018</f>
        <v>105000</v>
      </c>
      <c r="M1018" s="57"/>
    </row>
    <row r="1019" spans="1:13" ht="12.75" customHeight="1">
      <c r="A1019" s="1302">
        <v>538</v>
      </c>
      <c r="B1019" s="983" t="s">
        <v>1060</v>
      </c>
      <c r="C1019" s="986"/>
      <c r="D1019" s="987"/>
      <c r="E1019" s="983" t="s">
        <v>20</v>
      </c>
      <c r="F1019" s="983"/>
      <c r="G1019" s="60"/>
      <c r="H1019" s="988">
        <v>10700000</v>
      </c>
      <c r="I1019" s="916">
        <f>H1019</f>
        <v>10700000</v>
      </c>
      <c r="J1019" s="949"/>
      <c r="K1019" s="984">
        <v>10700000</v>
      </c>
      <c r="L1019" s="984">
        <v>10700000</v>
      </c>
      <c r="M1019" s="901">
        <f>K1019-I1019</f>
        <v>0</v>
      </c>
    </row>
    <row r="1020" spans="1:13" ht="12.75" customHeight="1">
      <c r="A1020" s="1066"/>
      <c r="B1020" s="879"/>
      <c r="C1020" s="914"/>
      <c r="D1020" s="660"/>
      <c r="E1020" s="879"/>
      <c r="F1020" s="879"/>
      <c r="G1020" s="60"/>
      <c r="H1020" s="916"/>
      <c r="I1020" s="906"/>
      <c r="J1020" s="910"/>
      <c r="K1020" s="920"/>
      <c r="L1020" s="920"/>
      <c r="M1020" s="903"/>
    </row>
    <row r="1021" spans="1:13" ht="12.75" customHeight="1">
      <c r="A1021" s="1302">
        <v>539</v>
      </c>
      <c r="B1021" s="1079"/>
      <c r="C1021" s="986" t="s">
        <v>6</v>
      </c>
      <c r="D1021" s="987" t="s">
        <v>1086</v>
      </c>
      <c r="E1021" s="983" t="s">
        <v>410</v>
      </c>
      <c r="F1021" s="983"/>
      <c r="G1021" s="70"/>
      <c r="H1021" s="988">
        <v>8700000</v>
      </c>
      <c r="I1021" s="905">
        <f>H1021</f>
        <v>8700000</v>
      </c>
      <c r="J1021" s="909"/>
      <c r="K1021" s="984">
        <f>500000+500000+1000000+500000+1000000+500000+500000+2000000+1300000+500000+400000</f>
        <v>8700000</v>
      </c>
      <c r="L1021" s="984"/>
      <c r="M1021" s="903">
        <f>K1021-I1021</f>
        <v>0</v>
      </c>
    </row>
    <row r="1022" spans="1:13" ht="12.75" customHeight="1" thickBot="1">
      <c r="A1022" s="1066"/>
      <c r="B1022" s="1079"/>
      <c r="C1022" s="914"/>
      <c r="D1022" s="660"/>
      <c r="E1022" s="879"/>
      <c r="F1022" s="879"/>
      <c r="G1022" s="70"/>
      <c r="H1022" s="916"/>
      <c r="I1022" s="906"/>
      <c r="J1022" s="910"/>
      <c r="K1022" s="920"/>
      <c r="L1022" s="920"/>
      <c r="M1022" s="903"/>
    </row>
    <row r="1023" spans="1:13" ht="12.75" customHeight="1">
      <c r="A1023" s="1302">
        <v>541</v>
      </c>
      <c r="B1023" s="1121" t="s">
        <v>1042</v>
      </c>
      <c r="C1023" s="1018"/>
      <c r="D1023" s="1019"/>
      <c r="E1023" s="1017" t="s">
        <v>20</v>
      </c>
      <c r="F1023" s="1017"/>
      <c r="G1023" s="67"/>
      <c r="H1023" s="999">
        <v>10700000</v>
      </c>
      <c r="I1023" s="973">
        <f>H1023</f>
        <v>10700000</v>
      </c>
      <c r="J1023" s="974"/>
      <c r="K1023" s="1001">
        <v>10700000</v>
      </c>
      <c r="L1023" s="1001">
        <v>10700000</v>
      </c>
      <c r="M1023" s="903">
        <f>K1023-I1023</f>
        <v>0</v>
      </c>
    </row>
    <row r="1024" spans="1:13" ht="12.75" customHeight="1">
      <c r="A1024" s="1066"/>
      <c r="B1024" s="1122"/>
      <c r="C1024" s="914"/>
      <c r="D1024" s="660"/>
      <c r="E1024" s="879"/>
      <c r="F1024" s="879"/>
      <c r="G1024" s="60"/>
      <c r="H1024" s="916"/>
      <c r="I1024" s="906"/>
      <c r="J1024" s="910"/>
      <c r="K1024" s="920"/>
      <c r="L1024" s="920"/>
      <c r="M1024" s="903"/>
    </row>
    <row r="1025" spans="1:13" ht="12.75" customHeight="1">
      <c r="A1025" s="1302">
        <v>542</v>
      </c>
      <c r="B1025" s="1079"/>
      <c r="C1025" s="986" t="s">
        <v>1085</v>
      </c>
      <c r="D1025" s="987" t="s">
        <v>1079</v>
      </c>
      <c r="E1025" s="983" t="s">
        <v>419</v>
      </c>
      <c r="F1025" s="983"/>
      <c r="G1025" s="60"/>
      <c r="H1025" s="988">
        <v>5600000</v>
      </c>
      <c r="I1025" s="905">
        <f>H1025</f>
        <v>5600000</v>
      </c>
      <c r="J1025" s="909"/>
      <c r="K1025" s="984">
        <v>5600000</v>
      </c>
      <c r="L1025" s="984">
        <v>5600000</v>
      </c>
      <c r="M1025" s="903">
        <f>K1025-I1025</f>
        <v>0</v>
      </c>
    </row>
    <row r="1026" spans="1:13" ht="12.75" customHeight="1" thickBot="1">
      <c r="A1026" s="1066"/>
      <c r="B1026" s="1080"/>
      <c r="C1026" s="1249"/>
      <c r="D1026" s="1196"/>
      <c r="E1026" s="1197"/>
      <c r="F1026" s="1197"/>
      <c r="G1026" s="61"/>
      <c r="H1026" s="1091"/>
      <c r="I1026" s="943"/>
      <c r="J1026" s="944"/>
      <c r="K1026" s="1041"/>
      <c r="L1026" s="1041"/>
      <c r="M1026" s="903"/>
    </row>
    <row r="1029" spans="1:13">
      <c r="C1029" s="5"/>
      <c r="F1029" s="5"/>
    </row>
    <row r="1030" spans="1:13">
      <c r="C1030" s="5"/>
      <c r="F1030" s="5"/>
    </row>
    <row r="1031" spans="1:13">
      <c r="C1031" s="5"/>
      <c r="F1031" s="5"/>
    </row>
    <row r="1032" spans="1:13">
      <c r="C1032" s="5"/>
      <c r="F1032" s="5"/>
    </row>
    <row r="1033" spans="1:13">
      <c r="C1033" s="5"/>
      <c r="F1033" s="5"/>
    </row>
  </sheetData>
  <mergeCells count="6063">
    <mergeCell ref="L986:L987"/>
    <mergeCell ref="A1023:A1024"/>
    <mergeCell ref="A1025:A1026"/>
    <mergeCell ref="M1025:M1026"/>
    <mergeCell ref="A986:A987"/>
    <mergeCell ref="M984:M985"/>
    <mergeCell ref="A984:A985"/>
    <mergeCell ref="B984:B985"/>
    <mergeCell ref="C984:C985"/>
    <mergeCell ref="D984:D985"/>
    <mergeCell ref="E984:E985"/>
    <mergeCell ref="F984:F985"/>
    <mergeCell ref="A1014:A1015"/>
    <mergeCell ref="A1016:A1017"/>
    <mergeCell ref="A1019:A1020"/>
    <mergeCell ref="A1021:A1022"/>
    <mergeCell ref="A1004:A1005"/>
    <mergeCell ref="A1006:A1007"/>
    <mergeCell ref="A998:A999"/>
    <mergeCell ref="A1008:A1009"/>
    <mergeCell ref="A1010:A1011"/>
    <mergeCell ref="A1012:A1013"/>
    <mergeCell ref="A1000:A1001"/>
    <mergeCell ref="A1002:A1003"/>
    <mergeCell ref="L1019:L1020"/>
    <mergeCell ref="M1019:M1020"/>
    <mergeCell ref="L1016:L1017"/>
    <mergeCell ref="M1016:M1017"/>
    <mergeCell ref="E1016:E1017"/>
    <mergeCell ref="F1016:F1017"/>
    <mergeCell ref="H1016:H1017"/>
    <mergeCell ref="H1014:H1015"/>
    <mergeCell ref="A988:A989"/>
    <mergeCell ref="A990:A991"/>
    <mergeCell ref="A992:A993"/>
    <mergeCell ref="A994:A995"/>
    <mergeCell ref="A996:A997"/>
    <mergeCell ref="I1025:I1026"/>
    <mergeCell ref="H1025:H1026"/>
    <mergeCell ref="J1025:J1026"/>
    <mergeCell ref="K1025:K1026"/>
    <mergeCell ref="I1019:I1020"/>
    <mergeCell ref="J1019:J1020"/>
    <mergeCell ref="K1019:K1020"/>
    <mergeCell ref="B1019:B1020"/>
    <mergeCell ref="C1019:C1020"/>
    <mergeCell ref="D1019:D1020"/>
    <mergeCell ref="E1019:E1020"/>
    <mergeCell ref="F1019:F1020"/>
    <mergeCell ref="H1019:H1020"/>
    <mergeCell ref="I1016:I1017"/>
    <mergeCell ref="J1016:J1017"/>
    <mergeCell ref="K1016:K1017"/>
    <mergeCell ref="B1016:B1017"/>
    <mergeCell ref="C1016:C1017"/>
    <mergeCell ref="D1016:D1017"/>
    <mergeCell ref="F1012:F1013"/>
    <mergeCell ref="H1008:H1009"/>
    <mergeCell ref="K1012:K1013"/>
    <mergeCell ref="I1008:I1009"/>
    <mergeCell ref="J1008:J1009"/>
    <mergeCell ref="K1008:K1009"/>
    <mergeCell ref="H1004:H1005"/>
    <mergeCell ref="I1004:I1005"/>
    <mergeCell ref="K986:K987"/>
    <mergeCell ref="L1025:L1026"/>
    <mergeCell ref="B1025:B1026"/>
    <mergeCell ref="C1025:C1026"/>
    <mergeCell ref="D1025:D1026"/>
    <mergeCell ref="E1025:E1026"/>
    <mergeCell ref="F1025:F1026"/>
    <mergeCell ref="M1023:M1024"/>
    <mergeCell ref="H1023:H1024"/>
    <mergeCell ref="I1023:I1024"/>
    <mergeCell ref="J1023:J1024"/>
    <mergeCell ref="K1023:K1024"/>
    <mergeCell ref="L1023:L1024"/>
    <mergeCell ref="H1021:H1022"/>
    <mergeCell ref="I1021:I1022"/>
    <mergeCell ref="J1021:J1022"/>
    <mergeCell ref="K1021:K1022"/>
    <mergeCell ref="L1021:L1022"/>
    <mergeCell ref="B1023:B1024"/>
    <mergeCell ref="C1023:C1024"/>
    <mergeCell ref="D1023:D1024"/>
    <mergeCell ref="E1023:E1024"/>
    <mergeCell ref="F1023:F1024"/>
    <mergeCell ref="M1021:M1022"/>
    <mergeCell ref="B1021:B1022"/>
    <mergeCell ref="C1021:C1022"/>
    <mergeCell ref="D1021:D1022"/>
    <mergeCell ref="E1021:E1022"/>
    <mergeCell ref="F1021:F1022"/>
    <mergeCell ref="M1014:M1015"/>
    <mergeCell ref="I1012:I1013"/>
    <mergeCell ref="J1012:J1013"/>
    <mergeCell ref="L1012:L1013"/>
    <mergeCell ref="M1012:M1013"/>
    <mergeCell ref="M1010:M1011"/>
    <mergeCell ref="H1012:H1013"/>
    <mergeCell ref="B1014:B1015"/>
    <mergeCell ref="C1014:C1015"/>
    <mergeCell ref="D1014:D1015"/>
    <mergeCell ref="E1014:E1015"/>
    <mergeCell ref="F1014:F1015"/>
    <mergeCell ref="B1012:B1013"/>
    <mergeCell ref="C1012:C1013"/>
    <mergeCell ref="D1012:D1013"/>
    <mergeCell ref="B1010:B1011"/>
    <mergeCell ref="C1010:C1011"/>
    <mergeCell ref="D1010:D1011"/>
    <mergeCell ref="E1010:E1011"/>
    <mergeCell ref="F1010:F1011"/>
    <mergeCell ref="I1010:I1011"/>
    <mergeCell ref="H1010:H1011"/>
    <mergeCell ref="I1014:I1015"/>
    <mergeCell ref="J1014:J1015"/>
    <mergeCell ref="K1014:K1015"/>
    <mergeCell ref="L1014:L1015"/>
    <mergeCell ref="E1012:E1013"/>
    <mergeCell ref="L1008:L1009"/>
    <mergeCell ref="J1010:J1011"/>
    <mergeCell ref="K1010:K1011"/>
    <mergeCell ref="L1010:L1011"/>
    <mergeCell ref="M1008:M1009"/>
    <mergeCell ref="I1006:I1007"/>
    <mergeCell ref="J1006:J1007"/>
    <mergeCell ref="K1006:K1007"/>
    <mergeCell ref="L1006:L1007"/>
    <mergeCell ref="M1006:M1007"/>
    <mergeCell ref="B1008:B1009"/>
    <mergeCell ref="C1008:C1009"/>
    <mergeCell ref="D1008:D1009"/>
    <mergeCell ref="E1008:E1009"/>
    <mergeCell ref="F1008:F1009"/>
    <mergeCell ref="B1006:B1007"/>
    <mergeCell ref="C1006:C1007"/>
    <mergeCell ref="D1006:D1007"/>
    <mergeCell ref="E1006:E1007"/>
    <mergeCell ref="F1006:F1007"/>
    <mergeCell ref="H1006:H1007"/>
    <mergeCell ref="J1004:J1005"/>
    <mergeCell ref="K1004:K1005"/>
    <mergeCell ref="L1004:L1005"/>
    <mergeCell ref="M1004:M1005"/>
    <mergeCell ref="B1004:B1005"/>
    <mergeCell ref="C1004:C1005"/>
    <mergeCell ref="D1004:D1005"/>
    <mergeCell ref="E1004:E1005"/>
    <mergeCell ref="F1004:F1005"/>
    <mergeCell ref="H1002:H1003"/>
    <mergeCell ref="I1002:I1003"/>
    <mergeCell ref="J1002:J1003"/>
    <mergeCell ref="K1002:K1003"/>
    <mergeCell ref="L1002:L1003"/>
    <mergeCell ref="M1002:M1003"/>
    <mergeCell ref="I1000:I1001"/>
    <mergeCell ref="J1000:J1001"/>
    <mergeCell ref="K1000:K1001"/>
    <mergeCell ref="L1000:L1001"/>
    <mergeCell ref="M1000:M1001"/>
    <mergeCell ref="B1002:B1003"/>
    <mergeCell ref="C1002:C1003"/>
    <mergeCell ref="D1002:D1003"/>
    <mergeCell ref="E1002:E1003"/>
    <mergeCell ref="F1002:F1003"/>
    <mergeCell ref="B1000:B1001"/>
    <mergeCell ref="C1000:C1001"/>
    <mergeCell ref="D1000:D1001"/>
    <mergeCell ref="E1000:E1001"/>
    <mergeCell ref="F1000:F1001"/>
    <mergeCell ref="H1000:H1001"/>
    <mergeCell ref="M996:M997"/>
    <mergeCell ref="I998:I999"/>
    <mergeCell ref="J998:J999"/>
    <mergeCell ref="K998:K999"/>
    <mergeCell ref="L998:L999"/>
    <mergeCell ref="B998:B999"/>
    <mergeCell ref="C998:C999"/>
    <mergeCell ref="D998:D999"/>
    <mergeCell ref="E998:E999"/>
    <mergeCell ref="F998:F999"/>
    <mergeCell ref="H998:H999"/>
    <mergeCell ref="H996:H997"/>
    <mergeCell ref="I996:I997"/>
    <mergeCell ref="J996:J997"/>
    <mergeCell ref="K996:K997"/>
    <mergeCell ref="L996:L997"/>
    <mergeCell ref="M994:M995"/>
    <mergeCell ref="B996:B997"/>
    <mergeCell ref="C996:C997"/>
    <mergeCell ref="D996:D997"/>
    <mergeCell ref="E996:E997"/>
    <mergeCell ref="F996:F997"/>
    <mergeCell ref="B994:B995"/>
    <mergeCell ref="C994:C995"/>
    <mergeCell ref="D994:D995"/>
    <mergeCell ref="E994:E995"/>
    <mergeCell ref="F994:F995"/>
    <mergeCell ref="H994:H995"/>
    <mergeCell ref="H992:H993"/>
    <mergeCell ref="I992:I993"/>
    <mergeCell ref="J992:J993"/>
    <mergeCell ref="K992:K993"/>
    <mergeCell ref="L992:L993"/>
    <mergeCell ref="M992:M993"/>
    <mergeCell ref="I994:I995"/>
    <mergeCell ref="J994:J995"/>
    <mergeCell ref="K994:K995"/>
    <mergeCell ref="L994:L995"/>
    <mergeCell ref="F980:F981"/>
    <mergeCell ref="B978:B979"/>
    <mergeCell ref="C978:C979"/>
    <mergeCell ref="M990:M991"/>
    <mergeCell ref="B992:B993"/>
    <mergeCell ref="C992:C993"/>
    <mergeCell ref="D992:D993"/>
    <mergeCell ref="E992:E993"/>
    <mergeCell ref="F992:F993"/>
    <mergeCell ref="B990:B991"/>
    <mergeCell ref="C990:C991"/>
    <mergeCell ref="D990:D991"/>
    <mergeCell ref="E990:E991"/>
    <mergeCell ref="F990:F991"/>
    <mergeCell ref="H990:H991"/>
    <mergeCell ref="H988:H989"/>
    <mergeCell ref="I988:I989"/>
    <mergeCell ref="J988:J989"/>
    <mergeCell ref="K988:K989"/>
    <mergeCell ref="L988:L989"/>
    <mergeCell ref="M988:M989"/>
    <mergeCell ref="H984:H985"/>
    <mergeCell ref="I984:I985"/>
    <mergeCell ref="J984:J985"/>
    <mergeCell ref="K984:K985"/>
    <mergeCell ref="L984:L985"/>
    <mergeCell ref="I990:I991"/>
    <mergeCell ref="J990:J991"/>
    <mergeCell ref="K990:K991"/>
    <mergeCell ref="L990:L991"/>
    <mergeCell ref="I986:I987"/>
    <mergeCell ref="J986:J987"/>
    <mergeCell ref="A698:A699"/>
    <mergeCell ref="A700:A701"/>
    <mergeCell ref="A696:A697"/>
    <mergeCell ref="M986:M987"/>
    <mergeCell ref="B988:B989"/>
    <mergeCell ref="C988:C989"/>
    <mergeCell ref="D988:D989"/>
    <mergeCell ref="E988:E989"/>
    <mergeCell ref="F988:F989"/>
    <mergeCell ref="B986:B987"/>
    <mergeCell ref="C986:C987"/>
    <mergeCell ref="D986:D987"/>
    <mergeCell ref="E986:E987"/>
    <mergeCell ref="F986:F987"/>
    <mergeCell ref="H986:H987"/>
    <mergeCell ref="A982:A983"/>
    <mergeCell ref="A968:A969"/>
    <mergeCell ref="A970:A971"/>
    <mergeCell ref="A972:A973"/>
    <mergeCell ref="A929:A930"/>
    <mergeCell ref="A931:A932"/>
    <mergeCell ref="A933:A934"/>
    <mergeCell ref="B3:M3"/>
    <mergeCell ref="B219:M219"/>
    <mergeCell ref="B493:M493"/>
    <mergeCell ref="B759:M759"/>
    <mergeCell ref="M766:M767"/>
    <mergeCell ref="B766:B767"/>
    <mergeCell ref="C766:C767"/>
    <mergeCell ref="D766:D767"/>
    <mergeCell ref="E766:E767"/>
    <mergeCell ref="F766:F767"/>
    <mergeCell ref="J726:J727"/>
    <mergeCell ref="J696:J697"/>
    <mergeCell ref="B758:M758"/>
    <mergeCell ref="B661:M661"/>
    <mergeCell ref="H664:H665"/>
    <mergeCell ref="I664:I665"/>
    <mergeCell ref="J664:J665"/>
    <mergeCell ref="H694:H695"/>
    <mergeCell ref="L670:L671"/>
    <mergeCell ref="M670:M671"/>
    <mergeCell ref="M674:M675"/>
    <mergeCell ref="I762:I763"/>
    <mergeCell ref="J762:J763"/>
    <mergeCell ref="K762:K763"/>
    <mergeCell ref="L762:L763"/>
    <mergeCell ref="M762:M763"/>
    <mergeCell ref="B762:B763"/>
    <mergeCell ref="C762:C763"/>
    <mergeCell ref="D762:D763"/>
    <mergeCell ref="E762:E763"/>
    <mergeCell ref="F762:F763"/>
    <mergeCell ref="H762:H763"/>
    <mergeCell ref="A980:A981"/>
    <mergeCell ref="A978:A979"/>
    <mergeCell ref="A946:A947"/>
    <mergeCell ref="A958:A959"/>
    <mergeCell ref="A962:A963"/>
    <mergeCell ref="A950:A951"/>
    <mergeCell ref="A956:A957"/>
    <mergeCell ref="A940:A941"/>
    <mergeCell ref="A726:A727"/>
    <mergeCell ref="B726:B727"/>
    <mergeCell ref="C726:C727"/>
    <mergeCell ref="D726:D727"/>
    <mergeCell ref="E726:E727"/>
    <mergeCell ref="F726:F727"/>
    <mergeCell ref="B696:B697"/>
    <mergeCell ref="C696:C697"/>
    <mergeCell ref="D696:D697"/>
    <mergeCell ref="E696:E697"/>
    <mergeCell ref="F696:F697"/>
    <mergeCell ref="A704:A705"/>
    <mergeCell ref="A706:A707"/>
    <mergeCell ref="A895:A896"/>
    <mergeCell ref="A897:A898"/>
    <mergeCell ref="A903:A904"/>
    <mergeCell ref="A976:A977"/>
    <mergeCell ref="A974:A975"/>
    <mergeCell ref="A887:A888"/>
    <mergeCell ref="A893:A894"/>
    <mergeCell ref="A885:A886"/>
    <mergeCell ref="A960:A961"/>
    <mergeCell ref="A952:A953"/>
    <mergeCell ref="A966:A967"/>
    <mergeCell ref="A708:A709"/>
    <mergeCell ref="A690:A691"/>
    <mergeCell ref="A692:A693"/>
    <mergeCell ref="A694:A695"/>
    <mergeCell ref="A680:A681"/>
    <mergeCell ref="A682:A683"/>
    <mergeCell ref="A684:A685"/>
    <mergeCell ref="A686:A687"/>
    <mergeCell ref="A688:A689"/>
    <mergeCell ref="A702:A703"/>
    <mergeCell ref="I708:I709"/>
    <mergeCell ref="J708:J709"/>
    <mergeCell ref="K708:K709"/>
    <mergeCell ref="L708:L709"/>
    <mergeCell ref="M708:M709"/>
    <mergeCell ref="B708:B709"/>
    <mergeCell ref="C708:C709"/>
    <mergeCell ref="D708:D709"/>
    <mergeCell ref="E708:E709"/>
    <mergeCell ref="F708:F709"/>
    <mergeCell ref="H708:H709"/>
    <mergeCell ref="H706:H707"/>
    <mergeCell ref="I706:I707"/>
    <mergeCell ref="J706:J707"/>
    <mergeCell ref="K706:K707"/>
    <mergeCell ref="L706:L707"/>
    <mergeCell ref="M706:M707"/>
    <mergeCell ref="I704:I705"/>
    <mergeCell ref="J704:J705"/>
    <mergeCell ref="K704:K705"/>
    <mergeCell ref="L704:L705"/>
    <mergeCell ref="M704:M705"/>
    <mergeCell ref="A954:A955"/>
    <mergeCell ref="A935:A936"/>
    <mergeCell ref="A905:A906"/>
    <mergeCell ref="A907:A908"/>
    <mergeCell ref="A909:A910"/>
    <mergeCell ref="A889:A890"/>
    <mergeCell ref="A891:A892"/>
    <mergeCell ref="A883:A884"/>
    <mergeCell ref="A964:A965"/>
    <mergeCell ref="H766:H767"/>
    <mergeCell ref="H696:H697"/>
    <mergeCell ref="A875:A876"/>
    <mergeCell ref="A877:A878"/>
    <mergeCell ref="A871:A872"/>
    <mergeCell ref="A873:A874"/>
    <mergeCell ref="A879:A880"/>
    <mergeCell ref="A881:A882"/>
    <mergeCell ref="A942:A943"/>
    <mergeCell ref="A944:A945"/>
    <mergeCell ref="A948:A949"/>
    <mergeCell ref="A938:A939"/>
    <mergeCell ref="A913:A914"/>
    <mergeCell ref="A915:A916"/>
    <mergeCell ref="A911:A912"/>
    <mergeCell ref="A917:A918"/>
    <mergeCell ref="A919:A920"/>
    <mergeCell ref="A921:A922"/>
    <mergeCell ref="A923:A924"/>
    <mergeCell ref="A927:A928"/>
    <mergeCell ref="A925:A926"/>
    <mergeCell ref="A899:A900"/>
    <mergeCell ref="A901:A902"/>
    <mergeCell ref="A863:A864"/>
    <mergeCell ref="A865:A866"/>
    <mergeCell ref="A858:A859"/>
    <mergeCell ref="A861:A862"/>
    <mergeCell ref="A869:A870"/>
    <mergeCell ref="A867:A868"/>
    <mergeCell ref="A850:A851"/>
    <mergeCell ref="A852:A853"/>
    <mergeCell ref="A846:A847"/>
    <mergeCell ref="A848:A849"/>
    <mergeCell ref="A854:A855"/>
    <mergeCell ref="A856:A857"/>
    <mergeCell ref="A830:A831"/>
    <mergeCell ref="A832:A833"/>
    <mergeCell ref="A838:A839"/>
    <mergeCell ref="A840:A841"/>
    <mergeCell ref="A842:A843"/>
    <mergeCell ref="A844:A845"/>
    <mergeCell ref="A834:A835"/>
    <mergeCell ref="A836:A837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796:A797"/>
    <mergeCell ref="A798:A799"/>
    <mergeCell ref="A800:A801"/>
    <mergeCell ref="A802:A803"/>
    <mergeCell ref="A806:A807"/>
    <mergeCell ref="A812:A813"/>
    <mergeCell ref="A804:A805"/>
    <mergeCell ref="A810:A811"/>
    <mergeCell ref="A784:A785"/>
    <mergeCell ref="A786:A787"/>
    <mergeCell ref="A788:A789"/>
    <mergeCell ref="A790:A791"/>
    <mergeCell ref="A792:A793"/>
    <mergeCell ref="A794:A795"/>
    <mergeCell ref="A756:A757"/>
    <mergeCell ref="A772:A773"/>
    <mergeCell ref="A776:A777"/>
    <mergeCell ref="A778:A779"/>
    <mergeCell ref="A780:A781"/>
    <mergeCell ref="A782:A783"/>
    <mergeCell ref="A774:A775"/>
    <mergeCell ref="A766:A767"/>
    <mergeCell ref="H738:H739"/>
    <mergeCell ref="A760:A761"/>
    <mergeCell ref="A762:A763"/>
    <mergeCell ref="A764:A765"/>
    <mergeCell ref="A768:A769"/>
    <mergeCell ref="A770:A771"/>
    <mergeCell ref="A748:A749"/>
    <mergeCell ref="A750:A751"/>
    <mergeCell ref="A752:A753"/>
    <mergeCell ref="A754:A755"/>
    <mergeCell ref="A740:A741"/>
    <mergeCell ref="A742:A743"/>
    <mergeCell ref="A744:A745"/>
    <mergeCell ref="A746:A747"/>
    <mergeCell ref="H772:H773"/>
    <mergeCell ref="H740:H741"/>
    <mergeCell ref="B740:B741"/>
    <mergeCell ref="C740:C741"/>
    <mergeCell ref="D740:D741"/>
    <mergeCell ref="E740:E741"/>
    <mergeCell ref="C776:C777"/>
    <mergeCell ref="D776:D777"/>
    <mergeCell ref="E776:E777"/>
    <mergeCell ref="F776:F777"/>
    <mergeCell ref="A732:A733"/>
    <mergeCell ref="A734:A735"/>
    <mergeCell ref="A736:A737"/>
    <mergeCell ref="A738:A739"/>
    <mergeCell ref="D736:D737"/>
    <mergeCell ref="E736:E737"/>
    <mergeCell ref="A722:A723"/>
    <mergeCell ref="A724:A725"/>
    <mergeCell ref="A728:A729"/>
    <mergeCell ref="A730:A731"/>
    <mergeCell ref="B734:B735"/>
    <mergeCell ref="C734:C735"/>
    <mergeCell ref="D734:D735"/>
    <mergeCell ref="E734:E735"/>
    <mergeCell ref="A710:A711"/>
    <mergeCell ref="A712:A713"/>
    <mergeCell ref="A714:A715"/>
    <mergeCell ref="A716:A717"/>
    <mergeCell ref="A718:A719"/>
    <mergeCell ref="A720:A721"/>
    <mergeCell ref="B732:B733"/>
    <mergeCell ref="C732:C733"/>
    <mergeCell ref="D732:D733"/>
    <mergeCell ref="E732:E733"/>
    <mergeCell ref="B730:B731"/>
    <mergeCell ref="C730:C731"/>
    <mergeCell ref="D730:D731"/>
    <mergeCell ref="E730:E731"/>
    <mergeCell ref="B722:B723"/>
    <mergeCell ref="B728:B729"/>
    <mergeCell ref="H982:H983"/>
    <mergeCell ref="I982:I983"/>
    <mergeCell ref="J982:J983"/>
    <mergeCell ref="K982:K983"/>
    <mergeCell ref="L982:L983"/>
    <mergeCell ref="M982:M983"/>
    <mergeCell ref="B982:B983"/>
    <mergeCell ref="C982:C983"/>
    <mergeCell ref="D982:D983"/>
    <mergeCell ref="E982:E983"/>
    <mergeCell ref="F982:F983"/>
    <mergeCell ref="H980:H981"/>
    <mergeCell ref="B980:B981"/>
    <mergeCell ref="C980:C981"/>
    <mergeCell ref="D980:D981"/>
    <mergeCell ref="E980:E981"/>
    <mergeCell ref="I980:I981"/>
    <mergeCell ref="J980:J981"/>
    <mergeCell ref="K980:K981"/>
    <mergeCell ref="L980:L981"/>
    <mergeCell ref="M980:M981"/>
    <mergeCell ref="I978:I979"/>
    <mergeCell ref="J978:J979"/>
    <mergeCell ref="K978:K979"/>
    <mergeCell ref="L978:L979"/>
    <mergeCell ref="M978:M979"/>
    <mergeCell ref="D978:D979"/>
    <mergeCell ref="E978:E979"/>
    <mergeCell ref="F978:F979"/>
    <mergeCell ref="H978:H979"/>
    <mergeCell ref="H976:H977"/>
    <mergeCell ref="I976:I977"/>
    <mergeCell ref="J976:J977"/>
    <mergeCell ref="K976:K977"/>
    <mergeCell ref="L976:L977"/>
    <mergeCell ref="M976:M977"/>
    <mergeCell ref="I974:I975"/>
    <mergeCell ref="J974:J975"/>
    <mergeCell ref="K974:K975"/>
    <mergeCell ref="L974:L975"/>
    <mergeCell ref="M974:M975"/>
    <mergeCell ref="B976:B977"/>
    <mergeCell ref="C976:C977"/>
    <mergeCell ref="D976:D977"/>
    <mergeCell ref="E976:E977"/>
    <mergeCell ref="F976:F977"/>
    <mergeCell ref="B974:B975"/>
    <mergeCell ref="C974:C975"/>
    <mergeCell ref="D974:D975"/>
    <mergeCell ref="E974:E975"/>
    <mergeCell ref="F974:F975"/>
    <mergeCell ref="H974:H975"/>
    <mergeCell ref="H972:H973"/>
    <mergeCell ref="I972:I973"/>
    <mergeCell ref="J972:J973"/>
    <mergeCell ref="K972:K973"/>
    <mergeCell ref="L972:L973"/>
    <mergeCell ref="M972:M973"/>
    <mergeCell ref="I970:I971"/>
    <mergeCell ref="J970:J971"/>
    <mergeCell ref="K970:K971"/>
    <mergeCell ref="L970:L971"/>
    <mergeCell ref="M970:M971"/>
    <mergeCell ref="B972:B973"/>
    <mergeCell ref="C972:C973"/>
    <mergeCell ref="D972:D973"/>
    <mergeCell ref="E972:E973"/>
    <mergeCell ref="F972:F973"/>
    <mergeCell ref="B970:B971"/>
    <mergeCell ref="C970:C971"/>
    <mergeCell ref="D970:D971"/>
    <mergeCell ref="E970:E971"/>
    <mergeCell ref="F970:F971"/>
    <mergeCell ref="H970:H971"/>
    <mergeCell ref="H968:H969"/>
    <mergeCell ref="I968:I969"/>
    <mergeCell ref="J968:J969"/>
    <mergeCell ref="K968:K969"/>
    <mergeCell ref="L968:L969"/>
    <mergeCell ref="M968:M969"/>
    <mergeCell ref="I966:I967"/>
    <mergeCell ref="J966:J967"/>
    <mergeCell ref="K966:K967"/>
    <mergeCell ref="L966:L967"/>
    <mergeCell ref="M966:M967"/>
    <mergeCell ref="B968:B969"/>
    <mergeCell ref="C968:C969"/>
    <mergeCell ref="D968:D969"/>
    <mergeCell ref="E968:E969"/>
    <mergeCell ref="F968:F969"/>
    <mergeCell ref="B966:B967"/>
    <mergeCell ref="C966:C967"/>
    <mergeCell ref="D966:D967"/>
    <mergeCell ref="E966:E967"/>
    <mergeCell ref="F966:F967"/>
    <mergeCell ref="H966:H967"/>
    <mergeCell ref="H964:H965"/>
    <mergeCell ref="I964:I965"/>
    <mergeCell ref="J964:J965"/>
    <mergeCell ref="K964:K965"/>
    <mergeCell ref="L964:L965"/>
    <mergeCell ref="M964:M965"/>
    <mergeCell ref="I962:I963"/>
    <mergeCell ref="J962:J963"/>
    <mergeCell ref="K962:K963"/>
    <mergeCell ref="L962:L963"/>
    <mergeCell ref="M962:M963"/>
    <mergeCell ref="B964:B965"/>
    <mergeCell ref="C964:C965"/>
    <mergeCell ref="D964:D965"/>
    <mergeCell ref="E964:E965"/>
    <mergeCell ref="F964:F965"/>
    <mergeCell ref="B962:B963"/>
    <mergeCell ref="C962:C963"/>
    <mergeCell ref="D962:D963"/>
    <mergeCell ref="E962:E963"/>
    <mergeCell ref="F962:F963"/>
    <mergeCell ref="H962:H963"/>
    <mergeCell ref="H960:H961"/>
    <mergeCell ref="I960:I961"/>
    <mergeCell ref="J960:J961"/>
    <mergeCell ref="K960:K961"/>
    <mergeCell ref="L960:L961"/>
    <mergeCell ref="M960:M961"/>
    <mergeCell ref="I958:I959"/>
    <mergeCell ref="J958:J959"/>
    <mergeCell ref="K958:K959"/>
    <mergeCell ref="L958:L959"/>
    <mergeCell ref="M958:M959"/>
    <mergeCell ref="B960:B961"/>
    <mergeCell ref="C960:C961"/>
    <mergeCell ref="D960:D961"/>
    <mergeCell ref="E960:E961"/>
    <mergeCell ref="F960:F961"/>
    <mergeCell ref="B958:B959"/>
    <mergeCell ref="C958:C959"/>
    <mergeCell ref="D958:D959"/>
    <mergeCell ref="E958:E959"/>
    <mergeCell ref="F958:F959"/>
    <mergeCell ref="H958:H959"/>
    <mergeCell ref="H956:H957"/>
    <mergeCell ref="I956:I957"/>
    <mergeCell ref="J956:J957"/>
    <mergeCell ref="K956:K957"/>
    <mergeCell ref="L956:L957"/>
    <mergeCell ref="M956:M957"/>
    <mergeCell ref="I954:I955"/>
    <mergeCell ref="J954:J955"/>
    <mergeCell ref="K954:K955"/>
    <mergeCell ref="L954:L955"/>
    <mergeCell ref="M954:M955"/>
    <mergeCell ref="B956:B957"/>
    <mergeCell ref="C956:C957"/>
    <mergeCell ref="D956:D957"/>
    <mergeCell ref="E956:E957"/>
    <mergeCell ref="F956:F957"/>
    <mergeCell ref="B954:B955"/>
    <mergeCell ref="C954:C955"/>
    <mergeCell ref="D954:D955"/>
    <mergeCell ref="E954:E955"/>
    <mergeCell ref="F954:F955"/>
    <mergeCell ref="H954:H955"/>
    <mergeCell ref="H952:H953"/>
    <mergeCell ref="I952:I953"/>
    <mergeCell ref="J952:J953"/>
    <mergeCell ref="K952:K953"/>
    <mergeCell ref="L952:L953"/>
    <mergeCell ref="M952:M953"/>
    <mergeCell ref="I950:I951"/>
    <mergeCell ref="J950:J951"/>
    <mergeCell ref="K950:K951"/>
    <mergeCell ref="L950:L951"/>
    <mergeCell ref="M950:M951"/>
    <mergeCell ref="B952:B953"/>
    <mergeCell ref="C952:C953"/>
    <mergeCell ref="D952:D953"/>
    <mergeCell ref="E952:E953"/>
    <mergeCell ref="F952:F953"/>
    <mergeCell ref="B950:B951"/>
    <mergeCell ref="C950:C951"/>
    <mergeCell ref="D950:D951"/>
    <mergeCell ref="E950:E951"/>
    <mergeCell ref="F950:F951"/>
    <mergeCell ref="H950:H951"/>
    <mergeCell ref="H948:H949"/>
    <mergeCell ref="I948:I949"/>
    <mergeCell ref="J948:J949"/>
    <mergeCell ref="K948:K949"/>
    <mergeCell ref="L948:L949"/>
    <mergeCell ref="M948:M949"/>
    <mergeCell ref="I944:I945"/>
    <mergeCell ref="J944:J945"/>
    <mergeCell ref="K944:K945"/>
    <mergeCell ref="L944:L945"/>
    <mergeCell ref="M944:M945"/>
    <mergeCell ref="I946:I947"/>
    <mergeCell ref="J946:J947"/>
    <mergeCell ref="K946:K947"/>
    <mergeCell ref="L946:L947"/>
    <mergeCell ref="D948:D949"/>
    <mergeCell ref="E948:E949"/>
    <mergeCell ref="F948:F949"/>
    <mergeCell ref="B944:B945"/>
    <mergeCell ref="C944:C945"/>
    <mergeCell ref="D944:D945"/>
    <mergeCell ref="E944:E945"/>
    <mergeCell ref="F944:F945"/>
    <mergeCell ref="H944:H945"/>
    <mergeCell ref="M942:M943"/>
    <mergeCell ref="B942:B943"/>
    <mergeCell ref="C942:C943"/>
    <mergeCell ref="D942:D943"/>
    <mergeCell ref="E942:E943"/>
    <mergeCell ref="F942:F943"/>
    <mergeCell ref="H942:H943"/>
    <mergeCell ref="H940:H941"/>
    <mergeCell ref="I940:I941"/>
    <mergeCell ref="J940:J941"/>
    <mergeCell ref="K940:K941"/>
    <mergeCell ref="L940:L941"/>
    <mergeCell ref="I942:I943"/>
    <mergeCell ref="J942:J943"/>
    <mergeCell ref="K942:K943"/>
    <mergeCell ref="L942:L943"/>
    <mergeCell ref="M940:M941"/>
    <mergeCell ref="I938:I939"/>
    <mergeCell ref="J938:J939"/>
    <mergeCell ref="K938:K939"/>
    <mergeCell ref="L938:L939"/>
    <mergeCell ref="M938:M939"/>
    <mergeCell ref="B940:B941"/>
    <mergeCell ref="C940:C941"/>
    <mergeCell ref="D940:D941"/>
    <mergeCell ref="E940:E941"/>
    <mergeCell ref="F940:F941"/>
    <mergeCell ref="B938:B939"/>
    <mergeCell ref="C938:C939"/>
    <mergeCell ref="D938:D939"/>
    <mergeCell ref="E938:E939"/>
    <mergeCell ref="F938:F939"/>
    <mergeCell ref="H938:H939"/>
    <mergeCell ref="H935:H936"/>
    <mergeCell ref="I935:I936"/>
    <mergeCell ref="J935:J936"/>
    <mergeCell ref="K935:K936"/>
    <mergeCell ref="L935:L936"/>
    <mergeCell ref="B937:M937"/>
    <mergeCell ref="M935:M936"/>
    <mergeCell ref="I933:I934"/>
    <mergeCell ref="J933:J934"/>
    <mergeCell ref="K933:K934"/>
    <mergeCell ref="L933:L934"/>
    <mergeCell ref="M933:M934"/>
    <mergeCell ref="B935:B936"/>
    <mergeCell ref="C935:C936"/>
    <mergeCell ref="D935:D936"/>
    <mergeCell ref="E935:E936"/>
    <mergeCell ref="F935:F936"/>
    <mergeCell ref="J931:J932"/>
    <mergeCell ref="K931:K932"/>
    <mergeCell ref="L931:L932"/>
    <mergeCell ref="M931:M932"/>
    <mergeCell ref="B933:B934"/>
    <mergeCell ref="C933:C934"/>
    <mergeCell ref="D933:D934"/>
    <mergeCell ref="E933:E934"/>
    <mergeCell ref="F933:F934"/>
    <mergeCell ref="H933:H934"/>
    <mergeCell ref="K929:K930"/>
    <mergeCell ref="L929:L930"/>
    <mergeCell ref="M929:M930"/>
    <mergeCell ref="B931:B932"/>
    <mergeCell ref="C931:C932"/>
    <mergeCell ref="D931:D932"/>
    <mergeCell ref="E931:E932"/>
    <mergeCell ref="F931:F932"/>
    <mergeCell ref="H931:H932"/>
    <mergeCell ref="I931:I932"/>
    <mergeCell ref="D929:D930"/>
    <mergeCell ref="E929:E930"/>
    <mergeCell ref="F929:F930"/>
    <mergeCell ref="H929:H930"/>
    <mergeCell ref="I929:I930"/>
    <mergeCell ref="J929:J930"/>
    <mergeCell ref="H925:H926"/>
    <mergeCell ref="I925:I926"/>
    <mergeCell ref="J925:J926"/>
    <mergeCell ref="K925:K926"/>
    <mergeCell ref="L925:L926"/>
    <mergeCell ref="M925:M926"/>
    <mergeCell ref="B929:B930"/>
    <mergeCell ref="C929:C930"/>
    <mergeCell ref="I927:I928"/>
    <mergeCell ref="J927:J928"/>
    <mergeCell ref="K927:K928"/>
    <mergeCell ref="H927:H928"/>
    <mergeCell ref="L927:L928"/>
    <mergeCell ref="M927:M928"/>
    <mergeCell ref="B927:B928"/>
    <mergeCell ref="C927:C928"/>
    <mergeCell ref="I923:I924"/>
    <mergeCell ref="J923:J924"/>
    <mergeCell ref="K923:K924"/>
    <mergeCell ref="L923:L924"/>
    <mergeCell ref="M923:M924"/>
    <mergeCell ref="B925:B926"/>
    <mergeCell ref="C925:C926"/>
    <mergeCell ref="D925:D926"/>
    <mergeCell ref="E925:E926"/>
    <mergeCell ref="F925:F926"/>
    <mergeCell ref="B923:B924"/>
    <mergeCell ref="C923:C924"/>
    <mergeCell ref="D923:D924"/>
    <mergeCell ref="E923:E924"/>
    <mergeCell ref="F923:F924"/>
    <mergeCell ref="H923:H924"/>
    <mergeCell ref="H921:H922"/>
    <mergeCell ref="I921:I922"/>
    <mergeCell ref="J921:J922"/>
    <mergeCell ref="K921:K922"/>
    <mergeCell ref="L921:L922"/>
    <mergeCell ref="M921:M922"/>
    <mergeCell ref="B921:B922"/>
    <mergeCell ref="C921:C922"/>
    <mergeCell ref="D921:D922"/>
    <mergeCell ref="E921:E922"/>
    <mergeCell ref="F921:F922"/>
    <mergeCell ref="H919:H920"/>
    <mergeCell ref="B919:B920"/>
    <mergeCell ref="C919:C920"/>
    <mergeCell ref="D919:D920"/>
    <mergeCell ref="E919:E920"/>
    <mergeCell ref="I919:I920"/>
    <mergeCell ref="J919:J920"/>
    <mergeCell ref="K919:K920"/>
    <mergeCell ref="L919:L920"/>
    <mergeCell ref="M919:M920"/>
    <mergeCell ref="I917:I918"/>
    <mergeCell ref="J917:J918"/>
    <mergeCell ref="K917:K918"/>
    <mergeCell ref="L917:L918"/>
    <mergeCell ref="M917:M918"/>
    <mergeCell ref="F919:F920"/>
    <mergeCell ref="B917:B918"/>
    <mergeCell ref="C917:C918"/>
    <mergeCell ref="D917:D918"/>
    <mergeCell ref="E917:E918"/>
    <mergeCell ref="F917:F918"/>
    <mergeCell ref="H917:H918"/>
    <mergeCell ref="H915:H916"/>
    <mergeCell ref="I915:I916"/>
    <mergeCell ref="J915:J916"/>
    <mergeCell ref="K915:K916"/>
    <mergeCell ref="L915:L916"/>
    <mergeCell ref="M915:M916"/>
    <mergeCell ref="I913:I914"/>
    <mergeCell ref="J913:J914"/>
    <mergeCell ref="K913:K914"/>
    <mergeCell ref="L913:L914"/>
    <mergeCell ref="M913:M914"/>
    <mergeCell ref="B915:B916"/>
    <mergeCell ref="C915:C916"/>
    <mergeCell ref="D915:D916"/>
    <mergeCell ref="E915:E916"/>
    <mergeCell ref="F915:F916"/>
    <mergeCell ref="B913:B914"/>
    <mergeCell ref="C913:C914"/>
    <mergeCell ref="D913:D914"/>
    <mergeCell ref="E913:E914"/>
    <mergeCell ref="F913:F914"/>
    <mergeCell ref="H913:H914"/>
    <mergeCell ref="H911:H912"/>
    <mergeCell ref="I911:I912"/>
    <mergeCell ref="J911:J912"/>
    <mergeCell ref="K911:K912"/>
    <mergeCell ref="L911:L912"/>
    <mergeCell ref="M911:M912"/>
    <mergeCell ref="I909:I910"/>
    <mergeCell ref="J909:J910"/>
    <mergeCell ref="K909:K910"/>
    <mergeCell ref="L909:L910"/>
    <mergeCell ref="M909:M910"/>
    <mergeCell ref="B911:B912"/>
    <mergeCell ref="C911:C912"/>
    <mergeCell ref="D911:D912"/>
    <mergeCell ref="E911:E912"/>
    <mergeCell ref="F911:F912"/>
    <mergeCell ref="B909:B910"/>
    <mergeCell ref="C909:C910"/>
    <mergeCell ref="D909:D910"/>
    <mergeCell ref="E909:E910"/>
    <mergeCell ref="F909:F910"/>
    <mergeCell ref="H909:H910"/>
    <mergeCell ref="H907:H908"/>
    <mergeCell ref="I907:I908"/>
    <mergeCell ref="J907:J908"/>
    <mergeCell ref="K907:K908"/>
    <mergeCell ref="L907:L908"/>
    <mergeCell ref="M907:M908"/>
    <mergeCell ref="I905:I906"/>
    <mergeCell ref="J905:J906"/>
    <mergeCell ref="K905:K906"/>
    <mergeCell ref="L905:L906"/>
    <mergeCell ref="M905:M906"/>
    <mergeCell ref="B907:B908"/>
    <mergeCell ref="C907:C908"/>
    <mergeCell ref="D907:D908"/>
    <mergeCell ref="E907:E908"/>
    <mergeCell ref="F907:F908"/>
    <mergeCell ref="B905:B906"/>
    <mergeCell ref="C905:C906"/>
    <mergeCell ref="D905:D906"/>
    <mergeCell ref="E905:E906"/>
    <mergeCell ref="F905:F906"/>
    <mergeCell ref="H905:H906"/>
    <mergeCell ref="H903:H904"/>
    <mergeCell ref="I903:I904"/>
    <mergeCell ref="J903:J904"/>
    <mergeCell ref="K903:K904"/>
    <mergeCell ref="L903:L904"/>
    <mergeCell ref="M903:M904"/>
    <mergeCell ref="I901:I902"/>
    <mergeCell ref="J901:J902"/>
    <mergeCell ref="K901:K902"/>
    <mergeCell ref="L901:L902"/>
    <mergeCell ref="M901:M902"/>
    <mergeCell ref="B903:B904"/>
    <mergeCell ref="C903:C904"/>
    <mergeCell ref="D903:D904"/>
    <mergeCell ref="E903:E904"/>
    <mergeCell ref="F903:F904"/>
    <mergeCell ref="B901:B902"/>
    <mergeCell ref="C901:C902"/>
    <mergeCell ref="D901:D902"/>
    <mergeCell ref="E901:E902"/>
    <mergeCell ref="F901:F902"/>
    <mergeCell ref="H901:H902"/>
    <mergeCell ref="H899:H900"/>
    <mergeCell ref="I899:I900"/>
    <mergeCell ref="J899:J900"/>
    <mergeCell ref="K899:K900"/>
    <mergeCell ref="L899:L900"/>
    <mergeCell ref="M899:M900"/>
    <mergeCell ref="I897:I898"/>
    <mergeCell ref="J897:J898"/>
    <mergeCell ref="K897:K898"/>
    <mergeCell ref="L897:L898"/>
    <mergeCell ref="M897:M898"/>
    <mergeCell ref="B899:B900"/>
    <mergeCell ref="C899:C900"/>
    <mergeCell ref="D899:D900"/>
    <mergeCell ref="E899:E900"/>
    <mergeCell ref="F899:F900"/>
    <mergeCell ref="B897:B898"/>
    <mergeCell ref="C897:C898"/>
    <mergeCell ref="D897:D898"/>
    <mergeCell ref="E897:E898"/>
    <mergeCell ref="F897:F898"/>
    <mergeCell ref="H897:H898"/>
    <mergeCell ref="H895:H896"/>
    <mergeCell ref="I895:I896"/>
    <mergeCell ref="J895:J896"/>
    <mergeCell ref="K895:K896"/>
    <mergeCell ref="L895:L896"/>
    <mergeCell ref="M895:M896"/>
    <mergeCell ref="I893:I894"/>
    <mergeCell ref="J893:J894"/>
    <mergeCell ref="K893:K894"/>
    <mergeCell ref="L893:L894"/>
    <mergeCell ref="M893:M894"/>
    <mergeCell ref="B895:B896"/>
    <mergeCell ref="C895:C896"/>
    <mergeCell ref="D895:D896"/>
    <mergeCell ref="E895:E896"/>
    <mergeCell ref="F895:F896"/>
    <mergeCell ref="B893:B894"/>
    <mergeCell ref="C893:C894"/>
    <mergeCell ref="D893:D894"/>
    <mergeCell ref="E893:E894"/>
    <mergeCell ref="F893:F894"/>
    <mergeCell ref="H893:H894"/>
    <mergeCell ref="M891:M892"/>
    <mergeCell ref="I889:I890"/>
    <mergeCell ref="J889:J890"/>
    <mergeCell ref="K889:K890"/>
    <mergeCell ref="L889:L890"/>
    <mergeCell ref="M889:M890"/>
    <mergeCell ref="I891:I892"/>
    <mergeCell ref="J891:J892"/>
    <mergeCell ref="K891:K892"/>
    <mergeCell ref="L891:L892"/>
    <mergeCell ref="L887:L888"/>
    <mergeCell ref="B891:B892"/>
    <mergeCell ref="C891:C892"/>
    <mergeCell ref="D891:D892"/>
    <mergeCell ref="E891:E892"/>
    <mergeCell ref="F891:F892"/>
    <mergeCell ref="B889:B890"/>
    <mergeCell ref="C889:C890"/>
    <mergeCell ref="D889:D890"/>
    <mergeCell ref="E889:E890"/>
    <mergeCell ref="H891:H892"/>
    <mergeCell ref="M883:M884"/>
    <mergeCell ref="I885:I886"/>
    <mergeCell ref="J885:J886"/>
    <mergeCell ref="K885:K886"/>
    <mergeCell ref="L885:L886"/>
    <mergeCell ref="H889:H890"/>
    <mergeCell ref="H887:H888"/>
    <mergeCell ref="I887:I888"/>
    <mergeCell ref="J887:J888"/>
    <mergeCell ref="K887:K888"/>
    <mergeCell ref="B883:B884"/>
    <mergeCell ref="C883:C884"/>
    <mergeCell ref="D883:D884"/>
    <mergeCell ref="E883:E884"/>
    <mergeCell ref="F883:F884"/>
    <mergeCell ref="M887:M888"/>
    <mergeCell ref="I883:I884"/>
    <mergeCell ref="J883:J884"/>
    <mergeCell ref="K883:K884"/>
    <mergeCell ref="L883:L884"/>
    <mergeCell ref="H883:H884"/>
    <mergeCell ref="F889:F890"/>
    <mergeCell ref="H875:H876"/>
    <mergeCell ref="H881:H882"/>
    <mergeCell ref="I881:I882"/>
    <mergeCell ref="J881:J882"/>
    <mergeCell ref="K881:K882"/>
    <mergeCell ref="L881:L882"/>
    <mergeCell ref="M881:M882"/>
    <mergeCell ref="I879:I880"/>
    <mergeCell ref="J879:J880"/>
    <mergeCell ref="K879:K880"/>
    <mergeCell ref="L879:L880"/>
    <mergeCell ref="M879:M880"/>
    <mergeCell ref="B881:B882"/>
    <mergeCell ref="C881:C882"/>
    <mergeCell ref="D881:D882"/>
    <mergeCell ref="E881:E882"/>
    <mergeCell ref="F881:F882"/>
    <mergeCell ref="B879:B880"/>
    <mergeCell ref="C879:C880"/>
    <mergeCell ref="D879:D880"/>
    <mergeCell ref="E879:E880"/>
    <mergeCell ref="F879:F880"/>
    <mergeCell ref="H879:H880"/>
    <mergeCell ref="B873:B874"/>
    <mergeCell ref="C873:C874"/>
    <mergeCell ref="D873:D874"/>
    <mergeCell ref="E873:E874"/>
    <mergeCell ref="F873:F874"/>
    <mergeCell ref="B871:B872"/>
    <mergeCell ref="C871:C872"/>
    <mergeCell ref="D871:D872"/>
    <mergeCell ref="E871:E872"/>
    <mergeCell ref="F871:F872"/>
    <mergeCell ref="H871:H872"/>
    <mergeCell ref="H877:H878"/>
    <mergeCell ref="I877:I878"/>
    <mergeCell ref="J877:J878"/>
    <mergeCell ref="K877:K878"/>
    <mergeCell ref="L877:L878"/>
    <mergeCell ref="M877:M878"/>
    <mergeCell ref="I875:I876"/>
    <mergeCell ref="J875:J876"/>
    <mergeCell ref="K875:K876"/>
    <mergeCell ref="L875:L876"/>
    <mergeCell ref="M875:M876"/>
    <mergeCell ref="B877:B878"/>
    <mergeCell ref="C877:C878"/>
    <mergeCell ref="D877:D878"/>
    <mergeCell ref="E877:E878"/>
    <mergeCell ref="F877:F878"/>
    <mergeCell ref="B875:B876"/>
    <mergeCell ref="C875:C876"/>
    <mergeCell ref="D875:D876"/>
    <mergeCell ref="E875:E876"/>
    <mergeCell ref="F875:F876"/>
    <mergeCell ref="D869:D870"/>
    <mergeCell ref="K869:K870"/>
    <mergeCell ref="L869:L870"/>
    <mergeCell ref="M869:M870"/>
    <mergeCell ref="I867:I868"/>
    <mergeCell ref="J867:J868"/>
    <mergeCell ref="K867:K868"/>
    <mergeCell ref="L867:L868"/>
    <mergeCell ref="M867:M868"/>
    <mergeCell ref="E869:E870"/>
    <mergeCell ref="F869:F870"/>
    <mergeCell ref="H869:H870"/>
    <mergeCell ref="H873:H874"/>
    <mergeCell ref="I873:I874"/>
    <mergeCell ref="J873:J874"/>
    <mergeCell ref="K873:K874"/>
    <mergeCell ref="L873:L874"/>
    <mergeCell ref="M873:M874"/>
    <mergeCell ref="I871:I872"/>
    <mergeCell ref="J871:J872"/>
    <mergeCell ref="K871:K872"/>
    <mergeCell ref="L871:L872"/>
    <mergeCell ref="M871:M872"/>
    <mergeCell ref="H865:H866"/>
    <mergeCell ref="I865:I866"/>
    <mergeCell ref="J865:J866"/>
    <mergeCell ref="I869:I870"/>
    <mergeCell ref="J869:J870"/>
    <mergeCell ref="K865:K866"/>
    <mergeCell ref="L865:L866"/>
    <mergeCell ref="M865:M866"/>
    <mergeCell ref="I863:I864"/>
    <mergeCell ref="J863:J864"/>
    <mergeCell ref="K863:K864"/>
    <mergeCell ref="L863:L864"/>
    <mergeCell ref="M863:M864"/>
    <mergeCell ref="B865:B866"/>
    <mergeCell ref="C865:C866"/>
    <mergeCell ref="D865:D866"/>
    <mergeCell ref="E865:E866"/>
    <mergeCell ref="F865:F866"/>
    <mergeCell ref="B863:B864"/>
    <mergeCell ref="C863:C864"/>
    <mergeCell ref="D863:D864"/>
    <mergeCell ref="E863:E864"/>
    <mergeCell ref="F863:F864"/>
    <mergeCell ref="H863:H864"/>
    <mergeCell ref="B867:B868"/>
    <mergeCell ref="C867:C868"/>
    <mergeCell ref="D867:D868"/>
    <mergeCell ref="E867:E868"/>
    <mergeCell ref="F867:F868"/>
    <mergeCell ref="H867:H868"/>
    <mergeCell ref="B869:B870"/>
    <mergeCell ref="C869:C870"/>
    <mergeCell ref="H861:H862"/>
    <mergeCell ref="I861:I862"/>
    <mergeCell ref="J861:J862"/>
    <mergeCell ref="K861:K862"/>
    <mergeCell ref="L861:L862"/>
    <mergeCell ref="M861:M862"/>
    <mergeCell ref="I858:I859"/>
    <mergeCell ref="J858:J859"/>
    <mergeCell ref="K858:K859"/>
    <mergeCell ref="L858:L859"/>
    <mergeCell ref="M858:M859"/>
    <mergeCell ref="B860:M860"/>
    <mergeCell ref="B861:B862"/>
    <mergeCell ref="C861:C862"/>
    <mergeCell ref="D861:D862"/>
    <mergeCell ref="E861:E862"/>
    <mergeCell ref="F861:F862"/>
    <mergeCell ref="B858:B859"/>
    <mergeCell ref="C858:C859"/>
    <mergeCell ref="D858:D859"/>
    <mergeCell ref="E858:E859"/>
    <mergeCell ref="F858:F859"/>
    <mergeCell ref="H858:H859"/>
    <mergeCell ref="H856:H857"/>
    <mergeCell ref="I856:I857"/>
    <mergeCell ref="J856:J857"/>
    <mergeCell ref="K856:K857"/>
    <mergeCell ref="L856:L857"/>
    <mergeCell ref="M856:M857"/>
    <mergeCell ref="I854:I855"/>
    <mergeCell ref="J854:J855"/>
    <mergeCell ref="K854:K855"/>
    <mergeCell ref="L854:L855"/>
    <mergeCell ref="M854:M855"/>
    <mergeCell ref="B856:B857"/>
    <mergeCell ref="C856:C857"/>
    <mergeCell ref="D856:D857"/>
    <mergeCell ref="E856:E857"/>
    <mergeCell ref="F856:F857"/>
    <mergeCell ref="B854:B855"/>
    <mergeCell ref="C854:C855"/>
    <mergeCell ref="D854:D855"/>
    <mergeCell ref="E854:E855"/>
    <mergeCell ref="F854:F855"/>
    <mergeCell ref="H854:H855"/>
    <mergeCell ref="H852:H853"/>
    <mergeCell ref="I852:I853"/>
    <mergeCell ref="J852:J853"/>
    <mergeCell ref="K852:K853"/>
    <mergeCell ref="L852:L853"/>
    <mergeCell ref="M852:M853"/>
    <mergeCell ref="I850:I851"/>
    <mergeCell ref="J850:J851"/>
    <mergeCell ref="K850:K851"/>
    <mergeCell ref="L850:L851"/>
    <mergeCell ref="M850:M851"/>
    <mergeCell ref="B852:B853"/>
    <mergeCell ref="C852:C853"/>
    <mergeCell ref="D852:D853"/>
    <mergeCell ref="E852:E853"/>
    <mergeCell ref="F852:F853"/>
    <mergeCell ref="B850:B851"/>
    <mergeCell ref="C850:C851"/>
    <mergeCell ref="D850:D851"/>
    <mergeCell ref="E850:E851"/>
    <mergeCell ref="F850:F851"/>
    <mergeCell ref="H850:H851"/>
    <mergeCell ref="H848:H849"/>
    <mergeCell ref="I848:I849"/>
    <mergeCell ref="J848:J849"/>
    <mergeCell ref="K848:K849"/>
    <mergeCell ref="L848:L849"/>
    <mergeCell ref="M848:M849"/>
    <mergeCell ref="I846:I847"/>
    <mergeCell ref="J846:J847"/>
    <mergeCell ref="K846:K847"/>
    <mergeCell ref="L846:L847"/>
    <mergeCell ref="M846:M847"/>
    <mergeCell ref="B848:B849"/>
    <mergeCell ref="C848:C849"/>
    <mergeCell ref="D848:D849"/>
    <mergeCell ref="E848:E849"/>
    <mergeCell ref="F848:F849"/>
    <mergeCell ref="B846:B847"/>
    <mergeCell ref="C846:C847"/>
    <mergeCell ref="D846:D847"/>
    <mergeCell ref="E846:E847"/>
    <mergeCell ref="F846:F847"/>
    <mergeCell ref="H846:H847"/>
    <mergeCell ref="H844:H845"/>
    <mergeCell ref="I844:I845"/>
    <mergeCell ref="J844:J845"/>
    <mergeCell ref="K844:K845"/>
    <mergeCell ref="L844:L845"/>
    <mergeCell ref="M844:M845"/>
    <mergeCell ref="I842:I843"/>
    <mergeCell ref="J842:J843"/>
    <mergeCell ref="K842:K843"/>
    <mergeCell ref="L842:L843"/>
    <mergeCell ref="M842:M843"/>
    <mergeCell ref="B844:B845"/>
    <mergeCell ref="C844:C845"/>
    <mergeCell ref="D844:D845"/>
    <mergeCell ref="E844:E845"/>
    <mergeCell ref="F844:F845"/>
    <mergeCell ref="B842:B843"/>
    <mergeCell ref="C842:C843"/>
    <mergeCell ref="D842:D843"/>
    <mergeCell ref="E842:E843"/>
    <mergeCell ref="F842:F843"/>
    <mergeCell ref="H842:H843"/>
    <mergeCell ref="H840:H841"/>
    <mergeCell ref="I840:I841"/>
    <mergeCell ref="J840:J841"/>
    <mergeCell ref="K840:K841"/>
    <mergeCell ref="L840:L841"/>
    <mergeCell ref="M840:M841"/>
    <mergeCell ref="I838:I839"/>
    <mergeCell ref="J838:J839"/>
    <mergeCell ref="K838:K839"/>
    <mergeCell ref="L838:L839"/>
    <mergeCell ref="M838:M839"/>
    <mergeCell ref="B840:B841"/>
    <mergeCell ref="C840:C841"/>
    <mergeCell ref="D840:D841"/>
    <mergeCell ref="E840:E841"/>
    <mergeCell ref="F840:F841"/>
    <mergeCell ref="B838:B839"/>
    <mergeCell ref="C838:C839"/>
    <mergeCell ref="D838:D839"/>
    <mergeCell ref="E838:E839"/>
    <mergeCell ref="F838:F839"/>
    <mergeCell ref="H838:H839"/>
    <mergeCell ref="H836:H837"/>
    <mergeCell ref="I836:I837"/>
    <mergeCell ref="J836:J837"/>
    <mergeCell ref="K836:K837"/>
    <mergeCell ref="L836:L837"/>
    <mergeCell ref="M836:M837"/>
    <mergeCell ref="I834:I835"/>
    <mergeCell ref="J834:J835"/>
    <mergeCell ref="K834:K835"/>
    <mergeCell ref="L834:L835"/>
    <mergeCell ref="M834:M835"/>
    <mergeCell ref="B836:B837"/>
    <mergeCell ref="C836:C837"/>
    <mergeCell ref="D836:D837"/>
    <mergeCell ref="E836:E837"/>
    <mergeCell ref="F836:F837"/>
    <mergeCell ref="B834:B835"/>
    <mergeCell ref="C834:C835"/>
    <mergeCell ref="D834:D835"/>
    <mergeCell ref="E834:E835"/>
    <mergeCell ref="F834:F835"/>
    <mergeCell ref="H834:H835"/>
    <mergeCell ref="H832:H833"/>
    <mergeCell ref="I832:I833"/>
    <mergeCell ref="J832:J833"/>
    <mergeCell ref="K832:K833"/>
    <mergeCell ref="L832:L833"/>
    <mergeCell ref="M832:M833"/>
    <mergeCell ref="I830:I831"/>
    <mergeCell ref="J830:J831"/>
    <mergeCell ref="K830:K831"/>
    <mergeCell ref="L830:L831"/>
    <mergeCell ref="M830:M831"/>
    <mergeCell ref="B832:B833"/>
    <mergeCell ref="C832:C833"/>
    <mergeCell ref="D832:D833"/>
    <mergeCell ref="E832:E833"/>
    <mergeCell ref="F832:F833"/>
    <mergeCell ref="B830:B831"/>
    <mergeCell ref="C830:C831"/>
    <mergeCell ref="D830:D831"/>
    <mergeCell ref="E830:E831"/>
    <mergeCell ref="F830:F831"/>
    <mergeCell ref="H830:H831"/>
    <mergeCell ref="H828:H829"/>
    <mergeCell ref="I828:I829"/>
    <mergeCell ref="J828:J829"/>
    <mergeCell ref="K828:K829"/>
    <mergeCell ref="L828:L829"/>
    <mergeCell ref="M828:M829"/>
    <mergeCell ref="I826:I827"/>
    <mergeCell ref="J826:J827"/>
    <mergeCell ref="K826:K827"/>
    <mergeCell ref="L826:L827"/>
    <mergeCell ref="M826:M827"/>
    <mergeCell ref="B828:B829"/>
    <mergeCell ref="C828:C829"/>
    <mergeCell ref="D828:D829"/>
    <mergeCell ref="E828:E829"/>
    <mergeCell ref="F828:F829"/>
    <mergeCell ref="B826:B827"/>
    <mergeCell ref="C826:C827"/>
    <mergeCell ref="D826:D827"/>
    <mergeCell ref="E826:E827"/>
    <mergeCell ref="F826:F827"/>
    <mergeCell ref="H826:H827"/>
    <mergeCell ref="H824:H825"/>
    <mergeCell ref="I824:I825"/>
    <mergeCell ref="J824:J825"/>
    <mergeCell ref="K824:K825"/>
    <mergeCell ref="L824:L825"/>
    <mergeCell ref="M824:M825"/>
    <mergeCell ref="I822:I823"/>
    <mergeCell ref="J822:J823"/>
    <mergeCell ref="K822:K823"/>
    <mergeCell ref="L822:L823"/>
    <mergeCell ref="M822:M823"/>
    <mergeCell ref="B824:B825"/>
    <mergeCell ref="C824:C825"/>
    <mergeCell ref="D824:D825"/>
    <mergeCell ref="E824:E825"/>
    <mergeCell ref="F824:F825"/>
    <mergeCell ref="B822:B823"/>
    <mergeCell ref="C822:C823"/>
    <mergeCell ref="D822:D823"/>
    <mergeCell ref="E822:E823"/>
    <mergeCell ref="F822:F823"/>
    <mergeCell ref="H822:H823"/>
    <mergeCell ref="J820:J821"/>
    <mergeCell ref="K820:K821"/>
    <mergeCell ref="L820:L821"/>
    <mergeCell ref="M820:M821"/>
    <mergeCell ref="I818:I819"/>
    <mergeCell ref="J818:J819"/>
    <mergeCell ref="K818:K819"/>
    <mergeCell ref="L818:L819"/>
    <mergeCell ref="M818:M819"/>
    <mergeCell ref="B820:B821"/>
    <mergeCell ref="C820:C821"/>
    <mergeCell ref="D820:D821"/>
    <mergeCell ref="E820:E821"/>
    <mergeCell ref="F820:F821"/>
    <mergeCell ref="B818:B819"/>
    <mergeCell ref="C818:C819"/>
    <mergeCell ref="D818:D819"/>
    <mergeCell ref="E818:E819"/>
    <mergeCell ref="F818:F819"/>
    <mergeCell ref="H818:H819"/>
    <mergeCell ref="M806:M807"/>
    <mergeCell ref="B812:B813"/>
    <mergeCell ref="C812:C813"/>
    <mergeCell ref="D812:D813"/>
    <mergeCell ref="E812:E813"/>
    <mergeCell ref="F812:F813"/>
    <mergeCell ref="H812:H813"/>
    <mergeCell ref="B806:B807"/>
    <mergeCell ref="C806:C807"/>
    <mergeCell ref="D806:D807"/>
    <mergeCell ref="E806:E807"/>
    <mergeCell ref="F806:F807"/>
    <mergeCell ref="H806:H807"/>
    <mergeCell ref="I802:I803"/>
    <mergeCell ref="H804:H805"/>
    <mergeCell ref="K802:K803"/>
    <mergeCell ref="E804:E805"/>
    <mergeCell ref="F804:F805"/>
    <mergeCell ref="J802:J803"/>
    <mergeCell ref="L802:L803"/>
    <mergeCell ref="M802:M803"/>
    <mergeCell ref="J812:J813"/>
    <mergeCell ref="K812:K813"/>
    <mergeCell ref="K808:K809"/>
    <mergeCell ref="K804:K805"/>
    <mergeCell ref="L804:L805"/>
    <mergeCell ref="K806:K807"/>
    <mergeCell ref="L812:L813"/>
    <mergeCell ref="L806:L807"/>
    <mergeCell ref="B802:B803"/>
    <mergeCell ref="C802:C803"/>
    <mergeCell ref="D802:D803"/>
    <mergeCell ref="E802:E803"/>
    <mergeCell ref="F802:F803"/>
    <mergeCell ref="H802:H803"/>
    <mergeCell ref="H800:H801"/>
    <mergeCell ref="I800:I801"/>
    <mergeCell ref="J800:J801"/>
    <mergeCell ref="K800:K801"/>
    <mergeCell ref="L800:L801"/>
    <mergeCell ref="M800:M801"/>
    <mergeCell ref="I798:I799"/>
    <mergeCell ref="J798:J799"/>
    <mergeCell ref="K798:K799"/>
    <mergeCell ref="L798:L799"/>
    <mergeCell ref="M798:M799"/>
    <mergeCell ref="B800:B801"/>
    <mergeCell ref="C800:C801"/>
    <mergeCell ref="D800:D801"/>
    <mergeCell ref="E800:E801"/>
    <mergeCell ref="F800:F801"/>
    <mergeCell ref="B798:B799"/>
    <mergeCell ref="C798:C799"/>
    <mergeCell ref="D798:D799"/>
    <mergeCell ref="E798:E799"/>
    <mergeCell ref="F798:F799"/>
    <mergeCell ref="H798:H799"/>
    <mergeCell ref="H796:H797"/>
    <mergeCell ref="I796:I797"/>
    <mergeCell ref="J796:J797"/>
    <mergeCell ref="K796:K797"/>
    <mergeCell ref="L796:L797"/>
    <mergeCell ref="M796:M797"/>
    <mergeCell ref="I794:I795"/>
    <mergeCell ref="J794:J795"/>
    <mergeCell ref="K794:K795"/>
    <mergeCell ref="L794:L795"/>
    <mergeCell ref="M794:M795"/>
    <mergeCell ref="B796:B797"/>
    <mergeCell ref="C796:C797"/>
    <mergeCell ref="D796:D797"/>
    <mergeCell ref="E796:E797"/>
    <mergeCell ref="F796:F797"/>
    <mergeCell ref="B794:B795"/>
    <mergeCell ref="C794:C795"/>
    <mergeCell ref="D794:D795"/>
    <mergeCell ref="E794:E795"/>
    <mergeCell ref="F794:F795"/>
    <mergeCell ref="H794:H795"/>
    <mergeCell ref="H786:H787"/>
    <mergeCell ref="H792:H793"/>
    <mergeCell ref="I792:I793"/>
    <mergeCell ref="J792:J793"/>
    <mergeCell ref="K792:K793"/>
    <mergeCell ref="L792:L793"/>
    <mergeCell ref="M792:M793"/>
    <mergeCell ref="I790:I791"/>
    <mergeCell ref="J790:J791"/>
    <mergeCell ref="K790:K791"/>
    <mergeCell ref="L790:L791"/>
    <mergeCell ref="M790:M791"/>
    <mergeCell ref="B792:B793"/>
    <mergeCell ref="C792:C793"/>
    <mergeCell ref="D792:D793"/>
    <mergeCell ref="E792:E793"/>
    <mergeCell ref="F792:F793"/>
    <mergeCell ref="B790:B791"/>
    <mergeCell ref="C790:C791"/>
    <mergeCell ref="D790:D791"/>
    <mergeCell ref="E790:E791"/>
    <mergeCell ref="F790:F791"/>
    <mergeCell ref="H790:H791"/>
    <mergeCell ref="B778:B779"/>
    <mergeCell ref="C778:C779"/>
    <mergeCell ref="D778:D779"/>
    <mergeCell ref="E778:E779"/>
    <mergeCell ref="F778:F779"/>
    <mergeCell ref="H778:H779"/>
    <mergeCell ref="B776:B777"/>
    <mergeCell ref="H788:H789"/>
    <mergeCell ref="I788:I789"/>
    <mergeCell ref="J788:J789"/>
    <mergeCell ref="K788:K789"/>
    <mergeCell ref="L788:L789"/>
    <mergeCell ref="M788:M789"/>
    <mergeCell ref="I786:I787"/>
    <mergeCell ref="J786:J787"/>
    <mergeCell ref="K786:K787"/>
    <mergeCell ref="L786:L787"/>
    <mergeCell ref="M786:M787"/>
    <mergeCell ref="B788:B789"/>
    <mergeCell ref="C788:C789"/>
    <mergeCell ref="D788:D789"/>
    <mergeCell ref="E788:E789"/>
    <mergeCell ref="F788:F789"/>
    <mergeCell ref="J784:J785"/>
    <mergeCell ref="K784:K785"/>
    <mergeCell ref="L784:L785"/>
    <mergeCell ref="M784:M785"/>
    <mergeCell ref="B786:B787"/>
    <mergeCell ref="C786:C787"/>
    <mergeCell ref="D786:D787"/>
    <mergeCell ref="E786:E787"/>
    <mergeCell ref="F786:F787"/>
    <mergeCell ref="C784:C785"/>
    <mergeCell ref="D784:D785"/>
    <mergeCell ref="E784:E785"/>
    <mergeCell ref="F784:F785"/>
    <mergeCell ref="H784:H785"/>
    <mergeCell ref="I784:I785"/>
    <mergeCell ref="L780:L781"/>
    <mergeCell ref="M780:M781"/>
    <mergeCell ref="B782:B783"/>
    <mergeCell ref="C782:C783"/>
    <mergeCell ref="D782:D783"/>
    <mergeCell ref="E782:E783"/>
    <mergeCell ref="F782:F783"/>
    <mergeCell ref="H782:H783"/>
    <mergeCell ref="I782:I783"/>
    <mergeCell ref="J782:J783"/>
    <mergeCell ref="H780:H781"/>
    <mergeCell ref="I780:I781"/>
    <mergeCell ref="J780:J781"/>
    <mergeCell ref="H776:H777"/>
    <mergeCell ref="I776:I777"/>
    <mergeCell ref="J776:J777"/>
    <mergeCell ref="I772:I773"/>
    <mergeCell ref="J772:J773"/>
    <mergeCell ref="K772:K773"/>
    <mergeCell ref="L772:L773"/>
    <mergeCell ref="M772:M773"/>
    <mergeCell ref="B772:B773"/>
    <mergeCell ref="C772:C773"/>
    <mergeCell ref="D772:D773"/>
    <mergeCell ref="E772:E773"/>
    <mergeCell ref="F772:F773"/>
    <mergeCell ref="H770:H771"/>
    <mergeCell ref="B770:B771"/>
    <mergeCell ref="C770:C771"/>
    <mergeCell ref="D770:D771"/>
    <mergeCell ref="E770:E771"/>
    <mergeCell ref="I770:I771"/>
    <mergeCell ref="J770:J771"/>
    <mergeCell ref="K770:K771"/>
    <mergeCell ref="L770:L771"/>
    <mergeCell ref="M770:M771"/>
    <mergeCell ref="M774:M775"/>
    <mergeCell ref="M776:M777"/>
    <mergeCell ref="K776:K777"/>
    <mergeCell ref="L776:L777"/>
    <mergeCell ref="I768:I769"/>
    <mergeCell ref="J768:J769"/>
    <mergeCell ref="K768:K769"/>
    <mergeCell ref="L768:L769"/>
    <mergeCell ref="M768:M769"/>
    <mergeCell ref="F770:F771"/>
    <mergeCell ref="B768:B769"/>
    <mergeCell ref="C768:C769"/>
    <mergeCell ref="D768:D769"/>
    <mergeCell ref="E768:E769"/>
    <mergeCell ref="F768:F769"/>
    <mergeCell ref="H768:H769"/>
    <mergeCell ref="H764:H765"/>
    <mergeCell ref="I764:I765"/>
    <mergeCell ref="J764:J765"/>
    <mergeCell ref="K764:K765"/>
    <mergeCell ref="L764:L765"/>
    <mergeCell ref="I766:I767"/>
    <mergeCell ref="J766:J767"/>
    <mergeCell ref="K766:K767"/>
    <mergeCell ref="L766:L767"/>
    <mergeCell ref="M764:M765"/>
    <mergeCell ref="B764:B765"/>
    <mergeCell ref="C764:C765"/>
    <mergeCell ref="D764:D765"/>
    <mergeCell ref="E764:E765"/>
    <mergeCell ref="F764:F765"/>
    <mergeCell ref="H760:H761"/>
    <mergeCell ref="I760:I761"/>
    <mergeCell ref="J760:J761"/>
    <mergeCell ref="K760:K761"/>
    <mergeCell ref="L760:L761"/>
    <mergeCell ref="M760:M761"/>
    <mergeCell ref="I756:I757"/>
    <mergeCell ref="J756:J757"/>
    <mergeCell ref="K756:K757"/>
    <mergeCell ref="L756:L757"/>
    <mergeCell ref="M756:M757"/>
    <mergeCell ref="B760:B761"/>
    <mergeCell ref="C760:C761"/>
    <mergeCell ref="D760:D761"/>
    <mergeCell ref="E760:E761"/>
    <mergeCell ref="F760:F761"/>
    <mergeCell ref="B756:B757"/>
    <mergeCell ref="C756:C757"/>
    <mergeCell ref="D756:D757"/>
    <mergeCell ref="E756:E757"/>
    <mergeCell ref="F756:F757"/>
    <mergeCell ref="H756:H757"/>
    <mergeCell ref="H754:H755"/>
    <mergeCell ref="I754:I755"/>
    <mergeCell ref="J754:J755"/>
    <mergeCell ref="K754:K755"/>
    <mergeCell ref="L754:L755"/>
    <mergeCell ref="M754:M755"/>
    <mergeCell ref="I752:I753"/>
    <mergeCell ref="J752:J753"/>
    <mergeCell ref="K752:K753"/>
    <mergeCell ref="L752:L753"/>
    <mergeCell ref="M752:M753"/>
    <mergeCell ref="B754:B755"/>
    <mergeCell ref="C754:C755"/>
    <mergeCell ref="D754:D755"/>
    <mergeCell ref="E754:E755"/>
    <mergeCell ref="F754:F755"/>
    <mergeCell ref="B752:B753"/>
    <mergeCell ref="C752:C753"/>
    <mergeCell ref="D752:D753"/>
    <mergeCell ref="E752:E753"/>
    <mergeCell ref="F752:F753"/>
    <mergeCell ref="H752:H753"/>
    <mergeCell ref="H750:H751"/>
    <mergeCell ref="I750:I751"/>
    <mergeCell ref="J750:J751"/>
    <mergeCell ref="K750:K751"/>
    <mergeCell ref="L750:L751"/>
    <mergeCell ref="M750:M751"/>
    <mergeCell ref="I748:I749"/>
    <mergeCell ref="J748:J749"/>
    <mergeCell ref="K748:K749"/>
    <mergeCell ref="L748:L749"/>
    <mergeCell ref="M748:M749"/>
    <mergeCell ref="B750:B751"/>
    <mergeCell ref="C750:C751"/>
    <mergeCell ref="D750:D751"/>
    <mergeCell ref="E750:E751"/>
    <mergeCell ref="F750:F751"/>
    <mergeCell ref="B748:B749"/>
    <mergeCell ref="C748:C749"/>
    <mergeCell ref="D748:D749"/>
    <mergeCell ref="E748:E749"/>
    <mergeCell ref="F748:F749"/>
    <mergeCell ref="H748:H749"/>
    <mergeCell ref="H746:H747"/>
    <mergeCell ref="I746:I747"/>
    <mergeCell ref="J746:J747"/>
    <mergeCell ref="K746:K747"/>
    <mergeCell ref="L746:L747"/>
    <mergeCell ref="M746:M747"/>
    <mergeCell ref="I744:I745"/>
    <mergeCell ref="J744:J745"/>
    <mergeCell ref="K744:K745"/>
    <mergeCell ref="L744:L745"/>
    <mergeCell ref="M744:M745"/>
    <mergeCell ref="B746:B747"/>
    <mergeCell ref="C746:C747"/>
    <mergeCell ref="D746:D747"/>
    <mergeCell ref="E746:E747"/>
    <mergeCell ref="F746:F747"/>
    <mergeCell ref="B744:B745"/>
    <mergeCell ref="C744:C745"/>
    <mergeCell ref="D744:D745"/>
    <mergeCell ref="E744:E745"/>
    <mergeCell ref="F744:F745"/>
    <mergeCell ref="H744:H745"/>
    <mergeCell ref="H742:H743"/>
    <mergeCell ref="I742:I743"/>
    <mergeCell ref="J742:J743"/>
    <mergeCell ref="K742:K743"/>
    <mergeCell ref="L742:L743"/>
    <mergeCell ref="M742:M743"/>
    <mergeCell ref="B742:B743"/>
    <mergeCell ref="C742:C743"/>
    <mergeCell ref="D742:D743"/>
    <mergeCell ref="E742:E743"/>
    <mergeCell ref="F742:F743"/>
    <mergeCell ref="I740:I741"/>
    <mergeCell ref="F740:F741"/>
    <mergeCell ref="J740:J741"/>
    <mergeCell ref="K740:K741"/>
    <mergeCell ref="L740:L741"/>
    <mergeCell ref="M740:M741"/>
    <mergeCell ref="I738:I739"/>
    <mergeCell ref="J738:J739"/>
    <mergeCell ref="K738:K739"/>
    <mergeCell ref="L738:L739"/>
    <mergeCell ref="M738:M739"/>
    <mergeCell ref="B738:B739"/>
    <mergeCell ref="C738:C739"/>
    <mergeCell ref="D738:D739"/>
    <mergeCell ref="E738:E739"/>
    <mergeCell ref="F738:F739"/>
    <mergeCell ref="K736:K737"/>
    <mergeCell ref="F736:F737"/>
    <mergeCell ref="H736:H737"/>
    <mergeCell ref="B736:B737"/>
    <mergeCell ref="C736:C737"/>
    <mergeCell ref="L736:L737"/>
    <mergeCell ref="M736:M737"/>
    <mergeCell ref="I734:I735"/>
    <mergeCell ref="J734:J735"/>
    <mergeCell ref="K734:K735"/>
    <mergeCell ref="L734:L735"/>
    <mergeCell ref="M734:M735"/>
    <mergeCell ref="I736:I737"/>
    <mergeCell ref="J736:J737"/>
    <mergeCell ref="F734:F735"/>
    <mergeCell ref="H734:H735"/>
    <mergeCell ref="H732:H733"/>
    <mergeCell ref="I732:I733"/>
    <mergeCell ref="J732:J733"/>
    <mergeCell ref="K732:K733"/>
    <mergeCell ref="L732:L733"/>
    <mergeCell ref="M732:M733"/>
    <mergeCell ref="I730:I731"/>
    <mergeCell ref="J730:J731"/>
    <mergeCell ref="K730:K731"/>
    <mergeCell ref="L730:L731"/>
    <mergeCell ref="M730:M731"/>
    <mergeCell ref="F732:F733"/>
    <mergeCell ref="F730:F731"/>
    <mergeCell ref="L726:L727"/>
    <mergeCell ref="M726:M727"/>
    <mergeCell ref="H730:H731"/>
    <mergeCell ref="H728:H729"/>
    <mergeCell ref="I728:I729"/>
    <mergeCell ref="J728:J729"/>
    <mergeCell ref="K728:K729"/>
    <mergeCell ref="L728:L729"/>
    <mergeCell ref="K726:K727"/>
    <mergeCell ref="J722:J723"/>
    <mergeCell ref="C722:C723"/>
    <mergeCell ref="D722:D723"/>
    <mergeCell ref="E722:E723"/>
    <mergeCell ref="F722:F723"/>
    <mergeCell ref="M728:M729"/>
    <mergeCell ref="I724:I725"/>
    <mergeCell ref="J724:J725"/>
    <mergeCell ref="K724:K725"/>
    <mergeCell ref="L724:L725"/>
    <mergeCell ref="H722:H723"/>
    <mergeCell ref="I722:I723"/>
    <mergeCell ref="C728:C729"/>
    <mergeCell ref="D728:D729"/>
    <mergeCell ref="E728:E729"/>
    <mergeCell ref="F728:F729"/>
    <mergeCell ref="I726:I727"/>
    <mergeCell ref="H726:H727"/>
    <mergeCell ref="K722:K723"/>
    <mergeCell ref="L722:L723"/>
    <mergeCell ref="M720:M721"/>
    <mergeCell ref="M722:M723"/>
    <mergeCell ref="B724:B725"/>
    <mergeCell ref="C724:C725"/>
    <mergeCell ref="D724:D725"/>
    <mergeCell ref="E724:E725"/>
    <mergeCell ref="F724:F725"/>
    <mergeCell ref="H724:H725"/>
    <mergeCell ref="B720:B721"/>
    <mergeCell ref="C720:C721"/>
    <mergeCell ref="D720:D721"/>
    <mergeCell ref="E720:E721"/>
    <mergeCell ref="F720:F721"/>
    <mergeCell ref="H720:H721"/>
    <mergeCell ref="I720:I721"/>
    <mergeCell ref="H718:H719"/>
    <mergeCell ref="I718:I719"/>
    <mergeCell ref="J718:J719"/>
    <mergeCell ref="K718:K719"/>
    <mergeCell ref="L718:L719"/>
    <mergeCell ref="J720:J721"/>
    <mergeCell ref="K720:K721"/>
    <mergeCell ref="L720:L721"/>
    <mergeCell ref="M718:M719"/>
    <mergeCell ref="M724:M725"/>
    <mergeCell ref="I716:I717"/>
    <mergeCell ref="J716:J717"/>
    <mergeCell ref="K716:K717"/>
    <mergeCell ref="L716:L717"/>
    <mergeCell ref="M716:M717"/>
    <mergeCell ref="B718:B719"/>
    <mergeCell ref="C718:C719"/>
    <mergeCell ref="D718:D719"/>
    <mergeCell ref="E718:E719"/>
    <mergeCell ref="F718:F719"/>
    <mergeCell ref="B716:B717"/>
    <mergeCell ref="C716:C717"/>
    <mergeCell ref="D716:D717"/>
    <mergeCell ref="E716:E717"/>
    <mergeCell ref="F716:F717"/>
    <mergeCell ref="H716:H717"/>
    <mergeCell ref="H714:H715"/>
    <mergeCell ref="I714:I715"/>
    <mergeCell ref="J714:J715"/>
    <mergeCell ref="K714:K715"/>
    <mergeCell ref="L714:L715"/>
    <mergeCell ref="M714:M715"/>
    <mergeCell ref="I712:I713"/>
    <mergeCell ref="J712:J713"/>
    <mergeCell ref="K712:K713"/>
    <mergeCell ref="L712:L713"/>
    <mergeCell ref="M712:M713"/>
    <mergeCell ref="B714:B715"/>
    <mergeCell ref="C714:C715"/>
    <mergeCell ref="D714:D715"/>
    <mergeCell ref="E714:E715"/>
    <mergeCell ref="F714:F715"/>
    <mergeCell ref="B712:B713"/>
    <mergeCell ref="C712:C713"/>
    <mergeCell ref="D712:D713"/>
    <mergeCell ref="E712:E713"/>
    <mergeCell ref="F712:F713"/>
    <mergeCell ref="H712:H713"/>
    <mergeCell ref="H710:H711"/>
    <mergeCell ref="I710:I711"/>
    <mergeCell ref="J710:J711"/>
    <mergeCell ref="K710:K711"/>
    <mergeCell ref="L710:L711"/>
    <mergeCell ref="M710:M711"/>
    <mergeCell ref="B710:B711"/>
    <mergeCell ref="C710:C711"/>
    <mergeCell ref="D710:D711"/>
    <mergeCell ref="E710:E711"/>
    <mergeCell ref="F710:F711"/>
    <mergeCell ref="B706:B707"/>
    <mergeCell ref="C706:C707"/>
    <mergeCell ref="D706:D707"/>
    <mergeCell ref="E706:E707"/>
    <mergeCell ref="F706:F707"/>
    <mergeCell ref="B704:B705"/>
    <mergeCell ref="C704:C705"/>
    <mergeCell ref="D704:D705"/>
    <mergeCell ref="E704:E705"/>
    <mergeCell ref="F704:F705"/>
    <mergeCell ref="H704:H705"/>
    <mergeCell ref="H702:H703"/>
    <mergeCell ref="I702:I703"/>
    <mergeCell ref="J702:J703"/>
    <mergeCell ref="K702:K703"/>
    <mergeCell ref="L702:L703"/>
    <mergeCell ref="M702:M703"/>
    <mergeCell ref="B702:B703"/>
    <mergeCell ref="C702:C703"/>
    <mergeCell ref="D702:D703"/>
    <mergeCell ref="E702:E703"/>
    <mergeCell ref="F702:F703"/>
    <mergeCell ref="M694:M695"/>
    <mergeCell ref="H698:H699"/>
    <mergeCell ref="B700:B701"/>
    <mergeCell ref="C700:C701"/>
    <mergeCell ref="D700:D701"/>
    <mergeCell ref="E700:E701"/>
    <mergeCell ref="F700:F701"/>
    <mergeCell ref="H700:H701"/>
    <mergeCell ref="I698:I699"/>
    <mergeCell ref="J698:J699"/>
    <mergeCell ref="K698:K699"/>
    <mergeCell ref="L698:L699"/>
    <mergeCell ref="M698:M699"/>
    <mergeCell ref="B698:B699"/>
    <mergeCell ref="C698:C699"/>
    <mergeCell ref="D698:D699"/>
    <mergeCell ref="E698:E699"/>
    <mergeCell ref="F698:F699"/>
    <mergeCell ref="K694:K695"/>
    <mergeCell ref="L694:L695"/>
    <mergeCell ref="I694:I695"/>
    <mergeCell ref="J694:J695"/>
    <mergeCell ref="B694:B695"/>
    <mergeCell ref="C694:C695"/>
    <mergeCell ref="D694:D695"/>
    <mergeCell ref="E694:E695"/>
    <mergeCell ref="F694:F695"/>
    <mergeCell ref="I700:I701"/>
    <mergeCell ref="J700:J701"/>
    <mergeCell ref="K700:K701"/>
    <mergeCell ref="L700:L701"/>
    <mergeCell ref="M700:M701"/>
    <mergeCell ref="M696:M697"/>
    <mergeCell ref="I696:I697"/>
    <mergeCell ref="L696:L697"/>
    <mergeCell ref="K696:K697"/>
    <mergeCell ref="I692:I693"/>
    <mergeCell ref="J692:J693"/>
    <mergeCell ref="K692:K693"/>
    <mergeCell ref="L692:L693"/>
    <mergeCell ref="M692:M693"/>
    <mergeCell ref="H686:H687"/>
    <mergeCell ref="I686:I687"/>
    <mergeCell ref="J686:J687"/>
    <mergeCell ref="K686:K687"/>
    <mergeCell ref="L686:L687"/>
    <mergeCell ref="M686:M687"/>
    <mergeCell ref="I684:I685"/>
    <mergeCell ref="J684:J685"/>
    <mergeCell ref="K684:K685"/>
    <mergeCell ref="L684:L685"/>
    <mergeCell ref="M684:M685"/>
    <mergeCell ref="I690:I691"/>
    <mergeCell ref="J690:J691"/>
    <mergeCell ref="H692:H693"/>
    <mergeCell ref="K690:K691"/>
    <mergeCell ref="L690:L691"/>
    <mergeCell ref="M690:M691"/>
    <mergeCell ref="H690:H691"/>
    <mergeCell ref="I688:I689"/>
    <mergeCell ref="J688:J689"/>
    <mergeCell ref="K688:K689"/>
    <mergeCell ref="L688:L689"/>
    <mergeCell ref="M688:M689"/>
    <mergeCell ref="B686:B687"/>
    <mergeCell ref="C686:C687"/>
    <mergeCell ref="D686:D687"/>
    <mergeCell ref="E686:E687"/>
    <mergeCell ref="F686:F687"/>
    <mergeCell ref="B684:B685"/>
    <mergeCell ref="C684:C685"/>
    <mergeCell ref="D684:D685"/>
    <mergeCell ref="E684:E685"/>
    <mergeCell ref="F684:F685"/>
    <mergeCell ref="H684:H685"/>
    <mergeCell ref="D692:D693"/>
    <mergeCell ref="E692:E693"/>
    <mergeCell ref="F692:F693"/>
    <mergeCell ref="B692:B693"/>
    <mergeCell ref="C692:C693"/>
    <mergeCell ref="H682:H683"/>
    <mergeCell ref="B690:B691"/>
    <mergeCell ref="C690:C691"/>
    <mergeCell ref="D690:D691"/>
    <mergeCell ref="E690:E691"/>
    <mergeCell ref="F690:F691"/>
    <mergeCell ref="B688:B689"/>
    <mergeCell ref="C688:C689"/>
    <mergeCell ref="D688:D689"/>
    <mergeCell ref="E688:E689"/>
    <mergeCell ref="F688:F689"/>
    <mergeCell ref="H688:H689"/>
    <mergeCell ref="I682:I683"/>
    <mergeCell ref="J682:J683"/>
    <mergeCell ref="K682:K683"/>
    <mergeCell ref="L682:L683"/>
    <mergeCell ref="M682:M683"/>
    <mergeCell ref="I680:I681"/>
    <mergeCell ref="J680:J681"/>
    <mergeCell ref="K680:K681"/>
    <mergeCell ref="L680:L681"/>
    <mergeCell ref="M680:M681"/>
    <mergeCell ref="B680:B681"/>
    <mergeCell ref="C680:C681"/>
    <mergeCell ref="D680:D681"/>
    <mergeCell ref="E680:E681"/>
    <mergeCell ref="F680:F681"/>
    <mergeCell ref="H680:H681"/>
    <mergeCell ref="H599:H600"/>
    <mergeCell ref="I599:I600"/>
    <mergeCell ref="J599:J600"/>
    <mergeCell ref="K599:K600"/>
    <mergeCell ref="L599:L600"/>
    <mergeCell ref="I678:I679"/>
    <mergeCell ref="H676:H677"/>
    <mergeCell ref="I676:I677"/>
    <mergeCell ref="K672:K673"/>
    <mergeCell ref="J674:J675"/>
    <mergeCell ref="M599:M600"/>
    <mergeCell ref="M668:M669"/>
    <mergeCell ref="M672:M673"/>
    <mergeCell ref="L672:L673"/>
    <mergeCell ref="H666:H667"/>
    <mergeCell ref="I666:I667"/>
    <mergeCell ref="A599:A600"/>
    <mergeCell ref="B599:B600"/>
    <mergeCell ref="C599:C600"/>
    <mergeCell ref="D599:D600"/>
    <mergeCell ref="E599:E600"/>
    <mergeCell ref="F599:F600"/>
    <mergeCell ref="A593:A594"/>
    <mergeCell ref="B593:B594"/>
    <mergeCell ref="C593:C594"/>
    <mergeCell ref="J678:J679"/>
    <mergeCell ref="K678:K679"/>
    <mergeCell ref="J676:J677"/>
    <mergeCell ref="K676:K677"/>
    <mergeCell ref="M676:M677"/>
    <mergeCell ref="L678:L679"/>
    <mergeCell ref="M678:M679"/>
    <mergeCell ref="H678:H679"/>
    <mergeCell ref="H672:H673"/>
    <mergeCell ref="I672:I673"/>
    <mergeCell ref="I593:I594"/>
    <mergeCell ref="J593:J594"/>
    <mergeCell ref="K593:K594"/>
    <mergeCell ref="L593:L594"/>
    <mergeCell ref="D593:D594"/>
    <mergeCell ref="E593:E594"/>
    <mergeCell ref="D668:D669"/>
    <mergeCell ref="E668:E669"/>
    <mergeCell ref="F668:F669"/>
    <mergeCell ref="J672:J673"/>
    <mergeCell ref="H674:H675"/>
    <mergeCell ref="I674:I675"/>
    <mergeCell ref="A678:A679"/>
    <mergeCell ref="C589:C590"/>
    <mergeCell ref="D589:D590"/>
    <mergeCell ref="E589:E590"/>
    <mergeCell ref="H591:H592"/>
    <mergeCell ref="J589:J590"/>
    <mergeCell ref="M593:M594"/>
    <mergeCell ref="K591:K592"/>
    <mergeCell ref="L591:L592"/>
    <mergeCell ref="M591:M592"/>
    <mergeCell ref="F593:F594"/>
    <mergeCell ref="H593:H594"/>
    <mergeCell ref="A591:A592"/>
    <mergeCell ref="B591:B592"/>
    <mergeCell ref="C591:C592"/>
    <mergeCell ref="D591:D592"/>
    <mergeCell ref="E591:E592"/>
    <mergeCell ref="F591:F592"/>
    <mergeCell ref="F589:F590"/>
    <mergeCell ref="K589:K590"/>
    <mergeCell ref="L589:L590"/>
    <mergeCell ref="I589:I590"/>
    <mergeCell ref="B589:B590"/>
    <mergeCell ref="M589:M590"/>
    <mergeCell ref="A589:A590"/>
    <mergeCell ref="B678:B679"/>
    <mergeCell ref="C678:C679"/>
    <mergeCell ref="D678:D679"/>
    <mergeCell ref="E678:E679"/>
    <mergeCell ref="F678:F679"/>
    <mergeCell ref="A676:A677"/>
    <mergeCell ref="B676:B677"/>
    <mergeCell ref="C676:C677"/>
    <mergeCell ref="D676:D677"/>
    <mergeCell ref="E676:E677"/>
    <mergeCell ref="F676:F677"/>
    <mergeCell ref="A672:A673"/>
    <mergeCell ref="B672:B673"/>
    <mergeCell ref="C672:C673"/>
    <mergeCell ref="D672:D673"/>
    <mergeCell ref="E672:E673"/>
    <mergeCell ref="F672:F673"/>
    <mergeCell ref="A674:A675"/>
    <mergeCell ref="A670:A671"/>
    <mergeCell ref="J666:J667"/>
    <mergeCell ref="A662:A663"/>
    <mergeCell ref="B662:B663"/>
    <mergeCell ref="C662:C663"/>
    <mergeCell ref="D662:D663"/>
    <mergeCell ref="E662:E663"/>
    <mergeCell ref="F662:F663"/>
    <mergeCell ref="H662:H663"/>
    <mergeCell ref="H668:H669"/>
    <mergeCell ref="I668:I669"/>
    <mergeCell ref="J668:J669"/>
    <mergeCell ref="K668:K669"/>
    <mergeCell ref="L668:L669"/>
    <mergeCell ref="F674:F675"/>
    <mergeCell ref="C674:C675"/>
    <mergeCell ref="D674:D675"/>
    <mergeCell ref="E674:E675"/>
    <mergeCell ref="B670:B671"/>
    <mergeCell ref="C670:C671"/>
    <mergeCell ref="D670:D671"/>
    <mergeCell ref="L674:L675"/>
    <mergeCell ref="B674:B675"/>
    <mergeCell ref="I670:I671"/>
    <mergeCell ref="J670:J671"/>
    <mergeCell ref="K670:K671"/>
    <mergeCell ref="E670:E671"/>
    <mergeCell ref="F670:F671"/>
    <mergeCell ref="K674:K675"/>
    <mergeCell ref="H670:H671"/>
    <mergeCell ref="A668:A669"/>
    <mergeCell ref="B668:B669"/>
    <mergeCell ref="C668:C669"/>
    <mergeCell ref="H657:H658"/>
    <mergeCell ref="I657:I658"/>
    <mergeCell ref="J657:J658"/>
    <mergeCell ref="K657:K658"/>
    <mergeCell ref="L657:L658"/>
    <mergeCell ref="M655:M656"/>
    <mergeCell ref="A657:A658"/>
    <mergeCell ref="B657:B658"/>
    <mergeCell ref="C657:C658"/>
    <mergeCell ref="D657:D658"/>
    <mergeCell ref="E657:E658"/>
    <mergeCell ref="M666:M667"/>
    <mergeCell ref="A666:A667"/>
    <mergeCell ref="B666:B667"/>
    <mergeCell ref="C666:C667"/>
    <mergeCell ref="D666:D667"/>
    <mergeCell ref="E666:E667"/>
    <mergeCell ref="F666:F667"/>
    <mergeCell ref="A664:A665"/>
    <mergeCell ref="B664:B665"/>
    <mergeCell ref="C664:C665"/>
    <mergeCell ref="D664:D665"/>
    <mergeCell ref="E664:E665"/>
    <mergeCell ref="F664:F665"/>
    <mergeCell ref="I662:I663"/>
    <mergeCell ref="J662:J663"/>
    <mergeCell ref="K662:K663"/>
    <mergeCell ref="L662:L663"/>
    <mergeCell ref="M662:M663"/>
    <mergeCell ref="K664:K665"/>
    <mergeCell ref="L664:L665"/>
    <mergeCell ref="M664:M665"/>
    <mergeCell ref="K659:K660"/>
    <mergeCell ref="L659:L660"/>
    <mergeCell ref="M659:M660"/>
    <mergeCell ref="I655:I656"/>
    <mergeCell ref="J655:J656"/>
    <mergeCell ref="M651:M652"/>
    <mergeCell ref="A653:A654"/>
    <mergeCell ref="B653:B654"/>
    <mergeCell ref="C653:C654"/>
    <mergeCell ref="D653:D654"/>
    <mergeCell ref="E653:E654"/>
    <mergeCell ref="F653:F654"/>
    <mergeCell ref="H653:H654"/>
    <mergeCell ref="I653:I654"/>
    <mergeCell ref="J653:J654"/>
    <mergeCell ref="F651:F652"/>
    <mergeCell ref="H651:H652"/>
    <mergeCell ref="I651:I652"/>
    <mergeCell ref="J651:J652"/>
    <mergeCell ref="K651:K652"/>
    <mergeCell ref="L651:L652"/>
    <mergeCell ref="M657:M658"/>
    <mergeCell ref="A659:A660"/>
    <mergeCell ref="B659:B660"/>
    <mergeCell ref="C659:C660"/>
    <mergeCell ref="D659:D660"/>
    <mergeCell ref="E659:E660"/>
    <mergeCell ref="F659:F660"/>
    <mergeCell ref="H659:H660"/>
    <mergeCell ref="I659:I660"/>
    <mergeCell ref="J659:J660"/>
    <mergeCell ref="F657:F658"/>
    <mergeCell ref="A651:A652"/>
    <mergeCell ref="B651:B652"/>
    <mergeCell ref="C651:C652"/>
    <mergeCell ref="D651:D652"/>
    <mergeCell ref="E651:E652"/>
    <mergeCell ref="A649:A650"/>
    <mergeCell ref="B649:B650"/>
    <mergeCell ref="C649:C650"/>
    <mergeCell ref="D649:D650"/>
    <mergeCell ref="E649:E650"/>
    <mergeCell ref="F649:F650"/>
    <mergeCell ref="H649:H650"/>
    <mergeCell ref="K653:K654"/>
    <mergeCell ref="L653:L654"/>
    <mergeCell ref="M653:M654"/>
    <mergeCell ref="A655:A656"/>
    <mergeCell ref="B655:B656"/>
    <mergeCell ref="C655:C656"/>
    <mergeCell ref="D655:D656"/>
    <mergeCell ref="E655:E656"/>
    <mergeCell ref="F655:F656"/>
    <mergeCell ref="H655:H656"/>
    <mergeCell ref="F647:F648"/>
    <mergeCell ref="H647:H648"/>
    <mergeCell ref="I647:I648"/>
    <mergeCell ref="J647:J648"/>
    <mergeCell ref="F645:F646"/>
    <mergeCell ref="H645:H646"/>
    <mergeCell ref="I645:I646"/>
    <mergeCell ref="J645:J646"/>
    <mergeCell ref="K645:K646"/>
    <mergeCell ref="L645:L646"/>
    <mergeCell ref="M643:M644"/>
    <mergeCell ref="A645:A646"/>
    <mergeCell ref="B645:B646"/>
    <mergeCell ref="C645:C646"/>
    <mergeCell ref="D645:D646"/>
    <mergeCell ref="E645:E646"/>
    <mergeCell ref="I649:I650"/>
    <mergeCell ref="J649:J650"/>
    <mergeCell ref="K649:K650"/>
    <mergeCell ref="L649:L650"/>
    <mergeCell ref="M649:M650"/>
    <mergeCell ref="D647:D648"/>
    <mergeCell ref="E647:E648"/>
    <mergeCell ref="M641:M642"/>
    <mergeCell ref="A643:A644"/>
    <mergeCell ref="B643:B644"/>
    <mergeCell ref="C643:C644"/>
    <mergeCell ref="D643:D644"/>
    <mergeCell ref="E643:E644"/>
    <mergeCell ref="F643:F644"/>
    <mergeCell ref="H643:H644"/>
    <mergeCell ref="K647:K648"/>
    <mergeCell ref="L647:L648"/>
    <mergeCell ref="M647:M648"/>
    <mergeCell ref="I643:I644"/>
    <mergeCell ref="J643:J644"/>
    <mergeCell ref="M639:M640"/>
    <mergeCell ref="A641:A642"/>
    <mergeCell ref="B641:B642"/>
    <mergeCell ref="C641:C642"/>
    <mergeCell ref="D641:D642"/>
    <mergeCell ref="E641:E642"/>
    <mergeCell ref="F641:F642"/>
    <mergeCell ref="H641:H642"/>
    <mergeCell ref="I641:I642"/>
    <mergeCell ref="J641:J642"/>
    <mergeCell ref="A639:A640"/>
    <mergeCell ref="B639:B640"/>
    <mergeCell ref="C639:C640"/>
    <mergeCell ref="D639:D640"/>
    <mergeCell ref="E639:E640"/>
    <mergeCell ref="F639:F640"/>
    <mergeCell ref="H639:H640"/>
    <mergeCell ref="M645:M646"/>
    <mergeCell ref="A647:A648"/>
    <mergeCell ref="H635:H636"/>
    <mergeCell ref="I635:I636"/>
    <mergeCell ref="J635:J636"/>
    <mergeCell ref="K635:K636"/>
    <mergeCell ref="L635:L636"/>
    <mergeCell ref="M635:M636"/>
    <mergeCell ref="A635:A636"/>
    <mergeCell ref="B635:B636"/>
    <mergeCell ref="C635:C636"/>
    <mergeCell ref="D635:D636"/>
    <mergeCell ref="E635:E636"/>
    <mergeCell ref="F635:F636"/>
    <mergeCell ref="M637:M638"/>
    <mergeCell ref="A637:A638"/>
    <mergeCell ref="B637:B638"/>
    <mergeCell ref="C637:C638"/>
    <mergeCell ref="K633:K634"/>
    <mergeCell ref="L633:L634"/>
    <mergeCell ref="M633:M634"/>
    <mergeCell ref="A633:A634"/>
    <mergeCell ref="B633:B634"/>
    <mergeCell ref="C633:C634"/>
    <mergeCell ref="D633:D634"/>
    <mergeCell ref="E633:E634"/>
    <mergeCell ref="F633:F634"/>
    <mergeCell ref="H631:H632"/>
    <mergeCell ref="I631:I632"/>
    <mergeCell ref="J631:J632"/>
    <mergeCell ref="K631:K632"/>
    <mergeCell ref="L631:L632"/>
    <mergeCell ref="M631:M632"/>
    <mergeCell ref="A631:A632"/>
    <mergeCell ref="B631:B632"/>
    <mergeCell ref="C631:C632"/>
    <mergeCell ref="D631:D632"/>
    <mergeCell ref="E631:E632"/>
    <mergeCell ref="F631:F632"/>
    <mergeCell ref="H633:H634"/>
    <mergeCell ref="I633:I634"/>
    <mergeCell ref="J633:J634"/>
    <mergeCell ref="I629:I630"/>
    <mergeCell ref="J629:J630"/>
    <mergeCell ref="K629:K630"/>
    <mergeCell ref="L629:L630"/>
    <mergeCell ref="M629:M630"/>
    <mergeCell ref="A629:A630"/>
    <mergeCell ref="B629:B630"/>
    <mergeCell ref="C629:C630"/>
    <mergeCell ref="D629:D630"/>
    <mergeCell ref="E629:E630"/>
    <mergeCell ref="F629:F630"/>
    <mergeCell ref="L627:L628"/>
    <mergeCell ref="M627:M628"/>
    <mergeCell ref="A627:A628"/>
    <mergeCell ref="B627:B628"/>
    <mergeCell ref="C627:C628"/>
    <mergeCell ref="D627:D628"/>
    <mergeCell ref="E627:E628"/>
    <mergeCell ref="F627:F628"/>
    <mergeCell ref="H629:H630"/>
    <mergeCell ref="H625:H626"/>
    <mergeCell ref="I625:I626"/>
    <mergeCell ref="J625:J626"/>
    <mergeCell ref="K625:K626"/>
    <mergeCell ref="L625:L626"/>
    <mergeCell ref="M625:M626"/>
    <mergeCell ref="A625:A626"/>
    <mergeCell ref="B625:B626"/>
    <mergeCell ref="C625:C626"/>
    <mergeCell ref="D625:D626"/>
    <mergeCell ref="E625:E626"/>
    <mergeCell ref="F625:F626"/>
    <mergeCell ref="A623:A624"/>
    <mergeCell ref="B623:B624"/>
    <mergeCell ref="C623:C624"/>
    <mergeCell ref="D623:D624"/>
    <mergeCell ref="E623:E624"/>
    <mergeCell ref="F623:F624"/>
    <mergeCell ref="H621:H622"/>
    <mergeCell ref="I621:I622"/>
    <mergeCell ref="J621:J622"/>
    <mergeCell ref="K621:K622"/>
    <mergeCell ref="L621:L622"/>
    <mergeCell ref="M621:M622"/>
    <mergeCell ref="A621:A622"/>
    <mergeCell ref="B621:B622"/>
    <mergeCell ref="C621:C622"/>
    <mergeCell ref="D621:D622"/>
    <mergeCell ref="E621:E622"/>
    <mergeCell ref="F621:F622"/>
    <mergeCell ref="C619:C620"/>
    <mergeCell ref="D619:D620"/>
    <mergeCell ref="E619:E620"/>
    <mergeCell ref="F619:F620"/>
    <mergeCell ref="H613:H614"/>
    <mergeCell ref="I613:I614"/>
    <mergeCell ref="J613:J614"/>
    <mergeCell ref="K613:K614"/>
    <mergeCell ref="L613:L614"/>
    <mergeCell ref="M613:M614"/>
    <mergeCell ref="A613:A614"/>
    <mergeCell ref="B613:B614"/>
    <mergeCell ref="C613:C614"/>
    <mergeCell ref="D613:D614"/>
    <mergeCell ref="E613:E614"/>
    <mergeCell ref="F613:F614"/>
    <mergeCell ref="A615:A616"/>
    <mergeCell ref="B615:B616"/>
    <mergeCell ref="C615:C616"/>
    <mergeCell ref="D615:D616"/>
    <mergeCell ref="E615:E616"/>
    <mergeCell ref="F615:F616"/>
    <mergeCell ref="H615:H616"/>
    <mergeCell ref="I615:I616"/>
    <mergeCell ref="J615:J616"/>
    <mergeCell ref="K615:K616"/>
    <mergeCell ref="L615:L616"/>
    <mergeCell ref="M615:M616"/>
    <mergeCell ref="A617:A618"/>
    <mergeCell ref="B617:B618"/>
    <mergeCell ref="C617:C618"/>
    <mergeCell ref="D617:D618"/>
    <mergeCell ref="H611:H612"/>
    <mergeCell ref="I611:I612"/>
    <mergeCell ref="J611:J612"/>
    <mergeCell ref="K611:K612"/>
    <mergeCell ref="L611:L612"/>
    <mergeCell ref="M611:M612"/>
    <mergeCell ref="A611:A612"/>
    <mergeCell ref="B611:B612"/>
    <mergeCell ref="C611:C612"/>
    <mergeCell ref="D611:D612"/>
    <mergeCell ref="E611:E612"/>
    <mergeCell ref="F611:F612"/>
    <mergeCell ref="H609:H610"/>
    <mergeCell ref="I609:I610"/>
    <mergeCell ref="J609:J610"/>
    <mergeCell ref="K609:K610"/>
    <mergeCell ref="L609:L610"/>
    <mergeCell ref="M609:M610"/>
    <mergeCell ref="A609:A610"/>
    <mergeCell ref="B609:B610"/>
    <mergeCell ref="C609:C610"/>
    <mergeCell ref="D609:D610"/>
    <mergeCell ref="E609:E610"/>
    <mergeCell ref="F609:F610"/>
    <mergeCell ref="H607:H608"/>
    <mergeCell ref="I607:I608"/>
    <mergeCell ref="J607:J608"/>
    <mergeCell ref="K607:K608"/>
    <mergeCell ref="L607:L608"/>
    <mergeCell ref="M607:M608"/>
    <mergeCell ref="A607:A608"/>
    <mergeCell ref="B607:B608"/>
    <mergeCell ref="C607:C608"/>
    <mergeCell ref="D607:D608"/>
    <mergeCell ref="E607:E608"/>
    <mergeCell ref="F607:F608"/>
    <mergeCell ref="H605:H606"/>
    <mergeCell ref="I605:I606"/>
    <mergeCell ref="J605:J606"/>
    <mergeCell ref="K605:K606"/>
    <mergeCell ref="L605:L606"/>
    <mergeCell ref="M605:M606"/>
    <mergeCell ref="A605:A606"/>
    <mergeCell ref="B605:B606"/>
    <mergeCell ref="C605:C606"/>
    <mergeCell ref="D605:D606"/>
    <mergeCell ref="E605:E606"/>
    <mergeCell ref="F605:F606"/>
    <mergeCell ref="H603:H604"/>
    <mergeCell ref="I603:I604"/>
    <mergeCell ref="J603:J604"/>
    <mergeCell ref="K603:K604"/>
    <mergeCell ref="L603:L604"/>
    <mergeCell ref="M603:M604"/>
    <mergeCell ref="A603:A604"/>
    <mergeCell ref="B603:B604"/>
    <mergeCell ref="C603:C604"/>
    <mergeCell ref="D603:D604"/>
    <mergeCell ref="E603:E604"/>
    <mergeCell ref="F603:F604"/>
    <mergeCell ref="H601:H602"/>
    <mergeCell ref="I601:I602"/>
    <mergeCell ref="J601:J602"/>
    <mergeCell ref="K601:K602"/>
    <mergeCell ref="L601:L602"/>
    <mergeCell ref="M601:M602"/>
    <mergeCell ref="A601:A602"/>
    <mergeCell ref="B601:B602"/>
    <mergeCell ref="C601:C602"/>
    <mergeCell ref="D601:D602"/>
    <mergeCell ref="E601:E602"/>
    <mergeCell ref="F601:F602"/>
    <mergeCell ref="H597:H598"/>
    <mergeCell ref="I597:I598"/>
    <mergeCell ref="J597:J598"/>
    <mergeCell ref="K597:K598"/>
    <mergeCell ref="L597:L598"/>
    <mergeCell ref="M597:M598"/>
    <mergeCell ref="A597:A598"/>
    <mergeCell ref="B597:B598"/>
    <mergeCell ref="C597:C598"/>
    <mergeCell ref="D597:D598"/>
    <mergeCell ref="E597:E598"/>
    <mergeCell ref="F597:F598"/>
    <mergeCell ref="H595:H596"/>
    <mergeCell ref="I595:I596"/>
    <mergeCell ref="J595:J596"/>
    <mergeCell ref="K595:K596"/>
    <mergeCell ref="L595:L596"/>
    <mergeCell ref="M595:M596"/>
    <mergeCell ref="A595:A596"/>
    <mergeCell ref="B595:B596"/>
    <mergeCell ref="C595:C596"/>
    <mergeCell ref="D595:D596"/>
    <mergeCell ref="E595:E596"/>
    <mergeCell ref="F595:F596"/>
    <mergeCell ref="C422:C423"/>
    <mergeCell ref="D422:D423"/>
    <mergeCell ref="E422:E423"/>
    <mergeCell ref="F422:F423"/>
    <mergeCell ref="I591:I592"/>
    <mergeCell ref="J591:J592"/>
    <mergeCell ref="L587:L588"/>
    <mergeCell ref="K583:K584"/>
    <mergeCell ref="L583:L584"/>
    <mergeCell ref="M583:M584"/>
    <mergeCell ref="A585:A586"/>
    <mergeCell ref="B585:B586"/>
    <mergeCell ref="B583:B584"/>
    <mergeCell ref="C583:C584"/>
    <mergeCell ref="D583:D584"/>
    <mergeCell ref="E583:E584"/>
    <mergeCell ref="F583:F584"/>
    <mergeCell ref="H583:H584"/>
    <mergeCell ref="I583:I584"/>
    <mergeCell ref="J583:J584"/>
    <mergeCell ref="F581:F582"/>
    <mergeCell ref="H581:H582"/>
    <mergeCell ref="I581:I582"/>
    <mergeCell ref="J581:J582"/>
    <mergeCell ref="H589:H590"/>
    <mergeCell ref="C585:C586"/>
    <mergeCell ref="D585:D586"/>
    <mergeCell ref="E585:E586"/>
    <mergeCell ref="F585:F586"/>
    <mergeCell ref="H585:H586"/>
    <mergeCell ref="M581:M582"/>
    <mergeCell ref="A583:A584"/>
    <mergeCell ref="H390:H391"/>
    <mergeCell ref="I390:I391"/>
    <mergeCell ref="J390:J391"/>
    <mergeCell ref="K390:K391"/>
    <mergeCell ref="L390:L391"/>
    <mergeCell ref="M390:M391"/>
    <mergeCell ref="A390:A391"/>
    <mergeCell ref="B390:B391"/>
    <mergeCell ref="C390:C391"/>
    <mergeCell ref="D390:D391"/>
    <mergeCell ref="E390:E391"/>
    <mergeCell ref="F390:F391"/>
    <mergeCell ref="H388:H389"/>
    <mergeCell ref="I388:I389"/>
    <mergeCell ref="J388:J389"/>
    <mergeCell ref="K388:K389"/>
    <mergeCell ref="L388:L389"/>
    <mergeCell ref="M388:M389"/>
    <mergeCell ref="A388:A389"/>
    <mergeCell ref="B388:B389"/>
    <mergeCell ref="C388:C389"/>
    <mergeCell ref="D388:D389"/>
    <mergeCell ref="E388:E389"/>
    <mergeCell ref="F388:F389"/>
    <mergeCell ref="I386:I387"/>
    <mergeCell ref="J386:J387"/>
    <mergeCell ref="K386:K387"/>
    <mergeCell ref="L386:L387"/>
    <mergeCell ref="M386:M387"/>
    <mergeCell ref="A386:A387"/>
    <mergeCell ref="B386:B387"/>
    <mergeCell ref="C386:C387"/>
    <mergeCell ref="D386:D387"/>
    <mergeCell ref="E386:E387"/>
    <mergeCell ref="F386:F387"/>
    <mergeCell ref="H380:H381"/>
    <mergeCell ref="I380:I381"/>
    <mergeCell ref="J380:J381"/>
    <mergeCell ref="K380:K381"/>
    <mergeCell ref="L380:L381"/>
    <mergeCell ref="M380:M381"/>
    <mergeCell ref="A380:A381"/>
    <mergeCell ref="B380:B381"/>
    <mergeCell ref="C380:C381"/>
    <mergeCell ref="D380:D381"/>
    <mergeCell ref="E380:E381"/>
    <mergeCell ref="F380:F381"/>
    <mergeCell ref="I382:I383"/>
    <mergeCell ref="J382:J383"/>
    <mergeCell ref="K382:K383"/>
    <mergeCell ref="L382:L383"/>
    <mergeCell ref="M382:M383"/>
    <mergeCell ref="H176:H177"/>
    <mergeCell ref="I176:I177"/>
    <mergeCell ref="J176:J177"/>
    <mergeCell ref="H296:H297"/>
    <mergeCell ref="I296:I297"/>
    <mergeCell ref="J296:J297"/>
    <mergeCell ref="H294:H295"/>
    <mergeCell ref="I294:I295"/>
    <mergeCell ref="J294:J295"/>
    <mergeCell ref="H290:H291"/>
    <mergeCell ref="H310:H311"/>
    <mergeCell ref="I310:I311"/>
    <mergeCell ref="J310:J311"/>
    <mergeCell ref="K310:K311"/>
    <mergeCell ref="L310:L311"/>
    <mergeCell ref="H306:H307"/>
    <mergeCell ref="I306:I307"/>
    <mergeCell ref="J306:J307"/>
    <mergeCell ref="K306:K307"/>
    <mergeCell ref="L306:L307"/>
    <mergeCell ref="L290:L291"/>
    <mergeCell ref="H292:H293"/>
    <mergeCell ref="I292:I293"/>
    <mergeCell ref="J292:J293"/>
    <mergeCell ref="K292:K293"/>
    <mergeCell ref="L292:L293"/>
    <mergeCell ref="H282:H283"/>
    <mergeCell ref="I282:I283"/>
    <mergeCell ref="J282:J283"/>
    <mergeCell ref="K282:K283"/>
    <mergeCell ref="L282:L283"/>
    <mergeCell ref="H278:H279"/>
    <mergeCell ref="A176:A177"/>
    <mergeCell ref="B176:B177"/>
    <mergeCell ref="C176:C177"/>
    <mergeCell ref="D176:D177"/>
    <mergeCell ref="E176:E177"/>
    <mergeCell ref="F176:F177"/>
    <mergeCell ref="K176:K177"/>
    <mergeCell ref="L176:L177"/>
    <mergeCell ref="M176:M177"/>
    <mergeCell ref="K298:K299"/>
    <mergeCell ref="L298:L299"/>
    <mergeCell ref="M298:M299"/>
    <mergeCell ref="K296:K297"/>
    <mergeCell ref="L296:L297"/>
    <mergeCell ref="M296:M297"/>
    <mergeCell ref="M294:M295"/>
    <mergeCell ref="M587:M588"/>
    <mergeCell ref="K585:K586"/>
    <mergeCell ref="L585:L586"/>
    <mergeCell ref="F587:F588"/>
    <mergeCell ref="H587:H588"/>
    <mergeCell ref="I587:I588"/>
    <mergeCell ref="J587:J588"/>
    <mergeCell ref="I585:I586"/>
    <mergeCell ref="J585:J586"/>
    <mergeCell ref="M585:M586"/>
    <mergeCell ref="A587:A588"/>
    <mergeCell ref="B587:B588"/>
    <mergeCell ref="C587:C588"/>
    <mergeCell ref="D587:D588"/>
    <mergeCell ref="E587:E588"/>
    <mergeCell ref="K587:K588"/>
    <mergeCell ref="A581:A582"/>
    <mergeCell ref="B581:B582"/>
    <mergeCell ref="C581:C582"/>
    <mergeCell ref="D581:D582"/>
    <mergeCell ref="E581:E582"/>
    <mergeCell ref="K581:K582"/>
    <mergeCell ref="H575:H576"/>
    <mergeCell ref="I575:I576"/>
    <mergeCell ref="J575:J576"/>
    <mergeCell ref="K575:K576"/>
    <mergeCell ref="L575:L576"/>
    <mergeCell ref="H577:H578"/>
    <mergeCell ref="I577:I578"/>
    <mergeCell ref="J577:J578"/>
    <mergeCell ref="K577:K578"/>
    <mergeCell ref="M575:M576"/>
    <mergeCell ref="A575:A576"/>
    <mergeCell ref="B575:B576"/>
    <mergeCell ref="C575:C576"/>
    <mergeCell ref="D575:D576"/>
    <mergeCell ref="E575:E576"/>
    <mergeCell ref="F575:F576"/>
    <mergeCell ref="E579:E580"/>
    <mergeCell ref="F579:F580"/>
    <mergeCell ref="J579:J580"/>
    <mergeCell ref="K579:K580"/>
    <mergeCell ref="H571:H572"/>
    <mergeCell ref="I571:I572"/>
    <mergeCell ref="J571:J572"/>
    <mergeCell ref="K571:K572"/>
    <mergeCell ref="L571:L572"/>
    <mergeCell ref="M571:M572"/>
    <mergeCell ref="A571:A572"/>
    <mergeCell ref="B571:B572"/>
    <mergeCell ref="C571:C572"/>
    <mergeCell ref="D571:D572"/>
    <mergeCell ref="E571:E572"/>
    <mergeCell ref="F571:F572"/>
    <mergeCell ref="H569:H570"/>
    <mergeCell ref="I569:I570"/>
    <mergeCell ref="J569:J570"/>
    <mergeCell ref="K569:K570"/>
    <mergeCell ref="L569:L570"/>
    <mergeCell ref="M569:M570"/>
    <mergeCell ref="A569:A570"/>
    <mergeCell ref="B569:B570"/>
    <mergeCell ref="C569:C570"/>
    <mergeCell ref="D569:D570"/>
    <mergeCell ref="E569:E570"/>
    <mergeCell ref="F569:F570"/>
    <mergeCell ref="H567:H568"/>
    <mergeCell ref="I567:I568"/>
    <mergeCell ref="J567:J568"/>
    <mergeCell ref="K567:K568"/>
    <mergeCell ref="L567:L568"/>
    <mergeCell ref="M567:M568"/>
    <mergeCell ref="A567:A568"/>
    <mergeCell ref="B567:B568"/>
    <mergeCell ref="C567:C568"/>
    <mergeCell ref="D567:D568"/>
    <mergeCell ref="E567:E568"/>
    <mergeCell ref="F567:F568"/>
    <mergeCell ref="H565:H566"/>
    <mergeCell ref="I565:I566"/>
    <mergeCell ref="J565:J566"/>
    <mergeCell ref="K565:K566"/>
    <mergeCell ref="L565:L566"/>
    <mergeCell ref="M565:M566"/>
    <mergeCell ref="A565:A566"/>
    <mergeCell ref="B565:B566"/>
    <mergeCell ref="C565:C566"/>
    <mergeCell ref="D565:D566"/>
    <mergeCell ref="E565:E566"/>
    <mergeCell ref="F565:F566"/>
    <mergeCell ref="H563:H564"/>
    <mergeCell ref="I563:I564"/>
    <mergeCell ref="J563:J564"/>
    <mergeCell ref="K563:K564"/>
    <mergeCell ref="L563:L564"/>
    <mergeCell ref="M563:M564"/>
    <mergeCell ref="A563:A564"/>
    <mergeCell ref="B563:B564"/>
    <mergeCell ref="C563:C564"/>
    <mergeCell ref="D563:D564"/>
    <mergeCell ref="E563:E564"/>
    <mergeCell ref="F563:F564"/>
    <mergeCell ref="H559:H560"/>
    <mergeCell ref="I559:I560"/>
    <mergeCell ref="J559:J560"/>
    <mergeCell ref="K559:K560"/>
    <mergeCell ref="L559:L560"/>
    <mergeCell ref="M559:M560"/>
    <mergeCell ref="A559:A560"/>
    <mergeCell ref="B559:B560"/>
    <mergeCell ref="C559:C560"/>
    <mergeCell ref="D559:D560"/>
    <mergeCell ref="E559:E560"/>
    <mergeCell ref="F559:F560"/>
    <mergeCell ref="A561:A562"/>
    <mergeCell ref="B561:B562"/>
    <mergeCell ref="C561:C562"/>
    <mergeCell ref="D561:D562"/>
    <mergeCell ref="E561:E562"/>
    <mergeCell ref="F561:F562"/>
    <mergeCell ref="H561:H562"/>
    <mergeCell ref="I561:I562"/>
    <mergeCell ref="H557:H558"/>
    <mergeCell ref="I557:I558"/>
    <mergeCell ref="J557:J558"/>
    <mergeCell ref="K557:K558"/>
    <mergeCell ref="L557:L558"/>
    <mergeCell ref="M557:M558"/>
    <mergeCell ref="A557:A558"/>
    <mergeCell ref="B557:B558"/>
    <mergeCell ref="C557:C558"/>
    <mergeCell ref="D557:D558"/>
    <mergeCell ref="E557:E558"/>
    <mergeCell ref="F557:F558"/>
    <mergeCell ref="H554:H555"/>
    <mergeCell ref="I554:I555"/>
    <mergeCell ref="J554:J555"/>
    <mergeCell ref="K554:K555"/>
    <mergeCell ref="L554:L555"/>
    <mergeCell ref="M554:M555"/>
    <mergeCell ref="A554:A555"/>
    <mergeCell ref="B554:B555"/>
    <mergeCell ref="C554:C555"/>
    <mergeCell ref="D554:D555"/>
    <mergeCell ref="E554:E555"/>
    <mergeCell ref="F554:F555"/>
    <mergeCell ref="B556:M556"/>
    <mergeCell ref="H552:H553"/>
    <mergeCell ref="I552:I553"/>
    <mergeCell ref="J552:J553"/>
    <mergeCell ref="K552:K553"/>
    <mergeCell ref="L552:L553"/>
    <mergeCell ref="M552:M553"/>
    <mergeCell ref="A552:A553"/>
    <mergeCell ref="B552:B553"/>
    <mergeCell ref="C552:C553"/>
    <mergeCell ref="D552:D553"/>
    <mergeCell ref="E552:E553"/>
    <mergeCell ref="F552:F553"/>
    <mergeCell ref="H550:H551"/>
    <mergeCell ref="I550:I551"/>
    <mergeCell ref="J550:J551"/>
    <mergeCell ref="K550:K551"/>
    <mergeCell ref="L550:L551"/>
    <mergeCell ref="M550:M551"/>
    <mergeCell ref="A550:A551"/>
    <mergeCell ref="B550:B551"/>
    <mergeCell ref="C550:C551"/>
    <mergeCell ref="D550:D551"/>
    <mergeCell ref="E550:E551"/>
    <mergeCell ref="F550:F551"/>
    <mergeCell ref="H548:H549"/>
    <mergeCell ref="I548:I549"/>
    <mergeCell ref="J548:J549"/>
    <mergeCell ref="K548:K549"/>
    <mergeCell ref="L548:L549"/>
    <mergeCell ref="M548:M549"/>
    <mergeCell ref="A548:A549"/>
    <mergeCell ref="B548:B549"/>
    <mergeCell ref="C548:C549"/>
    <mergeCell ref="D548:D549"/>
    <mergeCell ref="E548:E549"/>
    <mergeCell ref="F548:F549"/>
    <mergeCell ref="H546:H547"/>
    <mergeCell ref="I546:I547"/>
    <mergeCell ref="J546:J547"/>
    <mergeCell ref="K546:K547"/>
    <mergeCell ref="L546:L547"/>
    <mergeCell ref="M546:M547"/>
    <mergeCell ref="A546:A547"/>
    <mergeCell ref="B546:B547"/>
    <mergeCell ref="C546:C547"/>
    <mergeCell ref="D546:D547"/>
    <mergeCell ref="E546:E547"/>
    <mergeCell ref="F546:F547"/>
    <mergeCell ref="H544:H545"/>
    <mergeCell ref="I544:I545"/>
    <mergeCell ref="J544:J545"/>
    <mergeCell ref="K544:K545"/>
    <mergeCell ref="L544:L545"/>
    <mergeCell ref="M544:M545"/>
    <mergeCell ref="A544:A545"/>
    <mergeCell ref="B544:B545"/>
    <mergeCell ref="C544:C545"/>
    <mergeCell ref="D544:D545"/>
    <mergeCell ref="E544:E545"/>
    <mergeCell ref="F544:F545"/>
    <mergeCell ref="H542:H543"/>
    <mergeCell ref="I542:I543"/>
    <mergeCell ref="J542:J543"/>
    <mergeCell ref="K542:K543"/>
    <mergeCell ref="L542:L543"/>
    <mergeCell ref="M542:M543"/>
    <mergeCell ref="A542:A543"/>
    <mergeCell ref="B542:B543"/>
    <mergeCell ref="C542:C543"/>
    <mergeCell ref="D542:D543"/>
    <mergeCell ref="E542:E543"/>
    <mergeCell ref="F542:F543"/>
    <mergeCell ref="H540:H541"/>
    <mergeCell ref="I540:I541"/>
    <mergeCell ref="J540:J541"/>
    <mergeCell ref="K540:K541"/>
    <mergeCell ref="L540:L541"/>
    <mergeCell ref="M540:M541"/>
    <mergeCell ref="A540:A541"/>
    <mergeCell ref="B540:B541"/>
    <mergeCell ref="C540:C541"/>
    <mergeCell ref="D540:D541"/>
    <mergeCell ref="E540:E541"/>
    <mergeCell ref="F540:F541"/>
    <mergeCell ref="H538:H539"/>
    <mergeCell ref="I538:I539"/>
    <mergeCell ref="J538:J539"/>
    <mergeCell ref="K538:K539"/>
    <mergeCell ref="L538:L539"/>
    <mergeCell ref="M538:M539"/>
    <mergeCell ref="A538:A539"/>
    <mergeCell ref="B538:B539"/>
    <mergeCell ref="C538:C539"/>
    <mergeCell ref="D538:D539"/>
    <mergeCell ref="E538:E539"/>
    <mergeCell ref="F538:F539"/>
    <mergeCell ref="H536:H537"/>
    <mergeCell ref="I536:I537"/>
    <mergeCell ref="J536:J537"/>
    <mergeCell ref="K536:K537"/>
    <mergeCell ref="L536:L537"/>
    <mergeCell ref="M536:M537"/>
    <mergeCell ref="A536:A537"/>
    <mergeCell ref="B536:B537"/>
    <mergeCell ref="C536:C537"/>
    <mergeCell ref="D536:D537"/>
    <mergeCell ref="E536:E537"/>
    <mergeCell ref="F536:F537"/>
    <mergeCell ref="H534:H535"/>
    <mergeCell ref="I534:I535"/>
    <mergeCell ref="J534:J535"/>
    <mergeCell ref="K534:K535"/>
    <mergeCell ref="L534:L535"/>
    <mergeCell ref="M534:M535"/>
    <mergeCell ref="A534:A535"/>
    <mergeCell ref="B534:B535"/>
    <mergeCell ref="C534:C535"/>
    <mergeCell ref="D534:D535"/>
    <mergeCell ref="E534:E535"/>
    <mergeCell ref="F534:F535"/>
    <mergeCell ref="H532:H533"/>
    <mergeCell ref="I532:I533"/>
    <mergeCell ref="J532:J533"/>
    <mergeCell ref="K532:K533"/>
    <mergeCell ref="L532:L533"/>
    <mergeCell ref="M532:M533"/>
    <mergeCell ref="A532:A533"/>
    <mergeCell ref="B532:B533"/>
    <mergeCell ref="C532:C533"/>
    <mergeCell ref="D532:D533"/>
    <mergeCell ref="E532:E533"/>
    <mergeCell ref="F532:F533"/>
    <mergeCell ref="H530:H531"/>
    <mergeCell ref="I530:I531"/>
    <mergeCell ref="J530:J531"/>
    <mergeCell ref="K530:K531"/>
    <mergeCell ref="L530:L531"/>
    <mergeCell ref="M530:M531"/>
    <mergeCell ref="A530:A531"/>
    <mergeCell ref="B530:B531"/>
    <mergeCell ref="C530:C531"/>
    <mergeCell ref="D530:D531"/>
    <mergeCell ref="E530:E531"/>
    <mergeCell ref="F530:F531"/>
    <mergeCell ref="H528:H529"/>
    <mergeCell ref="I528:I529"/>
    <mergeCell ref="J528:J529"/>
    <mergeCell ref="K528:K529"/>
    <mergeCell ref="L528:L529"/>
    <mergeCell ref="M528:M529"/>
    <mergeCell ref="A528:A529"/>
    <mergeCell ref="B528:B529"/>
    <mergeCell ref="C528:C529"/>
    <mergeCell ref="D528:D529"/>
    <mergeCell ref="E528:E529"/>
    <mergeCell ref="F528:F529"/>
    <mergeCell ref="H526:H527"/>
    <mergeCell ref="I526:I527"/>
    <mergeCell ref="J526:J527"/>
    <mergeCell ref="K526:K527"/>
    <mergeCell ref="L526:L527"/>
    <mergeCell ref="M526:M527"/>
    <mergeCell ref="A526:A527"/>
    <mergeCell ref="B526:B527"/>
    <mergeCell ref="C526:C527"/>
    <mergeCell ref="D526:D527"/>
    <mergeCell ref="E526:E527"/>
    <mergeCell ref="F526:F527"/>
    <mergeCell ref="H524:H525"/>
    <mergeCell ref="I524:I525"/>
    <mergeCell ref="J524:J525"/>
    <mergeCell ref="K524:K525"/>
    <mergeCell ref="L524:L525"/>
    <mergeCell ref="M524:M525"/>
    <mergeCell ref="A524:A525"/>
    <mergeCell ref="B524:B525"/>
    <mergeCell ref="C524:C525"/>
    <mergeCell ref="D524:D525"/>
    <mergeCell ref="E524:E525"/>
    <mergeCell ref="F524:F525"/>
    <mergeCell ref="H522:H523"/>
    <mergeCell ref="I522:I523"/>
    <mergeCell ref="J522:J523"/>
    <mergeCell ref="K522:K523"/>
    <mergeCell ref="L522:L523"/>
    <mergeCell ref="M522:M523"/>
    <mergeCell ref="A522:A523"/>
    <mergeCell ref="B522:B523"/>
    <mergeCell ref="C522:C523"/>
    <mergeCell ref="D522:D523"/>
    <mergeCell ref="E522:E523"/>
    <mergeCell ref="F522:F523"/>
    <mergeCell ref="H520:H521"/>
    <mergeCell ref="I520:I521"/>
    <mergeCell ref="J520:J521"/>
    <mergeCell ref="K520:K521"/>
    <mergeCell ref="L520:L521"/>
    <mergeCell ref="M520:M521"/>
    <mergeCell ref="A520:A521"/>
    <mergeCell ref="B520:B521"/>
    <mergeCell ref="C520:C521"/>
    <mergeCell ref="D520:D521"/>
    <mergeCell ref="E520:E521"/>
    <mergeCell ref="F520:F521"/>
    <mergeCell ref="H518:H519"/>
    <mergeCell ref="I518:I519"/>
    <mergeCell ref="J518:J519"/>
    <mergeCell ref="K518:K519"/>
    <mergeCell ref="L518:L519"/>
    <mergeCell ref="M518:M519"/>
    <mergeCell ref="A518:A519"/>
    <mergeCell ref="B518:B519"/>
    <mergeCell ref="C518:C519"/>
    <mergeCell ref="D518:D519"/>
    <mergeCell ref="E518:E519"/>
    <mergeCell ref="F518:F519"/>
    <mergeCell ref="H516:H517"/>
    <mergeCell ref="I516:I517"/>
    <mergeCell ref="J516:J517"/>
    <mergeCell ref="K516:K517"/>
    <mergeCell ref="L516:L517"/>
    <mergeCell ref="M516:M517"/>
    <mergeCell ref="A516:A517"/>
    <mergeCell ref="B516:B517"/>
    <mergeCell ref="C516:C517"/>
    <mergeCell ref="D516:D517"/>
    <mergeCell ref="E516:E517"/>
    <mergeCell ref="F516:F517"/>
    <mergeCell ref="H514:H515"/>
    <mergeCell ref="I514:I515"/>
    <mergeCell ref="J514:J515"/>
    <mergeCell ref="K514:K515"/>
    <mergeCell ref="L514:L515"/>
    <mergeCell ref="M514:M515"/>
    <mergeCell ref="A514:A515"/>
    <mergeCell ref="B514:B515"/>
    <mergeCell ref="C514:C515"/>
    <mergeCell ref="D514:D515"/>
    <mergeCell ref="E514:E515"/>
    <mergeCell ref="F514:F515"/>
    <mergeCell ref="H512:H513"/>
    <mergeCell ref="I512:I513"/>
    <mergeCell ref="J512:J513"/>
    <mergeCell ref="K512:K513"/>
    <mergeCell ref="L512:L513"/>
    <mergeCell ref="M512:M513"/>
    <mergeCell ref="A512:A513"/>
    <mergeCell ref="B512:B513"/>
    <mergeCell ref="C512:C513"/>
    <mergeCell ref="D512:D513"/>
    <mergeCell ref="E512:E513"/>
    <mergeCell ref="F512:F513"/>
    <mergeCell ref="H510:H511"/>
    <mergeCell ref="I510:I511"/>
    <mergeCell ref="J510:J511"/>
    <mergeCell ref="K510:K511"/>
    <mergeCell ref="L510:L511"/>
    <mergeCell ref="M510:M511"/>
    <mergeCell ref="A510:A511"/>
    <mergeCell ref="B510:B511"/>
    <mergeCell ref="C510:C511"/>
    <mergeCell ref="D510:D511"/>
    <mergeCell ref="E510:E511"/>
    <mergeCell ref="F510:F511"/>
    <mergeCell ref="H508:H509"/>
    <mergeCell ref="I508:I509"/>
    <mergeCell ref="J508:J509"/>
    <mergeCell ref="K508:K509"/>
    <mergeCell ref="L508:L509"/>
    <mergeCell ref="M508:M509"/>
    <mergeCell ref="A508:A509"/>
    <mergeCell ref="B508:B509"/>
    <mergeCell ref="C508:C509"/>
    <mergeCell ref="D508:D509"/>
    <mergeCell ref="E508:E509"/>
    <mergeCell ref="F508:F509"/>
    <mergeCell ref="H506:H507"/>
    <mergeCell ref="I506:I507"/>
    <mergeCell ref="J506:J507"/>
    <mergeCell ref="K506:K507"/>
    <mergeCell ref="L506:L507"/>
    <mergeCell ref="M506:M507"/>
    <mergeCell ref="A506:A507"/>
    <mergeCell ref="B506:B507"/>
    <mergeCell ref="C506:C507"/>
    <mergeCell ref="D506:D507"/>
    <mergeCell ref="E506:E507"/>
    <mergeCell ref="F506:F507"/>
    <mergeCell ref="H504:H505"/>
    <mergeCell ref="I504:I505"/>
    <mergeCell ref="J504:J505"/>
    <mergeCell ref="K504:K505"/>
    <mergeCell ref="L504:L505"/>
    <mergeCell ref="M504:M505"/>
    <mergeCell ref="A504:A505"/>
    <mergeCell ref="B504:B505"/>
    <mergeCell ref="C504:C505"/>
    <mergeCell ref="D504:D505"/>
    <mergeCell ref="E504:E505"/>
    <mergeCell ref="F504:F505"/>
    <mergeCell ref="H502:H503"/>
    <mergeCell ref="I502:I503"/>
    <mergeCell ref="J502:J503"/>
    <mergeCell ref="K502:K503"/>
    <mergeCell ref="L502:L503"/>
    <mergeCell ref="M502:M503"/>
    <mergeCell ref="A502:A503"/>
    <mergeCell ref="B502:B503"/>
    <mergeCell ref="C502:C503"/>
    <mergeCell ref="D502:D503"/>
    <mergeCell ref="E502:E503"/>
    <mergeCell ref="F502:F503"/>
    <mergeCell ref="H500:H501"/>
    <mergeCell ref="I500:I501"/>
    <mergeCell ref="J500:J501"/>
    <mergeCell ref="K500:K501"/>
    <mergeCell ref="L500:L501"/>
    <mergeCell ref="M500:M501"/>
    <mergeCell ref="A500:A501"/>
    <mergeCell ref="B500:B501"/>
    <mergeCell ref="C500:C501"/>
    <mergeCell ref="D500:D501"/>
    <mergeCell ref="E500:E501"/>
    <mergeCell ref="F500:F501"/>
    <mergeCell ref="H498:H499"/>
    <mergeCell ref="I498:I499"/>
    <mergeCell ref="J498:J499"/>
    <mergeCell ref="K498:K499"/>
    <mergeCell ref="L498:L499"/>
    <mergeCell ref="M498:M499"/>
    <mergeCell ref="A498:A499"/>
    <mergeCell ref="B498:B499"/>
    <mergeCell ref="C498:C499"/>
    <mergeCell ref="D498:D499"/>
    <mergeCell ref="E498:E499"/>
    <mergeCell ref="F498:F499"/>
    <mergeCell ref="H496:H497"/>
    <mergeCell ref="I496:I497"/>
    <mergeCell ref="J496:J497"/>
    <mergeCell ref="K496:K497"/>
    <mergeCell ref="L496:L497"/>
    <mergeCell ref="M496:M497"/>
    <mergeCell ref="J494:J495"/>
    <mergeCell ref="K494:K495"/>
    <mergeCell ref="L494:L495"/>
    <mergeCell ref="M494:M495"/>
    <mergeCell ref="A496:A497"/>
    <mergeCell ref="B496:B497"/>
    <mergeCell ref="C496:C497"/>
    <mergeCell ref="D496:D497"/>
    <mergeCell ref="E496:E497"/>
    <mergeCell ref="F496:F497"/>
    <mergeCell ref="H490:H491"/>
    <mergeCell ref="A494:A495"/>
    <mergeCell ref="B494:B495"/>
    <mergeCell ref="C494:C495"/>
    <mergeCell ref="D494:D495"/>
    <mergeCell ref="E494:E495"/>
    <mergeCell ref="B492:M492"/>
    <mergeCell ref="F494:F495"/>
    <mergeCell ref="H494:H495"/>
    <mergeCell ref="I494:I495"/>
    <mergeCell ref="A490:A491"/>
    <mergeCell ref="B490:B491"/>
    <mergeCell ref="C490:C491"/>
    <mergeCell ref="D490:D491"/>
    <mergeCell ref="E490:E491"/>
    <mergeCell ref="F490:F491"/>
    <mergeCell ref="I488:I489"/>
    <mergeCell ref="J488:J489"/>
    <mergeCell ref="K488:K489"/>
    <mergeCell ref="L488:L489"/>
    <mergeCell ref="L490:L491"/>
    <mergeCell ref="M490:M491"/>
    <mergeCell ref="M488:M489"/>
    <mergeCell ref="K490:K491"/>
    <mergeCell ref="I490:I491"/>
    <mergeCell ref="J490:J491"/>
    <mergeCell ref="A488:A489"/>
    <mergeCell ref="B488:B489"/>
    <mergeCell ref="C488:C489"/>
    <mergeCell ref="D488:D489"/>
    <mergeCell ref="E488:E489"/>
    <mergeCell ref="K486:K487"/>
    <mergeCell ref="I486:I487"/>
    <mergeCell ref="J486:J487"/>
    <mergeCell ref="F488:F489"/>
    <mergeCell ref="H488:H489"/>
    <mergeCell ref="L486:L487"/>
    <mergeCell ref="M486:M487"/>
    <mergeCell ref="M484:M485"/>
    <mergeCell ref="A486:A487"/>
    <mergeCell ref="B486:B487"/>
    <mergeCell ref="C486:C487"/>
    <mergeCell ref="D486:D487"/>
    <mergeCell ref="E486:E487"/>
    <mergeCell ref="F486:F487"/>
    <mergeCell ref="H486:H487"/>
    <mergeCell ref="F484:F485"/>
    <mergeCell ref="H484:H485"/>
    <mergeCell ref="I484:I485"/>
    <mergeCell ref="J484:J485"/>
    <mergeCell ref="K484:K485"/>
    <mergeCell ref="L484:L485"/>
    <mergeCell ref="I482:I483"/>
    <mergeCell ref="J482:J483"/>
    <mergeCell ref="K482:K483"/>
    <mergeCell ref="L482:L483"/>
    <mergeCell ref="M482:M483"/>
    <mergeCell ref="A484:A485"/>
    <mergeCell ref="B484:B485"/>
    <mergeCell ref="C484:C485"/>
    <mergeCell ref="D484:D485"/>
    <mergeCell ref="E484:E485"/>
    <mergeCell ref="K480:K481"/>
    <mergeCell ref="L480:L481"/>
    <mergeCell ref="M480:M481"/>
    <mergeCell ref="A482:A483"/>
    <mergeCell ref="B482:B483"/>
    <mergeCell ref="C482:C483"/>
    <mergeCell ref="D482:D483"/>
    <mergeCell ref="E482:E483"/>
    <mergeCell ref="F482:F483"/>
    <mergeCell ref="H482:H483"/>
    <mergeCell ref="M478:M479"/>
    <mergeCell ref="A480:A481"/>
    <mergeCell ref="B480:B481"/>
    <mergeCell ref="C480:C481"/>
    <mergeCell ref="D480:D481"/>
    <mergeCell ref="E480:E481"/>
    <mergeCell ref="F480:F481"/>
    <mergeCell ref="H480:H481"/>
    <mergeCell ref="I480:I481"/>
    <mergeCell ref="J480:J481"/>
    <mergeCell ref="F478:F479"/>
    <mergeCell ref="H478:H479"/>
    <mergeCell ref="I478:I479"/>
    <mergeCell ref="J478:J479"/>
    <mergeCell ref="K478:K479"/>
    <mergeCell ref="L478:L479"/>
    <mergeCell ref="I476:I477"/>
    <mergeCell ref="J476:J477"/>
    <mergeCell ref="K476:K477"/>
    <mergeCell ref="L476:L477"/>
    <mergeCell ref="M476:M477"/>
    <mergeCell ref="A478:A479"/>
    <mergeCell ref="B478:B479"/>
    <mergeCell ref="C478:C479"/>
    <mergeCell ref="D478:D479"/>
    <mergeCell ref="E478:E479"/>
    <mergeCell ref="K474:K475"/>
    <mergeCell ref="L474:L475"/>
    <mergeCell ref="M474:M475"/>
    <mergeCell ref="A476:A477"/>
    <mergeCell ref="B476:B477"/>
    <mergeCell ref="C476:C477"/>
    <mergeCell ref="D476:D477"/>
    <mergeCell ref="E476:E477"/>
    <mergeCell ref="F476:F477"/>
    <mergeCell ref="H476:H477"/>
    <mergeCell ref="M472:M473"/>
    <mergeCell ref="A474:A475"/>
    <mergeCell ref="B474:B475"/>
    <mergeCell ref="C474:C475"/>
    <mergeCell ref="D474:D475"/>
    <mergeCell ref="E474:E475"/>
    <mergeCell ref="F474:F475"/>
    <mergeCell ref="H474:H475"/>
    <mergeCell ref="I474:I475"/>
    <mergeCell ref="J474:J475"/>
    <mergeCell ref="F472:F473"/>
    <mergeCell ref="H472:H473"/>
    <mergeCell ref="I472:I473"/>
    <mergeCell ref="J472:J473"/>
    <mergeCell ref="K472:K473"/>
    <mergeCell ref="L472:L473"/>
    <mergeCell ref="I470:I471"/>
    <mergeCell ref="J470:J471"/>
    <mergeCell ref="K470:K471"/>
    <mergeCell ref="L470:L471"/>
    <mergeCell ref="M470:M471"/>
    <mergeCell ref="A472:A473"/>
    <mergeCell ref="B472:B473"/>
    <mergeCell ref="C472:C473"/>
    <mergeCell ref="D472:D473"/>
    <mergeCell ref="E472:E473"/>
    <mergeCell ref="K468:K469"/>
    <mergeCell ref="L468:L469"/>
    <mergeCell ref="M468:M469"/>
    <mergeCell ref="A470:A471"/>
    <mergeCell ref="B470:B471"/>
    <mergeCell ref="C470:C471"/>
    <mergeCell ref="D470:D471"/>
    <mergeCell ref="E470:E471"/>
    <mergeCell ref="F470:F471"/>
    <mergeCell ref="H470:H471"/>
    <mergeCell ref="M466:M467"/>
    <mergeCell ref="A468:A469"/>
    <mergeCell ref="B468:B469"/>
    <mergeCell ref="C468:C469"/>
    <mergeCell ref="D468:D469"/>
    <mergeCell ref="E468:E469"/>
    <mergeCell ref="F468:F469"/>
    <mergeCell ref="H468:H469"/>
    <mergeCell ref="I468:I469"/>
    <mergeCell ref="J468:J469"/>
    <mergeCell ref="F466:F467"/>
    <mergeCell ref="H466:H467"/>
    <mergeCell ref="I466:I467"/>
    <mergeCell ref="J466:J467"/>
    <mergeCell ref="K466:K467"/>
    <mergeCell ref="L466:L467"/>
    <mergeCell ref="I464:I465"/>
    <mergeCell ref="J464:J465"/>
    <mergeCell ref="K464:K465"/>
    <mergeCell ref="L464:L465"/>
    <mergeCell ref="M464:M465"/>
    <mergeCell ref="A466:A467"/>
    <mergeCell ref="B466:B467"/>
    <mergeCell ref="C466:C467"/>
    <mergeCell ref="D466:D467"/>
    <mergeCell ref="E466:E467"/>
    <mergeCell ref="K462:K463"/>
    <mergeCell ref="L462:L463"/>
    <mergeCell ref="M462:M463"/>
    <mergeCell ref="A464:A465"/>
    <mergeCell ref="B464:B465"/>
    <mergeCell ref="C464:C465"/>
    <mergeCell ref="D464:D465"/>
    <mergeCell ref="E464:E465"/>
    <mergeCell ref="F464:F465"/>
    <mergeCell ref="H464:H465"/>
    <mergeCell ref="A462:A463"/>
    <mergeCell ref="B462:B463"/>
    <mergeCell ref="C462:C463"/>
    <mergeCell ref="D462:D463"/>
    <mergeCell ref="E462:E463"/>
    <mergeCell ref="F462:F463"/>
    <mergeCell ref="H458:H459"/>
    <mergeCell ref="I458:I459"/>
    <mergeCell ref="J458:J459"/>
    <mergeCell ref="K458:K459"/>
    <mergeCell ref="L458:L459"/>
    <mergeCell ref="M458:M459"/>
    <mergeCell ref="A458:A459"/>
    <mergeCell ref="B458:B459"/>
    <mergeCell ref="C458:C459"/>
    <mergeCell ref="D458:D459"/>
    <mergeCell ref="E458:E459"/>
    <mergeCell ref="F458:F459"/>
    <mergeCell ref="H456:H457"/>
    <mergeCell ref="I456:I457"/>
    <mergeCell ref="J456:J457"/>
    <mergeCell ref="K456:K457"/>
    <mergeCell ref="L456:L457"/>
    <mergeCell ref="M456:M457"/>
    <mergeCell ref="A456:A457"/>
    <mergeCell ref="B456:B457"/>
    <mergeCell ref="C456:C457"/>
    <mergeCell ref="D456:D457"/>
    <mergeCell ref="E456:E457"/>
    <mergeCell ref="F456:F457"/>
    <mergeCell ref="H454:H455"/>
    <mergeCell ref="I454:I455"/>
    <mergeCell ref="J454:J455"/>
    <mergeCell ref="K454:K455"/>
    <mergeCell ref="L454:L455"/>
    <mergeCell ref="M454:M455"/>
    <mergeCell ref="A454:A455"/>
    <mergeCell ref="B454:B455"/>
    <mergeCell ref="C454:C455"/>
    <mergeCell ref="D454:D455"/>
    <mergeCell ref="E454:E455"/>
    <mergeCell ref="F454:F455"/>
    <mergeCell ref="H452:H453"/>
    <mergeCell ref="I452:I453"/>
    <mergeCell ref="J452:J453"/>
    <mergeCell ref="K452:K453"/>
    <mergeCell ref="L452:L453"/>
    <mergeCell ref="M452:M453"/>
    <mergeCell ref="A452:A453"/>
    <mergeCell ref="B452:B453"/>
    <mergeCell ref="C452:C453"/>
    <mergeCell ref="D452:D453"/>
    <mergeCell ref="E452:E453"/>
    <mergeCell ref="F452:F453"/>
    <mergeCell ref="H450:H451"/>
    <mergeCell ref="I450:I451"/>
    <mergeCell ref="J450:J451"/>
    <mergeCell ref="K450:K451"/>
    <mergeCell ref="L450:L451"/>
    <mergeCell ref="M450:M451"/>
    <mergeCell ref="A450:A451"/>
    <mergeCell ref="B450:B451"/>
    <mergeCell ref="C450:C451"/>
    <mergeCell ref="D450:D451"/>
    <mergeCell ref="E450:E451"/>
    <mergeCell ref="F450:F451"/>
    <mergeCell ref="H448:H449"/>
    <mergeCell ref="I448:I449"/>
    <mergeCell ref="J448:J449"/>
    <mergeCell ref="K448:K449"/>
    <mergeCell ref="L448:L449"/>
    <mergeCell ref="M448:M449"/>
    <mergeCell ref="A448:A449"/>
    <mergeCell ref="B448:B449"/>
    <mergeCell ref="C448:C449"/>
    <mergeCell ref="D448:D449"/>
    <mergeCell ref="E448:E449"/>
    <mergeCell ref="F448:F449"/>
    <mergeCell ref="M446:M447"/>
    <mergeCell ref="A446:A447"/>
    <mergeCell ref="B446:B447"/>
    <mergeCell ref="C446:C447"/>
    <mergeCell ref="D446:D447"/>
    <mergeCell ref="E446:E447"/>
    <mergeCell ref="F446:F447"/>
    <mergeCell ref="H444:H445"/>
    <mergeCell ref="I444:I445"/>
    <mergeCell ref="J444:J445"/>
    <mergeCell ref="K444:K445"/>
    <mergeCell ref="L444:L445"/>
    <mergeCell ref="M444:M445"/>
    <mergeCell ref="A444:A445"/>
    <mergeCell ref="B444:B445"/>
    <mergeCell ref="C444:C445"/>
    <mergeCell ref="D444:D445"/>
    <mergeCell ref="E444:E445"/>
    <mergeCell ref="F444:F445"/>
    <mergeCell ref="H438:H439"/>
    <mergeCell ref="I438:I439"/>
    <mergeCell ref="J438:J439"/>
    <mergeCell ref="K438:K439"/>
    <mergeCell ref="L438:L439"/>
    <mergeCell ref="M438:M439"/>
    <mergeCell ref="A438:A439"/>
    <mergeCell ref="B438:B439"/>
    <mergeCell ref="C438:C439"/>
    <mergeCell ref="D438:D439"/>
    <mergeCell ref="E438:E439"/>
    <mergeCell ref="F438:F439"/>
    <mergeCell ref="A440:A441"/>
    <mergeCell ref="B440:B441"/>
    <mergeCell ref="C440:C441"/>
    <mergeCell ref="D440:D441"/>
    <mergeCell ref="E440:E441"/>
    <mergeCell ref="F440:F441"/>
    <mergeCell ref="H440:H441"/>
    <mergeCell ref="I440:I441"/>
    <mergeCell ref="J440:J441"/>
    <mergeCell ref="K440:K441"/>
    <mergeCell ref="L440:L441"/>
    <mergeCell ref="M440:M441"/>
    <mergeCell ref="H436:H437"/>
    <mergeCell ref="I436:I437"/>
    <mergeCell ref="J436:J437"/>
    <mergeCell ref="K436:K437"/>
    <mergeCell ref="L436:L437"/>
    <mergeCell ref="M436:M437"/>
    <mergeCell ref="A436:A437"/>
    <mergeCell ref="B436:B437"/>
    <mergeCell ref="C436:C437"/>
    <mergeCell ref="D436:D437"/>
    <mergeCell ref="E436:E437"/>
    <mergeCell ref="F436:F437"/>
    <mergeCell ref="H434:H435"/>
    <mergeCell ref="I434:I435"/>
    <mergeCell ref="J434:J435"/>
    <mergeCell ref="K434:K435"/>
    <mergeCell ref="L434:L435"/>
    <mergeCell ref="M434:M435"/>
    <mergeCell ref="A434:A435"/>
    <mergeCell ref="B434:B435"/>
    <mergeCell ref="C434:C435"/>
    <mergeCell ref="D434:D435"/>
    <mergeCell ref="E434:E435"/>
    <mergeCell ref="F434:F435"/>
    <mergeCell ref="H432:H433"/>
    <mergeCell ref="I432:I433"/>
    <mergeCell ref="J432:J433"/>
    <mergeCell ref="K432:K433"/>
    <mergeCell ref="L432:L433"/>
    <mergeCell ref="M432:M433"/>
    <mergeCell ref="A432:A433"/>
    <mergeCell ref="B432:B433"/>
    <mergeCell ref="C432:C433"/>
    <mergeCell ref="D432:D433"/>
    <mergeCell ref="E432:E433"/>
    <mergeCell ref="F432:F433"/>
    <mergeCell ref="H430:H431"/>
    <mergeCell ref="I430:I431"/>
    <mergeCell ref="J430:J431"/>
    <mergeCell ref="K430:K431"/>
    <mergeCell ref="L430:L431"/>
    <mergeCell ref="M430:M431"/>
    <mergeCell ref="A430:A431"/>
    <mergeCell ref="B430:B431"/>
    <mergeCell ref="C430:C431"/>
    <mergeCell ref="D430:D431"/>
    <mergeCell ref="E430:E431"/>
    <mergeCell ref="F430:F431"/>
    <mergeCell ref="H428:H429"/>
    <mergeCell ref="I428:I429"/>
    <mergeCell ref="J428:J429"/>
    <mergeCell ref="K428:K429"/>
    <mergeCell ref="L428:L429"/>
    <mergeCell ref="M428:M429"/>
    <mergeCell ref="A428:A429"/>
    <mergeCell ref="B428:B429"/>
    <mergeCell ref="C428:C429"/>
    <mergeCell ref="D428:D429"/>
    <mergeCell ref="E428:E429"/>
    <mergeCell ref="F428:F429"/>
    <mergeCell ref="H426:H427"/>
    <mergeCell ref="I426:I427"/>
    <mergeCell ref="J426:J427"/>
    <mergeCell ref="K426:K427"/>
    <mergeCell ref="L426:L427"/>
    <mergeCell ref="M426:M427"/>
    <mergeCell ref="A426:A427"/>
    <mergeCell ref="B426:B427"/>
    <mergeCell ref="C426:C427"/>
    <mergeCell ref="D426:D427"/>
    <mergeCell ref="E426:E427"/>
    <mergeCell ref="F426:F427"/>
    <mergeCell ref="H424:H425"/>
    <mergeCell ref="I424:I425"/>
    <mergeCell ref="J424:J425"/>
    <mergeCell ref="K424:K425"/>
    <mergeCell ref="L424:L425"/>
    <mergeCell ref="M424:M425"/>
    <mergeCell ref="A424:A425"/>
    <mergeCell ref="B424:B425"/>
    <mergeCell ref="C424:C425"/>
    <mergeCell ref="D424:D425"/>
    <mergeCell ref="E424:E425"/>
    <mergeCell ref="F424:F425"/>
    <mergeCell ref="H420:H421"/>
    <mergeCell ref="I420:I421"/>
    <mergeCell ref="J420:J421"/>
    <mergeCell ref="K420:K421"/>
    <mergeCell ref="L420:L421"/>
    <mergeCell ref="M420:M421"/>
    <mergeCell ref="A420:A421"/>
    <mergeCell ref="B420:B421"/>
    <mergeCell ref="C420:C421"/>
    <mergeCell ref="D420:D421"/>
    <mergeCell ref="E420:E421"/>
    <mergeCell ref="F420:F421"/>
    <mergeCell ref="H422:H423"/>
    <mergeCell ref="I422:I423"/>
    <mergeCell ref="J422:J423"/>
    <mergeCell ref="K422:K423"/>
    <mergeCell ref="L422:L423"/>
    <mergeCell ref="M422:M423"/>
    <mergeCell ref="A422:A423"/>
    <mergeCell ref="B422:B423"/>
    <mergeCell ref="H418:H419"/>
    <mergeCell ref="I418:I419"/>
    <mergeCell ref="J418:J419"/>
    <mergeCell ref="K418:K419"/>
    <mergeCell ref="L418:L419"/>
    <mergeCell ref="M418:M419"/>
    <mergeCell ref="A418:A419"/>
    <mergeCell ref="B418:B419"/>
    <mergeCell ref="C418:C419"/>
    <mergeCell ref="D418:D419"/>
    <mergeCell ref="E418:E419"/>
    <mergeCell ref="F418:F419"/>
    <mergeCell ref="H416:H417"/>
    <mergeCell ref="I416:I417"/>
    <mergeCell ref="J416:J417"/>
    <mergeCell ref="K416:K417"/>
    <mergeCell ref="L416:L417"/>
    <mergeCell ref="M416:M417"/>
    <mergeCell ref="A416:A417"/>
    <mergeCell ref="B416:B417"/>
    <mergeCell ref="C416:C417"/>
    <mergeCell ref="D416:D417"/>
    <mergeCell ref="E416:E417"/>
    <mergeCell ref="F416:F417"/>
    <mergeCell ref="H414:H415"/>
    <mergeCell ref="I414:I415"/>
    <mergeCell ref="J414:J415"/>
    <mergeCell ref="K414:K415"/>
    <mergeCell ref="L414:L415"/>
    <mergeCell ref="M414:M415"/>
    <mergeCell ref="A414:A415"/>
    <mergeCell ref="B414:B415"/>
    <mergeCell ref="C414:C415"/>
    <mergeCell ref="D414:D415"/>
    <mergeCell ref="E414:E415"/>
    <mergeCell ref="F414:F415"/>
    <mergeCell ref="H412:H413"/>
    <mergeCell ref="I412:I413"/>
    <mergeCell ref="J412:J413"/>
    <mergeCell ref="K412:K413"/>
    <mergeCell ref="L412:L413"/>
    <mergeCell ref="M412:M413"/>
    <mergeCell ref="A412:A413"/>
    <mergeCell ref="B412:B413"/>
    <mergeCell ref="C412:C413"/>
    <mergeCell ref="D412:D413"/>
    <mergeCell ref="E412:E413"/>
    <mergeCell ref="F412:F413"/>
    <mergeCell ref="H410:H411"/>
    <mergeCell ref="I410:I411"/>
    <mergeCell ref="J410:J411"/>
    <mergeCell ref="K410:K411"/>
    <mergeCell ref="L410:L411"/>
    <mergeCell ref="M410:M411"/>
    <mergeCell ref="A410:A411"/>
    <mergeCell ref="B410:B411"/>
    <mergeCell ref="C410:C411"/>
    <mergeCell ref="D410:D411"/>
    <mergeCell ref="E410:E411"/>
    <mergeCell ref="F410:F411"/>
    <mergeCell ref="F404:F405"/>
    <mergeCell ref="H404:H405"/>
    <mergeCell ref="I404:I405"/>
    <mergeCell ref="J404:J405"/>
    <mergeCell ref="K404:K405"/>
    <mergeCell ref="L404:L405"/>
    <mergeCell ref="I408:I409"/>
    <mergeCell ref="J408:J409"/>
    <mergeCell ref="K408:K409"/>
    <mergeCell ref="L408:L409"/>
    <mergeCell ref="M408:M409"/>
    <mergeCell ref="A404:A405"/>
    <mergeCell ref="B404:B405"/>
    <mergeCell ref="C404:C405"/>
    <mergeCell ref="D404:D405"/>
    <mergeCell ref="E404:E405"/>
    <mergeCell ref="K406:K407"/>
    <mergeCell ref="L406:L407"/>
    <mergeCell ref="M406:M407"/>
    <mergeCell ref="A408:A409"/>
    <mergeCell ref="B408:B409"/>
    <mergeCell ref="C408:C409"/>
    <mergeCell ref="D408:D409"/>
    <mergeCell ref="E408:E409"/>
    <mergeCell ref="F408:F409"/>
    <mergeCell ref="H408:H409"/>
    <mergeCell ref="M402:M403"/>
    <mergeCell ref="A406:A407"/>
    <mergeCell ref="B406:B407"/>
    <mergeCell ref="C406:C407"/>
    <mergeCell ref="D406:D407"/>
    <mergeCell ref="E406:E407"/>
    <mergeCell ref="F406:F407"/>
    <mergeCell ref="H406:H407"/>
    <mergeCell ref="I406:I407"/>
    <mergeCell ref="J406:J407"/>
    <mergeCell ref="F402:F403"/>
    <mergeCell ref="H402:H403"/>
    <mergeCell ref="I402:I403"/>
    <mergeCell ref="J402:J403"/>
    <mergeCell ref="K402:K403"/>
    <mergeCell ref="L402:L403"/>
    <mergeCell ref="M404:M405"/>
    <mergeCell ref="I400:I401"/>
    <mergeCell ref="J400:J401"/>
    <mergeCell ref="K400:K401"/>
    <mergeCell ref="L400:L401"/>
    <mergeCell ref="M400:M401"/>
    <mergeCell ref="A402:A403"/>
    <mergeCell ref="B402:B403"/>
    <mergeCell ref="C402:C403"/>
    <mergeCell ref="D402:D403"/>
    <mergeCell ref="E402:E403"/>
    <mergeCell ref="K398:K399"/>
    <mergeCell ref="L398:L399"/>
    <mergeCell ref="M398:M399"/>
    <mergeCell ref="A400:A401"/>
    <mergeCell ref="B400:B401"/>
    <mergeCell ref="C400:C401"/>
    <mergeCell ref="D400:D401"/>
    <mergeCell ref="E400:E401"/>
    <mergeCell ref="F400:F401"/>
    <mergeCell ref="H400:H401"/>
    <mergeCell ref="M396:M397"/>
    <mergeCell ref="A398:A399"/>
    <mergeCell ref="B398:B399"/>
    <mergeCell ref="C398:C399"/>
    <mergeCell ref="D398:D399"/>
    <mergeCell ref="E398:E399"/>
    <mergeCell ref="F398:F399"/>
    <mergeCell ref="H398:H399"/>
    <mergeCell ref="I398:I399"/>
    <mergeCell ref="J398:J399"/>
    <mergeCell ref="F396:F397"/>
    <mergeCell ref="H396:H397"/>
    <mergeCell ref="I396:I397"/>
    <mergeCell ref="J396:J397"/>
    <mergeCell ref="K396:K397"/>
    <mergeCell ref="L396:L397"/>
    <mergeCell ref="I394:I395"/>
    <mergeCell ref="J394:J395"/>
    <mergeCell ref="K394:K395"/>
    <mergeCell ref="L394:L395"/>
    <mergeCell ref="M394:M395"/>
    <mergeCell ref="A396:A397"/>
    <mergeCell ref="B396:B397"/>
    <mergeCell ref="C396:C397"/>
    <mergeCell ref="D396:D397"/>
    <mergeCell ref="E396:E397"/>
    <mergeCell ref="K392:K393"/>
    <mergeCell ref="L392:L393"/>
    <mergeCell ref="M392:M393"/>
    <mergeCell ref="A394:A395"/>
    <mergeCell ref="B394:B395"/>
    <mergeCell ref="C394:C395"/>
    <mergeCell ref="D394:D395"/>
    <mergeCell ref="E394:E395"/>
    <mergeCell ref="F394:F395"/>
    <mergeCell ref="H394:H395"/>
    <mergeCell ref="M384:M385"/>
    <mergeCell ref="A392:A393"/>
    <mergeCell ref="B392:B393"/>
    <mergeCell ref="C392:C393"/>
    <mergeCell ref="D392:D393"/>
    <mergeCell ref="E392:E393"/>
    <mergeCell ref="F392:F393"/>
    <mergeCell ref="H392:H393"/>
    <mergeCell ref="I392:I393"/>
    <mergeCell ref="J392:J393"/>
    <mergeCell ref="F384:F385"/>
    <mergeCell ref="H384:H385"/>
    <mergeCell ref="I384:I385"/>
    <mergeCell ref="J384:J385"/>
    <mergeCell ref="K384:K385"/>
    <mergeCell ref="L384:L385"/>
    <mergeCell ref="A384:A385"/>
    <mergeCell ref="B384:B385"/>
    <mergeCell ref="C384:C385"/>
    <mergeCell ref="D384:D385"/>
    <mergeCell ref="E384:E385"/>
    <mergeCell ref="H386:H387"/>
    <mergeCell ref="K378:K379"/>
    <mergeCell ref="L378:L379"/>
    <mergeCell ref="M378:M379"/>
    <mergeCell ref="A382:A383"/>
    <mergeCell ref="B382:B383"/>
    <mergeCell ref="C382:C383"/>
    <mergeCell ref="D382:D383"/>
    <mergeCell ref="E382:E383"/>
    <mergeCell ref="F382:F383"/>
    <mergeCell ref="H382:H383"/>
    <mergeCell ref="M376:M377"/>
    <mergeCell ref="A378:A379"/>
    <mergeCell ref="B378:B379"/>
    <mergeCell ref="C378:C379"/>
    <mergeCell ref="D378:D379"/>
    <mergeCell ref="E378:E379"/>
    <mergeCell ref="F378:F379"/>
    <mergeCell ref="H378:H379"/>
    <mergeCell ref="I378:I379"/>
    <mergeCell ref="J378:J379"/>
    <mergeCell ref="F376:F377"/>
    <mergeCell ref="H376:H377"/>
    <mergeCell ref="I376:I377"/>
    <mergeCell ref="J376:J377"/>
    <mergeCell ref="K376:K377"/>
    <mergeCell ref="L376:L377"/>
    <mergeCell ref="I373:I374"/>
    <mergeCell ref="J373:J374"/>
    <mergeCell ref="K373:K374"/>
    <mergeCell ref="L373:L374"/>
    <mergeCell ref="M373:M374"/>
    <mergeCell ref="A376:A377"/>
    <mergeCell ref="B376:B377"/>
    <mergeCell ref="C376:C377"/>
    <mergeCell ref="D376:D377"/>
    <mergeCell ref="E376:E377"/>
    <mergeCell ref="K371:K372"/>
    <mergeCell ref="L371:L372"/>
    <mergeCell ref="M371:M372"/>
    <mergeCell ref="A373:A374"/>
    <mergeCell ref="B373:B374"/>
    <mergeCell ref="C373:C374"/>
    <mergeCell ref="D373:D374"/>
    <mergeCell ref="E373:E374"/>
    <mergeCell ref="F373:F374"/>
    <mergeCell ref="H373:H374"/>
    <mergeCell ref="M369:M370"/>
    <mergeCell ref="A371:A372"/>
    <mergeCell ref="B371:B372"/>
    <mergeCell ref="C371:C372"/>
    <mergeCell ref="D371:D372"/>
    <mergeCell ref="E371:E372"/>
    <mergeCell ref="F371:F372"/>
    <mergeCell ref="H371:H372"/>
    <mergeCell ref="I371:I372"/>
    <mergeCell ref="J371:J372"/>
    <mergeCell ref="F369:F370"/>
    <mergeCell ref="H369:H370"/>
    <mergeCell ref="I369:I370"/>
    <mergeCell ref="J369:J370"/>
    <mergeCell ref="K369:K370"/>
    <mergeCell ref="L369:L370"/>
    <mergeCell ref="I367:I368"/>
    <mergeCell ref="J367:J368"/>
    <mergeCell ref="K367:K368"/>
    <mergeCell ref="L367:L368"/>
    <mergeCell ref="M367:M368"/>
    <mergeCell ref="A369:A370"/>
    <mergeCell ref="B369:B370"/>
    <mergeCell ref="C369:C370"/>
    <mergeCell ref="D369:D370"/>
    <mergeCell ref="E369:E370"/>
    <mergeCell ref="K365:K366"/>
    <mergeCell ref="L365:L366"/>
    <mergeCell ref="M365:M366"/>
    <mergeCell ref="A367:A368"/>
    <mergeCell ref="B367:B368"/>
    <mergeCell ref="C367:C368"/>
    <mergeCell ref="D367:D368"/>
    <mergeCell ref="E367:E368"/>
    <mergeCell ref="F367:F368"/>
    <mergeCell ref="H367:H368"/>
    <mergeCell ref="M363:M364"/>
    <mergeCell ref="A365:A366"/>
    <mergeCell ref="B365:B366"/>
    <mergeCell ref="C365:C366"/>
    <mergeCell ref="D365:D366"/>
    <mergeCell ref="E365:E366"/>
    <mergeCell ref="F365:F366"/>
    <mergeCell ref="H365:H366"/>
    <mergeCell ref="I365:I366"/>
    <mergeCell ref="J365:J366"/>
    <mergeCell ref="F363:F364"/>
    <mergeCell ref="H363:H364"/>
    <mergeCell ref="I363:I364"/>
    <mergeCell ref="J363:J364"/>
    <mergeCell ref="K363:K364"/>
    <mergeCell ref="L363:L364"/>
    <mergeCell ref="I361:I362"/>
    <mergeCell ref="J361:J362"/>
    <mergeCell ref="K361:K362"/>
    <mergeCell ref="L361:L362"/>
    <mergeCell ref="M361:M362"/>
    <mergeCell ref="A363:A364"/>
    <mergeCell ref="B363:B364"/>
    <mergeCell ref="C363:C364"/>
    <mergeCell ref="D363:D364"/>
    <mergeCell ref="E363:E364"/>
    <mergeCell ref="K359:K360"/>
    <mergeCell ref="L359:L360"/>
    <mergeCell ref="M359:M360"/>
    <mergeCell ref="A361:A362"/>
    <mergeCell ref="B361:B362"/>
    <mergeCell ref="C361:C362"/>
    <mergeCell ref="D361:D362"/>
    <mergeCell ref="E361:E362"/>
    <mergeCell ref="F361:F362"/>
    <mergeCell ref="H361:H362"/>
    <mergeCell ref="M357:M358"/>
    <mergeCell ref="A359:A360"/>
    <mergeCell ref="B359:B360"/>
    <mergeCell ref="C359:C360"/>
    <mergeCell ref="D359:D360"/>
    <mergeCell ref="E359:E360"/>
    <mergeCell ref="F359:F360"/>
    <mergeCell ref="H359:H360"/>
    <mergeCell ref="I359:I360"/>
    <mergeCell ref="J359:J360"/>
    <mergeCell ref="F357:F358"/>
    <mergeCell ref="H357:H358"/>
    <mergeCell ref="I357:I358"/>
    <mergeCell ref="J357:J358"/>
    <mergeCell ref="K357:K358"/>
    <mergeCell ref="L357:L358"/>
    <mergeCell ref="I355:I356"/>
    <mergeCell ref="J355:J356"/>
    <mergeCell ref="K355:K356"/>
    <mergeCell ref="L355:L356"/>
    <mergeCell ref="M355:M356"/>
    <mergeCell ref="A357:A358"/>
    <mergeCell ref="B357:B358"/>
    <mergeCell ref="C357:C358"/>
    <mergeCell ref="D357:D358"/>
    <mergeCell ref="E357:E358"/>
    <mergeCell ref="A355:A356"/>
    <mergeCell ref="C355:C356"/>
    <mergeCell ref="D355:D356"/>
    <mergeCell ref="E355:E356"/>
    <mergeCell ref="F355:F356"/>
    <mergeCell ref="H355:H356"/>
    <mergeCell ref="H353:H354"/>
    <mergeCell ref="I353:I354"/>
    <mergeCell ref="J353:J354"/>
    <mergeCell ref="K353:K354"/>
    <mergeCell ref="L353:L354"/>
    <mergeCell ref="M353:M354"/>
    <mergeCell ref="K347:K348"/>
    <mergeCell ref="L347:L348"/>
    <mergeCell ref="M347:M348"/>
    <mergeCell ref="B355:B356"/>
    <mergeCell ref="A353:A354"/>
    <mergeCell ref="B353:B354"/>
    <mergeCell ref="C353:C354"/>
    <mergeCell ref="D353:D354"/>
    <mergeCell ref="E353:E354"/>
    <mergeCell ref="F353:F354"/>
    <mergeCell ref="M343:M344"/>
    <mergeCell ref="A347:A348"/>
    <mergeCell ref="B347:B348"/>
    <mergeCell ref="C347:C348"/>
    <mergeCell ref="D347:D348"/>
    <mergeCell ref="E347:E348"/>
    <mergeCell ref="F347:F348"/>
    <mergeCell ref="H347:H348"/>
    <mergeCell ref="I347:I348"/>
    <mergeCell ref="J347:J348"/>
    <mergeCell ref="F343:F344"/>
    <mergeCell ref="H343:H344"/>
    <mergeCell ref="I343:I344"/>
    <mergeCell ref="J343:J344"/>
    <mergeCell ref="K343:K344"/>
    <mergeCell ref="L343:L344"/>
    <mergeCell ref="I339:I340"/>
    <mergeCell ref="J339:J340"/>
    <mergeCell ref="K339:K340"/>
    <mergeCell ref="L339:L340"/>
    <mergeCell ref="M339:M340"/>
    <mergeCell ref="A343:A344"/>
    <mergeCell ref="B343:B344"/>
    <mergeCell ref="C343:C344"/>
    <mergeCell ref="D343:D344"/>
    <mergeCell ref="E343:E344"/>
    <mergeCell ref="K337:K338"/>
    <mergeCell ref="L337:L338"/>
    <mergeCell ref="M337:M338"/>
    <mergeCell ref="A339:A340"/>
    <mergeCell ref="B339:B340"/>
    <mergeCell ref="C339:C340"/>
    <mergeCell ref="D339:D340"/>
    <mergeCell ref="E339:E340"/>
    <mergeCell ref="F339:F340"/>
    <mergeCell ref="H339:H340"/>
    <mergeCell ref="F341:F342"/>
    <mergeCell ref="I341:I342"/>
    <mergeCell ref="J341:J342"/>
    <mergeCell ref="K341:K342"/>
    <mergeCell ref="L341:L342"/>
    <mergeCell ref="M341:M342"/>
    <mergeCell ref="A341:A342"/>
    <mergeCell ref="B341:B342"/>
    <mergeCell ref="C341:C342"/>
    <mergeCell ref="D341:D342"/>
    <mergeCell ref="E341:E342"/>
    <mergeCell ref="M335:M336"/>
    <mergeCell ref="A337:A338"/>
    <mergeCell ref="B337:B338"/>
    <mergeCell ref="C337:C338"/>
    <mergeCell ref="D337:D338"/>
    <mergeCell ref="E337:E338"/>
    <mergeCell ref="F337:F338"/>
    <mergeCell ref="H337:H338"/>
    <mergeCell ref="I337:I338"/>
    <mergeCell ref="J337:J338"/>
    <mergeCell ref="F335:F336"/>
    <mergeCell ref="H335:H336"/>
    <mergeCell ref="I335:I336"/>
    <mergeCell ref="J335:J336"/>
    <mergeCell ref="K335:K336"/>
    <mergeCell ref="L335:L336"/>
    <mergeCell ref="I333:I334"/>
    <mergeCell ref="J333:J334"/>
    <mergeCell ref="K333:K334"/>
    <mergeCell ref="L333:L334"/>
    <mergeCell ref="M333:M334"/>
    <mergeCell ref="A335:A336"/>
    <mergeCell ref="B335:B336"/>
    <mergeCell ref="C335:C336"/>
    <mergeCell ref="D335:D336"/>
    <mergeCell ref="E335:E336"/>
    <mergeCell ref="K331:K332"/>
    <mergeCell ref="L331:L332"/>
    <mergeCell ref="M331:M332"/>
    <mergeCell ref="A333:A334"/>
    <mergeCell ref="B333:B334"/>
    <mergeCell ref="C333:C334"/>
    <mergeCell ref="D333:D334"/>
    <mergeCell ref="E333:E334"/>
    <mergeCell ref="F333:F334"/>
    <mergeCell ref="H333:H334"/>
    <mergeCell ref="B375:M375"/>
    <mergeCell ref="A331:A332"/>
    <mergeCell ref="B331:B332"/>
    <mergeCell ref="C331:C332"/>
    <mergeCell ref="D331:D332"/>
    <mergeCell ref="E331:E332"/>
    <mergeCell ref="F331:F332"/>
    <mergeCell ref="H331:H332"/>
    <mergeCell ref="I331:I332"/>
    <mergeCell ref="J331:J332"/>
    <mergeCell ref="H351:H352"/>
    <mergeCell ref="I351:I352"/>
    <mergeCell ref="J351:J352"/>
    <mergeCell ref="K351:K352"/>
    <mergeCell ref="L351:L352"/>
    <mergeCell ref="M351:M352"/>
    <mergeCell ref="A351:A352"/>
    <mergeCell ref="B351:B352"/>
    <mergeCell ref="C351:C352"/>
    <mergeCell ref="D351:D352"/>
    <mergeCell ref="E351:E352"/>
    <mergeCell ref="F351:F352"/>
    <mergeCell ref="I329:I330"/>
    <mergeCell ref="J329:J330"/>
    <mergeCell ref="K329:K330"/>
    <mergeCell ref="L329:L330"/>
    <mergeCell ref="M329:M330"/>
    <mergeCell ref="A329:A330"/>
    <mergeCell ref="B329:B330"/>
    <mergeCell ref="C329:C330"/>
    <mergeCell ref="D329:D330"/>
    <mergeCell ref="E329:E330"/>
    <mergeCell ref="F329:F330"/>
    <mergeCell ref="H327:H328"/>
    <mergeCell ref="I327:I328"/>
    <mergeCell ref="J327:J328"/>
    <mergeCell ref="K327:K328"/>
    <mergeCell ref="L327:L328"/>
    <mergeCell ref="M327:M328"/>
    <mergeCell ref="A327:A328"/>
    <mergeCell ref="B327:B328"/>
    <mergeCell ref="C327:C328"/>
    <mergeCell ref="D327:D328"/>
    <mergeCell ref="E327:E328"/>
    <mergeCell ref="F327:F328"/>
    <mergeCell ref="H323:H324"/>
    <mergeCell ref="I323:I324"/>
    <mergeCell ref="J323:J324"/>
    <mergeCell ref="K323:K324"/>
    <mergeCell ref="L323:L324"/>
    <mergeCell ref="M323:M324"/>
    <mergeCell ref="A323:A324"/>
    <mergeCell ref="B323:B324"/>
    <mergeCell ref="C323:C324"/>
    <mergeCell ref="D323:D324"/>
    <mergeCell ref="E323:E324"/>
    <mergeCell ref="F323:F324"/>
    <mergeCell ref="H321:H322"/>
    <mergeCell ref="I321:I322"/>
    <mergeCell ref="J321:J322"/>
    <mergeCell ref="K321:K322"/>
    <mergeCell ref="L321:L322"/>
    <mergeCell ref="M321:M322"/>
    <mergeCell ref="A321:A322"/>
    <mergeCell ref="B321:B322"/>
    <mergeCell ref="C321:C322"/>
    <mergeCell ref="D321:D322"/>
    <mergeCell ref="E321:E322"/>
    <mergeCell ref="F321:F322"/>
    <mergeCell ref="H319:H320"/>
    <mergeCell ref="I319:I320"/>
    <mergeCell ref="J319:J320"/>
    <mergeCell ref="K319:K320"/>
    <mergeCell ref="L319:L320"/>
    <mergeCell ref="M319:M320"/>
    <mergeCell ref="A319:A320"/>
    <mergeCell ref="B319:B320"/>
    <mergeCell ref="C319:C320"/>
    <mergeCell ref="D319:D320"/>
    <mergeCell ref="E319:E320"/>
    <mergeCell ref="F319:F320"/>
    <mergeCell ref="H317:H318"/>
    <mergeCell ref="I317:I318"/>
    <mergeCell ref="J317:J318"/>
    <mergeCell ref="K317:K318"/>
    <mergeCell ref="L317:L318"/>
    <mergeCell ref="M317:M318"/>
    <mergeCell ref="A317:A318"/>
    <mergeCell ref="B317:B318"/>
    <mergeCell ref="C317:C318"/>
    <mergeCell ref="D317:D318"/>
    <mergeCell ref="E317:E318"/>
    <mergeCell ref="F317:F318"/>
    <mergeCell ref="H315:H316"/>
    <mergeCell ref="I315:I316"/>
    <mergeCell ref="J315:J316"/>
    <mergeCell ref="K315:K316"/>
    <mergeCell ref="L315:L316"/>
    <mergeCell ref="M315:M316"/>
    <mergeCell ref="A315:A316"/>
    <mergeCell ref="B315:B316"/>
    <mergeCell ref="C315:C316"/>
    <mergeCell ref="D315:D316"/>
    <mergeCell ref="E315:E316"/>
    <mergeCell ref="F315:F316"/>
    <mergeCell ref="L312:L313"/>
    <mergeCell ref="M312:M313"/>
    <mergeCell ref="A312:A313"/>
    <mergeCell ref="B312:B313"/>
    <mergeCell ref="C312:C313"/>
    <mergeCell ref="D312:D313"/>
    <mergeCell ref="E312:E313"/>
    <mergeCell ref="F312:F313"/>
    <mergeCell ref="B314:M314"/>
    <mergeCell ref="H312:H313"/>
    <mergeCell ref="I312:I313"/>
    <mergeCell ref="J312:J313"/>
    <mergeCell ref="K312:K313"/>
    <mergeCell ref="H304:H305"/>
    <mergeCell ref="I304:I305"/>
    <mergeCell ref="J304:J305"/>
    <mergeCell ref="K304:K305"/>
    <mergeCell ref="L304:L305"/>
    <mergeCell ref="M304:M305"/>
    <mergeCell ref="A304:A305"/>
    <mergeCell ref="B304:B305"/>
    <mergeCell ref="C304:C305"/>
    <mergeCell ref="D304:D305"/>
    <mergeCell ref="E304:E305"/>
    <mergeCell ref="F304:F305"/>
    <mergeCell ref="M306:M307"/>
    <mergeCell ref="A310:A311"/>
    <mergeCell ref="B310:B311"/>
    <mergeCell ref="C310:C311"/>
    <mergeCell ref="D310:D311"/>
    <mergeCell ref="E310:E311"/>
    <mergeCell ref="F310:F311"/>
    <mergeCell ref="H308:H309"/>
    <mergeCell ref="I308:I309"/>
    <mergeCell ref="J308:J309"/>
    <mergeCell ref="K308:K309"/>
    <mergeCell ref="L308:L309"/>
    <mergeCell ref="M308:M309"/>
    <mergeCell ref="A308:A309"/>
    <mergeCell ref="B308:B309"/>
    <mergeCell ref="C308:C309"/>
    <mergeCell ref="D308:D309"/>
    <mergeCell ref="E308:E309"/>
    <mergeCell ref="F308:F309"/>
    <mergeCell ref="M310:M311"/>
    <mergeCell ref="A294:A295"/>
    <mergeCell ref="B294:B295"/>
    <mergeCell ref="C294:C295"/>
    <mergeCell ref="D294:D295"/>
    <mergeCell ref="E294:E295"/>
    <mergeCell ref="F294:F295"/>
    <mergeCell ref="H302:H303"/>
    <mergeCell ref="I302:I303"/>
    <mergeCell ref="J302:J303"/>
    <mergeCell ref="K302:K303"/>
    <mergeCell ref="L302:L303"/>
    <mergeCell ref="M302:M303"/>
    <mergeCell ref="A302:A303"/>
    <mergeCell ref="B302:B303"/>
    <mergeCell ref="C302:C303"/>
    <mergeCell ref="D302:D303"/>
    <mergeCell ref="E302:E303"/>
    <mergeCell ref="F302:F303"/>
    <mergeCell ref="H300:H301"/>
    <mergeCell ref="I300:I301"/>
    <mergeCell ref="J300:J301"/>
    <mergeCell ref="K300:K301"/>
    <mergeCell ref="L300:L301"/>
    <mergeCell ref="M300:M301"/>
    <mergeCell ref="A300:A301"/>
    <mergeCell ref="E298:E299"/>
    <mergeCell ref="F298:F299"/>
    <mergeCell ref="H298:H299"/>
    <mergeCell ref="I298:I299"/>
    <mergeCell ref="J298:J299"/>
    <mergeCell ref="K294:K295"/>
    <mergeCell ref="L294:L295"/>
    <mergeCell ref="A290:A291"/>
    <mergeCell ref="B290:B291"/>
    <mergeCell ref="C290:C291"/>
    <mergeCell ref="D290:D291"/>
    <mergeCell ref="E290:E291"/>
    <mergeCell ref="F290:F291"/>
    <mergeCell ref="I290:I291"/>
    <mergeCell ref="J290:J291"/>
    <mergeCell ref="K290:K291"/>
    <mergeCell ref="H288:H289"/>
    <mergeCell ref="I288:I289"/>
    <mergeCell ref="J288:J289"/>
    <mergeCell ref="K288:K289"/>
    <mergeCell ref="L288:L289"/>
    <mergeCell ref="M288:M289"/>
    <mergeCell ref="A288:A289"/>
    <mergeCell ref="B288:B289"/>
    <mergeCell ref="C288:C289"/>
    <mergeCell ref="D288:D289"/>
    <mergeCell ref="E288:E289"/>
    <mergeCell ref="F288:F289"/>
    <mergeCell ref="M292:M293"/>
    <mergeCell ref="A292:A293"/>
    <mergeCell ref="B292:B293"/>
    <mergeCell ref="C292:C293"/>
    <mergeCell ref="H286:H287"/>
    <mergeCell ref="I286:I287"/>
    <mergeCell ref="J286:J287"/>
    <mergeCell ref="K286:K287"/>
    <mergeCell ref="L286:L287"/>
    <mergeCell ref="M286:M287"/>
    <mergeCell ref="A286:A287"/>
    <mergeCell ref="B286:B287"/>
    <mergeCell ref="C286:C287"/>
    <mergeCell ref="D286:D287"/>
    <mergeCell ref="E286:E287"/>
    <mergeCell ref="F286:F287"/>
    <mergeCell ref="H284:H285"/>
    <mergeCell ref="I284:I285"/>
    <mergeCell ref="J284:J285"/>
    <mergeCell ref="K284:K285"/>
    <mergeCell ref="L284:L285"/>
    <mergeCell ref="M284:M285"/>
    <mergeCell ref="A284:A285"/>
    <mergeCell ref="B284:B285"/>
    <mergeCell ref="C284:C285"/>
    <mergeCell ref="D284:D285"/>
    <mergeCell ref="E284:E285"/>
    <mergeCell ref="F284:F285"/>
    <mergeCell ref="D292:D293"/>
    <mergeCell ref="E292:E293"/>
    <mergeCell ref="F292:F293"/>
    <mergeCell ref="M290:M291"/>
    <mergeCell ref="M282:M283"/>
    <mergeCell ref="A282:A283"/>
    <mergeCell ref="B282:B283"/>
    <mergeCell ref="C282:C283"/>
    <mergeCell ref="D282:D283"/>
    <mergeCell ref="E282:E283"/>
    <mergeCell ref="F282:F283"/>
    <mergeCell ref="H280:H281"/>
    <mergeCell ref="I280:I281"/>
    <mergeCell ref="J280:J281"/>
    <mergeCell ref="K280:K281"/>
    <mergeCell ref="L280:L281"/>
    <mergeCell ref="M280:M281"/>
    <mergeCell ref="A280:A281"/>
    <mergeCell ref="B280:B281"/>
    <mergeCell ref="C280:C281"/>
    <mergeCell ref="D280:D281"/>
    <mergeCell ref="E280:E281"/>
    <mergeCell ref="F280:F281"/>
    <mergeCell ref="I278:I279"/>
    <mergeCell ref="J278:J279"/>
    <mergeCell ref="K278:K279"/>
    <mergeCell ref="L278:L279"/>
    <mergeCell ref="M278:M279"/>
    <mergeCell ref="A278:A279"/>
    <mergeCell ref="B278:B279"/>
    <mergeCell ref="C278:C279"/>
    <mergeCell ref="D278:D279"/>
    <mergeCell ref="E278:E279"/>
    <mergeCell ref="F278:F279"/>
    <mergeCell ref="H276:H277"/>
    <mergeCell ref="I276:I277"/>
    <mergeCell ref="J276:J277"/>
    <mergeCell ref="K276:K277"/>
    <mergeCell ref="L276:L277"/>
    <mergeCell ref="M276:M277"/>
    <mergeCell ref="A276:A277"/>
    <mergeCell ref="B276:B277"/>
    <mergeCell ref="C276:C277"/>
    <mergeCell ref="D276:D277"/>
    <mergeCell ref="E276:E277"/>
    <mergeCell ref="F276:F277"/>
    <mergeCell ref="H274:H275"/>
    <mergeCell ref="I274:I275"/>
    <mergeCell ref="J274:J275"/>
    <mergeCell ref="K274:K275"/>
    <mergeCell ref="L274:L275"/>
    <mergeCell ref="M274:M275"/>
    <mergeCell ref="A274:A275"/>
    <mergeCell ref="B274:B275"/>
    <mergeCell ref="C274:C275"/>
    <mergeCell ref="D274:D275"/>
    <mergeCell ref="E274:E275"/>
    <mergeCell ref="F274:F275"/>
    <mergeCell ref="H272:H273"/>
    <mergeCell ref="I272:I273"/>
    <mergeCell ref="J272:J273"/>
    <mergeCell ref="K272:K273"/>
    <mergeCell ref="L272:L273"/>
    <mergeCell ref="M272:M273"/>
    <mergeCell ref="A272:A273"/>
    <mergeCell ref="B272:B273"/>
    <mergeCell ref="C272:C273"/>
    <mergeCell ref="D272:D273"/>
    <mergeCell ref="E272:E273"/>
    <mergeCell ref="F272:F273"/>
    <mergeCell ref="H270:H271"/>
    <mergeCell ref="I270:I271"/>
    <mergeCell ref="J270:J271"/>
    <mergeCell ref="K270:K271"/>
    <mergeCell ref="L270:L271"/>
    <mergeCell ref="M270:M271"/>
    <mergeCell ref="A270:A271"/>
    <mergeCell ref="B270:B271"/>
    <mergeCell ref="C270:C271"/>
    <mergeCell ref="D270:D271"/>
    <mergeCell ref="E270:E271"/>
    <mergeCell ref="F270:F271"/>
    <mergeCell ref="H268:H269"/>
    <mergeCell ref="I268:I269"/>
    <mergeCell ref="J268:J269"/>
    <mergeCell ref="K268:K269"/>
    <mergeCell ref="L268:L269"/>
    <mergeCell ref="M268:M269"/>
    <mergeCell ref="A268:A269"/>
    <mergeCell ref="B268:B269"/>
    <mergeCell ref="C268:C269"/>
    <mergeCell ref="D268:D269"/>
    <mergeCell ref="E268:E269"/>
    <mergeCell ref="F268:F269"/>
    <mergeCell ref="H266:H267"/>
    <mergeCell ref="I266:I267"/>
    <mergeCell ref="J266:J267"/>
    <mergeCell ref="K266:K267"/>
    <mergeCell ref="L266:L267"/>
    <mergeCell ref="M266:M267"/>
    <mergeCell ref="A266:A267"/>
    <mergeCell ref="B266:B267"/>
    <mergeCell ref="C266:C267"/>
    <mergeCell ref="D266:D267"/>
    <mergeCell ref="E266:E267"/>
    <mergeCell ref="F266:F267"/>
    <mergeCell ref="H264:H265"/>
    <mergeCell ref="I264:I265"/>
    <mergeCell ref="J264:J265"/>
    <mergeCell ref="K264:K265"/>
    <mergeCell ref="L264:L265"/>
    <mergeCell ref="M264:M265"/>
    <mergeCell ref="A264:A265"/>
    <mergeCell ref="B264:B265"/>
    <mergeCell ref="C264:C265"/>
    <mergeCell ref="D264:D265"/>
    <mergeCell ref="E264:E265"/>
    <mergeCell ref="F264:F265"/>
    <mergeCell ref="H262:H263"/>
    <mergeCell ref="I262:I263"/>
    <mergeCell ref="J262:J263"/>
    <mergeCell ref="K262:K263"/>
    <mergeCell ref="L262:L263"/>
    <mergeCell ref="M262:M263"/>
    <mergeCell ref="A262:A263"/>
    <mergeCell ref="B262:B263"/>
    <mergeCell ref="C262:C263"/>
    <mergeCell ref="D262:D263"/>
    <mergeCell ref="E262:E263"/>
    <mergeCell ref="F262:F263"/>
    <mergeCell ref="H260:H261"/>
    <mergeCell ref="I260:I261"/>
    <mergeCell ref="J260:J261"/>
    <mergeCell ref="K260:K261"/>
    <mergeCell ref="L260:L261"/>
    <mergeCell ref="M260:M261"/>
    <mergeCell ref="A260:A261"/>
    <mergeCell ref="B260:B261"/>
    <mergeCell ref="C260:C261"/>
    <mergeCell ref="D260:D261"/>
    <mergeCell ref="E260:E261"/>
    <mergeCell ref="F260:F261"/>
    <mergeCell ref="H258:H259"/>
    <mergeCell ref="I258:I259"/>
    <mergeCell ref="J258:J259"/>
    <mergeCell ref="K258:K259"/>
    <mergeCell ref="L258:L259"/>
    <mergeCell ref="M258:M259"/>
    <mergeCell ref="A258:A259"/>
    <mergeCell ref="B258:B259"/>
    <mergeCell ref="C258:C259"/>
    <mergeCell ref="D258:D259"/>
    <mergeCell ref="E258:E259"/>
    <mergeCell ref="F258:F259"/>
    <mergeCell ref="H256:H257"/>
    <mergeCell ref="I256:I257"/>
    <mergeCell ref="J256:J257"/>
    <mergeCell ref="K256:K257"/>
    <mergeCell ref="L256:L257"/>
    <mergeCell ref="M256:M257"/>
    <mergeCell ref="A256:A257"/>
    <mergeCell ref="B256:B257"/>
    <mergeCell ref="C256:C257"/>
    <mergeCell ref="D256:D257"/>
    <mergeCell ref="E256:E257"/>
    <mergeCell ref="F256:F257"/>
    <mergeCell ref="H254:H255"/>
    <mergeCell ref="I254:I255"/>
    <mergeCell ref="J254:J255"/>
    <mergeCell ref="K254:K255"/>
    <mergeCell ref="L254:L255"/>
    <mergeCell ref="M254:M255"/>
    <mergeCell ref="A254:A255"/>
    <mergeCell ref="B254:B255"/>
    <mergeCell ref="C254:C255"/>
    <mergeCell ref="D254:D255"/>
    <mergeCell ref="E254:E255"/>
    <mergeCell ref="F254:F255"/>
    <mergeCell ref="H252:H253"/>
    <mergeCell ref="I252:I253"/>
    <mergeCell ref="J252:J253"/>
    <mergeCell ref="K252:K253"/>
    <mergeCell ref="L252:L253"/>
    <mergeCell ref="M252:M253"/>
    <mergeCell ref="A252:A253"/>
    <mergeCell ref="B252:B253"/>
    <mergeCell ref="C252:C253"/>
    <mergeCell ref="D252:D253"/>
    <mergeCell ref="E252:E253"/>
    <mergeCell ref="F252:F253"/>
    <mergeCell ref="H250:H251"/>
    <mergeCell ref="I250:I251"/>
    <mergeCell ref="J250:J251"/>
    <mergeCell ref="K250:K251"/>
    <mergeCell ref="L250:L251"/>
    <mergeCell ref="M250:M251"/>
    <mergeCell ref="A250:A251"/>
    <mergeCell ref="B250:B251"/>
    <mergeCell ref="C250:C251"/>
    <mergeCell ref="D250:D251"/>
    <mergeCell ref="E250:E251"/>
    <mergeCell ref="F250:F251"/>
    <mergeCell ref="H248:H249"/>
    <mergeCell ref="I248:I249"/>
    <mergeCell ref="J248:J249"/>
    <mergeCell ref="K248:K249"/>
    <mergeCell ref="L248:L249"/>
    <mergeCell ref="M248:M249"/>
    <mergeCell ref="A248:A249"/>
    <mergeCell ref="B248:B249"/>
    <mergeCell ref="C248:C249"/>
    <mergeCell ref="D248:D249"/>
    <mergeCell ref="E248:E249"/>
    <mergeCell ref="F248:F249"/>
    <mergeCell ref="H246:H247"/>
    <mergeCell ref="I246:I247"/>
    <mergeCell ref="J246:J247"/>
    <mergeCell ref="K246:K247"/>
    <mergeCell ref="L246:L247"/>
    <mergeCell ref="M246:M247"/>
    <mergeCell ref="A246:A247"/>
    <mergeCell ref="B246:B247"/>
    <mergeCell ref="C246:C247"/>
    <mergeCell ref="D246:D247"/>
    <mergeCell ref="E246:E247"/>
    <mergeCell ref="F246:F247"/>
    <mergeCell ref="H244:H245"/>
    <mergeCell ref="I244:I245"/>
    <mergeCell ref="J244:J245"/>
    <mergeCell ref="K244:K245"/>
    <mergeCell ref="L244:L245"/>
    <mergeCell ref="M244:M245"/>
    <mergeCell ref="A244:A245"/>
    <mergeCell ref="B244:B245"/>
    <mergeCell ref="C244:C245"/>
    <mergeCell ref="D244:D245"/>
    <mergeCell ref="E244:E245"/>
    <mergeCell ref="F244:F245"/>
    <mergeCell ref="H242:H243"/>
    <mergeCell ref="I242:I243"/>
    <mergeCell ref="J242:J243"/>
    <mergeCell ref="K242:K243"/>
    <mergeCell ref="L242:L243"/>
    <mergeCell ref="M242:M243"/>
    <mergeCell ref="A242:A243"/>
    <mergeCell ref="B242:B243"/>
    <mergeCell ref="C242:C243"/>
    <mergeCell ref="D242:D243"/>
    <mergeCell ref="E242:E243"/>
    <mergeCell ref="F242:F243"/>
    <mergeCell ref="H240:H241"/>
    <mergeCell ref="I240:I241"/>
    <mergeCell ref="J240:J241"/>
    <mergeCell ref="K240:K241"/>
    <mergeCell ref="L240:L241"/>
    <mergeCell ref="M240:M241"/>
    <mergeCell ref="A240:A241"/>
    <mergeCell ref="B240:B241"/>
    <mergeCell ref="C240:C241"/>
    <mergeCell ref="D240:D241"/>
    <mergeCell ref="E240:E241"/>
    <mergeCell ref="F240:F241"/>
    <mergeCell ref="H238:H239"/>
    <mergeCell ref="I238:I239"/>
    <mergeCell ref="J238:J239"/>
    <mergeCell ref="K238:K239"/>
    <mergeCell ref="L238:L239"/>
    <mergeCell ref="M238:M239"/>
    <mergeCell ref="A238:A239"/>
    <mergeCell ref="B238:B239"/>
    <mergeCell ref="C238:C239"/>
    <mergeCell ref="D238:D239"/>
    <mergeCell ref="E238:E239"/>
    <mergeCell ref="F238:F239"/>
    <mergeCell ref="H236:H237"/>
    <mergeCell ref="I236:I237"/>
    <mergeCell ref="J236:J237"/>
    <mergeCell ref="K236:K237"/>
    <mergeCell ref="L236:L237"/>
    <mergeCell ref="M236:M237"/>
    <mergeCell ref="A236:A237"/>
    <mergeCell ref="B236:B237"/>
    <mergeCell ref="C236:C237"/>
    <mergeCell ref="D236:D237"/>
    <mergeCell ref="E236:E237"/>
    <mergeCell ref="F236:F237"/>
    <mergeCell ref="H234:H235"/>
    <mergeCell ref="I234:I235"/>
    <mergeCell ref="J234:J235"/>
    <mergeCell ref="K234:K235"/>
    <mergeCell ref="L234:L235"/>
    <mergeCell ref="M234:M235"/>
    <mergeCell ref="A234:A235"/>
    <mergeCell ref="B234:B235"/>
    <mergeCell ref="C234:C235"/>
    <mergeCell ref="D234:D235"/>
    <mergeCell ref="E234:E235"/>
    <mergeCell ref="F234:F235"/>
    <mergeCell ref="C184:C185"/>
    <mergeCell ref="D184:D185"/>
    <mergeCell ref="E184:E185"/>
    <mergeCell ref="F184:F185"/>
    <mergeCell ref="H184:H185"/>
    <mergeCell ref="A186:A187"/>
    <mergeCell ref="B186:B187"/>
    <mergeCell ref="C186:C187"/>
    <mergeCell ref="D186:D187"/>
    <mergeCell ref="E186:E187"/>
    <mergeCell ref="F186:F187"/>
    <mergeCell ref="H186:H187"/>
    <mergeCell ref="I186:I187"/>
    <mergeCell ref="J186:J187"/>
    <mergeCell ref="K186:K187"/>
    <mergeCell ref="L186:L187"/>
    <mergeCell ref="M186:M187"/>
    <mergeCell ref="A188:A189"/>
    <mergeCell ref="B188:B189"/>
    <mergeCell ref="C188:C189"/>
    <mergeCell ref="L182:L183"/>
    <mergeCell ref="I184:I185"/>
    <mergeCell ref="J184:J185"/>
    <mergeCell ref="K184:K185"/>
    <mergeCell ref="L184:L185"/>
    <mergeCell ref="M184:M185"/>
    <mergeCell ref="M182:M183"/>
    <mergeCell ref="B182:B183"/>
    <mergeCell ref="C182:C183"/>
    <mergeCell ref="D182:D183"/>
    <mergeCell ref="E182:E183"/>
    <mergeCell ref="F182:F183"/>
    <mergeCell ref="H182:H183"/>
    <mergeCell ref="I182:I183"/>
    <mergeCell ref="J182:J183"/>
    <mergeCell ref="K182:K183"/>
    <mergeCell ref="K129:K130"/>
    <mergeCell ref="L129:L130"/>
    <mergeCell ref="H156:H157"/>
    <mergeCell ref="I156:I157"/>
    <mergeCell ref="J156:J157"/>
    <mergeCell ref="K156:K157"/>
    <mergeCell ref="L156:L157"/>
    <mergeCell ref="I152:I153"/>
    <mergeCell ref="J152:J153"/>
    <mergeCell ref="M129:M130"/>
    <mergeCell ref="M142:M143"/>
    <mergeCell ref="K140:K141"/>
    <mergeCell ref="L140:L141"/>
    <mergeCell ref="M140:M141"/>
    <mergeCell ref="M138:M139"/>
    <mergeCell ref="M136:M137"/>
    <mergeCell ref="H129:H130"/>
    <mergeCell ref="I129:I130"/>
    <mergeCell ref="J129:J130"/>
    <mergeCell ref="M156:M157"/>
    <mergeCell ref="A156:A157"/>
    <mergeCell ref="B156:B157"/>
    <mergeCell ref="C156:C157"/>
    <mergeCell ref="D156:D157"/>
    <mergeCell ref="E156:E157"/>
    <mergeCell ref="F156:F157"/>
    <mergeCell ref="M154:M155"/>
    <mergeCell ref="A154:A155"/>
    <mergeCell ref="K146:K147"/>
    <mergeCell ref="L146:L147"/>
    <mergeCell ref="I148:I149"/>
    <mergeCell ref="J148:J149"/>
    <mergeCell ref="K148:K149"/>
    <mergeCell ref="L148:L149"/>
    <mergeCell ref="M146:M147"/>
    <mergeCell ref="D150:D151"/>
    <mergeCell ref="E150:E151"/>
    <mergeCell ref="F150:F151"/>
    <mergeCell ref="H150:H151"/>
    <mergeCell ref="K150:K151"/>
    <mergeCell ref="A148:A149"/>
    <mergeCell ref="M144:M145"/>
    <mergeCell ref="A146:A147"/>
    <mergeCell ref="B146:B147"/>
    <mergeCell ref="C146:C147"/>
    <mergeCell ref="D146:D147"/>
    <mergeCell ref="E146:E147"/>
    <mergeCell ref="F146:F147"/>
    <mergeCell ref="A158:A159"/>
    <mergeCell ref="H154:H155"/>
    <mergeCell ref="I154:I155"/>
    <mergeCell ref="J154:J155"/>
    <mergeCell ref="K154:K155"/>
    <mergeCell ref="L154:L155"/>
    <mergeCell ref="B158:B159"/>
    <mergeCell ref="C158:C159"/>
    <mergeCell ref="D158:D159"/>
    <mergeCell ref="E158:E159"/>
    <mergeCell ref="L150:L151"/>
    <mergeCell ref="M150:M151"/>
    <mergeCell ref="M152:M153"/>
    <mergeCell ref="B154:B155"/>
    <mergeCell ref="C154:C155"/>
    <mergeCell ref="D154:D155"/>
    <mergeCell ref="E154:E155"/>
    <mergeCell ref="F154:F155"/>
    <mergeCell ref="L152:L153"/>
    <mergeCell ref="K152:K153"/>
    <mergeCell ref="A152:A153"/>
    <mergeCell ref="B152:B153"/>
    <mergeCell ref="C152:C153"/>
    <mergeCell ref="D152:D153"/>
    <mergeCell ref="E152:E153"/>
    <mergeCell ref="F152:F153"/>
    <mergeCell ref="H152:H153"/>
    <mergeCell ref="I150:I151"/>
    <mergeCell ref="J150:J151"/>
    <mergeCell ref="A150:A151"/>
    <mergeCell ref="B150:B151"/>
    <mergeCell ref="C150:C151"/>
    <mergeCell ref="H146:H147"/>
    <mergeCell ref="I146:I147"/>
    <mergeCell ref="J146:J147"/>
    <mergeCell ref="F144:F145"/>
    <mergeCell ref="H144:H145"/>
    <mergeCell ref="I144:I145"/>
    <mergeCell ref="J144:J145"/>
    <mergeCell ref="K144:K145"/>
    <mergeCell ref="L144:L145"/>
    <mergeCell ref="I142:I143"/>
    <mergeCell ref="J142:J143"/>
    <mergeCell ref="K142:K143"/>
    <mergeCell ref="L142:L143"/>
    <mergeCell ref="A144:A145"/>
    <mergeCell ref="B144:B145"/>
    <mergeCell ref="C144:C145"/>
    <mergeCell ref="D144:D145"/>
    <mergeCell ref="E144:E145"/>
    <mergeCell ref="A142:A143"/>
    <mergeCell ref="B142:B143"/>
    <mergeCell ref="C142:C143"/>
    <mergeCell ref="D142:D143"/>
    <mergeCell ref="E142:E143"/>
    <mergeCell ref="F142:F143"/>
    <mergeCell ref="H142:H143"/>
    <mergeCell ref="E140:E141"/>
    <mergeCell ref="F140:F141"/>
    <mergeCell ref="H140:H141"/>
    <mergeCell ref="I140:I141"/>
    <mergeCell ref="J140:J141"/>
    <mergeCell ref="F138:F139"/>
    <mergeCell ref="H138:H139"/>
    <mergeCell ref="I138:I139"/>
    <mergeCell ref="J138:J139"/>
    <mergeCell ref="K138:K139"/>
    <mergeCell ref="L138:L139"/>
    <mergeCell ref="I136:I137"/>
    <mergeCell ref="J136:J137"/>
    <mergeCell ref="K136:K137"/>
    <mergeCell ref="L136:L137"/>
    <mergeCell ref="A138:A139"/>
    <mergeCell ref="B138:B139"/>
    <mergeCell ref="C138:C139"/>
    <mergeCell ref="D138:D139"/>
    <mergeCell ref="E138:E139"/>
    <mergeCell ref="A136:A137"/>
    <mergeCell ref="B136:B137"/>
    <mergeCell ref="C136:C137"/>
    <mergeCell ref="D136:D137"/>
    <mergeCell ref="E136:E137"/>
    <mergeCell ref="F136:F137"/>
    <mergeCell ref="K54:K55"/>
    <mergeCell ref="I54:I55"/>
    <mergeCell ref="J54:J55"/>
    <mergeCell ref="I66:I67"/>
    <mergeCell ref="J66:J67"/>
    <mergeCell ref="A133:A134"/>
    <mergeCell ref="B133:B134"/>
    <mergeCell ref="C133:C134"/>
    <mergeCell ref="D133:D134"/>
    <mergeCell ref="E133:E134"/>
    <mergeCell ref="L54:L55"/>
    <mergeCell ref="E64:E65"/>
    <mergeCell ref="F64:F65"/>
    <mergeCell ref="H64:H65"/>
    <mergeCell ref="I64:I65"/>
    <mergeCell ref="L58:L59"/>
    <mergeCell ref="A68:A69"/>
    <mergeCell ref="B68:B69"/>
    <mergeCell ref="C68:C69"/>
    <mergeCell ref="D68:D69"/>
    <mergeCell ref="E68:E69"/>
    <mergeCell ref="F68:F69"/>
    <mergeCell ref="H68:H69"/>
    <mergeCell ref="I68:I69"/>
    <mergeCell ref="J68:J69"/>
    <mergeCell ref="K68:K69"/>
    <mergeCell ref="A129:A130"/>
    <mergeCell ref="B129:B130"/>
    <mergeCell ref="C129:C130"/>
    <mergeCell ref="D129:D130"/>
    <mergeCell ref="E129:E130"/>
    <mergeCell ref="F129:F130"/>
    <mergeCell ref="M54:M55"/>
    <mergeCell ref="B70:M70"/>
    <mergeCell ref="A54:A55"/>
    <mergeCell ref="B54:B55"/>
    <mergeCell ref="C54:C55"/>
    <mergeCell ref="D54:D55"/>
    <mergeCell ref="E54:E55"/>
    <mergeCell ref="F54:F55"/>
    <mergeCell ref="H54:H55"/>
    <mergeCell ref="K66:K67"/>
    <mergeCell ref="H66:H67"/>
    <mergeCell ref="K60:K61"/>
    <mergeCell ref="H62:H63"/>
    <mergeCell ref="I62:I63"/>
    <mergeCell ref="L66:L67"/>
    <mergeCell ref="J60:J61"/>
    <mergeCell ref="M66:M67"/>
    <mergeCell ref="K64:K65"/>
    <mergeCell ref="L64:L65"/>
    <mergeCell ref="M64:M65"/>
    <mergeCell ref="J64:J65"/>
    <mergeCell ref="A66:A67"/>
    <mergeCell ref="B66:B67"/>
    <mergeCell ref="C66:C67"/>
    <mergeCell ref="D66:D67"/>
    <mergeCell ref="E66:E67"/>
    <mergeCell ref="F66:F67"/>
    <mergeCell ref="M60:M61"/>
    <mergeCell ref="A64:A65"/>
    <mergeCell ref="B64:B65"/>
    <mergeCell ref="C64:C65"/>
    <mergeCell ref="D64:D65"/>
    <mergeCell ref="M58:M59"/>
    <mergeCell ref="A60:A61"/>
    <mergeCell ref="B60:B61"/>
    <mergeCell ref="C60:C61"/>
    <mergeCell ref="D60:D61"/>
    <mergeCell ref="E60:E61"/>
    <mergeCell ref="H60:H61"/>
    <mergeCell ref="I60:I61"/>
    <mergeCell ref="L60:L61"/>
    <mergeCell ref="A50:A51"/>
    <mergeCell ref="A52:A53"/>
    <mergeCell ref="F52:F53"/>
    <mergeCell ref="A56:A57"/>
    <mergeCell ref="F56:F57"/>
    <mergeCell ref="A58:A59"/>
    <mergeCell ref="F58:F59"/>
    <mergeCell ref="A38:A39"/>
    <mergeCell ref="A40:A41"/>
    <mergeCell ref="A42:A43"/>
    <mergeCell ref="A44:A45"/>
    <mergeCell ref="A46:A47"/>
    <mergeCell ref="A48:A49"/>
    <mergeCell ref="L52:L53"/>
    <mergeCell ref="M52:M53"/>
    <mergeCell ref="B56:B57"/>
    <mergeCell ref="C56:C57"/>
    <mergeCell ref="D56:D57"/>
    <mergeCell ref="E56:E57"/>
    <mergeCell ref="H56:H57"/>
    <mergeCell ref="I56:I57"/>
    <mergeCell ref="J50:J51"/>
    <mergeCell ref="K50:K51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4:A5"/>
    <mergeCell ref="A6:A7"/>
    <mergeCell ref="A8:A9"/>
    <mergeCell ref="A10:A11"/>
    <mergeCell ref="A12:A13"/>
    <mergeCell ref="C14:C15"/>
    <mergeCell ref="D14:D15"/>
    <mergeCell ref="E14:E15"/>
    <mergeCell ref="F14:F15"/>
    <mergeCell ref="H14:H15"/>
    <mergeCell ref="B16:B17"/>
    <mergeCell ref="C16:C17"/>
    <mergeCell ref="D16:D17"/>
    <mergeCell ref="E16:E17"/>
    <mergeCell ref="F16:F17"/>
    <mergeCell ref="H16:H17"/>
    <mergeCell ref="M8:M9"/>
    <mergeCell ref="B8:B9"/>
    <mergeCell ref="C8:C9"/>
    <mergeCell ref="D8:D9"/>
    <mergeCell ref="E8:E9"/>
    <mergeCell ref="F8:F9"/>
    <mergeCell ref="H8:H9"/>
    <mergeCell ref="I8:I9"/>
    <mergeCell ref="J8:J9"/>
    <mergeCell ref="K8:K9"/>
    <mergeCell ref="L8:L9"/>
    <mergeCell ref="J10:J11"/>
    <mergeCell ref="K10:K11"/>
    <mergeCell ref="L10:L11"/>
    <mergeCell ref="M10:M11"/>
    <mergeCell ref="B12:B13"/>
    <mergeCell ref="C12:C13"/>
    <mergeCell ref="D12:D13"/>
    <mergeCell ref="E12:E13"/>
    <mergeCell ref="H12:H13"/>
    <mergeCell ref="I12:I13"/>
    <mergeCell ref="K34:K35"/>
    <mergeCell ref="L34:L35"/>
    <mergeCell ref="I28:I29"/>
    <mergeCell ref="J28:J29"/>
    <mergeCell ref="M34:M35"/>
    <mergeCell ref="I34:I35"/>
    <mergeCell ref="J34:J35"/>
    <mergeCell ref="M32:M33"/>
    <mergeCell ref="K28:K29"/>
    <mergeCell ref="L28:L29"/>
    <mergeCell ref="J58:J59"/>
    <mergeCell ref="K58:K59"/>
    <mergeCell ref="K24:K25"/>
    <mergeCell ref="B34:B35"/>
    <mergeCell ref="C34:C35"/>
    <mergeCell ref="L24:L25"/>
    <mergeCell ref="D34:D35"/>
    <mergeCell ref="E34:E35"/>
    <mergeCell ref="F34:F35"/>
    <mergeCell ref="H34:H35"/>
    <mergeCell ref="J56:J57"/>
    <mergeCell ref="K56:K57"/>
    <mergeCell ref="L56:L57"/>
    <mergeCell ref="M56:M57"/>
    <mergeCell ref="B58:B59"/>
    <mergeCell ref="C58:C59"/>
    <mergeCell ref="D58:D59"/>
    <mergeCell ref="E58:E59"/>
    <mergeCell ref="H58:H59"/>
    <mergeCell ref="I58:I59"/>
    <mergeCell ref="J52:J53"/>
    <mergeCell ref="K52:K53"/>
    <mergeCell ref="L50:L51"/>
    <mergeCell ref="M50:M51"/>
    <mergeCell ref="B52:B53"/>
    <mergeCell ref="C52:C53"/>
    <mergeCell ref="D52:D53"/>
    <mergeCell ref="E52:E53"/>
    <mergeCell ref="H52:H53"/>
    <mergeCell ref="I52:I53"/>
    <mergeCell ref="J48:J49"/>
    <mergeCell ref="K48:K49"/>
    <mergeCell ref="L48:L49"/>
    <mergeCell ref="M48:M49"/>
    <mergeCell ref="B50:B51"/>
    <mergeCell ref="C50:C51"/>
    <mergeCell ref="D50:D51"/>
    <mergeCell ref="E50:E51"/>
    <mergeCell ref="H50:H51"/>
    <mergeCell ref="I50:I51"/>
    <mergeCell ref="J46:J47"/>
    <mergeCell ref="K46:K47"/>
    <mergeCell ref="L46:L47"/>
    <mergeCell ref="M46:M47"/>
    <mergeCell ref="B48:B49"/>
    <mergeCell ref="C48:C49"/>
    <mergeCell ref="D48:D49"/>
    <mergeCell ref="E48:E49"/>
    <mergeCell ref="H48:H49"/>
    <mergeCell ref="I48:I49"/>
    <mergeCell ref="J44:J45"/>
    <mergeCell ref="K44:K45"/>
    <mergeCell ref="L44:L45"/>
    <mergeCell ref="M44:M45"/>
    <mergeCell ref="B46:B47"/>
    <mergeCell ref="C46:C47"/>
    <mergeCell ref="D46:D47"/>
    <mergeCell ref="E46:E47"/>
    <mergeCell ref="H46:H47"/>
    <mergeCell ref="I46:I47"/>
    <mergeCell ref="J42:J43"/>
    <mergeCell ref="K42:K43"/>
    <mergeCell ref="L42:L43"/>
    <mergeCell ref="M42:M43"/>
    <mergeCell ref="B44:B45"/>
    <mergeCell ref="C44:C45"/>
    <mergeCell ref="D44:D45"/>
    <mergeCell ref="E44:E45"/>
    <mergeCell ref="H44:H45"/>
    <mergeCell ref="I44:I45"/>
    <mergeCell ref="J40:J41"/>
    <mergeCell ref="K40:K41"/>
    <mergeCell ref="L40:L41"/>
    <mergeCell ref="M40:M41"/>
    <mergeCell ref="B42:B43"/>
    <mergeCell ref="C42:C43"/>
    <mergeCell ref="D42:D43"/>
    <mergeCell ref="E42:E43"/>
    <mergeCell ref="H42:H43"/>
    <mergeCell ref="I42:I43"/>
    <mergeCell ref="F42:F43"/>
    <mergeCell ref="J38:J39"/>
    <mergeCell ref="K38:K39"/>
    <mergeCell ref="L38:L39"/>
    <mergeCell ref="M38:M39"/>
    <mergeCell ref="B40:B41"/>
    <mergeCell ref="C40:C41"/>
    <mergeCell ref="D40:D41"/>
    <mergeCell ref="E40:E41"/>
    <mergeCell ref="H40:H41"/>
    <mergeCell ref="I40:I41"/>
    <mergeCell ref="B38:B39"/>
    <mergeCell ref="C38:C39"/>
    <mergeCell ref="D38:D39"/>
    <mergeCell ref="E38:E39"/>
    <mergeCell ref="H38:H39"/>
    <mergeCell ref="I38:I39"/>
    <mergeCell ref="B36:B37"/>
    <mergeCell ref="C36:C37"/>
    <mergeCell ref="D36:D37"/>
    <mergeCell ref="E36:E37"/>
    <mergeCell ref="H36:H37"/>
    <mergeCell ref="I36:I37"/>
    <mergeCell ref="H30:H31"/>
    <mergeCell ref="J32:J33"/>
    <mergeCell ref="F32:F33"/>
    <mergeCell ref="L36:L37"/>
    <mergeCell ref="M36:M37"/>
    <mergeCell ref="I30:I31"/>
    <mergeCell ref="J30:J31"/>
    <mergeCell ref="K32:K33"/>
    <mergeCell ref="K30:K31"/>
    <mergeCell ref="L32:L33"/>
    <mergeCell ref="K26:K27"/>
    <mergeCell ref="L26:L27"/>
    <mergeCell ref="M26:M27"/>
    <mergeCell ref="H26:H27"/>
    <mergeCell ref="I26:I27"/>
    <mergeCell ref="B32:B33"/>
    <mergeCell ref="C32:C33"/>
    <mergeCell ref="D32:D33"/>
    <mergeCell ref="E32:E33"/>
    <mergeCell ref="H32:H33"/>
    <mergeCell ref="M28:M29"/>
    <mergeCell ref="B28:B29"/>
    <mergeCell ref="C28:C29"/>
    <mergeCell ref="D28:D29"/>
    <mergeCell ref="E28:E29"/>
    <mergeCell ref="H28:H29"/>
    <mergeCell ref="F28:F29"/>
    <mergeCell ref="F26:F27"/>
    <mergeCell ref="B26:B27"/>
    <mergeCell ref="C26:C27"/>
    <mergeCell ref="D26:D27"/>
    <mergeCell ref="E26:E27"/>
    <mergeCell ref="J22:J23"/>
    <mergeCell ref="J26:J27"/>
    <mergeCell ref="J24:J25"/>
    <mergeCell ref="K22:K23"/>
    <mergeCell ref="L22:L23"/>
    <mergeCell ref="M22:M23"/>
    <mergeCell ref="B24:B25"/>
    <mergeCell ref="C24:C25"/>
    <mergeCell ref="D24:D25"/>
    <mergeCell ref="E24:E25"/>
    <mergeCell ref="F24:F25"/>
    <mergeCell ref="H24:H25"/>
    <mergeCell ref="M24:M25"/>
    <mergeCell ref="J20:J21"/>
    <mergeCell ref="K20:K21"/>
    <mergeCell ref="L20:L21"/>
    <mergeCell ref="M20:M21"/>
    <mergeCell ref="B22:B23"/>
    <mergeCell ref="C22:C23"/>
    <mergeCell ref="D22:D23"/>
    <mergeCell ref="E22:E23"/>
    <mergeCell ref="H22:H23"/>
    <mergeCell ref="I22:I23"/>
    <mergeCell ref="I24:I25"/>
    <mergeCell ref="F22:F23"/>
    <mergeCell ref="J18:J19"/>
    <mergeCell ref="K18:K19"/>
    <mergeCell ref="L18:L19"/>
    <mergeCell ref="M18:M19"/>
    <mergeCell ref="B20:B21"/>
    <mergeCell ref="C20:C21"/>
    <mergeCell ref="D20:D21"/>
    <mergeCell ref="E20:E21"/>
    <mergeCell ref="H20:H21"/>
    <mergeCell ref="I20:I21"/>
    <mergeCell ref="J12:J13"/>
    <mergeCell ref="K12:K13"/>
    <mergeCell ref="L12:L13"/>
    <mergeCell ref="M12:M13"/>
    <mergeCell ref="B18:B19"/>
    <mergeCell ref="C18:C19"/>
    <mergeCell ref="D18:D19"/>
    <mergeCell ref="E18:E19"/>
    <mergeCell ref="H18:H19"/>
    <mergeCell ref="I18:I19"/>
    <mergeCell ref="F20:F21"/>
    <mergeCell ref="I16:I17"/>
    <mergeCell ref="I14:I15"/>
    <mergeCell ref="J14:J15"/>
    <mergeCell ref="K14:K15"/>
    <mergeCell ref="L14:L15"/>
    <mergeCell ref="M14:M15"/>
    <mergeCell ref="J16:J17"/>
    <mergeCell ref="K16:K17"/>
    <mergeCell ref="L16:L17"/>
    <mergeCell ref="M16:M17"/>
    <mergeCell ref="B14:B15"/>
    <mergeCell ref="B10:B11"/>
    <mergeCell ref="C10:C11"/>
    <mergeCell ref="D10:D11"/>
    <mergeCell ref="E10:E11"/>
    <mergeCell ref="H10:H11"/>
    <mergeCell ref="I10:I11"/>
    <mergeCell ref="B4:B5"/>
    <mergeCell ref="I6:I7"/>
    <mergeCell ref="J6:J7"/>
    <mergeCell ref="K6:K7"/>
    <mergeCell ref="L6:L7"/>
    <mergeCell ref="H6:H7"/>
    <mergeCell ref="M6:M7"/>
    <mergeCell ref="B6:B7"/>
    <mergeCell ref="C6:C7"/>
    <mergeCell ref="D6:D7"/>
    <mergeCell ref="E6:E7"/>
    <mergeCell ref="F6:F7"/>
    <mergeCell ref="D30:D31"/>
    <mergeCell ref="E30:E31"/>
    <mergeCell ref="C4:C5"/>
    <mergeCell ref="B2:M2"/>
    <mergeCell ref="F36:F37"/>
    <mergeCell ref="F38:F39"/>
    <mergeCell ref="F40:F41"/>
    <mergeCell ref="F10:F11"/>
    <mergeCell ref="F12:F13"/>
    <mergeCell ref="F18:F19"/>
    <mergeCell ref="M30:M31"/>
    <mergeCell ref="B30:B31"/>
    <mergeCell ref="C30:C31"/>
    <mergeCell ref="F60:F61"/>
    <mergeCell ref="F44:F45"/>
    <mergeCell ref="F46:F47"/>
    <mergeCell ref="F48:F49"/>
    <mergeCell ref="F50:F51"/>
    <mergeCell ref="L30:L31"/>
    <mergeCell ref="F30:F31"/>
    <mergeCell ref="J36:J37"/>
    <mergeCell ref="K36:K37"/>
    <mergeCell ref="I32:I33"/>
    <mergeCell ref="K4:K5"/>
    <mergeCell ref="L4:L5"/>
    <mergeCell ref="M4:M5"/>
    <mergeCell ref="D4:D5"/>
    <mergeCell ref="E4:E5"/>
    <mergeCell ref="F4:F5"/>
    <mergeCell ref="H4:H5"/>
    <mergeCell ref="I4:I5"/>
    <mergeCell ref="J4:J5"/>
    <mergeCell ref="H77:H78"/>
    <mergeCell ref="I77:I78"/>
    <mergeCell ref="J77:J78"/>
    <mergeCell ref="L68:L69"/>
    <mergeCell ref="M68:M69"/>
    <mergeCell ref="A71:A72"/>
    <mergeCell ref="B71:B72"/>
    <mergeCell ref="C71:C72"/>
    <mergeCell ref="D71:D72"/>
    <mergeCell ref="E71:E72"/>
    <mergeCell ref="F71:F72"/>
    <mergeCell ref="H71:H72"/>
    <mergeCell ref="I71:I72"/>
    <mergeCell ref="J71:J72"/>
    <mergeCell ref="K71:K72"/>
    <mergeCell ref="L71:L72"/>
    <mergeCell ref="M71:M72"/>
    <mergeCell ref="L73:L74"/>
    <mergeCell ref="M73:M74"/>
    <mergeCell ref="A73:A74"/>
    <mergeCell ref="B73:B74"/>
    <mergeCell ref="C73:C74"/>
    <mergeCell ref="D73:D74"/>
    <mergeCell ref="E73:E74"/>
    <mergeCell ref="F73:F74"/>
    <mergeCell ref="E87:E88"/>
    <mergeCell ref="F87:F88"/>
    <mergeCell ref="H87:H88"/>
    <mergeCell ref="I87:I88"/>
    <mergeCell ref="J87:J88"/>
    <mergeCell ref="K87:K88"/>
    <mergeCell ref="L87:L88"/>
    <mergeCell ref="M87:M88"/>
    <mergeCell ref="A83:A84"/>
    <mergeCell ref="B83:B84"/>
    <mergeCell ref="H83:H84"/>
    <mergeCell ref="I83:I84"/>
    <mergeCell ref="J83:J84"/>
    <mergeCell ref="E75:E76"/>
    <mergeCell ref="F75:F76"/>
    <mergeCell ref="H73:H74"/>
    <mergeCell ref="I73:I74"/>
    <mergeCell ref="J73:J74"/>
    <mergeCell ref="K73:K74"/>
    <mergeCell ref="H75:H76"/>
    <mergeCell ref="I75:I76"/>
    <mergeCell ref="J75:J76"/>
    <mergeCell ref="K75:K76"/>
    <mergeCell ref="L75:L76"/>
    <mergeCell ref="M75:M76"/>
    <mergeCell ref="K77:K78"/>
    <mergeCell ref="L77:L78"/>
    <mergeCell ref="M77:M78"/>
    <mergeCell ref="A77:A78"/>
    <mergeCell ref="B77:B78"/>
    <mergeCell ref="C77:C78"/>
    <mergeCell ref="D77:D78"/>
    <mergeCell ref="M89:M90"/>
    <mergeCell ref="A91:A92"/>
    <mergeCell ref="B91:B92"/>
    <mergeCell ref="C91:C92"/>
    <mergeCell ref="D91:D92"/>
    <mergeCell ref="E91:E92"/>
    <mergeCell ref="F91:F92"/>
    <mergeCell ref="H91:H92"/>
    <mergeCell ref="I91:I92"/>
    <mergeCell ref="J91:J92"/>
    <mergeCell ref="K91:K92"/>
    <mergeCell ref="L91:L92"/>
    <mergeCell ref="M91:M92"/>
    <mergeCell ref="H79:H80"/>
    <mergeCell ref="I79:I80"/>
    <mergeCell ref="J79:J80"/>
    <mergeCell ref="J85:J86"/>
    <mergeCell ref="A85:A86"/>
    <mergeCell ref="B85:B86"/>
    <mergeCell ref="C85:C86"/>
    <mergeCell ref="D85:D86"/>
    <mergeCell ref="E85:E86"/>
    <mergeCell ref="F85:F86"/>
    <mergeCell ref="H85:H86"/>
    <mergeCell ref="I85:I86"/>
    <mergeCell ref="K85:K86"/>
    <mergeCell ref="L85:L86"/>
    <mergeCell ref="M85:M86"/>
    <mergeCell ref="A87:A88"/>
    <mergeCell ref="B87:B88"/>
    <mergeCell ref="C87:C88"/>
    <mergeCell ref="D87:D88"/>
    <mergeCell ref="A95:A96"/>
    <mergeCell ref="B95:B96"/>
    <mergeCell ref="C95:C96"/>
    <mergeCell ref="D95:D96"/>
    <mergeCell ref="E95:E96"/>
    <mergeCell ref="H95:H96"/>
    <mergeCell ref="L95:L96"/>
    <mergeCell ref="I93:I94"/>
    <mergeCell ref="J93:J94"/>
    <mergeCell ref="K93:K94"/>
    <mergeCell ref="L93:L94"/>
    <mergeCell ref="A89:A90"/>
    <mergeCell ref="B89:B90"/>
    <mergeCell ref="C89:C90"/>
    <mergeCell ref="D89:D90"/>
    <mergeCell ref="E89:E90"/>
    <mergeCell ref="F89:F90"/>
    <mergeCell ref="H89:H90"/>
    <mergeCell ref="I89:I90"/>
    <mergeCell ref="J89:J90"/>
    <mergeCell ref="K89:K90"/>
    <mergeCell ref="L89:L90"/>
    <mergeCell ref="M95:M96"/>
    <mergeCell ref="M93:M94"/>
    <mergeCell ref="I95:I96"/>
    <mergeCell ref="J95:J96"/>
    <mergeCell ref="K95:K96"/>
    <mergeCell ref="A97:A98"/>
    <mergeCell ref="B97:B98"/>
    <mergeCell ref="C97:C98"/>
    <mergeCell ref="D97:D98"/>
    <mergeCell ref="E97:E98"/>
    <mergeCell ref="F97:F98"/>
    <mergeCell ref="H97:H98"/>
    <mergeCell ref="M97:M98"/>
    <mergeCell ref="F95:F96"/>
    <mergeCell ref="A99:A100"/>
    <mergeCell ref="B99:B100"/>
    <mergeCell ref="C99:C100"/>
    <mergeCell ref="D99:D100"/>
    <mergeCell ref="E99:E100"/>
    <mergeCell ref="K99:K100"/>
    <mergeCell ref="L99:L100"/>
    <mergeCell ref="I97:I98"/>
    <mergeCell ref="J97:J98"/>
    <mergeCell ref="K97:K98"/>
    <mergeCell ref="L97:L98"/>
    <mergeCell ref="A93:A94"/>
    <mergeCell ref="C93:C94"/>
    <mergeCell ref="D93:D94"/>
    <mergeCell ref="E93:E94"/>
    <mergeCell ref="F93:F94"/>
    <mergeCell ref="H93:H94"/>
    <mergeCell ref="B93:B94"/>
    <mergeCell ref="A101:A102"/>
    <mergeCell ref="B101:B102"/>
    <mergeCell ref="C101:C102"/>
    <mergeCell ref="D101:D102"/>
    <mergeCell ref="E101:E102"/>
    <mergeCell ref="L101:L102"/>
    <mergeCell ref="M99:M100"/>
    <mergeCell ref="F99:F100"/>
    <mergeCell ref="H99:H100"/>
    <mergeCell ref="I99:I100"/>
    <mergeCell ref="J99:J100"/>
    <mergeCell ref="F101:F102"/>
    <mergeCell ref="H101:H102"/>
    <mergeCell ref="I101:I102"/>
    <mergeCell ref="J101:J102"/>
    <mergeCell ref="K101:K102"/>
    <mergeCell ref="M101:M102"/>
    <mergeCell ref="A103:A104"/>
    <mergeCell ref="C103:C104"/>
    <mergeCell ref="D103:D104"/>
    <mergeCell ref="E103:E104"/>
    <mergeCell ref="F103:F104"/>
    <mergeCell ref="B103:B104"/>
    <mergeCell ref="H103:H104"/>
    <mergeCell ref="I103:I104"/>
    <mergeCell ref="J103:J104"/>
    <mergeCell ref="K103:K104"/>
    <mergeCell ref="L103:L104"/>
    <mergeCell ref="M103:M104"/>
    <mergeCell ref="A105:A106"/>
    <mergeCell ref="B105:B106"/>
    <mergeCell ref="C105:C106"/>
    <mergeCell ref="D105:D106"/>
    <mergeCell ref="E105:E106"/>
    <mergeCell ref="F105:F106"/>
    <mergeCell ref="H105:H106"/>
    <mergeCell ref="I105:I106"/>
    <mergeCell ref="J105:J106"/>
    <mergeCell ref="K105:K106"/>
    <mergeCell ref="L105:L106"/>
    <mergeCell ref="M105:M106"/>
    <mergeCell ref="A107:A108"/>
    <mergeCell ref="B107:B108"/>
    <mergeCell ref="C107:C108"/>
    <mergeCell ref="D107:D108"/>
    <mergeCell ref="E107:E108"/>
    <mergeCell ref="F107:F108"/>
    <mergeCell ref="H107:H108"/>
    <mergeCell ref="I107:I108"/>
    <mergeCell ref="J107:J108"/>
    <mergeCell ref="K107:K108"/>
    <mergeCell ref="L107:L108"/>
    <mergeCell ref="M107:M108"/>
    <mergeCell ref="A109:A110"/>
    <mergeCell ref="B109:B110"/>
    <mergeCell ref="C109:C110"/>
    <mergeCell ref="D109:D110"/>
    <mergeCell ref="E109:E110"/>
    <mergeCell ref="F109:F110"/>
    <mergeCell ref="H109:H110"/>
    <mergeCell ref="I109:I110"/>
    <mergeCell ref="J109:J110"/>
    <mergeCell ref="K109:K110"/>
    <mergeCell ref="L109:L110"/>
    <mergeCell ref="M109:M110"/>
    <mergeCell ref="A111:A112"/>
    <mergeCell ref="B111:B112"/>
    <mergeCell ref="C111:C112"/>
    <mergeCell ref="D111:D112"/>
    <mergeCell ref="E111:E112"/>
    <mergeCell ref="F111:F112"/>
    <mergeCell ref="H111:H112"/>
    <mergeCell ref="I111:I112"/>
    <mergeCell ref="J111:J112"/>
    <mergeCell ref="K111:K112"/>
    <mergeCell ref="L111:L112"/>
    <mergeCell ref="M111:M112"/>
    <mergeCell ref="A113:A114"/>
    <mergeCell ref="B113:B114"/>
    <mergeCell ref="C113:C114"/>
    <mergeCell ref="D113:D114"/>
    <mergeCell ref="E113:E114"/>
    <mergeCell ref="F113:F114"/>
    <mergeCell ref="H113:H114"/>
    <mergeCell ref="I113:I114"/>
    <mergeCell ref="J113:J114"/>
    <mergeCell ref="K113:K114"/>
    <mergeCell ref="L113:L114"/>
    <mergeCell ref="M113:M114"/>
    <mergeCell ref="A117:A118"/>
    <mergeCell ref="B117:B118"/>
    <mergeCell ref="C117:C118"/>
    <mergeCell ref="D117:D118"/>
    <mergeCell ref="E117:E118"/>
    <mergeCell ref="F117:F118"/>
    <mergeCell ref="H117:H118"/>
    <mergeCell ref="I117:I118"/>
    <mergeCell ref="J117:J118"/>
    <mergeCell ref="K117:K118"/>
    <mergeCell ref="L117:L118"/>
    <mergeCell ref="M117:M118"/>
    <mergeCell ref="A119:A120"/>
    <mergeCell ref="B119:B120"/>
    <mergeCell ref="C119:C120"/>
    <mergeCell ref="D119:D120"/>
    <mergeCell ref="E119:E120"/>
    <mergeCell ref="F119:F120"/>
    <mergeCell ref="H119:H120"/>
    <mergeCell ref="I119:I120"/>
    <mergeCell ref="J119:J120"/>
    <mergeCell ref="K119:K120"/>
    <mergeCell ref="L119:L120"/>
    <mergeCell ref="M119:M120"/>
    <mergeCell ref="A121:A122"/>
    <mergeCell ref="B121:B122"/>
    <mergeCell ref="C121:C122"/>
    <mergeCell ref="D121:D122"/>
    <mergeCell ref="E121:E122"/>
    <mergeCell ref="F121:F122"/>
    <mergeCell ref="H121:H122"/>
    <mergeCell ref="I121:I122"/>
    <mergeCell ref="J121:J122"/>
    <mergeCell ref="K121:K122"/>
    <mergeCell ref="L121:L122"/>
    <mergeCell ref="M121:M122"/>
    <mergeCell ref="A123:A124"/>
    <mergeCell ref="B123:B124"/>
    <mergeCell ref="C123:C124"/>
    <mergeCell ref="D123:D124"/>
    <mergeCell ref="E123:E124"/>
    <mergeCell ref="F123:F124"/>
    <mergeCell ref="H123:H124"/>
    <mergeCell ref="I123:I124"/>
    <mergeCell ref="J123:J124"/>
    <mergeCell ref="K123:K124"/>
    <mergeCell ref="L123:L124"/>
    <mergeCell ref="M123:M124"/>
    <mergeCell ref="A125:A126"/>
    <mergeCell ref="B125:B126"/>
    <mergeCell ref="C125:C126"/>
    <mergeCell ref="D125:D126"/>
    <mergeCell ref="E125:E126"/>
    <mergeCell ref="F125:F126"/>
    <mergeCell ref="H125:H126"/>
    <mergeCell ref="I125:I126"/>
    <mergeCell ref="J125:J126"/>
    <mergeCell ref="K125:K126"/>
    <mergeCell ref="L125:L126"/>
    <mergeCell ref="M125:M126"/>
    <mergeCell ref="A127:A128"/>
    <mergeCell ref="B127:B128"/>
    <mergeCell ref="C127:C128"/>
    <mergeCell ref="D127:D128"/>
    <mergeCell ref="E127:E128"/>
    <mergeCell ref="F127:F128"/>
    <mergeCell ref="H127:H128"/>
    <mergeCell ref="I127:I128"/>
    <mergeCell ref="J127:J128"/>
    <mergeCell ref="K127:K128"/>
    <mergeCell ref="L127:L128"/>
    <mergeCell ref="M127:M128"/>
    <mergeCell ref="H178:H179"/>
    <mergeCell ref="I178:I179"/>
    <mergeCell ref="J178:J179"/>
    <mergeCell ref="K178:K179"/>
    <mergeCell ref="L178:L179"/>
    <mergeCell ref="M178:M179"/>
    <mergeCell ref="H158:H159"/>
    <mergeCell ref="M133:M134"/>
    <mergeCell ref="H136:H137"/>
    <mergeCell ref="A160:A161"/>
    <mergeCell ref="B160:B161"/>
    <mergeCell ref="C160:C161"/>
    <mergeCell ref="D160:D161"/>
    <mergeCell ref="E160:E161"/>
    <mergeCell ref="F160:F161"/>
    <mergeCell ref="H160:H161"/>
    <mergeCell ref="I160:I161"/>
    <mergeCell ref="J160:J161"/>
    <mergeCell ref="K160:K161"/>
    <mergeCell ref="L160:L161"/>
    <mergeCell ref="M160:M161"/>
    <mergeCell ref="A162:A163"/>
    <mergeCell ref="F133:F134"/>
    <mergeCell ref="H133:H134"/>
    <mergeCell ref="I133:I134"/>
    <mergeCell ref="J133:J134"/>
    <mergeCell ref="K133:K134"/>
    <mergeCell ref="L133:L134"/>
    <mergeCell ref="A140:A141"/>
    <mergeCell ref="B140:B141"/>
    <mergeCell ref="C140:C141"/>
    <mergeCell ref="D140:D141"/>
    <mergeCell ref="C180:C181"/>
    <mergeCell ref="D180:D181"/>
    <mergeCell ref="E180:E181"/>
    <mergeCell ref="F180:F181"/>
    <mergeCell ref="H180:H181"/>
    <mergeCell ref="K131:K132"/>
    <mergeCell ref="C178:C179"/>
    <mergeCell ref="D178:D179"/>
    <mergeCell ref="E178:E179"/>
    <mergeCell ref="F178:F179"/>
    <mergeCell ref="I180:I181"/>
    <mergeCell ref="J180:J181"/>
    <mergeCell ref="K180:K181"/>
    <mergeCell ref="L180:L181"/>
    <mergeCell ref="M180:M181"/>
    <mergeCell ref="J62:J63"/>
    <mergeCell ref="K62:K63"/>
    <mergeCell ref="L62:L63"/>
    <mergeCell ref="M62:M63"/>
    <mergeCell ref="K81:K82"/>
    <mergeCell ref="L81:L82"/>
    <mergeCell ref="M81:M82"/>
    <mergeCell ref="K79:K80"/>
    <mergeCell ref="L79:L80"/>
    <mergeCell ref="M79:M80"/>
    <mergeCell ref="H81:H82"/>
    <mergeCell ref="I81:I82"/>
    <mergeCell ref="J81:J82"/>
    <mergeCell ref="C83:C84"/>
    <mergeCell ref="D83:D84"/>
    <mergeCell ref="E83:E84"/>
    <mergeCell ref="F83:F84"/>
    <mergeCell ref="A62:A63"/>
    <mergeCell ref="B62:B63"/>
    <mergeCell ref="C62:C63"/>
    <mergeCell ref="D62:D63"/>
    <mergeCell ref="E62:E63"/>
    <mergeCell ref="F62:F63"/>
    <mergeCell ref="C79:C80"/>
    <mergeCell ref="A75:A76"/>
    <mergeCell ref="B75:B76"/>
    <mergeCell ref="C75:C76"/>
    <mergeCell ref="E81:E82"/>
    <mergeCell ref="F81:F82"/>
    <mergeCell ref="D79:D80"/>
    <mergeCell ref="E79:E80"/>
    <mergeCell ref="F77:F78"/>
    <mergeCell ref="F79:F80"/>
    <mergeCell ref="D75:D76"/>
    <mergeCell ref="A81:A82"/>
    <mergeCell ref="B81:B82"/>
    <mergeCell ref="C81:C82"/>
    <mergeCell ref="D81:D82"/>
    <mergeCell ref="A79:A80"/>
    <mergeCell ref="B79:B80"/>
    <mergeCell ref="E77:E78"/>
    <mergeCell ref="K83:K84"/>
    <mergeCell ref="L83:L84"/>
    <mergeCell ref="M83:M84"/>
    <mergeCell ref="A115:A116"/>
    <mergeCell ref="B115:B116"/>
    <mergeCell ref="C115:C116"/>
    <mergeCell ref="D115:D116"/>
    <mergeCell ref="E115:E116"/>
    <mergeCell ref="F115:F116"/>
    <mergeCell ref="H115:H116"/>
    <mergeCell ref="I115:I116"/>
    <mergeCell ref="J115:J116"/>
    <mergeCell ref="K115:K116"/>
    <mergeCell ref="L115:L116"/>
    <mergeCell ref="M115:M116"/>
    <mergeCell ref="F158:F159"/>
    <mergeCell ref="I158:I159"/>
    <mergeCell ref="J158:J159"/>
    <mergeCell ref="K158:K159"/>
    <mergeCell ref="L158:L159"/>
    <mergeCell ref="M158:M159"/>
    <mergeCell ref="L131:L132"/>
    <mergeCell ref="A131:A132"/>
    <mergeCell ref="B131:B132"/>
    <mergeCell ref="C131:C132"/>
    <mergeCell ref="D131:D132"/>
    <mergeCell ref="E131:E132"/>
    <mergeCell ref="F131:F132"/>
    <mergeCell ref="H131:H132"/>
    <mergeCell ref="I131:I132"/>
    <mergeCell ref="J131:J132"/>
    <mergeCell ref="M131:M132"/>
    <mergeCell ref="J168:J169"/>
    <mergeCell ref="K168:K169"/>
    <mergeCell ref="L168:L169"/>
    <mergeCell ref="M168:M169"/>
    <mergeCell ref="B162:B163"/>
    <mergeCell ref="C162:C163"/>
    <mergeCell ref="D162:D163"/>
    <mergeCell ref="E162:E163"/>
    <mergeCell ref="F162:F163"/>
    <mergeCell ref="H162:H163"/>
    <mergeCell ref="I162:I163"/>
    <mergeCell ref="J162:J163"/>
    <mergeCell ref="K162:K163"/>
    <mergeCell ref="L162:L163"/>
    <mergeCell ref="M162:M163"/>
    <mergeCell ref="A164:A165"/>
    <mergeCell ref="B164:B165"/>
    <mergeCell ref="C164:C165"/>
    <mergeCell ref="D164:D165"/>
    <mergeCell ref="E164:E165"/>
    <mergeCell ref="F164:F165"/>
    <mergeCell ref="H164:H165"/>
    <mergeCell ref="I164:I165"/>
    <mergeCell ref="J164:J165"/>
    <mergeCell ref="K164:K165"/>
    <mergeCell ref="L164:L165"/>
    <mergeCell ref="M164:M165"/>
    <mergeCell ref="K170:K171"/>
    <mergeCell ref="L170:L171"/>
    <mergeCell ref="M170:M171"/>
    <mergeCell ref="J172:J173"/>
    <mergeCell ref="K172:K173"/>
    <mergeCell ref="L172:L173"/>
    <mergeCell ref="M172:M173"/>
    <mergeCell ref="A172:A173"/>
    <mergeCell ref="B172:B173"/>
    <mergeCell ref="C172:C173"/>
    <mergeCell ref="D172:D173"/>
    <mergeCell ref="E172:E173"/>
    <mergeCell ref="A166:A167"/>
    <mergeCell ref="B166:B167"/>
    <mergeCell ref="C166:C167"/>
    <mergeCell ref="D166:D167"/>
    <mergeCell ref="E166:E167"/>
    <mergeCell ref="F166:F167"/>
    <mergeCell ref="H166:H167"/>
    <mergeCell ref="I166:I167"/>
    <mergeCell ref="J166:J167"/>
    <mergeCell ref="K166:K167"/>
    <mergeCell ref="L166:L167"/>
    <mergeCell ref="M166:M167"/>
    <mergeCell ref="A168:A169"/>
    <mergeCell ref="B168:B169"/>
    <mergeCell ref="C168:C169"/>
    <mergeCell ref="D168:D169"/>
    <mergeCell ref="E168:E169"/>
    <mergeCell ref="F168:F169"/>
    <mergeCell ref="H168:H169"/>
    <mergeCell ref="I168:I169"/>
    <mergeCell ref="E174:E175"/>
    <mergeCell ref="F174:F175"/>
    <mergeCell ref="H172:H173"/>
    <mergeCell ref="F172:F173"/>
    <mergeCell ref="I172:I173"/>
    <mergeCell ref="I174:I175"/>
    <mergeCell ref="J174:J175"/>
    <mergeCell ref="A174:A175"/>
    <mergeCell ref="B135:M135"/>
    <mergeCell ref="K174:K175"/>
    <mergeCell ref="L174:L175"/>
    <mergeCell ref="M174:M175"/>
    <mergeCell ref="H174:H175"/>
    <mergeCell ref="B174:B175"/>
    <mergeCell ref="C174:C175"/>
    <mergeCell ref="D174:D175"/>
    <mergeCell ref="A184:A185"/>
    <mergeCell ref="A178:A179"/>
    <mergeCell ref="A180:A181"/>
    <mergeCell ref="A182:A183"/>
    <mergeCell ref="B180:B181"/>
    <mergeCell ref="B178:B179"/>
    <mergeCell ref="B184:B185"/>
    <mergeCell ref="A170:A171"/>
    <mergeCell ref="B170:B171"/>
    <mergeCell ref="C170:C171"/>
    <mergeCell ref="D170:D171"/>
    <mergeCell ref="E170:E171"/>
    <mergeCell ref="F170:F171"/>
    <mergeCell ref="H170:H171"/>
    <mergeCell ref="I170:I171"/>
    <mergeCell ref="J170:J171"/>
    <mergeCell ref="D188:D189"/>
    <mergeCell ref="E188:E189"/>
    <mergeCell ref="F188:F189"/>
    <mergeCell ref="H188:H189"/>
    <mergeCell ref="I188:I189"/>
    <mergeCell ref="J188:J189"/>
    <mergeCell ref="K188:K189"/>
    <mergeCell ref="L188:L189"/>
    <mergeCell ref="M188:M189"/>
    <mergeCell ref="A190:A191"/>
    <mergeCell ref="B190:B191"/>
    <mergeCell ref="C190:C191"/>
    <mergeCell ref="D190:D191"/>
    <mergeCell ref="E190:E191"/>
    <mergeCell ref="F190:F191"/>
    <mergeCell ref="H190:H191"/>
    <mergeCell ref="I190:I191"/>
    <mergeCell ref="J190:J191"/>
    <mergeCell ref="K190:K191"/>
    <mergeCell ref="L190:L191"/>
    <mergeCell ref="M190:M191"/>
    <mergeCell ref="A192:A193"/>
    <mergeCell ref="B192:B193"/>
    <mergeCell ref="C192:C193"/>
    <mergeCell ref="D192:D193"/>
    <mergeCell ref="E192:E193"/>
    <mergeCell ref="F192:F193"/>
    <mergeCell ref="H192:H193"/>
    <mergeCell ref="I192:I193"/>
    <mergeCell ref="J192:J193"/>
    <mergeCell ref="K192:K193"/>
    <mergeCell ref="L192:L193"/>
    <mergeCell ref="M192:M193"/>
    <mergeCell ref="A194:A195"/>
    <mergeCell ref="B194:B195"/>
    <mergeCell ref="C194:C195"/>
    <mergeCell ref="D194:D195"/>
    <mergeCell ref="E194:E195"/>
    <mergeCell ref="F194:F195"/>
    <mergeCell ref="H194:H195"/>
    <mergeCell ref="I194:I195"/>
    <mergeCell ref="J194:J195"/>
    <mergeCell ref="K194:K195"/>
    <mergeCell ref="L194:L195"/>
    <mergeCell ref="M194:M195"/>
    <mergeCell ref="A196:A197"/>
    <mergeCell ref="B196:B197"/>
    <mergeCell ref="C196:C197"/>
    <mergeCell ref="D196:D197"/>
    <mergeCell ref="E196:E197"/>
    <mergeCell ref="F196:F197"/>
    <mergeCell ref="H196:H197"/>
    <mergeCell ref="I196:I197"/>
    <mergeCell ref="J196:J197"/>
    <mergeCell ref="K196:K197"/>
    <mergeCell ref="L196:L197"/>
    <mergeCell ref="M196:M197"/>
    <mergeCell ref="A198:A199"/>
    <mergeCell ref="B198:B199"/>
    <mergeCell ref="C198:C199"/>
    <mergeCell ref="D198:D199"/>
    <mergeCell ref="E198:E199"/>
    <mergeCell ref="F198:F199"/>
    <mergeCell ref="H198:H199"/>
    <mergeCell ref="I198:I199"/>
    <mergeCell ref="J198:J199"/>
    <mergeCell ref="K198:K199"/>
    <mergeCell ref="L198:L199"/>
    <mergeCell ref="M198:M199"/>
    <mergeCell ref="A200:A201"/>
    <mergeCell ref="B200:B201"/>
    <mergeCell ref="C200:C201"/>
    <mergeCell ref="D200:D201"/>
    <mergeCell ref="E200:E201"/>
    <mergeCell ref="F200:F201"/>
    <mergeCell ref="H200:H201"/>
    <mergeCell ref="I200:I201"/>
    <mergeCell ref="J200:J201"/>
    <mergeCell ref="K200:K201"/>
    <mergeCell ref="L200:L201"/>
    <mergeCell ref="M200:M201"/>
    <mergeCell ref="A202:A203"/>
    <mergeCell ref="B202:B203"/>
    <mergeCell ref="C202:C203"/>
    <mergeCell ref="D202:D203"/>
    <mergeCell ref="E202:E203"/>
    <mergeCell ref="F202:F203"/>
    <mergeCell ref="H202:H203"/>
    <mergeCell ref="I202:I203"/>
    <mergeCell ref="J202:J203"/>
    <mergeCell ref="K202:K203"/>
    <mergeCell ref="L202:L203"/>
    <mergeCell ref="M202:M203"/>
    <mergeCell ref="A204:A205"/>
    <mergeCell ref="B204:B205"/>
    <mergeCell ref="C204:C205"/>
    <mergeCell ref="D204:D205"/>
    <mergeCell ref="E204:E205"/>
    <mergeCell ref="F204:F205"/>
    <mergeCell ref="H204:H205"/>
    <mergeCell ref="I204:I205"/>
    <mergeCell ref="J204:J205"/>
    <mergeCell ref="K204:K205"/>
    <mergeCell ref="L204:L205"/>
    <mergeCell ref="M204:M205"/>
    <mergeCell ref="A206:A207"/>
    <mergeCell ref="B206:B207"/>
    <mergeCell ref="C206:C207"/>
    <mergeCell ref="D206:D207"/>
    <mergeCell ref="E206:E207"/>
    <mergeCell ref="F206:F207"/>
    <mergeCell ref="H206:H207"/>
    <mergeCell ref="I206:I207"/>
    <mergeCell ref="J206:J207"/>
    <mergeCell ref="K206:K207"/>
    <mergeCell ref="L206:L207"/>
    <mergeCell ref="M206:M207"/>
    <mergeCell ref="A208:A209"/>
    <mergeCell ref="B208:B209"/>
    <mergeCell ref="C208:C209"/>
    <mergeCell ref="D208:D209"/>
    <mergeCell ref="E208:E209"/>
    <mergeCell ref="F208:F209"/>
    <mergeCell ref="H208:H209"/>
    <mergeCell ref="I208:I209"/>
    <mergeCell ref="J208:J209"/>
    <mergeCell ref="K208:K209"/>
    <mergeCell ref="L208:L209"/>
    <mergeCell ref="M208:M209"/>
    <mergeCell ref="A210:A211"/>
    <mergeCell ref="B210:B211"/>
    <mergeCell ref="C210:C211"/>
    <mergeCell ref="D210:D211"/>
    <mergeCell ref="E210:E211"/>
    <mergeCell ref="F210:F211"/>
    <mergeCell ref="H210:H211"/>
    <mergeCell ref="I210:I211"/>
    <mergeCell ref="J210:J211"/>
    <mergeCell ref="K210:K211"/>
    <mergeCell ref="L210:L211"/>
    <mergeCell ref="M210:M211"/>
    <mergeCell ref="K212:K213"/>
    <mergeCell ref="L212:L213"/>
    <mergeCell ref="M212:M213"/>
    <mergeCell ref="A212:A213"/>
    <mergeCell ref="B212:B213"/>
    <mergeCell ref="C212:C213"/>
    <mergeCell ref="D212:D213"/>
    <mergeCell ref="E212:E213"/>
    <mergeCell ref="F212:F213"/>
    <mergeCell ref="A216:A217"/>
    <mergeCell ref="B216:B217"/>
    <mergeCell ref="C216:C217"/>
    <mergeCell ref="D216:D217"/>
    <mergeCell ref="E216:E217"/>
    <mergeCell ref="F216:F217"/>
    <mergeCell ref="H216:H217"/>
    <mergeCell ref="I216:I217"/>
    <mergeCell ref="J216:J217"/>
    <mergeCell ref="K216:K217"/>
    <mergeCell ref="L216:L217"/>
    <mergeCell ref="M216:M217"/>
    <mergeCell ref="H212:H213"/>
    <mergeCell ref="I212:I213"/>
    <mergeCell ref="J212:J213"/>
    <mergeCell ref="A220:A221"/>
    <mergeCell ref="B220:B221"/>
    <mergeCell ref="C220:C221"/>
    <mergeCell ref="D220:D221"/>
    <mergeCell ref="E220:E221"/>
    <mergeCell ref="F220:F221"/>
    <mergeCell ref="H220:H221"/>
    <mergeCell ref="I220:I221"/>
    <mergeCell ref="J220:J221"/>
    <mergeCell ref="K220:K221"/>
    <mergeCell ref="L220:L221"/>
    <mergeCell ref="M220:M221"/>
    <mergeCell ref="A222:A223"/>
    <mergeCell ref="B222:B223"/>
    <mergeCell ref="C222:C223"/>
    <mergeCell ref="D222:D223"/>
    <mergeCell ref="E222:E223"/>
    <mergeCell ref="F222:F223"/>
    <mergeCell ref="H222:H223"/>
    <mergeCell ref="I222:I223"/>
    <mergeCell ref="J222:J223"/>
    <mergeCell ref="K222:K223"/>
    <mergeCell ref="L222:L223"/>
    <mergeCell ref="M222:M223"/>
    <mergeCell ref="A224:A225"/>
    <mergeCell ref="B224:B225"/>
    <mergeCell ref="C224:C225"/>
    <mergeCell ref="D224:D225"/>
    <mergeCell ref="E224:E225"/>
    <mergeCell ref="F224:F225"/>
    <mergeCell ref="H224:H225"/>
    <mergeCell ref="I224:I225"/>
    <mergeCell ref="J224:J225"/>
    <mergeCell ref="K224:K225"/>
    <mergeCell ref="L224:L225"/>
    <mergeCell ref="M224:M225"/>
    <mergeCell ref="A226:A227"/>
    <mergeCell ref="B226:B227"/>
    <mergeCell ref="C226:C227"/>
    <mergeCell ref="D226:D227"/>
    <mergeCell ref="E226:E227"/>
    <mergeCell ref="F226:F227"/>
    <mergeCell ref="H226:H227"/>
    <mergeCell ref="I226:I227"/>
    <mergeCell ref="J226:J227"/>
    <mergeCell ref="K226:K227"/>
    <mergeCell ref="L226:L227"/>
    <mergeCell ref="M226:M227"/>
    <mergeCell ref="A228:A229"/>
    <mergeCell ref="B228:B229"/>
    <mergeCell ref="C228:C229"/>
    <mergeCell ref="D228:D229"/>
    <mergeCell ref="E228:E229"/>
    <mergeCell ref="F228:F229"/>
    <mergeCell ref="H228:H229"/>
    <mergeCell ref="I228:I229"/>
    <mergeCell ref="J228:J229"/>
    <mergeCell ref="K228:K229"/>
    <mergeCell ref="L228:L229"/>
    <mergeCell ref="M228:M229"/>
    <mergeCell ref="A230:A231"/>
    <mergeCell ref="B230:B231"/>
    <mergeCell ref="C230:C231"/>
    <mergeCell ref="D230:D231"/>
    <mergeCell ref="E230:E231"/>
    <mergeCell ref="F230:F231"/>
    <mergeCell ref="H230:H231"/>
    <mergeCell ref="I230:I231"/>
    <mergeCell ref="J230:J231"/>
    <mergeCell ref="K230:K231"/>
    <mergeCell ref="L230:L231"/>
    <mergeCell ref="M230:M231"/>
    <mergeCell ref="K232:K233"/>
    <mergeCell ref="L232:L233"/>
    <mergeCell ref="M232:M233"/>
    <mergeCell ref="A232:A233"/>
    <mergeCell ref="B232:B233"/>
    <mergeCell ref="C232:C233"/>
    <mergeCell ref="D232:D233"/>
    <mergeCell ref="E232:E233"/>
    <mergeCell ref="F232:F233"/>
    <mergeCell ref="B218:M218"/>
    <mergeCell ref="H232:H233"/>
    <mergeCell ref="I232:I233"/>
    <mergeCell ref="J232:J233"/>
    <mergeCell ref="M148:M149"/>
    <mergeCell ref="B148:B149"/>
    <mergeCell ref="C148:C149"/>
    <mergeCell ref="D148:D149"/>
    <mergeCell ref="E148:E149"/>
    <mergeCell ref="F148:F149"/>
    <mergeCell ref="A214:A215"/>
    <mergeCell ref="B214:B215"/>
    <mergeCell ref="C214:C215"/>
    <mergeCell ref="D214:D215"/>
    <mergeCell ref="E214:E215"/>
    <mergeCell ref="F214:F215"/>
    <mergeCell ref="I214:I215"/>
    <mergeCell ref="J214:J215"/>
    <mergeCell ref="K214:K215"/>
    <mergeCell ref="L214:L215"/>
    <mergeCell ref="M214:M215"/>
    <mergeCell ref="H148:H149"/>
    <mergeCell ref="H214:H215"/>
    <mergeCell ref="A325:A326"/>
    <mergeCell ref="B325:B326"/>
    <mergeCell ref="C325:C326"/>
    <mergeCell ref="D325:D326"/>
    <mergeCell ref="E325:E326"/>
    <mergeCell ref="F325:F326"/>
    <mergeCell ref="B298:B299"/>
    <mergeCell ref="C300:C301"/>
    <mergeCell ref="D300:D301"/>
    <mergeCell ref="E300:E301"/>
    <mergeCell ref="F300:F301"/>
    <mergeCell ref="B300:B301"/>
    <mergeCell ref="A298:A299"/>
    <mergeCell ref="C298:C299"/>
    <mergeCell ref="D298:D299"/>
    <mergeCell ref="A296:A297"/>
    <mergeCell ref="B296:B297"/>
    <mergeCell ref="C296:C297"/>
    <mergeCell ref="D296:D297"/>
    <mergeCell ref="E296:E297"/>
    <mergeCell ref="F296:F297"/>
    <mergeCell ref="A306:A307"/>
    <mergeCell ref="B306:B307"/>
    <mergeCell ref="C306:C307"/>
    <mergeCell ref="D306:D307"/>
    <mergeCell ref="E306:E307"/>
    <mergeCell ref="F306:F307"/>
    <mergeCell ref="K349:K350"/>
    <mergeCell ref="L349:L350"/>
    <mergeCell ref="M349:M350"/>
    <mergeCell ref="H325:H326"/>
    <mergeCell ref="I325:I326"/>
    <mergeCell ref="J325:J326"/>
    <mergeCell ref="K325:K326"/>
    <mergeCell ref="L325:L326"/>
    <mergeCell ref="M325:M326"/>
    <mergeCell ref="H341:H342"/>
    <mergeCell ref="A349:A350"/>
    <mergeCell ref="B349:B350"/>
    <mergeCell ref="C349:C350"/>
    <mergeCell ref="D349:D350"/>
    <mergeCell ref="E349:E350"/>
    <mergeCell ref="F349:F350"/>
    <mergeCell ref="A345:A346"/>
    <mergeCell ref="B345:B346"/>
    <mergeCell ref="C345:C346"/>
    <mergeCell ref="D345:D346"/>
    <mergeCell ref="E345:E346"/>
    <mergeCell ref="F345:F346"/>
    <mergeCell ref="H345:H346"/>
    <mergeCell ref="I345:I346"/>
    <mergeCell ref="J345:J346"/>
    <mergeCell ref="K345:K346"/>
    <mergeCell ref="L345:L346"/>
    <mergeCell ref="M345:M346"/>
    <mergeCell ref="H349:H350"/>
    <mergeCell ref="I349:I350"/>
    <mergeCell ref="J349:J350"/>
    <mergeCell ref="H329:H330"/>
    <mergeCell ref="K460:K461"/>
    <mergeCell ref="L460:L461"/>
    <mergeCell ref="M460:M461"/>
    <mergeCell ref="A460:A461"/>
    <mergeCell ref="B460:B461"/>
    <mergeCell ref="C460:C461"/>
    <mergeCell ref="D460:D461"/>
    <mergeCell ref="E460:E461"/>
    <mergeCell ref="F460:F461"/>
    <mergeCell ref="H462:H463"/>
    <mergeCell ref="I462:I463"/>
    <mergeCell ref="J462:J463"/>
    <mergeCell ref="H460:H461"/>
    <mergeCell ref="I460:I461"/>
    <mergeCell ref="J460:J461"/>
    <mergeCell ref="H442:H443"/>
    <mergeCell ref="I442:I443"/>
    <mergeCell ref="J442:J443"/>
    <mergeCell ref="K442:K443"/>
    <mergeCell ref="L442:L443"/>
    <mergeCell ref="M442:M443"/>
    <mergeCell ref="A442:A443"/>
    <mergeCell ref="B442:B443"/>
    <mergeCell ref="C442:C443"/>
    <mergeCell ref="D442:D443"/>
    <mergeCell ref="E442:E443"/>
    <mergeCell ref="F442:F443"/>
    <mergeCell ref="H446:H447"/>
    <mergeCell ref="I446:I447"/>
    <mergeCell ref="J446:J447"/>
    <mergeCell ref="K446:K447"/>
    <mergeCell ref="L446:L447"/>
    <mergeCell ref="J561:J562"/>
    <mergeCell ref="K561:K562"/>
    <mergeCell ref="L561:L562"/>
    <mergeCell ref="M561:M562"/>
    <mergeCell ref="A573:A574"/>
    <mergeCell ref="B573:B574"/>
    <mergeCell ref="C573:C574"/>
    <mergeCell ref="D573:D574"/>
    <mergeCell ref="E573:E574"/>
    <mergeCell ref="F573:F574"/>
    <mergeCell ref="H573:H574"/>
    <mergeCell ref="I573:I574"/>
    <mergeCell ref="J573:J574"/>
    <mergeCell ref="K573:K574"/>
    <mergeCell ref="L573:L574"/>
    <mergeCell ref="M573:M574"/>
    <mergeCell ref="H579:H580"/>
    <mergeCell ref="I579:I580"/>
    <mergeCell ref="A577:A578"/>
    <mergeCell ref="B577:B578"/>
    <mergeCell ref="C577:C578"/>
    <mergeCell ref="D577:D578"/>
    <mergeCell ref="E577:E578"/>
    <mergeCell ref="F577:F578"/>
    <mergeCell ref="A579:A580"/>
    <mergeCell ref="B579:B580"/>
    <mergeCell ref="L579:L580"/>
    <mergeCell ref="M579:M580"/>
    <mergeCell ref="L577:L578"/>
    <mergeCell ref="M577:M578"/>
    <mergeCell ref="C579:C580"/>
    <mergeCell ref="D579:D580"/>
    <mergeCell ref="E617:E618"/>
    <mergeCell ref="F617:F618"/>
    <mergeCell ref="H617:H618"/>
    <mergeCell ref="I617:I618"/>
    <mergeCell ref="J617:J618"/>
    <mergeCell ref="K617:K618"/>
    <mergeCell ref="L617:L618"/>
    <mergeCell ref="M617:M618"/>
    <mergeCell ref="D637:D638"/>
    <mergeCell ref="E637:E638"/>
    <mergeCell ref="F637:F638"/>
    <mergeCell ref="H637:H638"/>
    <mergeCell ref="I637:I638"/>
    <mergeCell ref="J637:J638"/>
    <mergeCell ref="K637:K638"/>
    <mergeCell ref="L637:L638"/>
    <mergeCell ref="H619:H620"/>
    <mergeCell ref="I619:I620"/>
    <mergeCell ref="J619:J620"/>
    <mergeCell ref="K619:K620"/>
    <mergeCell ref="L619:L620"/>
    <mergeCell ref="M619:M620"/>
    <mergeCell ref="H623:H624"/>
    <mergeCell ref="I623:I624"/>
    <mergeCell ref="J623:J624"/>
    <mergeCell ref="K623:K624"/>
    <mergeCell ref="L623:L624"/>
    <mergeCell ref="M623:M624"/>
    <mergeCell ref="H627:H628"/>
    <mergeCell ref="I627:I628"/>
    <mergeCell ref="J627:J628"/>
    <mergeCell ref="K627:K628"/>
    <mergeCell ref="A619:A620"/>
    <mergeCell ref="B619:B620"/>
    <mergeCell ref="I639:I640"/>
    <mergeCell ref="J639:J640"/>
    <mergeCell ref="K639:K640"/>
    <mergeCell ref="L639:L640"/>
    <mergeCell ref="B774:B775"/>
    <mergeCell ref="C774:C775"/>
    <mergeCell ref="D774:D775"/>
    <mergeCell ref="E774:E775"/>
    <mergeCell ref="F774:F775"/>
    <mergeCell ref="H774:H775"/>
    <mergeCell ref="L774:L775"/>
    <mergeCell ref="K643:K644"/>
    <mergeCell ref="L643:L644"/>
    <mergeCell ref="K655:K656"/>
    <mergeCell ref="L655:L656"/>
    <mergeCell ref="K666:K667"/>
    <mergeCell ref="L666:L667"/>
    <mergeCell ref="L676:L677"/>
    <mergeCell ref="B682:B683"/>
    <mergeCell ref="C682:C683"/>
    <mergeCell ref="D682:D683"/>
    <mergeCell ref="E682:E683"/>
    <mergeCell ref="F682:F683"/>
    <mergeCell ref="I774:I775"/>
    <mergeCell ref="J774:J775"/>
    <mergeCell ref="K774:K775"/>
    <mergeCell ref="K641:K642"/>
    <mergeCell ref="L641:L642"/>
    <mergeCell ref="B647:B648"/>
    <mergeCell ref="C647:C648"/>
    <mergeCell ref="I778:I779"/>
    <mergeCell ref="J778:J779"/>
    <mergeCell ref="K778:K779"/>
    <mergeCell ref="K780:K781"/>
    <mergeCell ref="M804:M805"/>
    <mergeCell ref="A808:A809"/>
    <mergeCell ref="B808:B809"/>
    <mergeCell ref="C808:C809"/>
    <mergeCell ref="D808:D809"/>
    <mergeCell ref="E808:E809"/>
    <mergeCell ref="B804:B805"/>
    <mergeCell ref="C804:C805"/>
    <mergeCell ref="D804:D805"/>
    <mergeCell ref="I808:I809"/>
    <mergeCell ref="I804:I805"/>
    <mergeCell ref="J804:J805"/>
    <mergeCell ref="I806:I807"/>
    <mergeCell ref="J806:J807"/>
    <mergeCell ref="F808:F809"/>
    <mergeCell ref="H808:H809"/>
    <mergeCell ref="L778:L779"/>
    <mergeCell ref="M778:M779"/>
    <mergeCell ref="B780:B781"/>
    <mergeCell ref="C780:C781"/>
    <mergeCell ref="D780:D781"/>
    <mergeCell ref="E780:E781"/>
    <mergeCell ref="F780:F781"/>
    <mergeCell ref="M808:M809"/>
    <mergeCell ref="K782:K783"/>
    <mergeCell ref="L782:L783"/>
    <mergeCell ref="M782:M783"/>
    <mergeCell ref="B784:B785"/>
    <mergeCell ref="I810:I811"/>
    <mergeCell ref="J810:J811"/>
    <mergeCell ref="L808:L809"/>
    <mergeCell ref="J808:J809"/>
    <mergeCell ref="I812:I813"/>
    <mergeCell ref="M812:M813"/>
    <mergeCell ref="M885:M886"/>
    <mergeCell ref="B885:B886"/>
    <mergeCell ref="C885:C886"/>
    <mergeCell ref="D885:D886"/>
    <mergeCell ref="E885:E886"/>
    <mergeCell ref="F885:F886"/>
    <mergeCell ref="H885:H886"/>
    <mergeCell ref="B887:B888"/>
    <mergeCell ref="D887:D888"/>
    <mergeCell ref="E887:E888"/>
    <mergeCell ref="F887:F888"/>
    <mergeCell ref="I816:I817"/>
    <mergeCell ref="J816:J817"/>
    <mergeCell ref="K816:K817"/>
    <mergeCell ref="L816:L817"/>
    <mergeCell ref="M816:M817"/>
    <mergeCell ref="H816:H817"/>
    <mergeCell ref="J814:J815"/>
    <mergeCell ref="K814:K815"/>
    <mergeCell ref="L814:L815"/>
    <mergeCell ref="M814:M815"/>
    <mergeCell ref="I814:I815"/>
    <mergeCell ref="B816:B817"/>
    <mergeCell ref="C816:C817"/>
    <mergeCell ref="D816:D817"/>
    <mergeCell ref="I820:I821"/>
    <mergeCell ref="D927:D928"/>
    <mergeCell ref="E927:E928"/>
    <mergeCell ref="F927:F928"/>
    <mergeCell ref="M998:M999"/>
    <mergeCell ref="M946:M947"/>
    <mergeCell ref="B946:B947"/>
    <mergeCell ref="C946:C947"/>
    <mergeCell ref="D946:D947"/>
    <mergeCell ref="E946:E947"/>
    <mergeCell ref="F946:F947"/>
    <mergeCell ref="H946:H947"/>
    <mergeCell ref="B948:B949"/>
    <mergeCell ref="C948:C949"/>
    <mergeCell ref="B810:B811"/>
    <mergeCell ref="C810:C811"/>
    <mergeCell ref="D810:D811"/>
    <mergeCell ref="E810:E811"/>
    <mergeCell ref="F810:F811"/>
    <mergeCell ref="K810:K811"/>
    <mergeCell ref="H810:H811"/>
    <mergeCell ref="C887:C888"/>
    <mergeCell ref="L810:L811"/>
    <mergeCell ref="M810:M811"/>
    <mergeCell ref="E816:E817"/>
    <mergeCell ref="F816:F817"/>
    <mergeCell ref="B814:B815"/>
    <mergeCell ref="C814:C815"/>
    <mergeCell ref="D814:D815"/>
    <mergeCell ref="E814:E815"/>
    <mergeCell ref="F814:F815"/>
    <mergeCell ref="H814:H815"/>
    <mergeCell ref="H820:H821"/>
  </mergeCells>
  <pageMargins left="0.75" right="0.75" top="1" bottom="1" header="0.5" footer="0.5"/>
  <pageSetup paperSize="9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"/>
  <sheetViews>
    <sheetView topLeftCell="A119" workbookViewId="0">
      <selection activeCell="D22" sqref="D22:D23"/>
    </sheetView>
  </sheetViews>
  <sheetFormatPr defaultRowHeight="12.75"/>
  <cols>
    <col min="1" max="1" width="4.140625" style="10" customWidth="1"/>
    <col min="2" max="2" width="22" customWidth="1"/>
    <col min="3" max="3" width="11.28515625" bestFit="1" customWidth="1"/>
    <col min="4" max="4" width="11.28515625" customWidth="1"/>
    <col min="5" max="5" width="24.140625" customWidth="1"/>
    <col min="6" max="6" width="15.85546875" customWidth="1"/>
    <col min="7" max="7" width="14.140625" customWidth="1"/>
    <col min="8" max="10" width="12.85546875" customWidth="1"/>
    <col min="11" max="11" width="14.140625" customWidth="1"/>
    <col min="12" max="12" width="11" customWidth="1"/>
    <col min="13" max="13" width="15.5703125" customWidth="1"/>
    <col min="14" max="14" width="19.7109375" customWidth="1"/>
    <col min="15" max="15" width="16.42578125" customWidth="1"/>
    <col min="16" max="16" width="19.42578125" customWidth="1"/>
  </cols>
  <sheetData>
    <row r="1" spans="1:16" ht="38.25" thickBot="1">
      <c r="A1" s="9" t="s">
        <v>12</v>
      </c>
      <c r="B1" s="2" t="s">
        <v>0</v>
      </c>
      <c r="C1" s="3" t="s">
        <v>1</v>
      </c>
      <c r="D1" s="4" t="s">
        <v>9</v>
      </c>
      <c r="E1" s="3" t="s">
        <v>2</v>
      </c>
      <c r="F1" s="3" t="s">
        <v>27</v>
      </c>
      <c r="G1" s="3" t="s">
        <v>7</v>
      </c>
      <c r="H1" s="3" t="s">
        <v>3</v>
      </c>
      <c r="I1" s="3" t="s">
        <v>21</v>
      </c>
      <c r="J1" s="3" t="s">
        <v>22</v>
      </c>
      <c r="K1" s="3" t="s">
        <v>4</v>
      </c>
      <c r="L1" s="3" t="s">
        <v>29</v>
      </c>
      <c r="M1" s="3" t="s">
        <v>5</v>
      </c>
      <c r="N1" s="1"/>
      <c r="O1" s="1" t="s">
        <v>28</v>
      </c>
      <c r="P1" s="1" t="s">
        <v>3</v>
      </c>
    </row>
    <row r="2" spans="1:16" ht="20.25" thickTop="1" thickBot="1">
      <c r="A2" s="9"/>
      <c r="B2" s="1413" t="s">
        <v>542</v>
      </c>
      <c r="C2" s="1313"/>
      <c r="D2" s="1313"/>
      <c r="E2" s="1313"/>
      <c r="F2" s="1313"/>
      <c r="G2" s="1313"/>
      <c r="H2" s="1313"/>
      <c r="I2" s="1313"/>
      <c r="J2" s="1313"/>
      <c r="K2" s="1313"/>
      <c r="L2" s="1313"/>
      <c r="M2" s="1314"/>
      <c r="N2" s="7">
        <f>I8+I10+I12</f>
        <v>9602750</v>
      </c>
      <c r="O2" s="8">
        <f>(N2+N24+N67)-(N9+N27+N69)</f>
        <v>0</v>
      </c>
      <c r="P2" s="22">
        <f>N2+N24+N67</f>
        <v>226588645</v>
      </c>
    </row>
    <row r="3" spans="1:16" ht="16.5" hidden="1" customHeight="1" thickTop="1">
      <c r="A3" s="9"/>
      <c r="B3" s="1414"/>
      <c r="C3" s="1416">
        <v>6</v>
      </c>
      <c r="D3" s="1418">
        <v>40570</v>
      </c>
      <c r="E3" s="1416" t="s">
        <v>543</v>
      </c>
      <c r="F3" s="23"/>
      <c r="G3" s="23" t="s">
        <v>544</v>
      </c>
      <c r="H3" s="1419"/>
      <c r="I3" s="24"/>
      <c r="J3" s="24"/>
      <c r="K3" s="1421"/>
      <c r="L3" s="1419"/>
      <c r="M3" s="1422">
        <f>K3+L3-H3</f>
        <v>0</v>
      </c>
      <c r="N3" s="25"/>
    </row>
    <row r="4" spans="1:16" ht="17.25" hidden="1" customHeight="1" thickTop="1" thickBot="1">
      <c r="A4" s="9"/>
      <c r="B4" s="1415"/>
      <c r="C4" s="1417"/>
      <c r="D4" s="1417"/>
      <c r="E4" s="1417"/>
      <c r="F4" s="26"/>
      <c r="G4" s="26"/>
      <c r="H4" s="1420"/>
      <c r="I4" s="27"/>
      <c r="J4" s="27"/>
      <c r="K4" s="1420"/>
      <c r="L4" s="1420"/>
      <c r="M4" s="1423"/>
      <c r="N4" s="25"/>
    </row>
    <row r="5" spans="1:16" ht="12.75" hidden="1" customHeight="1">
      <c r="A5" s="9"/>
      <c r="B5" s="28"/>
      <c r="C5" s="29"/>
      <c r="D5" s="30"/>
      <c r="G5" s="30"/>
      <c r="H5" s="31"/>
      <c r="I5" s="31"/>
      <c r="J5" s="31"/>
      <c r="K5" s="31"/>
      <c r="L5" s="32"/>
      <c r="M5" s="33"/>
      <c r="N5" s="34"/>
    </row>
    <row r="6" spans="1:16" ht="12.75" hidden="1" customHeight="1">
      <c r="A6" s="9"/>
      <c r="B6" s="1439"/>
      <c r="C6" s="1416"/>
      <c r="D6" s="1441"/>
      <c r="G6" s="30"/>
      <c r="H6" s="1428">
        <v>0</v>
      </c>
      <c r="I6" s="35"/>
      <c r="J6" s="35"/>
      <c r="K6" s="1428"/>
      <c r="L6" s="1442"/>
      <c r="M6" s="1432">
        <f>K6+L6-H6</f>
        <v>0</v>
      </c>
      <c r="N6" s="34"/>
    </row>
    <row r="7" spans="1:16" ht="12.75" hidden="1" customHeight="1">
      <c r="A7" s="9"/>
      <c r="B7" s="1440"/>
      <c r="C7" s="1436"/>
      <c r="D7" s="1438"/>
      <c r="G7" s="30"/>
      <c r="H7" s="1427"/>
      <c r="I7" s="31"/>
      <c r="J7" s="31"/>
      <c r="K7" s="1427"/>
      <c r="L7" s="1443"/>
      <c r="M7" s="1433"/>
      <c r="N7" s="34"/>
    </row>
    <row r="8" spans="1:16" ht="12.75" customHeight="1" thickTop="1">
      <c r="A8" s="1434">
        <v>1</v>
      </c>
      <c r="B8" s="1435" t="s">
        <v>545</v>
      </c>
      <c r="C8" s="1416" t="s">
        <v>6</v>
      </c>
      <c r="D8" s="1437">
        <v>41212</v>
      </c>
      <c r="E8" s="1211" t="s">
        <v>546</v>
      </c>
      <c r="F8" s="1425">
        <v>41208</v>
      </c>
      <c r="G8" s="30"/>
      <c r="H8" s="1428">
        <v>4800</v>
      </c>
      <c r="I8" s="1428">
        <f>H8*J8</f>
        <v>1298400</v>
      </c>
      <c r="J8" s="1430">
        <v>270.5</v>
      </c>
      <c r="K8" s="1428">
        <v>4800</v>
      </c>
      <c r="L8" s="1428">
        <f>I8</f>
        <v>1298400</v>
      </c>
      <c r="M8" s="1432">
        <f>H8-K8</f>
        <v>0</v>
      </c>
      <c r="N8" s="34"/>
    </row>
    <row r="9" spans="1:16" ht="21" customHeight="1">
      <c r="A9" s="1434"/>
      <c r="B9" s="1435"/>
      <c r="C9" s="1436"/>
      <c r="D9" s="1438"/>
      <c r="E9" s="1424"/>
      <c r="F9" s="1424"/>
      <c r="G9" s="30"/>
      <c r="H9" s="1427"/>
      <c r="I9" s="1429"/>
      <c r="J9" s="1431"/>
      <c r="K9" s="1427"/>
      <c r="L9" s="1443"/>
      <c r="M9" s="1433"/>
      <c r="N9" s="36">
        <f>L8+L10+L12</f>
        <v>9602750</v>
      </c>
      <c r="O9" s="6" t="s">
        <v>547</v>
      </c>
      <c r="P9" s="16">
        <f>P2-O2</f>
        <v>226588645</v>
      </c>
    </row>
    <row r="10" spans="1:16" ht="12.75" customHeight="1">
      <c r="A10" s="1434">
        <v>2</v>
      </c>
      <c r="B10" s="1439">
        <v>1</v>
      </c>
      <c r="C10" s="1416" t="s">
        <v>6</v>
      </c>
      <c r="D10" s="1449">
        <v>41212</v>
      </c>
      <c r="E10" s="1211" t="s">
        <v>548</v>
      </c>
      <c r="F10" s="1425">
        <v>41208</v>
      </c>
      <c r="G10" s="30"/>
      <c r="H10" s="1426">
        <v>25300</v>
      </c>
      <c r="I10" s="1428">
        <f>H10*J10</f>
        <v>6843650</v>
      </c>
      <c r="J10" s="1430" t="s">
        <v>549</v>
      </c>
      <c r="K10" s="1426">
        <v>25300</v>
      </c>
      <c r="L10" s="1426">
        <f>I10</f>
        <v>6843650</v>
      </c>
      <c r="M10" s="1432">
        <f>H10-K10</f>
        <v>0</v>
      </c>
      <c r="N10" s="34"/>
    </row>
    <row r="11" spans="1:16" ht="12.75" customHeight="1">
      <c r="A11" s="1434"/>
      <c r="B11" s="1440"/>
      <c r="C11" s="1436"/>
      <c r="D11" s="1438"/>
      <c r="E11" s="1424"/>
      <c r="F11" s="1424"/>
      <c r="G11" s="30"/>
      <c r="H11" s="1427"/>
      <c r="I11" s="1429"/>
      <c r="J11" s="1431"/>
      <c r="K11" s="1427"/>
      <c r="L11" s="1443"/>
      <c r="M11" s="1433"/>
      <c r="N11" s="34"/>
    </row>
    <row r="12" spans="1:16" ht="12.75" customHeight="1">
      <c r="A12" s="1434">
        <v>3</v>
      </c>
      <c r="B12" s="1439"/>
      <c r="C12" s="1447" t="s">
        <v>6</v>
      </c>
      <c r="D12" s="1437">
        <v>41212</v>
      </c>
      <c r="E12" s="1211" t="s">
        <v>550</v>
      </c>
      <c r="F12" s="1425">
        <v>41208</v>
      </c>
      <c r="G12" s="30"/>
      <c r="H12" s="1426">
        <v>5400</v>
      </c>
      <c r="I12" s="1428">
        <f>H12*J12</f>
        <v>1460700</v>
      </c>
      <c r="J12" s="1430" t="s">
        <v>549</v>
      </c>
      <c r="K12" s="1426">
        <v>5400</v>
      </c>
      <c r="L12" s="1426">
        <f>I12</f>
        <v>1460700</v>
      </c>
      <c r="M12" s="1432">
        <f>H12-K12</f>
        <v>0</v>
      </c>
      <c r="N12" s="37">
        <f>N2-N9</f>
        <v>0</v>
      </c>
    </row>
    <row r="13" spans="1:16" ht="12.75" customHeight="1">
      <c r="A13" s="1434"/>
      <c r="B13" s="1440"/>
      <c r="C13" s="1436"/>
      <c r="D13" s="1438"/>
      <c r="E13" s="1206"/>
      <c r="F13" s="1424"/>
      <c r="G13" s="38"/>
      <c r="H13" s="1426"/>
      <c r="I13" s="1429"/>
      <c r="J13" s="1431"/>
      <c r="K13" s="1426"/>
      <c r="L13" s="1448"/>
      <c r="M13" s="1433"/>
      <c r="N13" s="34"/>
    </row>
    <row r="14" spans="1:16" ht="12.75" customHeight="1">
      <c r="A14" s="1434">
        <v>4</v>
      </c>
      <c r="B14" s="1454"/>
      <c r="C14" s="1416">
        <v>1</v>
      </c>
      <c r="D14" s="1315">
        <v>41214</v>
      </c>
      <c r="E14" s="1441" t="s">
        <v>551</v>
      </c>
      <c r="F14" s="1211"/>
      <c r="G14" s="30" t="s">
        <v>552</v>
      </c>
      <c r="H14" s="1445">
        <v>2800000</v>
      </c>
      <c r="I14" s="1445">
        <v>2800000</v>
      </c>
      <c r="J14" s="1430"/>
      <c r="K14" s="1448">
        <v>2800000</v>
      </c>
      <c r="L14" s="1448">
        <f>K14</f>
        <v>2800000</v>
      </c>
      <c r="M14" s="1432">
        <f>H14-K14</f>
        <v>0</v>
      </c>
      <c r="N14" s="34"/>
    </row>
    <row r="15" spans="1:16" ht="12.75" customHeight="1">
      <c r="A15" s="1434"/>
      <c r="B15" s="1440"/>
      <c r="C15" s="1436"/>
      <c r="D15" s="879"/>
      <c r="E15" s="1444"/>
      <c r="F15" s="1424"/>
      <c r="G15" s="30"/>
      <c r="H15" s="1445"/>
      <c r="I15" s="1446"/>
      <c r="J15" s="1431"/>
      <c r="K15" s="1443"/>
      <c r="L15" s="1443"/>
      <c r="M15" s="1433"/>
      <c r="N15" s="34"/>
    </row>
    <row r="16" spans="1:16" ht="12.75" customHeight="1">
      <c r="A16" s="1434">
        <v>5</v>
      </c>
      <c r="B16" s="1439"/>
      <c r="C16" s="1416">
        <v>2</v>
      </c>
      <c r="D16" s="1315">
        <v>41215</v>
      </c>
      <c r="E16" s="1441" t="s">
        <v>11</v>
      </c>
      <c r="F16" s="1211"/>
      <c r="G16" s="39"/>
      <c r="H16" s="1426">
        <v>2000000</v>
      </c>
      <c r="I16" s="1445">
        <v>2000000</v>
      </c>
      <c r="J16" s="1430"/>
      <c r="K16" s="1428">
        <v>2000000</v>
      </c>
      <c r="L16" s="1428">
        <f>K16</f>
        <v>2000000</v>
      </c>
      <c r="M16" s="1432">
        <f>H16-K16</f>
        <v>0</v>
      </c>
      <c r="N16" s="34"/>
    </row>
    <row r="17" spans="1:15" ht="12.75" customHeight="1">
      <c r="A17" s="1434"/>
      <c r="B17" s="1440"/>
      <c r="C17" s="1436"/>
      <c r="D17" s="879"/>
      <c r="E17" s="1444"/>
      <c r="F17" s="1424"/>
      <c r="G17" s="30"/>
      <c r="H17" s="1427"/>
      <c r="I17" s="1445"/>
      <c r="J17" s="1431"/>
      <c r="K17" s="1427"/>
      <c r="L17" s="1443"/>
      <c r="M17" s="1433"/>
      <c r="N17" s="34"/>
    </row>
    <row r="18" spans="1:15" ht="12.75" customHeight="1">
      <c r="A18" s="1434">
        <v>6</v>
      </c>
      <c r="B18" s="1439"/>
      <c r="C18" s="1447">
        <v>3</v>
      </c>
      <c r="D18" s="1123">
        <v>41215</v>
      </c>
      <c r="E18" s="1441" t="s">
        <v>26</v>
      </c>
      <c r="F18" s="1455">
        <v>41211</v>
      </c>
      <c r="G18" s="39"/>
      <c r="H18" s="1428">
        <v>900000</v>
      </c>
      <c r="I18" s="1428">
        <v>900000</v>
      </c>
      <c r="J18" s="1430"/>
      <c r="K18" s="1442">
        <v>900000</v>
      </c>
      <c r="L18" s="1442">
        <f>K18</f>
        <v>900000</v>
      </c>
      <c r="M18" s="1432">
        <f>H18-K18</f>
        <v>0</v>
      </c>
      <c r="N18" s="34"/>
    </row>
    <row r="19" spans="1:15" ht="12.75" customHeight="1">
      <c r="A19" s="1434"/>
      <c r="B19" s="1440"/>
      <c r="C19" s="1436"/>
      <c r="D19" s="879"/>
      <c r="E19" s="1438"/>
      <c r="F19" s="1424"/>
      <c r="G19" s="30"/>
      <c r="H19" s="1427"/>
      <c r="I19" s="1429"/>
      <c r="J19" s="1431"/>
      <c r="K19" s="1443"/>
      <c r="L19" s="1443"/>
      <c r="M19" s="1433"/>
      <c r="N19" s="34"/>
    </row>
    <row r="20" spans="1:15" ht="12.75" customHeight="1">
      <c r="A20" s="1434">
        <v>7</v>
      </c>
      <c r="B20" s="1440"/>
      <c r="C20" s="1416">
        <v>4</v>
      </c>
      <c r="D20" s="1194">
        <v>41214</v>
      </c>
      <c r="E20" s="1211" t="s">
        <v>553</v>
      </c>
      <c r="F20" s="1211"/>
      <c r="G20" s="30"/>
      <c r="H20" s="1427">
        <v>2105</v>
      </c>
      <c r="I20" s="1426">
        <f>H20*J20</f>
        <v>572560</v>
      </c>
      <c r="J20" s="1430" t="s">
        <v>554</v>
      </c>
      <c r="K20" s="1427">
        <v>2105</v>
      </c>
      <c r="L20" s="1443">
        <v>2105</v>
      </c>
      <c r="M20" s="900">
        <f>K20-H20</f>
        <v>0</v>
      </c>
      <c r="N20" s="34"/>
    </row>
    <row r="21" spans="1:15" ht="12.75" customHeight="1">
      <c r="A21" s="1434"/>
      <c r="B21" s="1450"/>
      <c r="C21" s="1436"/>
      <c r="D21" s="865"/>
      <c r="E21" s="1424"/>
      <c r="F21" s="1424"/>
      <c r="G21" s="39"/>
      <c r="H21" s="1445"/>
      <c r="I21" s="1429"/>
      <c r="J21" s="1431"/>
      <c r="K21" s="1445"/>
      <c r="L21" s="1456"/>
      <c r="M21" s="901"/>
      <c r="N21" s="34"/>
    </row>
    <row r="22" spans="1:15" ht="12.75" customHeight="1">
      <c r="A22" s="1434">
        <v>8</v>
      </c>
      <c r="B22" s="1450"/>
      <c r="C22" s="1447">
        <v>5</v>
      </c>
      <c r="D22" s="1123">
        <v>41214</v>
      </c>
      <c r="E22" s="1441" t="s">
        <v>8</v>
      </c>
      <c r="F22" s="1424"/>
      <c r="G22" s="39"/>
      <c r="H22" s="1428">
        <v>728000</v>
      </c>
      <c r="I22" s="1428">
        <v>728000</v>
      </c>
      <c r="J22" s="1430"/>
      <c r="K22" s="1442">
        <v>728000</v>
      </c>
      <c r="L22" s="1442">
        <f>K22</f>
        <v>728000</v>
      </c>
      <c r="M22" s="1432">
        <f>H22-K22</f>
        <v>0</v>
      </c>
      <c r="N22" s="34"/>
    </row>
    <row r="23" spans="1:15" ht="12.75" customHeight="1" thickBot="1">
      <c r="A23" s="1434"/>
      <c r="B23" s="1451"/>
      <c r="C23" s="1452"/>
      <c r="D23" s="1197"/>
      <c r="E23" s="1453"/>
      <c r="F23" s="1459"/>
      <c r="G23" s="40"/>
      <c r="H23" s="1460"/>
      <c r="I23" s="1461"/>
      <c r="J23" s="1462"/>
      <c r="K23" s="1463"/>
      <c r="L23" s="1463"/>
      <c r="M23" s="1433"/>
      <c r="N23" s="34"/>
    </row>
    <row r="24" spans="1:15" ht="20.25" thickTop="1" thickBot="1">
      <c r="A24" s="9"/>
      <c r="B24" s="1413" t="s">
        <v>555</v>
      </c>
      <c r="C24" s="1313"/>
      <c r="D24" s="1313"/>
      <c r="E24" s="1313"/>
      <c r="F24" s="1313"/>
      <c r="G24" s="1313"/>
      <c r="H24" s="1313"/>
      <c r="I24" s="1313"/>
      <c r="J24" s="1313"/>
      <c r="K24" s="1313"/>
      <c r="L24" s="1313"/>
      <c r="M24" s="1314"/>
      <c r="N24" s="7">
        <f>I14+I16+I18+I20+I22+I25+I27+I29+I31+I33+I35+I37+I39+I41+I43+I45+I47+I49+I51+I53+I55+I57+I59+I61+I63+I65+I68+I74</f>
        <v>102206830</v>
      </c>
      <c r="O24" s="8"/>
    </row>
    <row r="25" spans="1:15" ht="12.75" customHeight="1" thickTop="1">
      <c r="A25" s="1464">
        <v>9</v>
      </c>
      <c r="B25" s="1438" t="s">
        <v>556</v>
      </c>
      <c r="C25" s="1467" t="s">
        <v>557</v>
      </c>
      <c r="D25" s="1469">
        <v>41219</v>
      </c>
      <c r="E25" s="879" t="s">
        <v>20</v>
      </c>
      <c r="F25" s="1211"/>
      <c r="G25" s="30"/>
      <c r="H25" s="1426">
        <v>10500000</v>
      </c>
      <c r="I25" s="1427">
        <v>10500000</v>
      </c>
      <c r="J25" s="1427"/>
      <c r="K25" s="1448">
        <v>10500000</v>
      </c>
      <c r="L25" s="1448">
        <f>K25</f>
        <v>10500000</v>
      </c>
      <c r="M25" s="1457">
        <f>K25-H25</f>
        <v>0</v>
      </c>
      <c r="N25" s="34"/>
    </row>
    <row r="26" spans="1:15" ht="12.75" customHeight="1">
      <c r="A26" s="1465"/>
      <c r="B26" s="1466"/>
      <c r="C26" s="1468"/>
      <c r="D26" s="1466"/>
      <c r="E26" s="865"/>
      <c r="F26" s="1424"/>
      <c r="G26" s="30"/>
      <c r="H26" s="1427"/>
      <c r="I26" s="1446"/>
      <c r="J26" s="1446"/>
      <c r="K26" s="1443"/>
      <c r="L26" s="1443"/>
      <c r="M26" s="1458"/>
      <c r="N26" s="34"/>
    </row>
    <row r="27" spans="1:15" ht="12.75" customHeight="1">
      <c r="A27" s="1464">
        <v>10</v>
      </c>
      <c r="B27" s="1441"/>
      <c r="C27" s="1447">
        <v>6</v>
      </c>
      <c r="D27" s="1123">
        <v>41225</v>
      </c>
      <c r="E27" s="1441" t="s">
        <v>558</v>
      </c>
      <c r="F27" s="1211"/>
      <c r="G27" s="39"/>
      <c r="H27" s="1428">
        <v>2500000</v>
      </c>
      <c r="I27" s="1445">
        <v>2500000</v>
      </c>
      <c r="J27" s="1445"/>
      <c r="K27" s="1442">
        <v>2500000</v>
      </c>
      <c r="L27" s="1442">
        <v>2500000</v>
      </c>
      <c r="M27" s="1076">
        <f>K27-H27</f>
        <v>0</v>
      </c>
      <c r="N27" s="41">
        <f>L14+L16+L18+I20+L22+L25+L27+L29+L31+L33+I35+L37+L39+L41+L43+L45+L47+L49+L51+I53+I55+I57+I59+L61+L63+L65+L68+L74</f>
        <v>102206830</v>
      </c>
    </row>
    <row r="28" spans="1:15" ht="12.75" customHeight="1">
      <c r="A28" s="1465"/>
      <c r="B28" s="1438"/>
      <c r="C28" s="1436"/>
      <c r="D28" s="879"/>
      <c r="E28" s="1438"/>
      <c r="F28" s="1424"/>
      <c r="G28" s="30"/>
      <c r="H28" s="1427"/>
      <c r="I28" s="1446"/>
      <c r="J28" s="1446"/>
      <c r="K28" s="1443"/>
      <c r="L28" s="1443"/>
      <c r="M28" s="901"/>
      <c r="N28" s="34"/>
    </row>
    <row r="29" spans="1:15" ht="12.75" customHeight="1">
      <c r="A29" s="1464">
        <v>11</v>
      </c>
      <c r="B29" s="1441"/>
      <c r="C29" s="1447">
        <v>7</v>
      </c>
      <c r="D29" s="1437">
        <v>41226</v>
      </c>
      <c r="E29" s="1441" t="s">
        <v>17</v>
      </c>
      <c r="F29" s="1424"/>
      <c r="G29" s="39"/>
      <c r="H29" s="1428">
        <v>4375000</v>
      </c>
      <c r="I29" s="1445">
        <v>4375000</v>
      </c>
      <c r="J29" s="1445"/>
      <c r="K29" s="1442">
        <v>4375000</v>
      </c>
      <c r="L29" s="1442">
        <f>K29</f>
        <v>4375000</v>
      </c>
      <c r="M29" s="1457">
        <f>K29-H29</f>
        <v>0</v>
      </c>
      <c r="N29" s="34"/>
    </row>
    <row r="30" spans="1:15" ht="12.75" customHeight="1" thickBot="1">
      <c r="A30" s="1465"/>
      <c r="B30" s="1453"/>
      <c r="C30" s="1452"/>
      <c r="D30" s="1453"/>
      <c r="E30" s="1453"/>
      <c r="F30" s="1459"/>
      <c r="G30" s="40"/>
      <c r="H30" s="1460"/>
      <c r="I30" s="1446"/>
      <c r="J30" s="1446"/>
      <c r="K30" s="1463"/>
      <c r="L30" s="1463"/>
      <c r="M30" s="1458"/>
      <c r="N30" s="42">
        <f>N24-N27</f>
        <v>0</v>
      </c>
    </row>
    <row r="31" spans="1:15" ht="12.75" customHeight="1" thickTop="1">
      <c r="A31" s="1464">
        <v>12</v>
      </c>
      <c r="B31" s="1444" t="s">
        <v>559</v>
      </c>
      <c r="C31" s="1416" t="s">
        <v>6</v>
      </c>
      <c r="D31" s="1449" t="s">
        <v>560</v>
      </c>
      <c r="E31" s="1444" t="s">
        <v>561</v>
      </c>
      <c r="F31" s="1425">
        <v>41214</v>
      </c>
      <c r="G31" s="30"/>
      <c r="H31" s="1426">
        <v>10000000</v>
      </c>
      <c r="I31" s="1470">
        <v>10000000</v>
      </c>
      <c r="J31" s="1470"/>
      <c r="K31" s="1448">
        <v>10000000</v>
      </c>
      <c r="L31" s="1448">
        <f>K31</f>
        <v>10000000</v>
      </c>
      <c r="M31" s="1457">
        <f>K31-H31</f>
        <v>0</v>
      </c>
      <c r="N31" s="34"/>
    </row>
    <row r="32" spans="1:15" ht="12.75" customHeight="1">
      <c r="A32" s="1465"/>
      <c r="B32" s="1438"/>
      <c r="C32" s="1436"/>
      <c r="D32" s="1438"/>
      <c r="E32" s="1438"/>
      <c r="F32" s="1424"/>
      <c r="G32" s="30"/>
      <c r="H32" s="1427"/>
      <c r="I32" s="1471"/>
      <c r="J32" s="1471"/>
      <c r="K32" s="1443"/>
      <c r="L32" s="1443"/>
      <c r="M32" s="1458"/>
      <c r="N32" s="34"/>
    </row>
    <row r="33" spans="1:14" ht="12.75" customHeight="1">
      <c r="A33" s="1464">
        <v>13</v>
      </c>
      <c r="B33" s="1441"/>
      <c r="C33" s="1447">
        <v>8</v>
      </c>
      <c r="D33" s="1437">
        <v>41225</v>
      </c>
      <c r="E33" s="1441" t="s">
        <v>562</v>
      </c>
      <c r="F33" s="1424" t="s">
        <v>563</v>
      </c>
      <c r="G33" s="39"/>
      <c r="H33" s="1428">
        <v>4200000</v>
      </c>
      <c r="I33" s="1445">
        <v>4200000</v>
      </c>
      <c r="J33" s="1445"/>
      <c r="K33" s="1442">
        <v>4200000</v>
      </c>
      <c r="L33" s="1442">
        <f>K33</f>
        <v>4200000</v>
      </c>
      <c r="M33" s="1457">
        <f>K33-H33</f>
        <v>0</v>
      </c>
      <c r="N33" s="34"/>
    </row>
    <row r="34" spans="1:14" ht="12.75" customHeight="1" thickBot="1">
      <c r="A34" s="1465"/>
      <c r="B34" s="1453"/>
      <c r="C34" s="1452"/>
      <c r="D34" s="1453"/>
      <c r="E34" s="1453"/>
      <c r="F34" s="1459"/>
      <c r="G34" s="40"/>
      <c r="H34" s="1460"/>
      <c r="I34" s="1472"/>
      <c r="J34" s="1472"/>
      <c r="K34" s="1463"/>
      <c r="L34" s="1463"/>
      <c r="M34" s="1458"/>
      <c r="N34" s="34"/>
    </row>
    <row r="35" spans="1:14" ht="12.75" customHeight="1">
      <c r="A35" s="1464">
        <v>14</v>
      </c>
      <c r="B35" s="1444" t="s">
        <v>564</v>
      </c>
      <c r="C35" s="1416" t="s">
        <v>6</v>
      </c>
      <c r="D35" s="1449">
        <v>41227</v>
      </c>
      <c r="E35" s="1444" t="s">
        <v>13</v>
      </c>
      <c r="F35" s="1211"/>
      <c r="G35" s="30"/>
      <c r="H35" s="1426">
        <v>3300</v>
      </c>
      <c r="I35" s="1427">
        <f>H35*J35</f>
        <v>891000</v>
      </c>
      <c r="J35" s="1427">
        <v>270</v>
      </c>
      <c r="K35" s="1448">
        <v>3300</v>
      </c>
      <c r="L35" s="1448">
        <f>K35</f>
        <v>3300</v>
      </c>
      <c r="M35" s="1076">
        <f>K35-H35</f>
        <v>0</v>
      </c>
      <c r="N35" s="34"/>
    </row>
    <row r="36" spans="1:14" ht="12.75" customHeight="1">
      <c r="A36" s="1465"/>
      <c r="B36" s="1438"/>
      <c r="C36" s="1436"/>
      <c r="D36" s="1438"/>
      <c r="E36" s="1438"/>
      <c r="F36" s="1424"/>
      <c r="G36" s="30"/>
      <c r="H36" s="1427"/>
      <c r="I36" s="1446"/>
      <c r="J36" s="1446"/>
      <c r="K36" s="1443"/>
      <c r="L36" s="1443"/>
      <c r="M36" s="901"/>
      <c r="N36" s="34"/>
    </row>
    <row r="37" spans="1:14" ht="12.75" customHeight="1">
      <c r="A37" s="1464">
        <v>15</v>
      </c>
      <c r="B37" s="1441">
        <v>1</v>
      </c>
      <c r="C37" s="1447">
        <v>10</v>
      </c>
      <c r="D37" s="1437">
        <v>41232</v>
      </c>
      <c r="E37" s="1441" t="s">
        <v>26</v>
      </c>
      <c r="F37" s="1425">
        <v>41211</v>
      </c>
      <c r="G37" s="39"/>
      <c r="H37" s="1428">
        <v>900000</v>
      </c>
      <c r="I37" s="1445">
        <v>900000</v>
      </c>
      <c r="J37" s="1445"/>
      <c r="K37" s="1442">
        <v>900000</v>
      </c>
      <c r="L37" s="1442">
        <f>K37</f>
        <v>900000</v>
      </c>
      <c r="M37" s="1457">
        <f>K37-H37</f>
        <v>0</v>
      </c>
      <c r="N37" s="34"/>
    </row>
    <row r="38" spans="1:14" ht="12.75" customHeight="1">
      <c r="A38" s="1465"/>
      <c r="B38" s="1438"/>
      <c r="C38" s="1436"/>
      <c r="D38" s="1438"/>
      <c r="E38" s="1438"/>
      <c r="F38" s="1424"/>
      <c r="G38" s="30"/>
      <c r="H38" s="1427"/>
      <c r="I38" s="1446"/>
      <c r="J38" s="1446"/>
      <c r="K38" s="1443"/>
      <c r="L38" s="1443"/>
      <c r="M38" s="1458"/>
      <c r="N38" s="34"/>
    </row>
    <row r="39" spans="1:14" ht="12.75" customHeight="1">
      <c r="A39" s="1464">
        <v>16</v>
      </c>
      <c r="B39" s="1441"/>
      <c r="C39" s="1447">
        <v>9</v>
      </c>
      <c r="D39" s="1437">
        <v>41230</v>
      </c>
      <c r="E39" s="1441" t="s">
        <v>98</v>
      </c>
      <c r="F39" s="1455">
        <v>41227</v>
      </c>
      <c r="G39" s="39"/>
      <c r="H39" s="1428">
        <v>688000</v>
      </c>
      <c r="I39" s="1426">
        <v>688000</v>
      </c>
      <c r="J39" s="1426"/>
      <c r="K39" s="1442">
        <v>688000</v>
      </c>
      <c r="L39" s="1442">
        <f>K39</f>
        <v>688000</v>
      </c>
      <c r="M39" s="1457">
        <f>K39-H39</f>
        <v>0</v>
      </c>
      <c r="N39" s="34"/>
    </row>
    <row r="40" spans="1:14" ht="12.75" customHeight="1" thickBot="1">
      <c r="A40" s="1465"/>
      <c r="B40" s="1453"/>
      <c r="C40" s="1452"/>
      <c r="D40" s="1453"/>
      <c r="E40" s="1453"/>
      <c r="F40" s="1459"/>
      <c r="G40" s="40"/>
      <c r="H40" s="1460"/>
      <c r="I40" s="1429"/>
      <c r="J40" s="1429"/>
      <c r="K40" s="1463"/>
      <c r="L40" s="1463"/>
      <c r="M40" s="1458"/>
      <c r="N40" s="34"/>
    </row>
    <row r="41" spans="1:14" ht="12.75" customHeight="1" thickTop="1">
      <c r="A41" s="1464">
        <v>17</v>
      </c>
      <c r="B41" s="1444" t="s">
        <v>565</v>
      </c>
      <c r="C41" s="1467" t="s">
        <v>566</v>
      </c>
      <c r="D41" s="1449">
        <v>41232</v>
      </c>
      <c r="E41" s="983" t="s">
        <v>428</v>
      </c>
      <c r="F41" s="1211"/>
      <c r="G41" s="30"/>
      <c r="H41" s="1426">
        <v>10000000</v>
      </c>
      <c r="I41" s="1470">
        <v>10000000</v>
      </c>
      <c r="J41" s="1470"/>
      <c r="K41" s="1448">
        <v>10000000</v>
      </c>
      <c r="L41" s="1448">
        <v>10000000</v>
      </c>
      <c r="M41" s="1457">
        <f>K41-H41</f>
        <v>0</v>
      </c>
      <c r="N41" s="34"/>
    </row>
    <row r="42" spans="1:14" ht="12.75" customHeight="1">
      <c r="A42" s="1465"/>
      <c r="B42" s="1438"/>
      <c r="C42" s="1468"/>
      <c r="D42" s="1438"/>
      <c r="E42" s="879"/>
      <c r="F42" s="1424"/>
      <c r="G42" s="30"/>
      <c r="H42" s="1427"/>
      <c r="I42" s="1471"/>
      <c r="J42" s="1471"/>
      <c r="K42" s="1443"/>
      <c r="L42" s="1443"/>
      <c r="M42" s="1458"/>
      <c r="N42" s="34"/>
    </row>
    <row r="43" spans="1:14" ht="12.75" customHeight="1">
      <c r="A43" s="1464">
        <v>18</v>
      </c>
      <c r="B43" s="1441">
        <v>1</v>
      </c>
      <c r="C43" s="1416">
        <v>11</v>
      </c>
      <c r="D43" s="1437">
        <v>41235</v>
      </c>
      <c r="E43" s="1441" t="s">
        <v>567</v>
      </c>
      <c r="F43" s="1211"/>
      <c r="G43" s="30"/>
      <c r="H43" s="1428">
        <v>800000</v>
      </c>
      <c r="I43" s="1445">
        <f>H43</f>
        <v>800000</v>
      </c>
      <c r="J43" s="1445"/>
      <c r="K43" s="1442">
        <v>800000</v>
      </c>
      <c r="L43" s="1442">
        <v>800000</v>
      </c>
      <c r="M43" s="1076">
        <f>K43-H43</f>
        <v>0</v>
      </c>
      <c r="N43" s="34"/>
    </row>
    <row r="44" spans="1:14" ht="12.75" customHeight="1">
      <c r="A44" s="1465"/>
      <c r="B44" s="1438"/>
      <c r="C44" s="1436"/>
      <c r="D44" s="1438"/>
      <c r="E44" s="1438"/>
      <c r="F44" s="1424"/>
      <c r="G44" s="30"/>
      <c r="H44" s="1427"/>
      <c r="I44" s="1446"/>
      <c r="J44" s="1446"/>
      <c r="K44" s="1443"/>
      <c r="L44" s="1443"/>
      <c r="M44" s="901"/>
      <c r="N44" s="34"/>
    </row>
    <row r="45" spans="1:14" ht="12.75" customHeight="1">
      <c r="A45" s="1464">
        <v>19</v>
      </c>
      <c r="B45" s="1441"/>
      <c r="C45" s="1416">
        <v>12</v>
      </c>
      <c r="D45" s="1437">
        <v>41235</v>
      </c>
      <c r="E45" s="1211" t="s">
        <v>568</v>
      </c>
      <c r="F45" s="1428"/>
      <c r="G45" s="1428"/>
      <c r="H45" s="1445">
        <v>2600000</v>
      </c>
      <c r="I45" s="1445">
        <f>H45</f>
        <v>2600000</v>
      </c>
      <c r="J45" s="1442"/>
      <c r="K45" s="1442">
        <v>2600000</v>
      </c>
      <c r="L45" s="1473">
        <f>K45</f>
        <v>2600000</v>
      </c>
      <c r="M45" s="1457">
        <f>K45-H45</f>
        <v>0</v>
      </c>
    </row>
    <row r="46" spans="1:14" ht="12.75" customHeight="1">
      <c r="A46" s="1465"/>
      <c r="B46" s="1438"/>
      <c r="C46" s="1436"/>
      <c r="D46" s="1438"/>
      <c r="E46" s="1424"/>
      <c r="F46" s="1427"/>
      <c r="G46" s="1427"/>
      <c r="H46" s="1446"/>
      <c r="I46" s="1446"/>
      <c r="J46" s="1443"/>
      <c r="K46" s="1443"/>
      <c r="L46" s="1458"/>
      <c r="M46" s="1458"/>
    </row>
    <row r="47" spans="1:14" ht="12.75" customHeight="1">
      <c r="A47" s="1464">
        <v>20</v>
      </c>
      <c r="B47" s="1441"/>
      <c r="C47" s="1416">
        <v>16</v>
      </c>
      <c r="D47" s="1437">
        <v>41236</v>
      </c>
      <c r="E47" s="1441" t="s">
        <v>14</v>
      </c>
      <c r="F47" s="1211"/>
      <c r="G47" s="30"/>
      <c r="H47" s="1428">
        <v>2100000</v>
      </c>
      <c r="I47" s="1445">
        <f>H47</f>
        <v>2100000</v>
      </c>
      <c r="J47" s="1445"/>
      <c r="K47" s="1442">
        <v>2100000</v>
      </c>
      <c r="L47" s="1442">
        <v>2100000</v>
      </c>
      <c r="M47" s="1457">
        <f>K47-H47</f>
        <v>0</v>
      </c>
      <c r="N47" s="34"/>
    </row>
    <row r="48" spans="1:14" ht="12.75" customHeight="1">
      <c r="A48" s="1465"/>
      <c r="B48" s="1438"/>
      <c r="C48" s="1436"/>
      <c r="D48" s="1438"/>
      <c r="E48" s="1438"/>
      <c r="F48" s="1424"/>
      <c r="G48" s="30"/>
      <c r="H48" s="1427"/>
      <c r="I48" s="1446"/>
      <c r="J48" s="1446"/>
      <c r="K48" s="1443"/>
      <c r="L48" s="1443"/>
      <c r="M48" s="1458"/>
      <c r="N48" s="34"/>
    </row>
    <row r="49" spans="1:15" ht="12.75" customHeight="1">
      <c r="A49" s="1464">
        <v>21</v>
      </c>
      <c r="B49" s="1441"/>
      <c r="C49" s="1416">
        <v>13</v>
      </c>
      <c r="D49" s="1437">
        <v>41235</v>
      </c>
      <c r="E49" s="1441" t="s">
        <v>569</v>
      </c>
      <c r="F49" s="1211"/>
      <c r="G49" s="30"/>
      <c r="H49" s="1428">
        <v>2600000</v>
      </c>
      <c r="I49" s="1445">
        <f>H49</f>
        <v>2600000</v>
      </c>
      <c r="J49" s="1445"/>
      <c r="K49" s="1442">
        <v>2600000</v>
      </c>
      <c r="L49" s="1442">
        <v>2600000</v>
      </c>
      <c r="M49" s="1076">
        <f>K49-H49</f>
        <v>0</v>
      </c>
      <c r="N49" s="34"/>
    </row>
    <row r="50" spans="1:15" ht="12.75" customHeight="1">
      <c r="A50" s="1465"/>
      <c r="B50" s="1438"/>
      <c r="C50" s="1436"/>
      <c r="D50" s="1438"/>
      <c r="E50" s="1438"/>
      <c r="F50" s="1424"/>
      <c r="G50" s="30"/>
      <c r="H50" s="1427"/>
      <c r="I50" s="1446"/>
      <c r="J50" s="1446"/>
      <c r="K50" s="1443"/>
      <c r="L50" s="1443"/>
      <c r="M50" s="901"/>
      <c r="N50" s="34"/>
    </row>
    <row r="51" spans="1:15" ht="12.75" customHeight="1">
      <c r="A51" s="1464">
        <v>22</v>
      </c>
      <c r="B51" s="1441"/>
      <c r="C51" s="1447">
        <v>14</v>
      </c>
      <c r="D51" s="1437">
        <v>41235</v>
      </c>
      <c r="E51" s="1441" t="s">
        <v>8</v>
      </c>
      <c r="F51" s="1206"/>
      <c r="G51" s="39"/>
      <c r="H51" s="1428">
        <v>856000</v>
      </c>
      <c r="I51" s="1428">
        <v>856000</v>
      </c>
      <c r="J51" s="1428"/>
      <c r="K51" s="1442">
        <v>856000</v>
      </c>
      <c r="L51" s="1442">
        <f>K51</f>
        <v>856000</v>
      </c>
      <c r="M51" s="1457">
        <f>K51-H51</f>
        <v>0</v>
      </c>
      <c r="N51" s="34"/>
    </row>
    <row r="52" spans="1:15" ht="12.75" customHeight="1">
      <c r="A52" s="1465"/>
      <c r="B52" s="1438"/>
      <c r="C52" s="1436"/>
      <c r="D52" s="1469"/>
      <c r="E52" s="1438"/>
      <c r="F52" s="1211"/>
      <c r="G52" s="30"/>
      <c r="H52" s="1427"/>
      <c r="I52" s="1427"/>
      <c r="J52" s="1427"/>
      <c r="K52" s="1443"/>
      <c r="L52" s="1443"/>
      <c r="M52" s="1458"/>
      <c r="N52" s="34"/>
    </row>
    <row r="53" spans="1:15" ht="12.75" customHeight="1">
      <c r="A53" s="1464">
        <v>23</v>
      </c>
      <c r="B53" s="1444"/>
      <c r="C53" s="1416">
        <v>15</v>
      </c>
      <c r="D53" s="1449">
        <v>41235</v>
      </c>
      <c r="E53" s="1444" t="s">
        <v>553</v>
      </c>
      <c r="F53" s="1475"/>
      <c r="G53" s="30"/>
      <c r="H53" s="1426">
        <v>2852</v>
      </c>
      <c r="I53" s="1426">
        <f>H53*J53</f>
        <v>777170</v>
      </c>
      <c r="J53" s="1477">
        <v>272.5</v>
      </c>
      <c r="K53" s="1448">
        <v>2852</v>
      </c>
      <c r="L53" s="1448">
        <v>2852</v>
      </c>
      <c r="M53" s="1076">
        <f>K53-H53</f>
        <v>0</v>
      </c>
      <c r="N53" s="34"/>
    </row>
    <row r="54" spans="1:15" ht="12.75" customHeight="1" thickBot="1">
      <c r="A54" s="1465"/>
      <c r="B54" s="1453"/>
      <c r="C54" s="1452"/>
      <c r="D54" s="1474"/>
      <c r="E54" s="1453"/>
      <c r="F54" s="1207"/>
      <c r="G54" s="40"/>
      <c r="H54" s="1460"/>
      <c r="I54" s="1476"/>
      <c r="J54" s="1478"/>
      <c r="K54" s="1463"/>
      <c r="L54" s="1463"/>
      <c r="M54" s="901"/>
      <c r="N54" s="34"/>
    </row>
    <row r="55" spans="1:15" ht="12.75" customHeight="1" thickTop="1">
      <c r="A55" s="1464">
        <v>24</v>
      </c>
      <c r="B55" s="1444" t="s">
        <v>570</v>
      </c>
      <c r="C55" s="1416" t="s">
        <v>6</v>
      </c>
      <c r="D55" s="1449">
        <v>41240</v>
      </c>
      <c r="E55" s="1444" t="s">
        <v>548</v>
      </c>
      <c r="F55" s="1211"/>
      <c r="G55" s="30"/>
      <c r="H55" s="1426">
        <v>24300</v>
      </c>
      <c r="I55" s="1470">
        <f>H55*J55</f>
        <v>6682500</v>
      </c>
      <c r="J55" s="1470">
        <v>275</v>
      </c>
      <c r="K55" s="1448">
        <v>24300</v>
      </c>
      <c r="L55" s="1448">
        <v>24300</v>
      </c>
      <c r="M55" s="1076">
        <f>K55-H55</f>
        <v>0</v>
      </c>
      <c r="N55" s="34"/>
    </row>
    <row r="56" spans="1:15" ht="12.75" customHeight="1">
      <c r="A56" s="1465"/>
      <c r="B56" s="1438"/>
      <c r="C56" s="1436"/>
      <c r="D56" s="1438"/>
      <c r="E56" s="1438"/>
      <c r="F56" s="1424"/>
      <c r="G56" s="30"/>
      <c r="H56" s="1427"/>
      <c r="I56" s="1429"/>
      <c r="J56" s="1471"/>
      <c r="K56" s="1443"/>
      <c r="L56" s="1443"/>
      <c r="M56" s="901"/>
      <c r="N56" s="34"/>
    </row>
    <row r="57" spans="1:15" ht="12.75" customHeight="1">
      <c r="A57" s="1464">
        <v>25</v>
      </c>
      <c r="B57" s="1441">
        <v>1</v>
      </c>
      <c r="C57" s="1416" t="s">
        <v>6</v>
      </c>
      <c r="D57" s="1437">
        <v>41240</v>
      </c>
      <c r="E57" s="1441" t="s">
        <v>550</v>
      </c>
      <c r="F57" s="1211"/>
      <c r="G57" s="30"/>
      <c r="H57" s="1428">
        <v>16800</v>
      </c>
      <c r="I57" s="1426">
        <f>H57*J57</f>
        <v>4620000</v>
      </c>
      <c r="J57" s="1445">
        <v>275</v>
      </c>
      <c r="K57" s="1442">
        <v>16800</v>
      </c>
      <c r="L57" s="1442">
        <v>16800</v>
      </c>
      <c r="M57" s="1076">
        <f>K57-H57</f>
        <v>0</v>
      </c>
      <c r="N57" s="34"/>
    </row>
    <row r="58" spans="1:15" ht="12.75" customHeight="1">
      <c r="A58" s="1465"/>
      <c r="B58" s="1438"/>
      <c r="C58" s="1436"/>
      <c r="D58" s="1438"/>
      <c r="E58" s="1438"/>
      <c r="F58" s="1424"/>
      <c r="G58" s="30"/>
      <c r="H58" s="1427"/>
      <c r="I58" s="1429"/>
      <c r="J58" s="1446"/>
      <c r="K58" s="1443"/>
      <c r="L58" s="1443"/>
      <c r="M58" s="901"/>
      <c r="N58" s="34"/>
    </row>
    <row r="59" spans="1:15" ht="12.75" customHeight="1">
      <c r="A59" s="1464">
        <v>26</v>
      </c>
      <c r="B59" s="1441"/>
      <c r="C59" s="1416" t="s">
        <v>6</v>
      </c>
      <c r="D59" s="1449">
        <v>41239</v>
      </c>
      <c r="E59" s="1441" t="s">
        <v>546</v>
      </c>
      <c r="F59" s="1211"/>
      <c r="G59" s="30"/>
      <c r="H59" s="1428">
        <v>5900</v>
      </c>
      <c r="I59" s="1426">
        <f>H59*J59</f>
        <v>1616600</v>
      </c>
      <c r="J59" s="1445">
        <v>274</v>
      </c>
      <c r="K59" s="1442">
        <v>5900</v>
      </c>
      <c r="L59" s="1442">
        <v>5900</v>
      </c>
      <c r="M59" s="1076">
        <f>K59-H59</f>
        <v>0</v>
      </c>
      <c r="N59" s="34"/>
    </row>
    <row r="60" spans="1:15" ht="12.75" customHeight="1">
      <c r="A60" s="1465"/>
      <c r="B60" s="1438"/>
      <c r="C60" s="1436"/>
      <c r="D60" s="1438"/>
      <c r="E60" s="1438"/>
      <c r="F60" s="1424"/>
      <c r="G60" s="30"/>
      <c r="H60" s="1427"/>
      <c r="I60" s="1429"/>
      <c r="J60" s="1446"/>
      <c r="K60" s="1443"/>
      <c r="L60" s="1443"/>
      <c r="M60" s="901"/>
      <c r="N60" s="34"/>
    </row>
    <row r="61" spans="1:15" ht="12.75" customHeight="1">
      <c r="A61" s="1464">
        <v>27</v>
      </c>
      <c r="B61" s="1441"/>
      <c r="C61" s="1416">
        <v>17</v>
      </c>
      <c r="D61" s="1437">
        <v>41242</v>
      </c>
      <c r="E61" s="1441" t="s">
        <v>571</v>
      </c>
      <c r="F61" s="1424"/>
      <c r="G61" s="30" t="s">
        <v>204</v>
      </c>
      <c r="H61" s="1428">
        <v>3300000</v>
      </c>
      <c r="I61" s="1428">
        <f>H61</f>
        <v>3300000</v>
      </c>
      <c r="J61" s="1428"/>
      <c r="K61" s="1442">
        <v>3300000</v>
      </c>
      <c r="L61" s="1442">
        <v>3300000</v>
      </c>
      <c r="M61" s="1457">
        <f>K61-H61</f>
        <v>0</v>
      </c>
      <c r="N61" s="34"/>
    </row>
    <row r="62" spans="1:15" ht="12.75" customHeight="1">
      <c r="A62" s="1465"/>
      <c r="B62" s="1438"/>
      <c r="C62" s="1436"/>
      <c r="D62" s="1438"/>
      <c r="E62" s="1438"/>
      <c r="F62" s="1424"/>
      <c r="G62" s="30"/>
      <c r="H62" s="1427"/>
      <c r="I62" s="1429"/>
      <c r="J62" s="1429"/>
      <c r="K62" s="1443"/>
      <c r="L62" s="1443"/>
      <c r="M62" s="1458"/>
      <c r="N62" s="34"/>
    </row>
    <row r="63" spans="1:15" ht="13.5" customHeight="1">
      <c r="A63" s="1464">
        <v>28</v>
      </c>
      <c r="B63" s="1444"/>
      <c r="C63" s="1416">
        <v>18</v>
      </c>
      <c r="D63" s="1449">
        <v>41242</v>
      </c>
      <c r="E63" s="1441" t="s">
        <v>571</v>
      </c>
      <c r="F63" s="1424"/>
      <c r="G63" s="30" t="s">
        <v>204</v>
      </c>
      <c r="H63" s="1426">
        <v>3000000</v>
      </c>
      <c r="I63" s="1428">
        <f>H63</f>
        <v>3000000</v>
      </c>
      <c r="J63" s="1428"/>
      <c r="K63" s="1448">
        <v>3000000</v>
      </c>
      <c r="L63" s="1448">
        <v>3000000</v>
      </c>
      <c r="M63" s="1457">
        <f>K63-H63</f>
        <v>0</v>
      </c>
      <c r="N63" s="34"/>
    </row>
    <row r="64" spans="1:15" ht="12.75" customHeight="1">
      <c r="A64" s="1465"/>
      <c r="B64" s="1438"/>
      <c r="C64" s="1436"/>
      <c r="D64" s="1438"/>
      <c r="E64" s="1438"/>
      <c r="F64" s="1424"/>
      <c r="G64" s="30"/>
      <c r="H64" s="1427"/>
      <c r="I64" s="1429"/>
      <c r="J64" s="1429"/>
      <c r="K64" s="1443"/>
      <c r="L64" s="1443"/>
      <c r="M64" s="1458"/>
      <c r="N64" s="34"/>
      <c r="O64">
        <v>2837707</v>
      </c>
    </row>
    <row r="65" spans="1:15" ht="12.75" customHeight="1">
      <c r="A65" s="1464">
        <v>29</v>
      </c>
      <c r="B65" s="1441"/>
      <c r="C65" s="1447">
        <v>19</v>
      </c>
      <c r="D65" s="1437">
        <v>41242</v>
      </c>
      <c r="E65" s="1441" t="s">
        <v>571</v>
      </c>
      <c r="F65" s="1424"/>
      <c r="G65" s="30" t="s">
        <v>204</v>
      </c>
      <c r="H65" s="1428">
        <v>2500000</v>
      </c>
      <c r="I65" s="1428">
        <f>H65</f>
        <v>2500000</v>
      </c>
      <c r="J65" s="1428"/>
      <c r="K65" s="1442">
        <v>2500000</v>
      </c>
      <c r="L65" s="1442">
        <v>2500000</v>
      </c>
      <c r="M65" s="1457">
        <f>K65-H65</f>
        <v>0</v>
      </c>
      <c r="N65" s="34"/>
      <c r="O65">
        <v>2837707</v>
      </c>
    </row>
    <row r="66" spans="1:15" ht="13.5" customHeight="1" thickBot="1">
      <c r="A66" s="1465"/>
      <c r="B66" s="1453"/>
      <c r="C66" s="1452"/>
      <c r="D66" s="1453"/>
      <c r="E66" s="1453"/>
      <c r="F66" s="1459"/>
      <c r="G66" s="40"/>
      <c r="H66" s="1460"/>
      <c r="I66" s="1461"/>
      <c r="J66" s="1461"/>
      <c r="K66" s="1463"/>
      <c r="L66" s="1463"/>
      <c r="M66" s="1458"/>
      <c r="N66" s="34"/>
      <c r="O66">
        <v>2837707</v>
      </c>
    </row>
    <row r="67" spans="1:15" ht="20.25" thickTop="1" thickBot="1">
      <c r="B67" s="1479" t="s">
        <v>572</v>
      </c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4"/>
      <c r="N67" s="7">
        <f>I70+I72+I76+I78+I80+I82+I84+I86+I88+I90+I92+I94+I96+I98+I102+I104+I106+I108+I110+I112+I114+I116+I118+I120++I122+I124+I126+I128+I130+I132+I134</f>
        <v>114779065</v>
      </c>
      <c r="O67" s="8"/>
    </row>
    <row r="68" spans="1:15" ht="12.75" customHeight="1" thickTop="1">
      <c r="A68" s="1465">
        <v>30</v>
      </c>
      <c r="B68" s="1444" t="s">
        <v>573</v>
      </c>
      <c r="C68" s="1467" t="s">
        <v>574</v>
      </c>
      <c r="D68" s="1449">
        <v>41241</v>
      </c>
      <c r="E68" s="983" t="s">
        <v>20</v>
      </c>
      <c r="F68" s="1211"/>
      <c r="G68" s="30"/>
      <c r="H68" s="1426">
        <v>10000000</v>
      </c>
      <c r="I68" s="1427">
        <v>10000000</v>
      </c>
      <c r="J68" s="1482"/>
      <c r="K68" s="1448">
        <v>10000000</v>
      </c>
      <c r="L68" s="1448">
        <v>10000000</v>
      </c>
      <c r="M68" s="1076">
        <f>K68-H68</f>
        <v>0</v>
      </c>
      <c r="N68" s="34"/>
      <c r="O68">
        <v>2837707</v>
      </c>
    </row>
    <row r="69" spans="1:15" ht="12.75" customHeight="1">
      <c r="A69" s="1465"/>
      <c r="B69" s="1438"/>
      <c r="C69" s="1468"/>
      <c r="D69" s="1438"/>
      <c r="E69" s="879"/>
      <c r="F69" s="1424"/>
      <c r="G69" s="30"/>
      <c r="H69" s="1427"/>
      <c r="I69" s="1446"/>
      <c r="J69" s="1481"/>
      <c r="K69" s="1443"/>
      <c r="L69" s="1443"/>
      <c r="M69" s="901"/>
      <c r="N69" s="43">
        <f>I70+I72+I76+I78+I80+I82+I84+I86+I88+I90+I92+I94+I96+I98+I102+I104+I106+I108+I110+I112+I114+I116+I118+I122+I124+I126+I128+I130++I132+I134+I120</f>
        <v>114779065</v>
      </c>
      <c r="O69">
        <v>2837707</v>
      </c>
    </row>
    <row r="70" spans="1:15" ht="12.75" customHeight="1">
      <c r="A70" s="1465">
        <v>31</v>
      </c>
      <c r="B70" s="1441"/>
      <c r="C70" s="1467" t="s">
        <v>80</v>
      </c>
      <c r="D70" s="1449">
        <v>41246</v>
      </c>
      <c r="E70" s="1444" t="s">
        <v>26</v>
      </c>
      <c r="F70" s="1424"/>
      <c r="G70" s="30"/>
      <c r="H70" s="1426">
        <v>900000</v>
      </c>
      <c r="I70" s="1445">
        <v>900000</v>
      </c>
      <c r="J70" s="1480"/>
      <c r="K70" s="1448">
        <v>900000</v>
      </c>
      <c r="L70" s="1448">
        <v>900000</v>
      </c>
      <c r="M70" s="1457">
        <f>K70-H70</f>
        <v>0</v>
      </c>
      <c r="N70" s="44" t="s">
        <v>575</v>
      </c>
      <c r="O70">
        <v>2837707</v>
      </c>
    </row>
    <row r="71" spans="1:15" ht="12.75" customHeight="1">
      <c r="A71" s="1465"/>
      <c r="B71" s="1483"/>
      <c r="C71" s="1468"/>
      <c r="D71" s="1438"/>
      <c r="E71" s="1438"/>
      <c r="F71" s="1424"/>
      <c r="G71" s="30"/>
      <c r="H71" s="1427"/>
      <c r="I71" s="1446"/>
      <c r="J71" s="1481"/>
      <c r="K71" s="1443"/>
      <c r="L71" s="1443"/>
      <c r="M71" s="1458"/>
      <c r="N71" s="34"/>
      <c r="O71">
        <v>2837707</v>
      </c>
    </row>
    <row r="72" spans="1:15" ht="12.75" customHeight="1">
      <c r="A72" s="1465">
        <v>32</v>
      </c>
      <c r="B72" s="1441"/>
      <c r="C72" s="1484" t="s">
        <v>81</v>
      </c>
      <c r="D72" s="1437">
        <v>41246</v>
      </c>
      <c r="E72" s="1441" t="s">
        <v>576</v>
      </c>
      <c r="F72" s="1424"/>
      <c r="G72" s="39"/>
      <c r="H72" s="1428">
        <v>5000000</v>
      </c>
      <c r="I72" s="1445">
        <v>5000000</v>
      </c>
      <c r="J72" s="1445"/>
      <c r="K72" s="1442">
        <v>5000000</v>
      </c>
      <c r="L72" s="1442">
        <v>5000000</v>
      </c>
      <c r="M72" s="1076">
        <f>K72-H72</f>
        <v>0</v>
      </c>
      <c r="N72" s="45">
        <f>N67-N69</f>
        <v>0</v>
      </c>
      <c r="O72">
        <v>2837707</v>
      </c>
    </row>
    <row r="73" spans="1:15" ht="12.75" customHeight="1" thickBot="1">
      <c r="A73" s="1465"/>
      <c r="B73" s="1453"/>
      <c r="C73" s="1485"/>
      <c r="D73" s="1453"/>
      <c r="E73" s="1453"/>
      <c r="F73" s="1459"/>
      <c r="G73" s="40" t="s">
        <v>204</v>
      </c>
      <c r="H73" s="1460"/>
      <c r="I73" s="1472"/>
      <c r="J73" s="1472"/>
      <c r="K73" s="1463"/>
      <c r="L73" s="1463"/>
      <c r="M73" s="901"/>
      <c r="N73" s="34"/>
      <c r="O73">
        <v>2837707</v>
      </c>
    </row>
    <row r="74" spans="1:15" ht="12.75" customHeight="1">
      <c r="A74" s="1465">
        <v>33</v>
      </c>
      <c r="B74" s="1444" t="s">
        <v>577</v>
      </c>
      <c r="C74" s="1467" t="s">
        <v>578</v>
      </c>
      <c r="D74" s="1449">
        <v>41243</v>
      </c>
      <c r="E74" s="983" t="s">
        <v>20</v>
      </c>
      <c r="F74" s="1211"/>
      <c r="G74" s="30"/>
      <c r="H74" s="1426">
        <v>9700000</v>
      </c>
      <c r="I74" s="1427">
        <v>9700000</v>
      </c>
      <c r="J74" s="1427"/>
      <c r="K74" s="1448">
        <v>9700000</v>
      </c>
      <c r="L74" s="1448">
        <v>9700000</v>
      </c>
      <c r="M74" s="1076">
        <f>K74-H74</f>
        <v>0</v>
      </c>
      <c r="N74" s="34"/>
      <c r="O74">
        <v>2837707</v>
      </c>
    </row>
    <row r="75" spans="1:15" ht="12.75" customHeight="1">
      <c r="A75" s="1465"/>
      <c r="B75" s="1438"/>
      <c r="C75" s="1468"/>
      <c r="D75" s="1438"/>
      <c r="E75" s="879"/>
      <c r="F75" s="1424"/>
      <c r="G75" s="30"/>
      <c r="H75" s="1427"/>
      <c r="I75" s="1446"/>
      <c r="J75" s="1446"/>
      <c r="K75" s="1443"/>
      <c r="L75" s="1443"/>
      <c r="M75" s="901"/>
      <c r="N75" s="46"/>
      <c r="O75">
        <v>2837707</v>
      </c>
    </row>
    <row r="76" spans="1:15" ht="12.75" customHeight="1">
      <c r="A76" s="1465">
        <v>34</v>
      </c>
      <c r="B76" s="1441"/>
      <c r="C76" s="1484" t="s">
        <v>82</v>
      </c>
      <c r="D76" s="1437">
        <v>41246</v>
      </c>
      <c r="E76" s="1441" t="s">
        <v>18</v>
      </c>
      <c r="F76" s="1424"/>
      <c r="G76" s="39"/>
      <c r="H76" s="1428">
        <v>2000000</v>
      </c>
      <c r="I76" s="1445">
        <v>2000000</v>
      </c>
      <c r="J76" s="1445"/>
      <c r="K76" s="1428">
        <v>2000000</v>
      </c>
      <c r="L76" s="1442">
        <v>2000000</v>
      </c>
      <c r="M76" s="1076">
        <f>K76-H76</f>
        <v>0</v>
      </c>
      <c r="N76" s="34"/>
      <c r="O76">
        <v>2837707</v>
      </c>
    </row>
    <row r="77" spans="1:15" ht="12.75" customHeight="1" thickBot="1">
      <c r="A77" s="1465"/>
      <c r="B77" s="1453"/>
      <c r="C77" s="1485"/>
      <c r="D77" s="1453"/>
      <c r="E77" s="1453"/>
      <c r="F77" s="1459"/>
      <c r="G77" s="40"/>
      <c r="H77" s="1460"/>
      <c r="I77" s="1472"/>
      <c r="J77" s="1472"/>
      <c r="K77" s="1463"/>
      <c r="L77" s="1463"/>
      <c r="M77" s="901"/>
      <c r="N77" s="46"/>
      <c r="O77">
        <v>2837707</v>
      </c>
    </row>
    <row r="78" spans="1:15" ht="12.75" customHeight="1">
      <c r="A78" s="1465">
        <v>35</v>
      </c>
      <c r="B78" s="1444" t="s">
        <v>579</v>
      </c>
      <c r="C78" s="1467" t="s">
        <v>580</v>
      </c>
      <c r="D78" s="1449">
        <v>41248</v>
      </c>
      <c r="E78" s="983" t="s">
        <v>20</v>
      </c>
      <c r="F78" s="1211"/>
      <c r="G78" s="30"/>
      <c r="H78" s="1426">
        <v>10800000</v>
      </c>
      <c r="I78" s="1427">
        <v>10800000</v>
      </c>
      <c r="J78" s="1427"/>
      <c r="K78" s="1448">
        <v>10800000</v>
      </c>
      <c r="L78" s="1448">
        <v>10800000</v>
      </c>
      <c r="M78" s="1076">
        <f>K78-H78</f>
        <v>0</v>
      </c>
      <c r="N78" s="34"/>
      <c r="O78">
        <v>2837707</v>
      </c>
    </row>
    <row r="79" spans="1:15" ht="12.75" customHeight="1">
      <c r="A79" s="1465"/>
      <c r="B79" s="1438"/>
      <c r="C79" s="1468"/>
      <c r="D79" s="1438"/>
      <c r="E79" s="879"/>
      <c r="F79" s="1424"/>
      <c r="G79" s="30"/>
      <c r="H79" s="1427"/>
      <c r="I79" s="1446"/>
      <c r="J79" s="1446"/>
      <c r="K79" s="1443"/>
      <c r="L79" s="1443"/>
      <c r="M79" s="901"/>
      <c r="N79" s="34"/>
      <c r="O79">
        <v>2837707</v>
      </c>
    </row>
    <row r="80" spans="1:15" ht="12.75" customHeight="1">
      <c r="A80" s="1465">
        <v>36</v>
      </c>
      <c r="B80" s="1441">
        <v>1</v>
      </c>
      <c r="C80" s="1467" t="s">
        <v>95</v>
      </c>
      <c r="D80" s="1437">
        <v>41257</v>
      </c>
      <c r="E80" s="878" t="s">
        <v>581</v>
      </c>
      <c r="F80" s="1424"/>
      <c r="G80" s="30"/>
      <c r="H80" s="1428">
        <v>3500000</v>
      </c>
      <c r="I80" s="1445">
        <f>H80</f>
        <v>3500000</v>
      </c>
      <c r="J80" s="1445"/>
      <c r="K80" s="1442">
        <v>3500000</v>
      </c>
      <c r="L80" s="1442">
        <v>3500000</v>
      </c>
      <c r="M80" s="1076">
        <f>K80-H80</f>
        <v>0</v>
      </c>
      <c r="N80" s="34"/>
      <c r="O80">
        <v>2837707</v>
      </c>
    </row>
    <row r="81" spans="1:15" ht="12.75" customHeight="1">
      <c r="A81" s="1465"/>
      <c r="B81" s="1438"/>
      <c r="C81" s="1468"/>
      <c r="D81" s="1438"/>
      <c r="E81" s="879"/>
      <c r="F81" s="1424"/>
      <c r="G81" s="30" t="s">
        <v>204</v>
      </c>
      <c r="H81" s="1427"/>
      <c r="I81" s="1446"/>
      <c r="J81" s="1446"/>
      <c r="K81" s="1443"/>
      <c r="L81" s="1443"/>
      <c r="M81" s="901"/>
      <c r="N81" s="34"/>
      <c r="O81">
        <v>2837707</v>
      </c>
    </row>
    <row r="82" spans="1:15" ht="12.75" customHeight="1">
      <c r="A82" s="1465">
        <v>37</v>
      </c>
      <c r="B82" s="1441"/>
      <c r="C82" s="1467" t="s">
        <v>102</v>
      </c>
      <c r="D82" s="1437">
        <v>41257</v>
      </c>
      <c r="E82" s="878" t="s">
        <v>582</v>
      </c>
      <c r="F82" s="1424"/>
      <c r="G82" s="30" t="s">
        <v>204</v>
      </c>
      <c r="H82" s="1428">
        <v>2500000</v>
      </c>
      <c r="I82" s="1445">
        <f>H82</f>
        <v>2500000</v>
      </c>
      <c r="J82" s="1480"/>
      <c r="K82" s="1442">
        <v>2500000</v>
      </c>
      <c r="L82" s="1442">
        <v>2500000</v>
      </c>
      <c r="M82" s="1076">
        <f>K82-H82</f>
        <v>0</v>
      </c>
      <c r="N82" s="34"/>
      <c r="O82">
        <v>2837707</v>
      </c>
    </row>
    <row r="83" spans="1:15" ht="12.75" customHeight="1">
      <c r="A83" s="1465"/>
      <c r="B83" s="1438"/>
      <c r="C83" s="1468"/>
      <c r="D83" s="1438"/>
      <c r="E83" s="879"/>
      <c r="F83" s="1424"/>
      <c r="G83" s="30"/>
      <c r="H83" s="1427"/>
      <c r="I83" s="1446"/>
      <c r="J83" s="1481"/>
      <c r="K83" s="1443"/>
      <c r="L83" s="1443"/>
      <c r="M83" s="901"/>
      <c r="N83" s="34"/>
      <c r="O83">
        <v>2837707</v>
      </c>
    </row>
    <row r="84" spans="1:15" ht="12.75" customHeight="1">
      <c r="A84" s="1465">
        <v>38</v>
      </c>
      <c r="B84" s="1441"/>
      <c r="C84" s="1467" t="s">
        <v>85</v>
      </c>
      <c r="D84" s="1437">
        <v>41256</v>
      </c>
      <c r="E84" s="878" t="s">
        <v>8</v>
      </c>
      <c r="F84" s="1444"/>
      <c r="G84" s="30"/>
      <c r="H84" s="1428">
        <v>856000</v>
      </c>
      <c r="I84" s="1445">
        <v>856000</v>
      </c>
      <c r="J84" s="1445"/>
      <c r="K84" s="1442">
        <v>856000</v>
      </c>
      <c r="L84" s="1442">
        <v>856000</v>
      </c>
      <c r="M84" s="1076">
        <f>K84-H84</f>
        <v>0</v>
      </c>
      <c r="N84" s="34"/>
      <c r="O84">
        <v>2837707</v>
      </c>
    </row>
    <row r="85" spans="1:15" ht="12.75" customHeight="1">
      <c r="A85" s="1465"/>
      <c r="B85" s="1438"/>
      <c r="C85" s="1468"/>
      <c r="D85" s="1438"/>
      <c r="E85" s="879"/>
      <c r="F85" s="1438"/>
      <c r="G85" s="30"/>
      <c r="H85" s="1427"/>
      <c r="I85" s="1446"/>
      <c r="J85" s="1446"/>
      <c r="K85" s="1443"/>
      <c r="L85" s="1443"/>
      <c r="M85" s="901"/>
      <c r="N85" s="34"/>
      <c r="O85">
        <v>2837707</v>
      </c>
    </row>
    <row r="86" spans="1:15" ht="12.75" customHeight="1">
      <c r="A86" s="1465">
        <v>39</v>
      </c>
      <c r="B86" s="1441"/>
      <c r="C86" s="1467" t="s">
        <v>87</v>
      </c>
      <c r="D86" s="1437">
        <v>41256</v>
      </c>
      <c r="E86" s="878" t="s">
        <v>553</v>
      </c>
      <c r="F86" s="1444"/>
      <c r="G86" s="30"/>
      <c r="H86" s="1428">
        <v>1810</v>
      </c>
      <c r="I86" s="1445">
        <f>H86*J86</f>
        <v>505895</v>
      </c>
      <c r="J86" s="1480">
        <v>279.5</v>
      </c>
      <c r="K86" s="1442">
        <v>1810</v>
      </c>
      <c r="L86" s="1442">
        <v>1810</v>
      </c>
      <c r="M86" s="1076">
        <f>K86-H86</f>
        <v>0</v>
      </c>
      <c r="N86" s="34"/>
      <c r="O86">
        <v>2837707</v>
      </c>
    </row>
    <row r="87" spans="1:15" ht="12.75" customHeight="1">
      <c r="A87" s="1465"/>
      <c r="B87" s="1438"/>
      <c r="C87" s="1468"/>
      <c r="D87" s="1438"/>
      <c r="E87" s="879"/>
      <c r="F87" s="1438"/>
      <c r="G87" s="30"/>
      <c r="H87" s="1427"/>
      <c r="I87" s="1446"/>
      <c r="J87" s="1481"/>
      <c r="K87" s="1443"/>
      <c r="L87" s="1443"/>
      <c r="M87" s="901"/>
      <c r="N87" s="34"/>
      <c r="O87">
        <v>2837707</v>
      </c>
    </row>
    <row r="88" spans="1:15" ht="12.75" customHeight="1">
      <c r="A88" s="1465">
        <v>40</v>
      </c>
      <c r="B88" s="1441"/>
      <c r="C88" s="1484" t="s">
        <v>86</v>
      </c>
      <c r="D88" s="1437">
        <v>41256</v>
      </c>
      <c r="E88" s="878" t="s">
        <v>15</v>
      </c>
      <c r="F88" s="1424"/>
      <c r="G88" s="39"/>
      <c r="H88" s="1428">
        <v>1750000</v>
      </c>
      <c r="I88" s="1426">
        <v>1750000</v>
      </c>
      <c r="J88" s="1480"/>
      <c r="K88" s="1442">
        <v>1750000</v>
      </c>
      <c r="L88" s="1442">
        <v>1750000</v>
      </c>
      <c r="M88" s="1076">
        <f>K88-H88</f>
        <v>0</v>
      </c>
      <c r="N88" s="34"/>
      <c r="O88">
        <v>2837707</v>
      </c>
    </row>
    <row r="89" spans="1:15" ht="13.5" customHeight="1" thickBot="1">
      <c r="A89" s="1465"/>
      <c r="B89" s="1453"/>
      <c r="C89" s="1485"/>
      <c r="D89" s="1453"/>
      <c r="E89" s="1197"/>
      <c r="F89" s="1459"/>
      <c r="G89" s="40"/>
      <c r="H89" s="1460"/>
      <c r="I89" s="1429"/>
      <c r="J89" s="1486"/>
      <c r="K89" s="1463"/>
      <c r="L89" s="1463"/>
      <c r="M89" s="901"/>
      <c r="N89" s="34"/>
      <c r="O89">
        <v>2837707</v>
      </c>
    </row>
    <row r="90" spans="1:15" ht="12.75" customHeight="1" thickTop="1">
      <c r="A90" s="1465">
        <v>41</v>
      </c>
      <c r="B90" s="1444" t="s">
        <v>583</v>
      </c>
      <c r="C90" s="1467" t="s">
        <v>584</v>
      </c>
      <c r="D90" s="1449">
        <v>41249</v>
      </c>
      <c r="E90" s="983" t="s">
        <v>20</v>
      </c>
      <c r="F90" s="1211"/>
      <c r="G90" s="30"/>
      <c r="H90" s="1426">
        <v>9700000</v>
      </c>
      <c r="I90" s="1470">
        <v>9700000</v>
      </c>
      <c r="J90" s="1482"/>
      <c r="K90" s="1448">
        <v>9700000</v>
      </c>
      <c r="L90" s="1448">
        <v>9700000</v>
      </c>
      <c r="M90" s="1076">
        <f>K90-H90</f>
        <v>0</v>
      </c>
      <c r="N90" s="34"/>
      <c r="O90">
        <v>2837707</v>
      </c>
    </row>
    <row r="91" spans="1:15" ht="12.75" customHeight="1">
      <c r="A91" s="1465"/>
      <c r="B91" s="1438"/>
      <c r="C91" s="1468"/>
      <c r="D91" s="1438"/>
      <c r="E91" s="879"/>
      <c r="F91" s="1424"/>
      <c r="G91" s="30"/>
      <c r="H91" s="1427"/>
      <c r="I91" s="1471"/>
      <c r="J91" s="1481"/>
      <c r="K91" s="1443"/>
      <c r="L91" s="1443"/>
      <c r="M91" s="901"/>
      <c r="N91" s="34"/>
      <c r="O91">
        <v>2837707</v>
      </c>
    </row>
    <row r="92" spans="1:15" ht="12.75" customHeight="1">
      <c r="A92" s="1465">
        <v>42</v>
      </c>
      <c r="B92" s="1466"/>
      <c r="C92" s="1491" t="s">
        <v>84</v>
      </c>
      <c r="D92" s="1493">
        <v>41253</v>
      </c>
      <c r="E92" s="1466" t="s">
        <v>16</v>
      </c>
      <c r="F92" s="1424"/>
      <c r="G92" s="39"/>
      <c r="H92" s="1445">
        <v>450000</v>
      </c>
      <c r="I92" s="1445">
        <v>450000</v>
      </c>
      <c r="J92" s="1480"/>
      <c r="K92" s="1456">
        <v>450000</v>
      </c>
      <c r="L92" s="1456">
        <v>450000</v>
      </c>
      <c r="M92" s="1473">
        <f>K92-H92</f>
        <v>0</v>
      </c>
      <c r="N92" s="34"/>
      <c r="O92">
        <v>2837707</v>
      </c>
    </row>
    <row r="93" spans="1:15" ht="12.75" customHeight="1" thickBot="1">
      <c r="A93" s="1465"/>
      <c r="B93" s="1490"/>
      <c r="C93" s="1492"/>
      <c r="D93" s="1490"/>
      <c r="E93" s="1490"/>
      <c r="F93" s="1459"/>
      <c r="G93" s="47"/>
      <c r="H93" s="1487"/>
      <c r="I93" s="1472"/>
      <c r="J93" s="1486"/>
      <c r="K93" s="1488"/>
      <c r="L93" s="1488"/>
      <c r="M93" s="1489"/>
      <c r="N93" s="34"/>
      <c r="O93">
        <v>2837707</v>
      </c>
    </row>
    <row r="94" spans="1:15" ht="12.75" customHeight="1">
      <c r="A94" s="1465">
        <v>43</v>
      </c>
      <c r="B94" s="1496" t="s">
        <v>585</v>
      </c>
      <c r="C94" s="1497" t="s">
        <v>6</v>
      </c>
      <c r="D94" s="1498">
        <v>41250</v>
      </c>
      <c r="E94" s="1496" t="s">
        <v>25</v>
      </c>
      <c r="F94" s="1210"/>
      <c r="G94" s="30"/>
      <c r="H94" s="1494">
        <v>536000</v>
      </c>
      <c r="I94" s="1494">
        <v>536000</v>
      </c>
      <c r="J94" s="1482"/>
      <c r="K94" s="1495">
        <v>536000</v>
      </c>
      <c r="L94" s="1495">
        <v>536000</v>
      </c>
      <c r="M94" s="1195">
        <f>K94-H94</f>
        <v>0</v>
      </c>
      <c r="N94" s="34"/>
      <c r="O94">
        <v>2837707</v>
      </c>
    </row>
    <row r="95" spans="1:15" ht="12.75" customHeight="1" thickBot="1">
      <c r="A95" s="1465"/>
      <c r="B95" s="1438"/>
      <c r="C95" s="1468"/>
      <c r="D95" s="1469"/>
      <c r="E95" s="1438"/>
      <c r="F95" s="1211"/>
      <c r="G95" s="39"/>
      <c r="H95" s="1427"/>
      <c r="I95" s="1427"/>
      <c r="J95" s="1486"/>
      <c r="K95" s="1443"/>
      <c r="L95" s="1443"/>
      <c r="M95" s="901"/>
      <c r="N95" s="34"/>
      <c r="O95">
        <v>2837707</v>
      </c>
    </row>
    <row r="96" spans="1:15" ht="12.75" customHeight="1">
      <c r="A96" s="1465">
        <v>44</v>
      </c>
      <c r="B96" s="1496" t="s">
        <v>586</v>
      </c>
      <c r="C96" s="1497" t="s">
        <v>587</v>
      </c>
      <c r="D96" s="1498">
        <v>41254</v>
      </c>
      <c r="E96" s="1017" t="s">
        <v>20</v>
      </c>
      <c r="F96" s="1210"/>
      <c r="G96" s="30"/>
      <c r="H96" s="1494">
        <v>10800000</v>
      </c>
      <c r="I96" s="1494">
        <v>10800000</v>
      </c>
      <c r="J96" s="1482"/>
      <c r="K96" s="1495">
        <v>10800000</v>
      </c>
      <c r="L96" s="1495">
        <v>10800000</v>
      </c>
      <c r="M96" s="1195">
        <f>K96-H96</f>
        <v>0</v>
      </c>
      <c r="N96" s="34"/>
      <c r="O96">
        <v>2837707</v>
      </c>
    </row>
    <row r="97" spans="1:15" ht="12.75" customHeight="1">
      <c r="A97" s="1465"/>
      <c r="B97" s="1438"/>
      <c r="C97" s="1468"/>
      <c r="D97" s="1469"/>
      <c r="E97" s="879"/>
      <c r="F97" s="1211"/>
      <c r="G97" s="39"/>
      <c r="H97" s="1427"/>
      <c r="I97" s="1427"/>
      <c r="J97" s="1481"/>
      <c r="K97" s="1443"/>
      <c r="L97" s="1443"/>
      <c r="M97" s="901"/>
      <c r="N97" s="34"/>
      <c r="O97">
        <v>2837707</v>
      </c>
    </row>
    <row r="98" spans="1:15" ht="12.75" customHeight="1">
      <c r="A98" s="1465">
        <v>45</v>
      </c>
      <c r="B98" s="1466"/>
      <c r="C98" s="1491" t="s">
        <v>103</v>
      </c>
      <c r="D98" s="940">
        <v>41258</v>
      </c>
      <c r="E98" s="865" t="s">
        <v>588</v>
      </c>
      <c r="F98" s="1466"/>
      <c r="G98" s="39"/>
      <c r="H98" s="1445">
        <v>2500000</v>
      </c>
      <c r="I98" s="1445">
        <v>2500000</v>
      </c>
      <c r="J98" s="1480"/>
      <c r="K98" s="1456">
        <v>2500000</v>
      </c>
      <c r="L98" s="1456">
        <v>2500000</v>
      </c>
      <c r="M98" s="1076">
        <f>K98-H98</f>
        <v>0</v>
      </c>
      <c r="N98" s="34"/>
      <c r="O98">
        <v>2837707</v>
      </c>
    </row>
    <row r="99" spans="1:15" ht="12.75" customHeight="1" thickBot="1">
      <c r="A99" s="1465"/>
      <c r="B99" s="1466"/>
      <c r="C99" s="1491"/>
      <c r="D99" s="865"/>
      <c r="E99" s="865"/>
      <c r="F99" s="1466"/>
      <c r="G99" s="39"/>
      <c r="H99" s="1445"/>
      <c r="I99" s="1446"/>
      <c r="J99" s="1486"/>
      <c r="K99" s="1456"/>
      <c r="L99" s="1456"/>
      <c r="M99" s="901"/>
      <c r="N99" s="34"/>
      <c r="O99">
        <v>2837707</v>
      </c>
    </row>
    <row r="100" spans="1:15" ht="12.75" customHeight="1">
      <c r="A100" s="1465"/>
      <c r="B100" s="1500" t="s">
        <v>589</v>
      </c>
      <c r="C100" s="1497"/>
      <c r="D100" s="1498"/>
      <c r="E100" s="1496" t="s">
        <v>590</v>
      </c>
      <c r="F100" s="1496"/>
      <c r="G100" s="48"/>
      <c r="H100" s="1494"/>
      <c r="I100" s="1494"/>
      <c r="J100" s="1499"/>
      <c r="K100" s="1495"/>
      <c r="L100" s="1495"/>
      <c r="M100" s="1198">
        <f>K100-H100</f>
        <v>0</v>
      </c>
      <c r="N100" s="34"/>
      <c r="O100">
        <v>2837707</v>
      </c>
    </row>
    <row r="101" spans="1:15" ht="12.75" customHeight="1" thickBot="1">
      <c r="A101" s="1465"/>
      <c r="B101" s="1501"/>
      <c r="C101" s="1485"/>
      <c r="D101" s="1453"/>
      <c r="E101" s="1453"/>
      <c r="F101" s="1453"/>
      <c r="G101" s="40"/>
      <c r="H101" s="1460"/>
      <c r="I101" s="1461"/>
      <c r="J101" s="1486"/>
      <c r="K101" s="1463"/>
      <c r="L101" s="1463"/>
      <c r="M101" s="1201"/>
      <c r="N101" s="34"/>
      <c r="O101">
        <v>2837707</v>
      </c>
    </row>
    <row r="102" spans="1:15" ht="12.75" customHeight="1">
      <c r="A102" s="1465">
        <v>46</v>
      </c>
      <c r="B102" s="1444" t="s">
        <v>591</v>
      </c>
      <c r="C102" s="1467" t="s">
        <v>6</v>
      </c>
      <c r="D102" s="1449">
        <v>41256</v>
      </c>
      <c r="E102" s="983" t="s">
        <v>568</v>
      </c>
      <c r="F102" s="1444"/>
      <c r="G102" s="30"/>
      <c r="H102" s="1426">
        <v>32000</v>
      </c>
      <c r="I102" s="1426">
        <f>J102*H102</f>
        <v>8944000</v>
      </c>
      <c r="J102" s="1482">
        <v>279.5</v>
      </c>
      <c r="K102" s="1448">
        <v>32000</v>
      </c>
      <c r="L102" s="1448">
        <v>32000</v>
      </c>
      <c r="M102" s="1076">
        <f>K102-H102</f>
        <v>0</v>
      </c>
      <c r="N102" s="34"/>
      <c r="O102">
        <v>2837707</v>
      </c>
    </row>
    <row r="103" spans="1:15" ht="12.75" customHeight="1">
      <c r="A103" s="1465"/>
      <c r="B103" s="1438"/>
      <c r="C103" s="1468"/>
      <c r="D103" s="1438"/>
      <c r="E103" s="879"/>
      <c r="F103" s="1438"/>
      <c r="G103" s="30"/>
      <c r="H103" s="1427"/>
      <c r="I103" s="1429"/>
      <c r="J103" s="1481"/>
      <c r="K103" s="1443"/>
      <c r="L103" s="1443"/>
      <c r="M103" s="901"/>
      <c r="N103" s="34"/>
      <c r="O103">
        <v>2837707</v>
      </c>
    </row>
    <row r="104" spans="1:15" ht="12.75" customHeight="1">
      <c r="A104" s="1465">
        <v>47</v>
      </c>
      <c r="B104" s="1441"/>
      <c r="C104" s="1467" t="s">
        <v>118</v>
      </c>
      <c r="D104" s="1437">
        <v>41257</v>
      </c>
      <c r="E104" s="1441" t="s">
        <v>98</v>
      </c>
      <c r="F104" s="1444"/>
      <c r="G104" s="30"/>
      <c r="H104" s="1428">
        <v>450000</v>
      </c>
      <c r="I104" s="1445">
        <v>450000</v>
      </c>
      <c r="J104" s="1480"/>
      <c r="K104" s="1442">
        <v>450000</v>
      </c>
      <c r="L104" s="1442">
        <v>450000</v>
      </c>
      <c r="M104" s="1076">
        <f>K104-H104</f>
        <v>0</v>
      </c>
      <c r="N104" s="34"/>
      <c r="O104">
        <v>2837707</v>
      </c>
    </row>
    <row r="105" spans="1:15" ht="12.75" customHeight="1">
      <c r="A105" s="1465"/>
      <c r="B105" s="1438"/>
      <c r="C105" s="1468"/>
      <c r="D105" s="1438"/>
      <c r="E105" s="1438"/>
      <c r="F105" s="1438"/>
      <c r="G105" s="30"/>
      <c r="H105" s="1427"/>
      <c r="I105" s="1446"/>
      <c r="J105" s="1481"/>
      <c r="K105" s="1443"/>
      <c r="L105" s="1443"/>
      <c r="M105" s="901"/>
      <c r="N105" s="34"/>
      <c r="O105">
        <v>2837707</v>
      </c>
    </row>
    <row r="106" spans="1:15" ht="12.75" customHeight="1">
      <c r="A106" s="1465">
        <v>48</v>
      </c>
      <c r="B106" s="1441"/>
      <c r="C106" s="1484" t="s">
        <v>119</v>
      </c>
      <c r="D106" s="1437">
        <v>41257</v>
      </c>
      <c r="E106" s="1441" t="s">
        <v>25</v>
      </c>
      <c r="F106" s="1441"/>
      <c r="G106" s="39"/>
      <c r="H106" s="1428">
        <v>502000</v>
      </c>
      <c r="I106" s="1428">
        <f>H106</f>
        <v>502000</v>
      </c>
      <c r="J106" s="1480"/>
      <c r="K106" s="1442">
        <v>502000</v>
      </c>
      <c r="L106" s="1442">
        <v>502000</v>
      </c>
      <c r="M106" s="900">
        <f>K106-H106</f>
        <v>0</v>
      </c>
      <c r="N106" s="44"/>
      <c r="O106">
        <v>2837707</v>
      </c>
    </row>
    <row r="107" spans="1:15" ht="12.75" customHeight="1" thickBot="1">
      <c r="A107" s="1465"/>
      <c r="B107" s="1453"/>
      <c r="C107" s="1485"/>
      <c r="D107" s="1453"/>
      <c r="E107" s="1453"/>
      <c r="F107" s="1453"/>
      <c r="G107" s="40"/>
      <c r="H107" s="1460"/>
      <c r="I107" s="1461"/>
      <c r="J107" s="1486"/>
      <c r="K107" s="1463"/>
      <c r="L107" s="1463"/>
      <c r="M107" s="1309"/>
      <c r="N107" s="44"/>
      <c r="O107">
        <v>2837707</v>
      </c>
    </row>
    <row r="108" spans="1:15" ht="12.75" customHeight="1">
      <c r="A108" s="1465">
        <v>49</v>
      </c>
      <c r="B108" s="1496" t="s">
        <v>592</v>
      </c>
      <c r="C108" s="1497" t="s">
        <v>593</v>
      </c>
      <c r="D108" s="1498">
        <v>41262</v>
      </c>
      <c r="E108" s="1017" t="s">
        <v>20</v>
      </c>
      <c r="F108" s="1496"/>
      <c r="G108" s="48"/>
      <c r="H108" s="1494">
        <v>10500000</v>
      </c>
      <c r="I108" s="1502">
        <f>H108</f>
        <v>10500000</v>
      </c>
      <c r="J108" s="1482"/>
      <c r="K108" s="1495">
        <v>10500000</v>
      </c>
      <c r="L108" s="1495">
        <v>10500000</v>
      </c>
      <c r="M108" s="1195">
        <f>K108-H108</f>
        <v>0</v>
      </c>
      <c r="N108" s="34"/>
      <c r="O108">
        <v>2837707</v>
      </c>
    </row>
    <row r="109" spans="1:15" ht="12.75" customHeight="1">
      <c r="A109" s="1465"/>
      <c r="B109" s="1438"/>
      <c r="C109" s="1468"/>
      <c r="D109" s="1438"/>
      <c r="E109" s="879"/>
      <c r="F109" s="1438"/>
      <c r="G109" s="30"/>
      <c r="H109" s="1427"/>
      <c r="I109" s="1446"/>
      <c r="J109" s="1481"/>
      <c r="K109" s="1443"/>
      <c r="L109" s="1443"/>
      <c r="M109" s="901"/>
      <c r="N109" s="34"/>
      <c r="O109">
        <v>2837707</v>
      </c>
    </row>
    <row r="110" spans="1:15" ht="12.75" customHeight="1">
      <c r="A110" s="1465">
        <v>50</v>
      </c>
      <c r="B110" s="1444"/>
      <c r="C110" s="1467" t="s">
        <v>137</v>
      </c>
      <c r="D110" s="1449">
        <v>41265</v>
      </c>
      <c r="E110" s="1444" t="s">
        <v>15</v>
      </c>
      <c r="F110" s="1444"/>
      <c r="G110" s="30"/>
      <c r="H110" s="1426">
        <v>2500000</v>
      </c>
      <c r="I110" s="1427">
        <v>2500000</v>
      </c>
      <c r="J110" s="1480"/>
      <c r="K110" s="1448">
        <v>2500000</v>
      </c>
      <c r="L110" s="1448">
        <v>2500000</v>
      </c>
      <c r="M110" s="1076">
        <f>K110-H110</f>
        <v>0</v>
      </c>
      <c r="N110" s="34"/>
      <c r="O110">
        <v>2837707</v>
      </c>
    </row>
    <row r="111" spans="1:15" ht="12.75" customHeight="1">
      <c r="A111" s="1465"/>
      <c r="B111" s="1438"/>
      <c r="C111" s="1468"/>
      <c r="D111" s="1438"/>
      <c r="E111" s="1438"/>
      <c r="F111" s="1438"/>
      <c r="G111" s="30"/>
      <c r="H111" s="1427"/>
      <c r="I111" s="1446"/>
      <c r="J111" s="1481"/>
      <c r="K111" s="1443"/>
      <c r="L111" s="1443"/>
      <c r="M111" s="901"/>
      <c r="N111" s="34"/>
      <c r="O111">
        <v>2837707</v>
      </c>
    </row>
    <row r="112" spans="1:15" ht="12.75" customHeight="1">
      <c r="A112" s="1465">
        <v>51</v>
      </c>
      <c r="B112" s="1441"/>
      <c r="C112" s="1467" t="s">
        <v>140</v>
      </c>
      <c r="D112" s="1437">
        <v>41265</v>
      </c>
      <c r="E112" s="1441" t="s">
        <v>11</v>
      </c>
      <c r="F112" s="1444"/>
      <c r="G112" s="30"/>
      <c r="H112" s="1428">
        <v>1350000</v>
      </c>
      <c r="I112" s="1445">
        <v>1350000</v>
      </c>
      <c r="J112" s="1480"/>
      <c r="K112" s="1442">
        <v>1350000</v>
      </c>
      <c r="L112" s="1442">
        <v>1350000</v>
      </c>
      <c r="M112" s="1076">
        <f>K112-H112</f>
        <v>0</v>
      </c>
      <c r="N112" s="34"/>
      <c r="O112">
        <v>2837707</v>
      </c>
    </row>
    <row r="113" spans="1:15" ht="12.75" customHeight="1">
      <c r="A113" s="1465"/>
      <c r="B113" s="1438"/>
      <c r="C113" s="1468"/>
      <c r="D113" s="1438"/>
      <c r="E113" s="1438"/>
      <c r="F113" s="1438"/>
      <c r="G113" s="30"/>
      <c r="H113" s="1427"/>
      <c r="I113" s="1446"/>
      <c r="J113" s="1481"/>
      <c r="K113" s="1443"/>
      <c r="L113" s="1443"/>
      <c r="M113" s="901"/>
      <c r="N113" s="34"/>
      <c r="O113">
        <v>2837707</v>
      </c>
    </row>
    <row r="114" spans="1:15" ht="12.75" customHeight="1">
      <c r="A114" s="1465">
        <v>52</v>
      </c>
      <c r="B114" s="1441"/>
      <c r="C114" s="1484" t="s">
        <v>141</v>
      </c>
      <c r="D114" s="1123">
        <v>41265</v>
      </c>
      <c r="E114" s="1441" t="s">
        <v>26</v>
      </c>
      <c r="F114" s="1441"/>
      <c r="G114" s="39"/>
      <c r="H114" s="1428">
        <v>900000</v>
      </c>
      <c r="I114" s="1445">
        <v>900000</v>
      </c>
      <c r="J114" s="1480"/>
      <c r="K114" s="1442">
        <v>900000</v>
      </c>
      <c r="L114" s="1442">
        <v>900000</v>
      </c>
      <c r="M114" s="900">
        <f>K114-H114</f>
        <v>0</v>
      </c>
      <c r="N114" s="34"/>
      <c r="O114">
        <v>2837707</v>
      </c>
    </row>
    <row r="115" spans="1:15" ht="12.75" customHeight="1" thickBot="1">
      <c r="A115" s="1465"/>
      <c r="B115" s="1453"/>
      <c r="C115" s="1485"/>
      <c r="D115" s="1197"/>
      <c r="E115" s="1453"/>
      <c r="F115" s="1453"/>
      <c r="G115" s="40"/>
      <c r="H115" s="1460"/>
      <c r="I115" s="1472"/>
      <c r="J115" s="1486"/>
      <c r="K115" s="1463"/>
      <c r="L115" s="1463"/>
      <c r="M115" s="1309"/>
      <c r="N115" s="34"/>
      <c r="O115">
        <v>2837707</v>
      </c>
    </row>
    <row r="116" spans="1:15" ht="12.75" customHeight="1">
      <c r="A116" s="1465">
        <v>53</v>
      </c>
      <c r="B116" s="1503" t="s">
        <v>594</v>
      </c>
      <c r="C116" s="1467" t="s">
        <v>6</v>
      </c>
      <c r="D116" s="1315">
        <v>41267</v>
      </c>
      <c r="E116" s="1444" t="s">
        <v>595</v>
      </c>
      <c r="F116" s="1444"/>
      <c r="G116" s="30"/>
      <c r="H116" s="1426">
        <v>11000000</v>
      </c>
      <c r="I116" s="1427">
        <v>11000000</v>
      </c>
      <c r="J116" s="1482"/>
      <c r="K116" s="1426">
        <v>11000000</v>
      </c>
      <c r="L116" s="1448">
        <v>11000000</v>
      </c>
      <c r="M116" s="1076">
        <f>K116-H116</f>
        <v>0</v>
      </c>
      <c r="N116" s="34"/>
      <c r="O116">
        <v>2837707</v>
      </c>
    </row>
    <row r="117" spans="1:15" ht="12.75" customHeight="1">
      <c r="A117" s="1465"/>
      <c r="B117" s="1504"/>
      <c r="C117" s="1468"/>
      <c r="D117" s="879"/>
      <c r="E117" s="1438"/>
      <c r="F117" s="1438"/>
      <c r="G117" s="30"/>
      <c r="H117" s="1427"/>
      <c r="I117" s="1446"/>
      <c r="J117" s="1481"/>
      <c r="K117" s="1443"/>
      <c r="L117" s="1443"/>
      <c r="M117" s="901"/>
      <c r="N117" s="34"/>
      <c r="O117">
        <v>2837707</v>
      </c>
    </row>
    <row r="118" spans="1:15" ht="12.75" customHeight="1">
      <c r="A118" s="1465">
        <v>54</v>
      </c>
      <c r="B118" s="1441"/>
      <c r="C118" s="1467" t="s">
        <v>6</v>
      </c>
      <c r="D118" s="1123">
        <v>41268</v>
      </c>
      <c r="E118" s="1441" t="s">
        <v>18</v>
      </c>
      <c r="F118" s="1444"/>
      <c r="G118" s="30" t="s">
        <v>355</v>
      </c>
      <c r="H118" s="1428">
        <v>1500000</v>
      </c>
      <c r="I118" s="1427">
        <f>H118</f>
        <v>1500000</v>
      </c>
      <c r="J118" s="1480"/>
      <c r="K118" s="1442">
        <v>1500000</v>
      </c>
      <c r="L118" s="1442">
        <v>1500000</v>
      </c>
      <c r="M118" s="1076">
        <f>K118-H118</f>
        <v>0</v>
      </c>
      <c r="N118" s="34"/>
      <c r="O118">
        <v>2837707</v>
      </c>
    </row>
    <row r="119" spans="1:15" ht="12.75" customHeight="1">
      <c r="A119" s="1465"/>
      <c r="B119" s="1438"/>
      <c r="C119" s="1468"/>
      <c r="D119" s="879"/>
      <c r="E119" s="1438"/>
      <c r="F119" s="1438"/>
      <c r="G119" s="30">
        <v>629</v>
      </c>
      <c r="H119" s="1427"/>
      <c r="I119" s="1446"/>
      <c r="J119" s="1481"/>
      <c r="K119" s="1443"/>
      <c r="L119" s="1443"/>
      <c r="M119" s="901"/>
      <c r="N119" s="34"/>
      <c r="O119">
        <v>2837707</v>
      </c>
    </row>
    <row r="120" spans="1:15" ht="12.75" customHeight="1">
      <c r="A120" s="1465">
        <v>55</v>
      </c>
      <c r="B120" s="1441"/>
      <c r="C120" s="1467"/>
      <c r="D120" s="1123">
        <v>41270</v>
      </c>
      <c r="E120" s="1441" t="s">
        <v>10</v>
      </c>
      <c r="F120" s="1444"/>
      <c r="G120" s="30"/>
      <c r="H120" s="1428">
        <v>2500000</v>
      </c>
      <c r="I120" s="1427">
        <f>H120</f>
        <v>2500000</v>
      </c>
      <c r="J120" s="1480"/>
      <c r="K120" s="1442">
        <v>2500000</v>
      </c>
      <c r="L120" s="1442">
        <v>2500000</v>
      </c>
      <c r="M120" s="1505">
        <f>K120-H120</f>
        <v>0</v>
      </c>
      <c r="N120" s="34"/>
      <c r="O120">
        <v>2837707</v>
      </c>
    </row>
    <row r="121" spans="1:15" ht="12.75" customHeight="1">
      <c r="A121" s="1465"/>
      <c r="B121" s="1438"/>
      <c r="C121" s="1468"/>
      <c r="D121" s="879"/>
      <c r="E121" s="1438"/>
      <c r="F121" s="1438"/>
      <c r="G121" s="30"/>
      <c r="H121" s="1427"/>
      <c r="I121" s="1446"/>
      <c r="J121" s="1481"/>
      <c r="K121" s="1443"/>
      <c r="L121" s="1443"/>
      <c r="M121" s="1506"/>
      <c r="O121">
        <v>2837707</v>
      </c>
    </row>
    <row r="122" spans="1:15" ht="12.75" customHeight="1">
      <c r="A122" s="1465">
        <v>56</v>
      </c>
      <c r="B122" s="1441"/>
      <c r="C122" s="1467"/>
      <c r="D122" s="1123">
        <v>41271</v>
      </c>
      <c r="E122" s="1441" t="s">
        <v>596</v>
      </c>
      <c r="F122" s="1444"/>
      <c r="G122" s="30" t="s">
        <v>469</v>
      </c>
      <c r="H122" s="1428">
        <v>12500</v>
      </c>
      <c r="I122" s="1445">
        <f>H122*J122</f>
        <v>3506250</v>
      </c>
      <c r="J122" s="1480">
        <v>280.5</v>
      </c>
      <c r="K122" s="1442">
        <v>12500</v>
      </c>
      <c r="L122" s="1442">
        <f>12500</f>
        <v>12500</v>
      </c>
      <c r="M122" s="1076">
        <f>K122-H122</f>
        <v>0</v>
      </c>
      <c r="O122">
        <v>2837707</v>
      </c>
    </row>
    <row r="123" spans="1:15" ht="12.75" customHeight="1">
      <c r="A123" s="1465"/>
      <c r="B123" s="1438"/>
      <c r="C123" s="1468"/>
      <c r="D123" s="879"/>
      <c r="E123" s="1438"/>
      <c r="F123" s="1438"/>
      <c r="G123" s="30" t="s">
        <v>597</v>
      </c>
      <c r="H123" s="1427"/>
      <c r="I123" s="1446"/>
      <c r="J123" s="1481"/>
      <c r="K123" s="1443"/>
      <c r="L123" s="1443"/>
      <c r="M123" s="901"/>
      <c r="O123">
        <v>2837707</v>
      </c>
    </row>
    <row r="124" spans="1:15" ht="12.75" customHeight="1">
      <c r="A124" s="1465">
        <v>57</v>
      </c>
      <c r="B124" s="1441"/>
      <c r="C124" s="1484"/>
      <c r="D124" s="1123">
        <v>41270</v>
      </c>
      <c r="E124" s="1441" t="s">
        <v>598</v>
      </c>
      <c r="F124" s="1441"/>
      <c r="G124" s="39"/>
      <c r="H124" s="1428">
        <v>1800000</v>
      </c>
      <c r="I124" s="1445">
        <f>H124</f>
        <v>1800000</v>
      </c>
      <c r="J124" s="1480"/>
      <c r="K124" s="1428">
        <v>1800000</v>
      </c>
      <c r="L124" s="1428">
        <v>1800000</v>
      </c>
      <c r="M124" s="900">
        <f>K124-H124</f>
        <v>0</v>
      </c>
      <c r="O124">
        <v>2837707</v>
      </c>
    </row>
    <row r="125" spans="1:15" ht="12.75" customHeight="1" thickBot="1">
      <c r="A125" s="1465"/>
      <c r="B125" s="1453"/>
      <c r="C125" s="1485"/>
      <c r="D125" s="1197"/>
      <c r="E125" s="1453"/>
      <c r="F125" s="1453"/>
      <c r="G125" s="40"/>
      <c r="H125" s="1460"/>
      <c r="I125" s="1472"/>
      <c r="J125" s="1486"/>
      <c r="K125" s="1463"/>
      <c r="L125" s="1463"/>
      <c r="M125" s="1309"/>
      <c r="O125">
        <v>2837707</v>
      </c>
    </row>
    <row r="126" spans="1:15" ht="12.75" customHeight="1">
      <c r="A126" s="1465">
        <v>58</v>
      </c>
      <c r="B126" s="1444" t="s">
        <v>599</v>
      </c>
      <c r="C126" s="1467"/>
      <c r="D126" s="1449">
        <v>41265</v>
      </c>
      <c r="E126" s="1444" t="s">
        <v>8</v>
      </c>
      <c r="F126" s="1444"/>
      <c r="G126" s="30"/>
      <c r="H126" s="1426">
        <v>573000</v>
      </c>
      <c r="I126" s="1445">
        <f>H126</f>
        <v>573000</v>
      </c>
      <c r="J126" s="1482"/>
      <c r="K126" s="1448">
        <v>573000</v>
      </c>
      <c r="L126" s="1448">
        <v>573000</v>
      </c>
      <c r="M126" s="1076">
        <f>K126-H126</f>
        <v>0</v>
      </c>
      <c r="O126">
        <v>2837707</v>
      </c>
    </row>
    <row r="127" spans="1:15" ht="12.75" customHeight="1" thickBot="1">
      <c r="A127" s="1465"/>
      <c r="B127" s="1438"/>
      <c r="C127" s="1468"/>
      <c r="D127" s="1438"/>
      <c r="E127" s="1438"/>
      <c r="F127" s="1438"/>
      <c r="G127" s="30"/>
      <c r="H127" s="1427"/>
      <c r="I127" s="1472"/>
      <c r="J127" s="1481"/>
      <c r="K127" s="1443"/>
      <c r="L127" s="1443"/>
      <c r="M127" s="901"/>
      <c r="O127">
        <v>2837707</v>
      </c>
    </row>
    <row r="128" spans="1:15" ht="12.75" customHeight="1">
      <c r="A128" s="1465">
        <v>59</v>
      </c>
      <c r="B128" s="1441"/>
      <c r="C128" s="1467"/>
      <c r="D128" s="1437" t="s">
        <v>600</v>
      </c>
      <c r="E128" s="1441" t="s">
        <v>553</v>
      </c>
      <c r="F128" s="1444"/>
      <c r="G128" s="30"/>
      <c r="H128" s="1428">
        <v>1640</v>
      </c>
      <c r="I128" s="1445">
        <f>H128*J128</f>
        <v>455920</v>
      </c>
      <c r="J128" s="1480">
        <v>278</v>
      </c>
      <c r="K128" s="1442">
        <v>1640</v>
      </c>
      <c r="L128" s="1445">
        <v>1640</v>
      </c>
      <c r="M128" s="1076">
        <f>K128-H128</f>
        <v>0</v>
      </c>
      <c r="O128">
        <v>2837707</v>
      </c>
    </row>
    <row r="129" spans="1:15" ht="12.75" customHeight="1" thickBot="1">
      <c r="A129" s="1465"/>
      <c r="B129" s="1453"/>
      <c r="C129" s="1485"/>
      <c r="D129" s="1453"/>
      <c r="E129" s="1453"/>
      <c r="F129" s="1438"/>
      <c r="G129" s="40"/>
      <c r="H129" s="1460"/>
      <c r="I129" s="1472"/>
      <c r="J129" s="1486"/>
      <c r="K129" s="1463"/>
      <c r="L129" s="1472"/>
      <c r="M129" s="901"/>
      <c r="O129">
        <v>2837707</v>
      </c>
    </row>
    <row r="130" spans="1:15" ht="12.75" customHeight="1">
      <c r="A130" s="1465">
        <v>60</v>
      </c>
      <c r="B130" s="1507" t="s">
        <v>30</v>
      </c>
      <c r="C130" s="1467"/>
      <c r="D130" s="1315">
        <v>41270</v>
      </c>
      <c r="E130" s="983" t="s">
        <v>601</v>
      </c>
      <c r="F130" s="1444"/>
      <c r="G130" s="30"/>
      <c r="H130" s="1426">
        <v>10000000</v>
      </c>
      <c r="I130" s="1427">
        <v>10000000</v>
      </c>
      <c r="J130" s="1482"/>
      <c r="K130" s="1427">
        <v>10000000</v>
      </c>
      <c r="L130" s="1448">
        <v>100000</v>
      </c>
      <c r="M130" s="1076">
        <f>K130-H130</f>
        <v>0</v>
      </c>
      <c r="O130">
        <v>2837707</v>
      </c>
    </row>
    <row r="131" spans="1:15" ht="12.75" customHeight="1">
      <c r="A131" s="1465"/>
      <c r="B131" s="1504"/>
      <c r="C131" s="1468"/>
      <c r="D131" s="879"/>
      <c r="E131" s="879"/>
      <c r="F131" s="1438"/>
      <c r="G131" s="30"/>
      <c r="H131" s="1427"/>
      <c r="I131" s="1446"/>
      <c r="J131" s="1481"/>
      <c r="K131" s="1446"/>
      <c r="L131" s="1443"/>
      <c r="M131" s="901"/>
      <c r="O131">
        <v>2837707</v>
      </c>
    </row>
    <row r="132" spans="1:15" ht="12.75" customHeight="1">
      <c r="A132" s="1465">
        <v>61</v>
      </c>
      <c r="B132" s="1441"/>
      <c r="C132" s="1467" t="s">
        <v>162</v>
      </c>
      <c r="D132" s="1123">
        <v>41272</v>
      </c>
      <c r="E132" s="1441" t="s">
        <v>91</v>
      </c>
      <c r="F132" s="1449">
        <v>41269</v>
      </c>
      <c r="G132" s="30"/>
      <c r="H132" s="1428">
        <v>2500000</v>
      </c>
      <c r="I132" s="1428">
        <v>2500000</v>
      </c>
      <c r="J132" s="1480"/>
      <c r="K132" s="1442">
        <v>2500000</v>
      </c>
      <c r="L132" s="1442">
        <v>2500000</v>
      </c>
      <c r="M132" s="1076">
        <f>K132-H132</f>
        <v>0</v>
      </c>
      <c r="O132">
        <v>2837707</v>
      </c>
    </row>
    <row r="133" spans="1:15" ht="12.75" customHeight="1">
      <c r="A133" s="1465"/>
      <c r="B133" s="1438"/>
      <c r="C133" s="1468"/>
      <c r="D133" s="879"/>
      <c r="E133" s="1438"/>
      <c r="F133" s="1438"/>
      <c r="G133" s="30"/>
      <c r="H133" s="1427"/>
      <c r="I133" s="1427"/>
      <c r="J133" s="1481"/>
      <c r="K133" s="1443"/>
      <c r="L133" s="1443"/>
      <c r="M133" s="901"/>
      <c r="O133">
        <v>2837707</v>
      </c>
    </row>
    <row r="134" spans="1:15" ht="12.75" customHeight="1">
      <c r="A134" s="1465">
        <v>62</v>
      </c>
      <c r="B134" s="1441"/>
      <c r="C134" s="1484"/>
      <c r="D134" s="1123">
        <v>41272</v>
      </c>
      <c r="E134" s="1441" t="s">
        <v>285</v>
      </c>
      <c r="F134" s="1441"/>
      <c r="G134" s="39"/>
      <c r="H134" s="1428">
        <v>4000000</v>
      </c>
      <c r="I134" s="1428">
        <v>4000000</v>
      </c>
      <c r="J134" s="1480"/>
      <c r="K134" s="1442">
        <v>4000000</v>
      </c>
      <c r="L134" s="1442">
        <v>4000000</v>
      </c>
      <c r="M134" s="900">
        <f>K134-H134</f>
        <v>0</v>
      </c>
      <c r="O134">
        <v>2837707</v>
      </c>
    </row>
    <row r="135" spans="1:15" ht="12.75" customHeight="1" thickBot="1">
      <c r="A135" s="1465"/>
      <c r="B135" s="1453"/>
      <c r="C135" s="1485"/>
      <c r="D135" s="1197"/>
      <c r="E135" s="1453"/>
      <c r="F135" s="1453"/>
      <c r="G135" s="40"/>
      <c r="H135" s="1460"/>
      <c r="I135" s="1460"/>
      <c r="J135" s="1486"/>
      <c r="K135" s="1463"/>
      <c r="L135" s="1463"/>
      <c r="M135" s="1309"/>
      <c r="O135">
        <v>2837707</v>
      </c>
    </row>
    <row r="136" spans="1:15">
      <c r="B136" s="1391"/>
      <c r="C136" s="1390"/>
      <c r="D136" s="1512">
        <v>41277</v>
      </c>
      <c r="E136" s="1391" t="s">
        <v>18</v>
      </c>
      <c r="F136" s="1391"/>
      <c r="G136" s="49"/>
      <c r="H136" s="1383">
        <v>2000000</v>
      </c>
      <c r="I136" s="1221">
        <v>2000000</v>
      </c>
      <c r="J136" s="1508"/>
      <c r="K136" s="1385"/>
      <c r="L136" s="1385"/>
      <c r="M136" s="1509">
        <f>K136-H136</f>
        <v>-2000000</v>
      </c>
      <c r="O136">
        <v>2837707</v>
      </c>
    </row>
    <row r="137" spans="1:15" ht="13.5" thickBot="1">
      <c r="B137" s="1318"/>
      <c r="C137" s="1320"/>
      <c r="D137" s="1318"/>
      <c r="E137" s="1318"/>
      <c r="F137" s="1318"/>
      <c r="G137" s="21"/>
      <c r="H137" s="1327"/>
      <c r="I137" s="1397"/>
      <c r="J137" s="1398"/>
      <c r="K137" s="1332"/>
      <c r="L137" s="1332"/>
      <c r="M137" s="1333"/>
      <c r="O137">
        <v>2837707</v>
      </c>
    </row>
    <row r="138" spans="1:15" ht="12.75" customHeight="1">
      <c r="B138" s="1391" t="s">
        <v>31</v>
      </c>
      <c r="C138" s="1390"/>
      <c r="D138" s="1300">
        <v>2013</v>
      </c>
      <c r="E138" s="1391" t="s">
        <v>13</v>
      </c>
      <c r="F138" s="1391"/>
      <c r="G138" s="49"/>
      <c r="H138" s="1383"/>
      <c r="I138" s="1221"/>
      <c r="J138" s="1508"/>
      <c r="K138" s="1385"/>
      <c r="L138" s="1385"/>
      <c r="M138" s="1509">
        <f>K138-H138</f>
        <v>0</v>
      </c>
      <c r="O138">
        <v>2837707</v>
      </c>
    </row>
    <row r="139" spans="1:15" ht="12.75" customHeight="1">
      <c r="B139" s="1510"/>
      <c r="C139" s="1511"/>
      <c r="D139" s="732"/>
      <c r="E139" s="1510"/>
      <c r="F139" s="1510"/>
      <c r="G139" s="49"/>
      <c r="H139" s="1221"/>
      <c r="I139" s="1514"/>
      <c r="J139" s="1515"/>
      <c r="K139" s="1516"/>
      <c r="L139" s="1516"/>
      <c r="M139" s="1513"/>
      <c r="O139">
        <v>2837707</v>
      </c>
    </row>
    <row r="140" spans="1:15" ht="12.75" customHeight="1">
      <c r="B140" s="1391" t="s">
        <v>32</v>
      </c>
      <c r="C140" s="1390"/>
      <c r="D140" s="1300">
        <v>2013</v>
      </c>
      <c r="E140" s="1391" t="s">
        <v>13</v>
      </c>
      <c r="F140" s="1391"/>
      <c r="G140" s="49"/>
      <c r="H140" s="1383"/>
      <c r="I140" s="1221"/>
      <c r="J140" s="1329"/>
      <c r="K140" s="1385"/>
      <c r="L140" s="1385"/>
      <c r="M140" s="1509">
        <f>K140-H140</f>
        <v>0</v>
      </c>
      <c r="O140">
        <v>2837707</v>
      </c>
    </row>
    <row r="141" spans="1:15" ht="12.75" customHeight="1">
      <c r="B141" s="1510"/>
      <c r="C141" s="1511"/>
      <c r="D141" s="732"/>
      <c r="E141" s="1510"/>
      <c r="F141" s="1510"/>
      <c r="G141" s="49"/>
      <c r="H141" s="1221"/>
      <c r="I141" s="1514"/>
      <c r="J141" s="1515"/>
      <c r="K141" s="1516"/>
      <c r="L141" s="1516"/>
      <c r="M141" s="1513"/>
      <c r="O141">
        <v>2837707</v>
      </c>
    </row>
  </sheetData>
  <mergeCells count="808">
    <mergeCell ref="M140:M141"/>
    <mergeCell ref="B140:B141"/>
    <mergeCell ref="C140:C141"/>
    <mergeCell ref="D140:D141"/>
    <mergeCell ref="E140:E141"/>
    <mergeCell ref="F140:F141"/>
    <mergeCell ref="H140:H141"/>
    <mergeCell ref="H138:H139"/>
    <mergeCell ref="I138:I139"/>
    <mergeCell ref="J138:J139"/>
    <mergeCell ref="K138:K139"/>
    <mergeCell ref="L138:L139"/>
    <mergeCell ref="I140:I141"/>
    <mergeCell ref="J140:J141"/>
    <mergeCell ref="K140:K141"/>
    <mergeCell ref="L140:L141"/>
    <mergeCell ref="M138:M139"/>
    <mergeCell ref="I136:I137"/>
    <mergeCell ref="J136:J137"/>
    <mergeCell ref="K136:K137"/>
    <mergeCell ref="L136:L137"/>
    <mergeCell ref="M136:M137"/>
    <mergeCell ref="B138:B139"/>
    <mergeCell ref="C138:C139"/>
    <mergeCell ref="D138:D139"/>
    <mergeCell ref="E138:E139"/>
    <mergeCell ref="F138:F139"/>
    <mergeCell ref="B136:B137"/>
    <mergeCell ref="C136:C137"/>
    <mergeCell ref="D136:D137"/>
    <mergeCell ref="E136:E137"/>
    <mergeCell ref="F136:F137"/>
    <mergeCell ref="H136:H137"/>
    <mergeCell ref="H134:H135"/>
    <mergeCell ref="I134:I135"/>
    <mergeCell ref="J134:J135"/>
    <mergeCell ref="K134:K135"/>
    <mergeCell ref="L134:L135"/>
    <mergeCell ref="M134:M135"/>
    <mergeCell ref="A134:A135"/>
    <mergeCell ref="B134:B135"/>
    <mergeCell ref="C134:C135"/>
    <mergeCell ref="D134:D135"/>
    <mergeCell ref="E134:E135"/>
    <mergeCell ref="F134:F135"/>
    <mergeCell ref="H132:H133"/>
    <mergeCell ref="I132:I133"/>
    <mergeCell ref="J132:J133"/>
    <mergeCell ref="K132:K133"/>
    <mergeCell ref="L132:L133"/>
    <mergeCell ref="M132:M133"/>
    <mergeCell ref="A132:A133"/>
    <mergeCell ref="B132:B133"/>
    <mergeCell ref="C132:C133"/>
    <mergeCell ref="D132:D133"/>
    <mergeCell ref="E132:E133"/>
    <mergeCell ref="F132:F133"/>
    <mergeCell ref="H130:H131"/>
    <mergeCell ref="I130:I131"/>
    <mergeCell ref="J130:J131"/>
    <mergeCell ref="K130:K131"/>
    <mergeCell ref="L130:L131"/>
    <mergeCell ref="M130:M131"/>
    <mergeCell ref="A130:A131"/>
    <mergeCell ref="B130:B131"/>
    <mergeCell ref="C130:C131"/>
    <mergeCell ref="D130:D131"/>
    <mergeCell ref="E130:E131"/>
    <mergeCell ref="F130:F131"/>
    <mergeCell ref="H128:H129"/>
    <mergeCell ref="I128:I129"/>
    <mergeCell ref="J128:J129"/>
    <mergeCell ref="K128:K129"/>
    <mergeCell ref="L128:L129"/>
    <mergeCell ref="M128:M129"/>
    <mergeCell ref="A128:A129"/>
    <mergeCell ref="B128:B129"/>
    <mergeCell ref="C128:C129"/>
    <mergeCell ref="D128:D129"/>
    <mergeCell ref="E128:E129"/>
    <mergeCell ref="F128:F129"/>
    <mergeCell ref="H126:H127"/>
    <mergeCell ref="I126:I127"/>
    <mergeCell ref="J126:J127"/>
    <mergeCell ref="K126:K127"/>
    <mergeCell ref="L126:L127"/>
    <mergeCell ref="M126:M127"/>
    <mergeCell ref="A126:A127"/>
    <mergeCell ref="B126:B127"/>
    <mergeCell ref="C126:C127"/>
    <mergeCell ref="D126:D127"/>
    <mergeCell ref="E126:E127"/>
    <mergeCell ref="F126:F127"/>
    <mergeCell ref="H124:H125"/>
    <mergeCell ref="I124:I125"/>
    <mergeCell ref="J124:J125"/>
    <mergeCell ref="K124:K125"/>
    <mergeCell ref="L124:L125"/>
    <mergeCell ref="M124:M125"/>
    <mergeCell ref="A124:A125"/>
    <mergeCell ref="B124:B125"/>
    <mergeCell ref="C124:C125"/>
    <mergeCell ref="D124:D125"/>
    <mergeCell ref="E124:E125"/>
    <mergeCell ref="F124:F125"/>
    <mergeCell ref="H122:H123"/>
    <mergeCell ref="I122:I123"/>
    <mergeCell ref="J122:J123"/>
    <mergeCell ref="K122:K123"/>
    <mergeCell ref="L122:L123"/>
    <mergeCell ref="M122:M123"/>
    <mergeCell ref="A122:A123"/>
    <mergeCell ref="B122:B123"/>
    <mergeCell ref="C122:C123"/>
    <mergeCell ref="D122:D123"/>
    <mergeCell ref="E122:E123"/>
    <mergeCell ref="F122:F123"/>
    <mergeCell ref="H120:H121"/>
    <mergeCell ref="I120:I121"/>
    <mergeCell ref="J120:J121"/>
    <mergeCell ref="K120:K121"/>
    <mergeCell ref="L120:L121"/>
    <mergeCell ref="M120:M121"/>
    <mergeCell ref="A120:A121"/>
    <mergeCell ref="B120:B121"/>
    <mergeCell ref="C120:C121"/>
    <mergeCell ref="D120:D121"/>
    <mergeCell ref="E120:E121"/>
    <mergeCell ref="F120:F121"/>
    <mergeCell ref="H118:H119"/>
    <mergeCell ref="I118:I119"/>
    <mergeCell ref="J118:J119"/>
    <mergeCell ref="K118:K119"/>
    <mergeCell ref="L118:L119"/>
    <mergeCell ref="M118:M119"/>
    <mergeCell ref="A118:A119"/>
    <mergeCell ref="B118:B119"/>
    <mergeCell ref="C118:C119"/>
    <mergeCell ref="D118:D119"/>
    <mergeCell ref="E118:E119"/>
    <mergeCell ref="F118:F119"/>
    <mergeCell ref="H116:H117"/>
    <mergeCell ref="I116:I117"/>
    <mergeCell ref="J116:J117"/>
    <mergeCell ref="K116:K117"/>
    <mergeCell ref="L116:L117"/>
    <mergeCell ref="M116:M117"/>
    <mergeCell ref="A116:A117"/>
    <mergeCell ref="B116:B117"/>
    <mergeCell ref="C116:C117"/>
    <mergeCell ref="D116:D117"/>
    <mergeCell ref="E116:E117"/>
    <mergeCell ref="F116:F117"/>
    <mergeCell ref="H114:H115"/>
    <mergeCell ref="I114:I115"/>
    <mergeCell ref="J114:J115"/>
    <mergeCell ref="K114:K115"/>
    <mergeCell ref="L114:L115"/>
    <mergeCell ref="M114:M115"/>
    <mergeCell ref="A114:A115"/>
    <mergeCell ref="B114:B115"/>
    <mergeCell ref="C114:C115"/>
    <mergeCell ref="D114:D115"/>
    <mergeCell ref="E114:E115"/>
    <mergeCell ref="F114:F115"/>
    <mergeCell ref="H112:H113"/>
    <mergeCell ref="I112:I113"/>
    <mergeCell ref="J112:J113"/>
    <mergeCell ref="K112:K113"/>
    <mergeCell ref="L112:L113"/>
    <mergeCell ref="M112:M113"/>
    <mergeCell ref="A112:A113"/>
    <mergeCell ref="B112:B113"/>
    <mergeCell ref="C112:C113"/>
    <mergeCell ref="D112:D113"/>
    <mergeCell ref="E112:E113"/>
    <mergeCell ref="F112:F113"/>
    <mergeCell ref="H110:H111"/>
    <mergeCell ref="I110:I111"/>
    <mergeCell ref="J110:J111"/>
    <mergeCell ref="K110:K111"/>
    <mergeCell ref="L110:L111"/>
    <mergeCell ref="M110:M111"/>
    <mergeCell ref="A110:A111"/>
    <mergeCell ref="B110:B111"/>
    <mergeCell ref="C110:C111"/>
    <mergeCell ref="D110:D111"/>
    <mergeCell ref="E110:E111"/>
    <mergeCell ref="F110:F111"/>
    <mergeCell ref="H108:H109"/>
    <mergeCell ref="I108:I109"/>
    <mergeCell ref="J108:J109"/>
    <mergeCell ref="K108:K109"/>
    <mergeCell ref="L108:L109"/>
    <mergeCell ref="M108:M109"/>
    <mergeCell ref="A108:A109"/>
    <mergeCell ref="B108:B109"/>
    <mergeCell ref="C108:C109"/>
    <mergeCell ref="D108:D109"/>
    <mergeCell ref="E108:E109"/>
    <mergeCell ref="F108:F109"/>
    <mergeCell ref="H106:H107"/>
    <mergeCell ref="I106:I107"/>
    <mergeCell ref="J106:J107"/>
    <mergeCell ref="K106:K107"/>
    <mergeCell ref="L106:L107"/>
    <mergeCell ref="M106:M107"/>
    <mergeCell ref="A106:A107"/>
    <mergeCell ref="B106:B107"/>
    <mergeCell ref="C106:C107"/>
    <mergeCell ref="D106:D107"/>
    <mergeCell ref="E106:E107"/>
    <mergeCell ref="F106:F107"/>
    <mergeCell ref="H104:H105"/>
    <mergeCell ref="I104:I105"/>
    <mergeCell ref="J104:J105"/>
    <mergeCell ref="K104:K105"/>
    <mergeCell ref="L104:L105"/>
    <mergeCell ref="M104:M105"/>
    <mergeCell ref="A104:A105"/>
    <mergeCell ref="B104:B105"/>
    <mergeCell ref="C104:C105"/>
    <mergeCell ref="D104:D105"/>
    <mergeCell ref="E104:E105"/>
    <mergeCell ref="F104:F105"/>
    <mergeCell ref="H102:H103"/>
    <mergeCell ref="I102:I103"/>
    <mergeCell ref="J102:J103"/>
    <mergeCell ref="K102:K103"/>
    <mergeCell ref="L102:L103"/>
    <mergeCell ref="M102:M103"/>
    <mergeCell ref="A102:A103"/>
    <mergeCell ref="B102:B103"/>
    <mergeCell ref="C102:C103"/>
    <mergeCell ref="D102:D103"/>
    <mergeCell ref="E102:E103"/>
    <mergeCell ref="F102:F103"/>
    <mergeCell ref="H100:H101"/>
    <mergeCell ref="I100:I101"/>
    <mergeCell ref="J100:J101"/>
    <mergeCell ref="K100:K101"/>
    <mergeCell ref="L100:L101"/>
    <mergeCell ref="M100:M101"/>
    <mergeCell ref="A100:A101"/>
    <mergeCell ref="B100:B101"/>
    <mergeCell ref="C100:C101"/>
    <mergeCell ref="D100:D101"/>
    <mergeCell ref="E100:E101"/>
    <mergeCell ref="F100:F101"/>
    <mergeCell ref="H98:H99"/>
    <mergeCell ref="I98:I99"/>
    <mergeCell ref="J98:J99"/>
    <mergeCell ref="K98:K99"/>
    <mergeCell ref="L98:L99"/>
    <mergeCell ref="M98:M99"/>
    <mergeCell ref="A98:A99"/>
    <mergeCell ref="B98:B99"/>
    <mergeCell ref="C98:C99"/>
    <mergeCell ref="D98:D99"/>
    <mergeCell ref="E98:E99"/>
    <mergeCell ref="F98:F99"/>
    <mergeCell ref="H96:H97"/>
    <mergeCell ref="I96:I97"/>
    <mergeCell ref="J96:J97"/>
    <mergeCell ref="K96:K97"/>
    <mergeCell ref="L96:L97"/>
    <mergeCell ref="M96:M97"/>
    <mergeCell ref="A96:A97"/>
    <mergeCell ref="B96:B97"/>
    <mergeCell ref="C96:C97"/>
    <mergeCell ref="D96:D97"/>
    <mergeCell ref="E96:E97"/>
    <mergeCell ref="F96:F97"/>
    <mergeCell ref="H94:H95"/>
    <mergeCell ref="I94:I95"/>
    <mergeCell ref="J94:J95"/>
    <mergeCell ref="K94:K95"/>
    <mergeCell ref="L94:L95"/>
    <mergeCell ref="M94:M95"/>
    <mergeCell ref="A94:A95"/>
    <mergeCell ref="B94:B95"/>
    <mergeCell ref="C94:C95"/>
    <mergeCell ref="D94:D95"/>
    <mergeCell ref="E94:E95"/>
    <mergeCell ref="F94:F95"/>
    <mergeCell ref="H92:H93"/>
    <mergeCell ref="I92:I93"/>
    <mergeCell ref="J92:J93"/>
    <mergeCell ref="K92:K93"/>
    <mergeCell ref="L92:L93"/>
    <mergeCell ref="M92:M93"/>
    <mergeCell ref="A92:A93"/>
    <mergeCell ref="B92:B93"/>
    <mergeCell ref="C92:C93"/>
    <mergeCell ref="D92:D93"/>
    <mergeCell ref="E92:E93"/>
    <mergeCell ref="F92:F93"/>
    <mergeCell ref="H90:H91"/>
    <mergeCell ref="I90:I91"/>
    <mergeCell ref="J90:J91"/>
    <mergeCell ref="K90:K91"/>
    <mergeCell ref="L90:L91"/>
    <mergeCell ref="M90:M91"/>
    <mergeCell ref="A90:A91"/>
    <mergeCell ref="B90:B91"/>
    <mergeCell ref="C90:C91"/>
    <mergeCell ref="D90:D91"/>
    <mergeCell ref="E90:E91"/>
    <mergeCell ref="F90:F91"/>
    <mergeCell ref="H88:H89"/>
    <mergeCell ref="I88:I89"/>
    <mergeCell ref="J88:J89"/>
    <mergeCell ref="K88:K89"/>
    <mergeCell ref="L88:L89"/>
    <mergeCell ref="M88:M89"/>
    <mergeCell ref="A88:A89"/>
    <mergeCell ref="B88:B89"/>
    <mergeCell ref="C88:C89"/>
    <mergeCell ref="D88:D89"/>
    <mergeCell ref="E88:E89"/>
    <mergeCell ref="F88:F89"/>
    <mergeCell ref="H86:H87"/>
    <mergeCell ref="I86:I87"/>
    <mergeCell ref="J86:J87"/>
    <mergeCell ref="K86:K87"/>
    <mergeCell ref="L86:L87"/>
    <mergeCell ref="M86:M87"/>
    <mergeCell ref="A86:A87"/>
    <mergeCell ref="B86:B87"/>
    <mergeCell ref="C86:C87"/>
    <mergeCell ref="D86:D87"/>
    <mergeCell ref="E86:E87"/>
    <mergeCell ref="F86:F87"/>
    <mergeCell ref="H84:H85"/>
    <mergeCell ref="I84:I85"/>
    <mergeCell ref="J84:J85"/>
    <mergeCell ref="K84:K85"/>
    <mergeCell ref="L84:L85"/>
    <mergeCell ref="M84:M85"/>
    <mergeCell ref="A84:A85"/>
    <mergeCell ref="B84:B85"/>
    <mergeCell ref="C84:C85"/>
    <mergeCell ref="D84:D85"/>
    <mergeCell ref="E84:E85"/>
    <mergeCell ref="F84:F85"/>
    <mergeCell ref="H82:H83"/>
    <mergeCell ref="I82:I83"/>
    <mergeCell ref="J82:J83"/>
    <mergeCell ref="K82:K83"/>
    <mergeCell ref="L82:L83"/>
    <mergeCell ref="M82:M83"/>
    <mergeCell ref="A82:A83"/>
    <mergeCell ref="B82:B83"/>
    <mergeCell ref="C82:C83"/>
    <mergeCell ref="D82:D83"/>
    <mergeCell ref="E82:E83"/>
    <mergeCell ref="F82:F83"/>
    <mergeCell ref="H80:H81"/>
    <mergeCell ref="I80:I81"/>
    <mergeCell ref="J80:J81"/>
    <mergeCell ref="K80:K81"/>
    <mergeCell ref="L80:L81"/>
    <mergeCell ref="M80:M81"/>
    <mergeCell ref="A80:A81"/>
    <mergeCell ref="B80:B81"/>
    <mergeCell ref="C80:C81"/>
    <mergeCell ref="D80:D81"/>
    <mergeCell ref="E80:E81"/>
    <mergeCell ref="F80:F81"/>
    <mergeCell ref="H78:H79"/>
    <mergeCell ref="I78:I79"/>
    <mergeCell ref="J78:J79"/>
    <mergeCell ref="K78:K79"/>
    <mergeCell ref="L78:L79"/>
    <mergeCell ref="M78:M79"/>
    <mergeCell ref="A78:A79"/>
    <mergeCell ref="B78:B79"/>
    <mergeCell ref="C78:C79"/>
    <mergeCell ref="D78:D79"/>
    <mergeCell ref="E78:E79"/>
    <mergeCell ref="F78:F79"/>
    <mergeCell ref="H76:H77"/>
    <mergeCell ref="I76:I77"/>
    <mergeCell ref="J76:J77"/>
    <mergeCell ref="K76:K77"/>
    <mergeCell ref="L76:L77"/>
    <mergeCell ref="M76:M77"/>
    <mergeCell ref="A76:A77"/>
    <mergeCell ref="B76:B77"/>
    <mergeCell ref="C76:C77"/>
    <mergeCell ref="D76:D77"/>
    <mergeCell ref="E76:E77"/>
    <mergeCell ref="F76:F77"/>
    <mergeCell ref="H74:H75"/>
    <mergeCell ref="I74:I75"/>
    <mergeCell ref="J74:J75"/>
    <mergeCell ref="K74:K75"/>
    <mergeCell ref="L74:L75"/>
    <mergeCell ref="M74:M75"/>
    <mergeCell ref="A74:A75"/>
    <mergeCell ref="B74:B75"/>
    <mergeCell ref="C74:C75"/>
    <mergeCell ref="D74:D75"/>
    <mergeCell ref="E74:E75"/>
    <mergeCell ref="F74:F75"/>
    <mergeCell ref="K72:K73"/>
    <mergeCell ref="L72:L73"/>
    <mergeCell ref="M72:M73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  <mergeCell ref="H72:H73"/>
    <mergeCell ref="I72:I73"/>
    <mergeCell ref="J72:J73"/>
    <mergeCell ref="B67:M67"/>
    <mergeCell ref="H70:H71"/>
    <mergeCell ref="I70:I71"/>
    <mergeCell ref="J70:J71"/>
    <mergeCell ref="K70:K71"/>
    <mergeCell ref="L70:L71"/>
    <mergeCell ref="M70:M71"/>
    <mergeCell ref="F68:F69"/>
    <mergeCell ref="H68:H69"/>
    <mergeCell ref="I68:I69"/>
    <mergeCell ref="J68:J69"/>
    <mergeCell ref="K68:K69"/>
    <mergeCell ref="L68:L69"/>
    <mergeCell ref="M68:M69"/>
    <mergeCell ref="M63:M64"/>
    <mergeCell ref="A65:A66"/>
    <mergeCell ref="B65:B66"/>
    <mergeCell ref="C65:C66"/>
    <mergeCell ref="D65:D66"/>
    <mergeCell ref="E65:E66"/>
    <mergeCell ref="F65:F66"/>
    <mergeCell ref="H65:H66"/>
    <mergeCell ref="I65:I66"/>
    <mergeCell ref="J65:J66"/>
    <mergeCell ref="F63:F64"/>
    <mergeCell ref="H63:H64"/>
    <mergeCell ref="I63:I64"/>
    <mergeCell ref="J63:J64"/>
    <mergeCell ref="K63:K64"/>
    <mergeCell ref="L63:L64"/>
    <mergeCell ref="K65:K66"/>
    <mergeCell ref="A63:A64"/>
    <mergeCell ref="B63:B64"/>
    <mergeCell ref="C63:C64"/>
    <mergeCell ref="D63:D64"/>
    <mergeCell ref="E63:E64"/>
    <mergeCell ref="L65:L66"/>
    <mergeCell ref="M65:M66"/>
    <mergeCell ref="A68:A69"/>
    <mergeCell ref="B68:B69"/>
    <mergeCell ref="C68:C69"/>
    <mergeCell ref="D68:D69"/>
    <mergeCell ref="E68:E69"/>
    <mergeCell ref="K59:K60"/>
    <mergeCell ref="L59:L60"/>
    <mergeCell ref="M59:M60"/>
    <mergeCell ref="A61:A62"/>
    <mergeCell ref="B61:B62"/>
    <mergeCell ref="C61:C62"/>
    <mergeCell ref="D61:D62"/>
    <mergeCell ref="E61:E62"/>
    <mergeCell ref="F61:F62"/>
    <mergeCell ref="H61:H62"/>
    <mergeCell ref="I61:I62"/>
    <mergeCell ref="J61:J62"/>
    <mergeCell ref="K61:K62"/>
    <mergeCell ref="L61:L62"/>
    <mergeCell ref="M61:M62"/>
    <mergeCell ref="A59:A60"/>
    <mergeCell ref="B59:B60"/>
    <mergeCell ref="C59:C60"/>
    <mergeCell ref="D59:D60"/>
    <mergeCell ref="E59:E60"/>
    <mergeCell ref="F59:F60"/>
    <mergeCell ref="H59:H60"/>
    <mergeCell ref="I59:I60"/>
    <mergeCell ref="J59:J60"/>
    <mergeCell ref="K55:K56"/>
    <mergeCell ref="L55:L56"/>
    <mergeCell ref="M55:M56"/>
    <mergeCell ref="A57:A58"/>
    <mergeCell ref="B57:B58"/>
    <mergeCell ref="C57:C58"/>
    <mergeCell ref="D57:D58"/>
    <mergeCell ref="E57:E58"/>
    <mergeCell ref="M57:M58"/>
    <mergeCell ref="F57:F58"/>
    <mergeCell ref="H57:H58"/>
    <mergeCell ref="I57:I58"/>
    <mergeCell ref="J57:J58"/>
    <mergeCell ref="K57:K58"/>
    <mergeCell ref="L57:L58"/>
    <mergeCell ref="A55:A56"/>
    <mergeCell ref="B55:B56"/>
    <mergeCell ref="C55:C56"/>
    <mergeCell ref="D55:D56"/>
    <mergeCell ref="E55:E56"/>
    <mergeCell ref="F55:F56"/>
    <mergeCell ref="H55:H56"/>
    <mergeCell ref="I55:I56"/>
    <mergeCell ref="J55:J56"/>
    <mergeCell ref="A51:A52"/>
    <mergeCell ref="B51:B52"/>
    <mergeCell ref="C51:C52"/>
    <mergeCell ref="D51:D52"/>
    <mergeCell ref="E51:E52"/>
    <mergeCell ref="M51:M52"/>
    <mergeCell ref="A53:A54"/>
    <mergeCell ref="B53:B54"/>
    <mergeCell ref="C53:C54"/>
    <mergeCell ref="D53:D54"/>
    <mergeCell ref="E53:E54"/>
    <mergeCell ref="F53:F54"/>
    <mergeCell ref="H53:H54"/>
    <mergeCell ref="I53:I54"/>
    <mergeCell ref="J53:J54"/>
    <mergeCell ref="F51:F52"/>
    <mergeCell ref="H51:H52"/>
    <mergeCell ref="I51:I52"/>
    <mergeCell ref="J51:J52"/>
    <mergeCell ref="K51:K52"/>
    <mergeCell ref="L51:L52"/>
    <mergeCell ref="K53:K54"/>
    <mergeCell ref="L53:L54"/>
    <mergeCell ref="M53:M54"/>
    <mergeCell ref="M47:M48"/>
    <mergeCell ref="A49:A50"/>
    <mergeCell ref="B49:B50"/>
    <mergeCell ref="C49:C50"/>
    <mergeCell ref="D49:D50"/>
    <mergeCell ref="E49:E50"/>
    <mergeCell ref="F49:F50"/>
    <mergeCell ref="H49:H50"/>
    <mergeCell ref="I49:I50"/>
    <mergeCell ref="J49:J50"/>
    <mergeCell ref="K49:K50"/>
    <mergeCell ref="L49:L50"/>
    <mergeCell ref="M49:M50"/>
    <mergeCell ref="M45:M46"/>
    <mergeCell ref="A47:A48"/>
    <mergeCell ref="B47:B48"/>
    <mergeCell ref="C47:C48"/>
    <mergeCell ref="D47:D48"/>
    <mergeCell ref="E47:E48"/>
    <mergeCell ref="F47:F48"/>
    <mergeCell ref="H47:H48"/>
    <mergeCell ref="I47:I48"/>
    <mergeCell ref="J47:J48"/>
    <mergeCell ref="G45:G46"/>
    <mergeCell ref="H45:H46"/>
    <mergeCell ref="I45:I46"/>
    <mergeCell ref="J45:J46"/>
    <mergeCell ref="K45:K46"/>
    <mergeCell ref="L45:L46"/>
    <mergeCell ref="A45:A46"/>
    <mergeCell ref="B45:B46"/>
    <mergeCell ref="C45:C46"/>
    <mergeCell ref="D45:D46"/>
    <mergeCell ref="E45:E46"/>
    <mergeCell ref="F45:F46"/>
    <mergeCell ref="K47:K48"/>
    <mergeCell ref="L47:L48"/>
    <mergeCell ref="H43:H44"/>
    <mergeCell ref="I43:I44"/>
    <mergeCell ref="J43:J44"/>
    <mergeCell ref="K43:K44"/>
    <mergeCell ref="L43:L44"/>
    <mergeCell ref="M43:M44"/>
    <mergeCell ref="A43:A44"/>
    <mergeCell ref="B43:B44"/>
    <mergeCell ref="C43:C44"/>
    <mergeCell ref="D43:D44"/>
    <mergeCell ref="E43:E44"/>
    <mergeCell ref="F43:F44"/>
    <mergeCell ref="H41:H42"/>
    <mergeCell ref="I41:I42"/>
    <mergeCell ref="J41:J42"/>
    <mergeCell ref="K41:K42"/>
    <mergeCell ref="L41:L42"/>
    <mergeCell ref="M41:M42"/>
    <mergeCell ref="A41:A42"/>
    <mergeCell ref="B41:B42"/>
    <mergeCell ref="C41:C42"/>
    <mergeCell ref="D41:D42"/>
    <mergeCell ref="E41:E42"/>
    <mergeCell ref="F41:F42"/>
    <mergeCell ref="H39:H40"/>
    <mergeCell ref="I39:I40"/>
    <mergeCell ref="J39:J40"/>
    <mergeCell ref="K39:K40"/>
    <mergeCell ref="L39:L40"/>
    <mergeCell ref="M39:M40"/>
    <mergeCell ref="A39:A40"/>
    <mergeCell ref="B39:B40"/>
    <mergeCell ref="C39:C40"/>
    <mergeCell ref="D39:D40"/>
    <mergeCell ref="E39:E40"/>
    <mergeCell ref="F39:F40"/>
    <mergeCell ref="H37:H38"/>
    <mergeCell ref="I37:I38"/>
    <mergeCell ref="J37:J38"/>
    <mergeCell ref="K37:K38"/>
    <mergeCell ref="L37:L38"/>
    <mergeCell ref="M37:M38"/>
    <mergeCell ref="A37:A38"/>
    <mergeCell ref="B37:B38"/>
    <mergeCell ref="C37:C38"/>
    <mergeCell ref="D37:D38"/>
    <mergeCell ref="E37:E38"/>
    <mergeCell ref="F37:F38"/>
    <mergeCell ref="H35:H36"/>
    <mergeCell ref="I35:I36"/>
    <mergeCell ref="J35:J36"/>
    <mergeCell ref="K35:K36"/>
    <mergeCell ref="L35:L36"/>
    <mergeCell ref="M35:M36"/>
    <mergeCell ref="A35:A36"/>
    <mergeCell ref="B35:B36"/>
    <mergeCell ref="C35:C36"/>
    <mergeCell ref="D35:D36"/>
    <mergeCell ref="E35:E36"/>
    <mergeCell ref="F35:F36"/>
    <mergeCell ref="H33:H34"/>
    <mergeCell ref="I33:I34"/>
    <mergeCell ref="J33:J34"/>
    <mergeCell ref="K33:K34"/>
    <mergeCell ref="L33:L34"/>
    <mergeCell ref="M33:M34"/>
    <mergeCell ref="A33:A34"/>
    <mergeCell ref="B33:B34"/>
    <mergeCell ref="C33:C34"/>
    <mergeCell ref="D33:D34"/>
    <mergeCell ref="E33:E34"/>
    <mergeCell ref="F33:F34"/>
    <mergeCell ref="H31:H32"/>
    <mergeCell ref="I31:I32"/>
    <mergeCell ref="J31:J32"/>
    <mergeCell ref="K31:K32"/>
    <mergeCell ref="L31:L32"/>
    <mergeCell ref="M31:M32"/>
    <mergeCell ref="A31:A32"/>
    <mergeCell ref="B31:B32"/>
    <mergeCell ref="C31:C32"/>
    <mergeCell ref="D31:D32"/>
    <mergeCell ref="E31:E32"/>
    <mergeCell ref="F31:F32"/>
    <mergeCell ref="H29:H30"/>
    <mergeCell ref="I29:I30"/>
    <mergeCell ref="J29:J30"/>
    <mergeCell ref="K29:K30"/>
    <mergeCell ref="L29:L30"/>
    <mergeCell ref="M29:M30"/>
    <mergeCell ref="A29:A30"/>
    <mergeCell ref="B29:B30"/>
    <mergeCell ref="C29:C30"/>
    <mergeCell ref="D29:D30"/>
    <mergeCell ref="E29:E30"/>
    <mergeCell ref="F29:F30"/>
    <mergeCell ref="K27:K28"/>
    <mergeCell ref="L27:L28"/>
    <mergeCell ref="M27:M28"/>
    <mergeCell ref="A27:A28"/>
    <mergeCell ref="B27:B28"/>
    <mergeCell ref="C27:C28"/>
    <mergeCell ref="D27:D28"/>
    <mergeCell ref="E27:E28"/>
    <mergeCell ref="F27:F28"/>
    <mergeCell ref="A25:A26"/>
    <mergeCell ref="B25:B26"/>
    <mergeCell ref="C25:C26"/>
    <mergeCell ref="D25:D26"/>
    <mergeCell ref="E25:E26"/>
    <mergeCell ref="F25:F26"/>
    <mergeCell ref="H27:H28"/>
    <mergeCell ref="I27:I28"/>
    <mergeCell ref="J27:J28"/>
    <mergeCell ref="B24:M24"/>
    <mergeCell ref="K20:K21"/>
    <mergeCell ref="L20:L21"/>
    <mergeCell ref="M20:M21"/>
    <mergeCell ref="H25:H26"/>
    <mergeCell ref="I25:I26"/>
    <mergeCell ref="J25:J26"/>
    <mergeCell ref="K25:K26"/>
    <mergeCell ref="L25:L26"/>
    <mergeCell ref="M25:M26"/>
    <mergeCell ref="F22:F23"/>
    <mergeCell ref="H22:H23"/>
    <mergeCell ref="I22:I23"/>
    <mergeCell ref="J22:J23"/>
    <mergeCell ref="K22:K23"/>
    <mergeCell ref="L22:L23"/>
    <mergeCell ref="M22:M23"/>
    <mergeCell ref="M18:M19"/>
    <mergeCell ref="A20:A21"/>
    <mergeCell ref="B20:B21"/>
    <mergeCell ref="C20:C21"/>
    <mergeCell ref="D20:D21"/>
    <mergeCell ref="E20:E21"/>
    <mergeCell ref="F20:F21"/>
    <mergeCell ref="H20:H21"/>
    <mergeCell ref="I20:I21"/>
    <mergeCell ref="J20:J21"/>
    <mergeCell ref="F18:F19"/>
    <mergeCell ref="H18:H19"/>
    <mergeCell ref="I18:I19"/>
    <mergeCell ref="J18:J19"/>
    <mergeCell ref="K18:K19"/>
    <mergeCell ref="L18:L19"/>
    <mergeCell ref="A18:A19"/>
    <mergeCell ref="B18:B19"/>
    <mergeCell ref="C18:C19"/>
    <mergeCell ref="D18:D19"/>
    <mergeCell ref="E18:E19"/>
    <mergeCell ref="A22:A23"/>
    <mergeCell ref="B22:B23"/>
    <mergeCell ref="C22:C23"/>
    <mergeCell ref="D22:D23"/>
    <mergeCell ref="E22:E23"/>
    <mergeCell ref="K14:K15"/>
    <mergeCell ref="L14:L15"/>
    <mergeCell ref="M14:M15"/>
    <mergeCell ref="A16:A17"/>
    <mergeCell ref="B16:B17"/>
    <mergeCell ref="C16:C17"/>
    <mergeCell ref="D16:D17"/>
    <mergeCell ref="E16:E17"/>
    <mergeCell ref="F16:F17"/>
    <mergeCell ref="H16:H17"/>
    <mergeCell ref="I16:I17"/>
    <mergeCell ref="J16:J17"/>
    <mergeCell ref="K16:K17"/>
    <mergeCell ref="L16:L17"/>
    <mergeCell ref="M16:M17"/>
    <mergeCell ref="A14:A15"/>
    <mergeCell ref="B14:B15"/>
    <mergeCell ref="C14:C15"/>
    <mergeCell ref="D14:D15"/>
    <mergeCell ref="E14:E15"/>
    <mergeCell ref="F14:F15"/>
    <mergeCell ref="H14:H15"/>
    <mergeCell ref="I14:I15"/>
    <mergeCell ref="J14:J15"/>
    <mergeCell ref="K10:K11"/>
    <mergeCell ref="L10:L11"/>
    <mergeCell ref="M10:M11"/>
    <mergeCell ref="A12:A13"/>
    <mergeCell ref="B12:B13"/>
    <mergeCell ref="C12:C13"/>
    <mergeCell ref="D12:D13"/>
    <mergeCell ref="E12:E13"/>
    <mergeCell ref="M12:M13"/>
    <mergeCell ref="F12:F13"/>
    <mergeCell ref="H12:H13"/>
    <mergeCell ref="I12:I13"/>
    <mergeCell ref="J12:J13"/>
    <mergeCell ref="K12:K13"/>
    <mergeCell ref="L12:L13"/>
    <mergeCell ref="A10:A11"/>
    <mergeCell ref="B10:B11"/>
    <mergeCell ref="C10:C11"/>
    <mergeCell ref="D10:D11"/>
    <mergeCell ref="E10:E11"/>
    <mergeCell ref="F10:F11"/>
    <mergeCell ref="H10:H11"/>
    <mergeCell ref="I10:I11"/>
    <mergeCell ref="J10:J11"/>
    <mergeCell ref="M6:M7"/>
    <mergeCell ref="A8:A9"/>
    <mergeCell ref="B8:B9"/>
    <mergeCell ref="C8:C9"/>
    <mergeCell ref="D8:D9"/>
    <mergeCell ref="E8:E9"/>
    <mergeCell ref="F8:F9"/>
    <mergeCell ref="H8:H9"/>
    <mergeCell ref="I8:I9"/>
    <mergeCell ref="J8:J9"/>
    <mergeCell ref="B6:B7"/>
    <mergeCell ref="C6:C7"/>
    <mergeCell ref="D6:D7"/>
    <mergeCell ref="H6:H7"/>
    <mergeCell ref="K6:K7"/>
    <mergeCell ref="L6:L7"/>
    <mergeCell ref="K8:K9"/>
    <mergeCell ref="L8:L9"/>
    <mergeCell ref="M8:M9"/>
    <mergeCell ref="B2:M2"/>
    <mergeCell ref="B3:B4"/>
    <mergeCell ref="C3:C4"/>
    <mergeCell ref="D3:D4"/>
    <mergeCell ref="E3:E4"/>
    <mergeCell ref="H3:H4"/>
    <mergeCell ref="K3:K4"/>
    <mergeCell ref="L3:L4"/>
    <mergeCell ref="M3:M4"/>
  </mergeCells>
  <pageMargins left="0.75" right="0.75" top="1" bottom="1" header="0.5" footer="0.5"/>
  <pageSetup paperSize="9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topLeftCell="A44" workbookViewId="0">
      <selection sqref="A1:H68"/>
    </sheetView>
  </sheetViews>
  <sheetFormatPr defaultRowHeight="12.75"/>
  <cols>
    <col min="4" max="4" width="21.85546875" customWidth="1"/>
  </cols>
  <sheetData>
    <row r="1" spans="1:8" ht="15">
      <c r="A1" s="603" t="s">
        <v>2925</v>
      </c>
      <c r="B1" s="603"/>
      <c r="C1" s="603"/>
      <c r="D1" s="603"/>
      <c r="E1" s="603"/>
      <c r="F1" s="603"/>
      <c r="G1" s="604">
        <v>22332</v>
      </c>
      <c r="H1">
        <v>21972</v>
      </c>
    </row>
    <row r="2" spans="1:8" ht="15">
      <c r="A2" s="802" t="s">
        <v>3605</v>
      </c>
      <c r="B2" s="802"/>
      <c r="C2" s="802"/>
      <c r="D2" s="802"/>
      <c r="E2" s="802"/>
      <c r="F2" s="802"/>
      <c r="G2" s="802"/>
      <c r="H2" s="6" t="s">
        <v>3634</v>
      </c>
    </row>
    <row r="3" spans="1:8">
      <c r="A3" s="687">
        <v>1</v>
      </c>
      <c r="B3" s="711" t="s">
        <v>3585</v>
      </c>
      <c r="C3" s="711" t="s">
        <v>3538</v>
      </c>
      <c r="D3" s="711" t="s">
        <v>239</v>
      </c>
      <c r="E3" s="1517">
        <v>44311</v>
      </c>
      <c r="F3" s="1517">
        <v>1450</v>
      </c>
      <c r="G3" s="685">
        <v>3.2723</v>
      </c>
    </row>
    <row r="4" spans="1:8" ht="12.75" customHeight="1">
      <c r="A4" s="688"/>
      <c r="B4" s="712"/>
      <c r="C4" s="712"/>
      <c r="D4" s="712"/>
      <c r="E4" s="1518"/>
      <c r="F4" s="1518"/>
      <c r="G4" s="686"/>
    </row>
    <row r="5" spans="1:8">
      <c r="A5" s="687">
        <v>2</v>
      </c>
      <c r="B5" s="711" t="s">
        <v>50</v>
      </c>
      <c r="C5" s="711" t="s">
        <v>3536</v>
      </c>
      <c r="D5" s="711" t="s">
        <v>2723</v>
      </c>
      <c r="E5" s="1517">
        <v>300</v>
      </c>
      <c r="F5" s="1517">
        <f t="shared" ref="F5" si="0">E5</f>
        <v>300</v>
      </c>
      <c r="G5" s="685"/>
    </row>
    <row r="6" spans="1:8" ht="12.75" customHeight="1">
      <c r="A6" s="688"/>
      <c r="B6" s="712"/>
      <c r="C6" s="712"/>
      <c r="D6" s="712"/>
      <c r="E6" s="1518"/>
      <c r="F6" s="1518"/>
      <c r="G6" s="686"/>
    </row>
    <row r="7" spans="1:8">
      <c r="A7" s="687">
        <v>3</v>
      </c>
      <c r="B7" s="711" t="s">
        <v>43</v>
      </c>
      <c r="C7" s="711" t="s">
        <v>3537</v>
      </c>
      <c r="D7" s="711" t="s">
        <v>2723</v>
      </c>
      <c r="E7" s="1517">
        <v>100</v>
      </c>
      <c r="F7" s="1517">
        <f t="shared" ref="F7" si="1">E7</f>
        <v>100</v>
      </c>
      <c r="G7" s="685"/>
    </row>
    <row r="8" spans="1:8">
      <c r="A8" s="688"/>
      <c r="B8" s="712"/>
      <c r="C8" s="712"/>
      <c r="D8" s="712"/>
      <c r="E8" s="1518"/>
      <c r="F8" s="1518"/>
      <c r="G8" s="686"/>
    </row>
    <row r="9" spans="1:8">
      <c r="A9" s="687">
        <v>4</v>
      </c>
      <c r="B9" s="711" t="s">
        <v>44</v>
      </c>
      <c r="C9" s="711" t="s">
        <v>3537</v>
      </c>
      <c r="D9" s="711" t="s">
        <v>3535</v>
      </c>
      <c r="E9" s="1517">
        <v>400</v>
      </c>
      <c r="F9" s="1517">
        <v>400</v>
      </c>
      <c r="G9" s="685"/>
    </row>
    <row r="10" spans="1:8" ht="12.75" customHeight="1">
      <c r="A10" s="688"/>
      <c r="B10" s="712"/>
      <c r="C10" s="712"/>
      <c r="D10" s="712"/>
      <c r="E10" s="1518"/>
      <c r="F10" s="1518"/>
      <c r="G10" s="686"/>
    </row>
    <row r="11" spans="1:8">
      <c r="A11" s="687">
        <v>5</v>
      </c>
      <c r="B11" s="711" t="s">
        <v>45</v>
      </c>
      <c r="C11" s="711" t="s">
        <v>3537</v>
      </c>
      <c r="D11" s="711" t="s">
        <v>2723</v>
      </c>
      <c r="E11" s="1517">
        <v>300</v>
      </c>
      <c r="F11" s="1517">
        <f t="shared" ref="F11" si="2">E11</f>
        <v>300</v>
      </c>
      <c r="G11" s="685"/>
    </row>
    <row r="12" spans="1:8" ht="12.75" customHeight="1">
      <c r="A12" s="688"/>
      <c r="B12" s="712"/>
      <c r="C12" s="712"/>
      <c r="D12" s="712"/>
      <c r="E12" s="1518"/>
      <c r="F12" s="1518"/>
      <c r="G12" s="686"/>
    </row>
    <row r="13" spans="1:8">
      <c r="A13" s="687">
        <v>6</v>
      </c>
      <c r="B13" s="711" t="s">
        <v>3586</v>
      </c>
      <c r="C13" s="711" t="s">
        <v>3538</v>
      </c>
      <c r="D13" s="711" t="s">
        <v>239</v>
      </c>
      <c r="E13" s="1517">
        <v>1450</v>
      </c>
      <c r="F13" s="1517">
        <v>1450</v>
      </c>
      <c r="G13" s="685"/>
    </row>
    <row r="14" spans="1:8" ht="12.75" customHeight="1">
      <c r="A14" s="688"/>
      <c r="B14" s="712"/>
      <c r="C14" s="712"/>
      <c r="D14" s="712"/>
      <c r="E14" s="1518"/>
      <c r="F14" s="1518"/>
      <c r="G14" s="686"/>
    </row>
    <row r="15" spans="1:8">
      <c r="A15" s="687">
        <v>7</v>
      </c>
      <c r="B15" s="711" t="s">
        <v>46</v>
      </c>
      <c r="C15" s="711" t="s">
        <v>3536</v>
      </c>
      <c r="D15" s="711" t="s">
        <v>3025</v>
      </c>
      <c r="E15" s="1517">
        <v>98</v>
      </c>
      <c r="F15" s="1517">
        <f t="shared" ref="F15" si="3">E15</f>
        <v>98</v>
      </c>
      <c r="G15" s="685"/>
    </row>
    <row r="16" spans="1:8" ht="12.75" customHeight="1">
      <c r="A16" s="688"/>
      <c r="B16" s="712"/>
      <c r="C16" s="712"/>
      <c r="D16" s="712"/>
      <c r="E16" s="1518"/>
      <c r="F16" s="1518"/>
      <c r="G16" s="686"/>
    </row>
    <row r="17" spans="1:7">
      <c r="A17" s="687">
        <v>8</v>
      </c>
      <c r="B17" s="711" t="s">
        <v>3587</v>
      </c>
      <c r="C17" s="711" t="s">
        <v>3537</v>
      </c>
      <c r="D17" s="711" t="s">
        <v>239</v>
      </c>
      <c r="E17" s="1517">
        <v>44070</v>
      </c>
      <c r="F17" s="1517">
        <v>1450</v>
      </c>
      <c r="G17" s="685">
        <v>3.2902</v>
      </c>
    </row>
    <row r="18" spans="1:7" ht="12.75" customHeight="1">
      <c r="A18" s="688"/>
      <c r="B18" s="712"/>
      <c r="C18" s="712"/>
      <c r="D18" s="712"/>
      <c r="E18" s="1518"/>
      <c r="F18" s="1518"/>
      <c r="G18" s="686"/>
    </row>
    <row r="19" spans="1:7" ht="12.75" customHeight="1">
      <c r="A19" s="687">
        <v>9</v>
      </c>
      <c r="B19" s="711" t="s">
        <v>39</v>
      </c>
      <c r="C19" s="711" t="s">
        <v>3536</v>
      </c>
      <c r="D19" s="711" t="s">
        <v>1140</v>
      </c>
      <c r="E19" s="1517">
        <v>510</v>
      </c>
      <c r="F19" s="1517">
        <f t="shared" ref="F19" si="4">E19</f>
        <v>510</v>
      </c>
      <c r="G19" s="685"/>
    </row>
    <row r="20" spans="1:7" ht="12.75" customHeight="1">
      <c r="A20" s="688"/>
      <c r="B20" s="712"/>
      <c r="C20" s="712"/>
      <c r="D20" s="712"/>
      <c r="E20" s="1518"/>
      <c r="F20" s="1518"/>
      <c r="G20" s="686"/>
    </row>
    <row r="21" spans="1:7">
      <c r="A21" s="687">
        <v>10</v>
      </c>
      <c r="B21" s="711" t="s">
        <v>51</v>
      </c>
      <c r="C21" s="711" t="s">
        <v>3538</v>
      </c>
      <c r="D21" s="711" t="s">
        <v>3514</v>
      </c>
      <c r="E21" s="1517">
        <v>600</v>
      </c>
      <c r="F21" s="1517">
        <f t="shared" ref="F21" si="5">E21</f>
        <v>600</v>
      </c>
      <c r="G21" s="685"/>
    </row>
    <row r="22" spans="1:7" ht="12.75" customHeight="1">
      <c r="A22" s="688"/>
      <c r="B22" s="712"/>
      <c r="C22" s="712"/>
      <c r="D22" s="712"/>
      <c r="E22" s="1518"/>
      <c r="F22" s="1518"/>
      <c r="G22" s="686"/>
    </row>
    <row r="23" spans="1:7">
      <c r="A23" s="687">
        <v>11</v>
      </c>
      <c r="B23" s="711" t="s">
        <v>3595</v>
      </c>
      <c r="C23" s="711" t="s">
        <v>3594</v>
      </c>
      <c r="D23" s="711" t="s">
        <v>239</v>
      </c>
      <c r="E23" s="1519" t="s">
        <v>3593</v>
      </c>
      <c r="F23" s="1519" t="str">
        <f t="shared" ref="F23" si="6">E23</f>
        <v>1350</v>
      </c>
      <c r="G23" s="685"/>
    </row>
    <row r="24" spans="1:7" ht="12.75" customHeight="1">
      <c r="A24" s="688"/>
      <c r="B24" s="712"/>
      <c r="C24" s="712"/>
      <c r="D24" s="712"/>
      <c r="E24" s="1520"/>
      <c r="F24" s="1520"/>
      <c r="G24" s="686"/>
    </row>
    <row r="25" spans="1:7">
      <c r="A25" s="687">
        <v>12</v>
      </c>
      <c r="B25" s="711" t="s">
        <v>53</v>
      </c>
      <c r="C25" s="711" t="s">
        <v>3591</v>
      </c>
      <c r="D25" s="711" t="s">
        <v>3226</v>
      </c>
      <c r="E25" s="1519" t="s">
        <v>3592</v>
      </c>
      <c r="F25" s="1519" t="str">
        <f t="shared" ref="F25" si="7">E25</f>
        <v>450</v>
      </c>
      <c r="G25" s="685"/>
    </row>
    <row r="26" spans="1:7" ht="12.75" customHeight="1">
      <c r="A26" s="688"/>
      <c r="B26" s="712"/>
      <c r="C26" s="712"/>
      <c r="D26" s="712"/>
      <c r="E26" s="1520"/>
      <c r="F26" s="1520"/>
      <c r="G26" s="686"/>
    </row>
    <row r="27" spans="1:7">
      <c r="A27" s="687">
        <v>13</v>
      </c>
      <c r="B27" s="711" t="s">
        <v>3596</v>
      </c>
      <c r="C27" s="711" t="s">
        <v>3594</v>
      </c>
      <c r="D27" s="711" t="s">
        <v>239</v>
      </c>
      <c r="E27" s="1519" t="s">
        <v>3597</v>
      </c>
      <c r="F27" s="1521">
        <v>1350</v>
      </c>
      <c r="G27" s="685">
        <v>3.2784</v>
      </c>
    </row>
    <row r="28" spans="1:7" ht="12.75" customHeight="1">
      <c r="A28" s="688"/>
      <c r="B28" s="712"/>
      <c r="C28" s="712"/>
      <c r="D28" s="712"/>
      <c r="E28" s="1520"/>
      <c r="F28" s="1520"/>
      <c r="G28" s="686"/>
    </row>
    <row r="29" spans="1:7" ht="12.75" customHeight="1">
      <c r="A29" s="687">
        <v>14</v>
      </c>
      <c r="B29" s="711" t="s">
        <v>56</v>
      </c>
      <c r="C29" s="711" t="s">
        <v>3589</v>
      </c>
      <c r="D29" s="711" t="s">
        <v>1140</v>
      </c>
      <c r="E29" s="1519" t="s">
        <v>3588</v>
      </c>
      <c r="F29" s="1519" t="str">
        <f t="shared" ref="F29" si="8">E29</f>
        <v>600</v>
      </c>
      <c r="G29" s="685"/>
    </row>
    <row r="30" spans="1:7" ht="12.75" customHeight="1">
      <c r="A30" s="688"/>
      <c r="B30" s="712"/>
      <c r="C30" s="712"/>
      <c r="D30" s="712"/>
      <c r="E30" s="1520"/>
      <c r="F30" s="1520"/>
      <c r="G30" s="686"/>
    </row>
    <row r="31" spans="1:7">
      <c r="A31" s="687">
        <v>15</v>
      </c>
      <c r="B31" s="711" t="s">
        <v>54</v>
      </c>
      <c r="C31" s="711" t="s">
        <v>3589</v>
      </c>
      <c r="D31" s="711" t="s">
        <v>3025</v>
      </c>
      <c r="E31" s="1519" t="s">
        <v>1310</v>
      </c>
      <c r="F31" s="1519" t="str">
        <f t="shared" ref="F31" si="9">E31</f>
        <v>97</v>
      </c>
      <c r="G31" s="685"/>
    </row>
    <row r="32" spans="1:7" ht="12.75" customHeight="1">
      <c r="A32" s="688"/>
      <c r="B32" s="712"/>
      <c r="C32" s="712"/>
      <c r="D32" s="712"/>
      <c r="E32" s="1520"/>
      <c r="F32" s="1520"/>
      <c r="G32" s="686"/>
    </row>
    <row r="33" spans="1:8">
      <c r="A33" s="687">
        <v>16</v>
      </c>
      <c r="B33" s="711" t="s">
        <v>66</v>
      </c>
      <c r="C33" s="711" t="s">
        <v>3590</v>
      </c>
      <c r="D33" s="711" t="s">
        <v>2517</v>
      </c>
      <c r="E33" s="1519" t="s">
        <v>1052</v>
      </c>
      <c r="F33" s="1519" t="str">
        <f t="shared" ref="F33" si="10">E33</f>
        <v>290</v>
      </c>
      <c r="G33" s="685"/>
    </row>
    <row r="34" spans="1:8" ht="12.75" customHeight="1">
      <c r="A34" s="688"/>
      <c r="B34" s="712"/>
      <c r="C34" s="712"/>
      <c r="D34" s="712"/>
      <c r="E34" s="1520"/>
      <c r="F34" s="1520"/>
      <c r="G34" s="686"/>
    </row>
    <row r="35" spans="1:8" ht="12.75" customHeight="1">
      <c r="A35" s="687">
        <v>17</v>
      </c>
      <c r="B35" s="711" t="s">
        <v>67</v>
      </c>
      <c r="C35" s="711" t="s">
        <v>3589</v>
      </c>
      <c r="D35" s="711" t="s">
        <v>2375</v>
      </c>
      <c r="E35" s="1519" t="s">
        <v>504</v>
      </c>
      <c r="F35" s="1519" t="str">
        <f t="shared" ref="F35" si="11">E35</f>
        <v>140</v>
      </c>
      <c r="G35" s="685"/>
    </row>
    <row r="36" spans="1:8" ht="12.75" customHeight="1">
      <c r="A36" s="688"/>
      <c r="B36" s="712"/>
      <c r="C36" s="712"/>
      <c r="D36" s="712"/>
      <c r="E36" s="1520"/>
      <c r="F36" s="1520"/>
      <c r="G36" s="686"/>
    </row>
    <row r="37" spans="1:8">
      <c r="A37" s="687">
        <v>18</v>
      </c>
      <c r="B37" s="711" t="s">
        <v>3606</v>
      </c>
      <c r="C37" s="711" t="s">
        <v>3591</v>
      </c>
      <c r="D37" s="711" t="s">
        <v>239</v>
      </c>
      <c r="E37" s="711" t="s">
        <v>682</v>
      </c>
      <c r="F37" s="711" t="str">
        <f t="shared" ref="F37" si="12">E37</f>
        <v>180</v>
      </c>
      <c r="G37" s="685" t="s">
        <v>3607</v>
      </c>
      <c r="H37" s="6" t="s">
        <v>3632</v>
      </c>
    </row>
    <row r="38" spans="1:8" ht="12.75" customHeight="1">
      <c r="A38" s="688"/>
      <c r="B38" s="712"/>
      <c r="C38" s="712"/>
      <c r="D38" s="712"/>
      <c r="E38" s="712"/>
      <c r="F38" s="712"/>
      <c r="G38" s="686"/>
      <c r="H38" s="6" t="s">
        <v>3633</v>
      </c>
    </row>
    <row r="39" spans="1:8">
      <c r="A39" s="687">
        <v>19</v>
      </c>
      <c r="B39" s="711" t="s">
        <v>3608</v>
      </c>
      <c r="C39" s="711" t="s">
        <v>3590</v>
      </c>
      <c r="D39" s="711" t="s">
        <v>239</v>
      </c>
      <c r="E39" s="711" t="s">
        <v>3593</v>
      </c>
      <c r="F39" s="711" t="str">
        <f t="shared" ref="F39" si="13">E39</f>
        <v>1350</v>
      </c>
      <c r="G39" s="685"/>
    </row>
    <row r="40" spans="1:8" ht="12.75" customHeight="1">
      <c r="A40" s="688"/>
      <c r="B40" s="712"/>
      <c r="C40" s="712"/>
      <c r="D40" s="712"/>
      <c r="E40" s="712"/>
      <c r="F40" s="712"/>
      <c r="G40" s="686"/>
    </row>
    <row r="41" spans="1:8">
      <c r="A41" s="687">
        <v>20</v>
      </c>
      <c r="B41" s="711" t="s">
        <v>70</v>
      </c>
      <c r="C41" s="711" t="s">
        <v>3600</v>
      </c>
      <c r="D41" s="711" t="s">
        <v>3598</v>
      </c>
      <c r="E41" s="711" t="s">
        <v>3479</v>
      </c>
      <c r="F41" s="711" t="str">
        <f t="shared" ref="F41" si="14">E41</f>
        <v>400</v>
      </c>
      <c r="G41" s="685"/>
    </row>
    <row r="42" spans="1:8" ht="12.75" customHeight="1">
      <c r="A42" s="688"/>
      <c r="B42" s="712"/>
      <c r="C42" s="712"/>
      <c r="D42" s="712"/>
      <c r="E42" s="712"/>
      <c r="F42" s="712"/>
      <c r="G42" s="686"/>
    </row>
    <row r="43" spans="1:8">
      <c r="A43" s="687">
        <v>21</v>
      </c>
      <c r="B43" s="711" t="s">
        <v>71</v>
      </c>
      <c r="C43" s="711" t="s">
        <v>3599</v>
      </c>
      <c r="D43" s="711" t="s">
        <v>2723</v>
      </c>
      <c r="E43" s="711" t="s">
        <v>1084</v>
      </c>
      <c r="F43" s="711" t="str">
        <f t="shared" ref="F43" si="15">E43</f>
        <v>300</v>
      </c>
      <c r="G43" s="685"/>
    </row>
    <row r="44" spans="1:8" ht="12.75" customHeight="1">
      <c r="A44" s="688"/>
      <c r="B44" s="712"/>
      <c r="C44" s="712"/>
      <c r="D44" s="712"/>
      <c r="E44" s="712"/>
      <c r="F44" s="712"/>
      <c r="G44" s="686"/>
    </row>
    <row r="45" spans="1:8">
      <c r="A45" s="687">
        <v>22</v>
      </c>
      <c r="B45" s="711" t="s">
        <v>3609</v>
      </c>
      <c r="C45" s="711" t="s">
        <v>3589</v>
      </c>
      <c r="D45" s="711" t="s">
        <v>239</v>
      </c>
      <c r="E45" s="711" t="s">
        <v>682</v>
      </c>
      <c r="F45" s="711" t="str">
        <f t="shared" ref="F45" si="16">E45</f>
        <v>180</v>
      </c>
      <c r="G45" s="685" t="s">
        <v>3607</v>
      </c>
      <c r="H45" s="6" t="s">
        <v>3632</v>
      </c>
    </row>
    <row r="46" spans="1:8" ht="12.75" customHeight="1">
      <c r="A46" s="688"/>
      <c r="B46" s="712"/>
      <c r="C46" s="712"/>
      <c r="D46" s="712"/>
      <c r="E46" s="712"/>
      <c r="F46" s="712"/>
      <c r="G46" s="686"/>
      <c r="H46" s="6" t="s">
        <v>3633</v>
      </c>
    </row>
    <row r="47" spans="1:8">
      <c r="A47" s="687">
        <v>23</v>
      </c>
      <c r="B47" s="711" t="s">
        <v>3611</v>
      </c>
      <c r="C47" s="711" t="s">
        <v>3610</v>
      </c>
      <c r="D47" s="711" t="s">
        <v>239</v>
      </c>
      <c r="E47" s="711" t="s">
        <v>3612</v>
      </c>
      <c r="F47" s="1521">
        <v>1350</v>
      </c>
      <c r="G47" s="685">
        <v>3.2513999999999998</v>
      </c>
    </row>
    <row r="48" spans="1:8" ht="12.75" customHeight="1">
      <c r="A48" s="688"/>
      <c r="B48" s="712"/>
      <c r="C48" s="712"/>
      <c r="D48" s="712"/>
      <c r="E48" s="712"/>
      <c r="F48" s="712"/>
      <c r="G48" s="686"/>
    </row>
    <row r="49" spans="1:7" ht="12.75" customHeight="1">
      <c r="A49" s="687">
        <v>24</v>
      </c>
      <c r="B49" s="711" t="s">
        <v>75</v>
      </c>
      <c r="C49" s="711" t="s">
        <v>3599</v>
      </c>
      <c r="D49" s="711" t="s">
        <v>1140</v>
      </c>
      <c r="E49" s="711" t="s">
        <v>1084</v>
      </c>
      <c r="F49" s="711" t="str">
        <f t="shared" ref="F49" si="17">E49</f>
        <v>300</v>
      </c>
      <c r="G49" s="685"/>
    </row>
    <row r="50" spans="1:7" ht="12.75" customHeight="1">
      <c r="A50" s="688"/>
      <c r="B50" s="712"/>
      <c r="C50" s="712"/>
      <c r="D50" s="712"/>
      <c r="E50" s="712"/>
      <c r="F50" s="712"/>
      <c r="G50" s="686"/>
    </row>
    <row r="51" spans="1:7" ht="12.75" customHeight="1">
      <c r="A51" s="687">
        <v>25</v>
      </c>
      <c r="B51" s="711" t="s">
        <v>76</v>
      </c>
      <c r="C51" s="711" t="s">
        <v>3599</v>
      </c>
      <c r="D51" s="711" t="s">
        <v>3602</v>
      </c>
      <c r="E51" s="711" t="s">
        <v>56</v>
      </c>
      <c r="F51" s="711" t="str">
        <f t="shared" ref="F51" si="18">E51</f>
        <v>10</v>
      </c>
      <c r="G51" s="685"/>
    </row>
    <row r="52" spans="1:7" ht="12.75" customHeight="1">
      <c r="A52" s="688"/>
      <c r="B52" s="712"/>
      <c r="C52" s="712"/>
      <c r="D52" s="712"/>
      <c r="E52" s="712"/>
      <c r="F52" s="712"/>
      <c r="G52" s="686"/>
    </row>
    <row r="53" spans="1:7" ht="12.75" customHeight="1">
      <c r="A53" s="687">
        <v>26</v>
      </c>
      <c r="B53" s="711" t="s">
        <v>77</v>
      </c>
      <c r="C53" s="711" t="s">
        <v>3599</v>
      </c>
      <c r="D53" s="711" t="s">
        <v>3603</v>
      </c>
      <c r="E53" s="711" t="s">
        <v>1084</v>
      </c>
      <c r="F53" s="711" t="str">
        <f t="shared" ref="F53" si="19">E53</f>
        <v>300</v>
      </c>
      <c r="G53" s="685"/>
    </row>
    <row r="54" spans="1:7" ht="12.75" customHeight="1">
      <c r="A54" s="688"/>
      <c r="B54" s="712"/>
      <c r="C54" s="712"/>
      <c r="D54" s="712"/>
      <c r="E54" s="712"/>
      <c r="F54" s="712"/>
      <c r="G54" s="686"/>
    </row>
    <row r="55" spans="1:7">
      <c r="A55" s="687">
        <v>27</v>
      </c>
      <c r="B55" s="711" t="s">
        <v>3614</v>
      </c>
      <c r="C55" s="711" t="s">
        <v>3613</v>
      </c>
      <c r="D55" s="711" t="s">
        <v>239</v>
      </c>
      <c r="E55" s="711" t="s">
        <v>3593</v>
      </c>
      <c r="F55" s="711" t="str">
        <f t="shared" ref="F55" si="20">E55</f>
        <v>1350</v>
      </c>
      <c r="G55" s="685"/>
    </row>
    <row r="56" spans="1:7" ht="12.75" customHeight="1">
      <c r="A56" s="688"/>
      <c r="B56" s="712"/>
      <c r="C56" s="712"/>
      <c r="D56" s="712"/>
      <c r="E56" s="712"/>
      <c r="F56" s="712"/>
      <c r="G56" s="686"/>
    </row>
    <row r="57" spans="1:7">
      <c r="A57" s="687">
        <v>28</v>
      </c>
      <c r="B57" s="711" t="s">
        <v>78</v>
      </c>
      <c r="C57" s="711" t="s">
        <v>3604</v>
      </c>
      <c r="D57" s="711" t="s">
        <v>3309</v>
      </c>
      <c r="E57" s="711" t="s">
        <v>3448</v>
      </c>
      <c r="F57" s="711" t="str">
        <f t="shared" ref="F57" si="21">E57</f>
        <v>380</v>
      </c>
      <c r="G57" s="685"/>
    </row>
    <row r="58" spans="1:7" ht="12.75" customHeight="1">
      <c r="A58" s="688"/>
      <c r="B58" s="712"/>
      <c r="C58" s="712"/>
      <c r="D58" s="712"/>
      <c r="E58" s="712"/>
      <c r="F58" s="712"/>
      <c r="G58" s="686"/>
    </row>
    <row r="59" spans="1:7">
      <c r="A59" s="687">
        <v>29</v>
      </c>
      <c r="B59" s="711" t="s">
        <v>79</v>
      </c>
      <c r="C59" s="711" t="s">
        <v>3604</v>
      </c>
      <c r="D59" s="711" t="s">
        <v>3025</v>
      </c>
      <c r="E59" s="711" t="s">
        <v>1310</v>
      </c>
      <c r="F59" s="711" t="str">
        <f t="shared" ref="F59" si="22">E59</f>
        <v>97</v>
      </c>
      <c r="G59" s="685"/>
    </row>
    <row r="60" spans="1:7" ht="12.75" customHeight="1">
      <c r="A60" s="688"/>
      <c r="B60" s="712"/>
      <c r="C60" s="712"/>
      <c r="D60" s="712"/>
      <c r="E60" s="712"/>
      <c r="F60" s="712"/>
      <c r="G60" s="686"/>
    </row>
    <row r="61" spans="1:7">
      <c r="A61" s="687">
        <v>30</v>
      </c>
      <c r="B61" s="711" t="s">
        <v>3615</v>
      </c>
      <c r="C61" s="711" t="s">
        <v>3600</v>
      </c>
      <c r="D61" s="711" t="s">
        <v>239</v>
      </c>
      <c r="E61" s="711" t="s">
        <v>3616</v>
      </c>
      <c r="F61" s="1521">
        <v>1350</v>
      </c>
      <c r="G61" s="685">
        <v>3.2612000000000001</v>
      </c>
    </row>
    <row r="62" spans="1:7" ht="12.75" customHeight="1">
      <c r="A62" s="688"/>
      <c r="B62" s="712"/>
      <c r="C62" s="712"/>
      <c r="D62" s="712"/>
      <c r="E62" s="712"/>
      <c r="F62" s="712"/>
      <c r="G62" s="686"/>
    </row>
    <row r="63" spans="1:7">
      <c r="A63" s="687">
        <v>31</v>
      </c>
      <c r="B63" s="711" t="s">
        <v>80</v>
      </c>
      <c r="C63" s="711" t="s">
        <v>3604</v>
      </c>
      <c r="D63" s="711" t="s">
        <v>1601</v>
      </c>
      <c r="E63" s="711" t="s">
        <v>3617</v>
      </c>
      <c r="F63" s="711" t="str">
        <f t="shared" ref="F63" si="23">E63</f>
        <v>1150</v>
      </c>
      <c r="G63" s="685"/>
    </row>
    <row r="64" spans="1:7" ht="12.75" customHeight="1">
      <c r="A64" s="688"/>
      <c r="B64" s="712"/>
      <c r="C64" s="712"/>
      <c r="D64" s="712"/>
      <c r="E64" s="712"/>
      <c r="F64" s="712"/>
      <c r="G64" s="686"/>
    </row>
    <row r="65" spans="1:7">
      <c r="A65" s="687">
        <v>32</v>
      </c>
      <c r="B65" s="1522" t="s">
        <v>3618</v>
      </c>
      <c r="C65" s="1128" t="s">
        <v>3619</v>
      </c>
      <c r="D65" s="711" t="s">
        <v>239</v>
      </c>
      <c r="E65" s="1524">
        <v>1350</v>
      </c>
      <c r="F65" s="1524">
        <v>1350</v>
      </c>
      <c r="G65" s="685"/>
    </row>
    <row r="66" spans="1:7" ht="12.75" customHeight="1">
      <c r="A66" s="688"/>
      <c r="B66" s="1523"/>
      <c r="C66" s="1127"/>
      <c r="D66" s="712"/>
      <c r="E66" s="1525"/>
      <c r="F66" s="1525"/>
      <c r="G66" s="686"/>
    </row>
    <row r="67" spans="1:7">
      <c r="A67" s="687">
        <v>33</v>
      </c>
      <c r="B67" s="1522" t="s">
        <v>3620</v>
      </c>
      <c r="C67" s="1128" t="s">
        <v>3619</v>
      </c>
      <c r="D67" s="711" t="s">
        <v>239</v>
      </c>
      <c r="E67" s="1524">
        <v>41961</v>
      </c>
      <c r="F67" s="1524">
        <v>1350</v>
      </c>
      <c r="G67" s="685">
        <v>3.2172999999999998</v>
      </c>
    </row>
    <row r="68" spans="1:7" ht="12.75" customHeight="1">
      <c r="A68" s="688"/>
      <c r="B68" s="1523"/>
      <c r="C68" s="1127"/>
      <c r="D68" s="712"/>
      <c r="E68" s="1525"/>
      <c r="F68" s="1525"/>
      <c r="G68" s="686"/>
    </row>
    <row r="69" spans="1:7">
      <c r="A69" s="687">
        <v>34</v>
      </c>
      <c r="B69" s="659"/>
      <c r="C69" s="659"/>
      <c r="D69" s="659"/>
      <c r="E69" s="805"/>
      <c r="F69" s="805"/>
      <c r="G69" s="803"/>
    </row>
    <row r="70" spans="1:7">
      <c r="A70" s="688"/>
      <c r="B70" s="660"/>
      <c r="C70" s="660"/>
      <c r="D70" s="660"/>
      <c r="E70" s="806"/>
      <c r="F70" s="806"/>
      <c r="G70" s="804"/>
    </row>
    <row r="71" spans="1:7">
      <c r="A71" s="687">
        <v>35</v>
      </c>
      <c r="B71" s="659"/>
      <c r="C71" s="659"/>
      <c r="D71" s="659"/>
      <c r="E71" s="805"/>
      <c r="F71" s="805"/>
      <c r="G71" s="803"/>
    </row>
    <row r="72" spans="1:7">
      <c r="A72" s="688"/>
      <c r="B72" s="660"/>
      <c r="C72" s="660"/>
      <c r="D72" s="660"/>
      <c r="E72" s="806"/>
      <c r="F72" s="806"/>
      <c r="G72" s="804"/>
    </row>
    <row r="73" spans="1:7">
      <c r="A73" s="687">
        <v>36</v>
      </c>
      <c r="B73" s="659"/>
      <c r="C73" s="659"/>
      <c r="D73" s="659"/>
      <c r="E73" s="805"/>
      <c r="F73" s="805"/>
      <c r="G73" s="803"/>
    </row>
    <row r="74" spans="1:7">
      <c r="A74" s="688"/>
      <c r="B74" s="660"/>
      <c r="C74" s="660"/>
      <c r="D74" s="660"/>
      <c r="E74" s="806"/>
      <c r="F74" s="806"/>
      <c r="G74" s="804"/>
    </row>
    <row r="75" spans="1:7">
      <c r="A75" s="687">
        <v>37</v>
      </c>
      <c r="B75" s="659"/>
      <c r="C75" s="659"/>
      <c r="D75" s="659"/>
      <c r="E75" s="805"/>
      <c r="F75" s="805"/>
      <c r="G75" s="803"/>
    </row>
    <row r="76" spans="1:7">
      <c r="A76" s="688"/>
      <c r="B76" s="660"/>
      <c r="C76" s="660"/>
      <c r="D76" s="660"/>
      <c r="E76" s="806"/>
      <c r="F76" s="806"/>
      <c r="G76" s="804"/>
    </row>
    <row r="77" spans="1:7">
      <c r="A77" s="687">
        <v>38</v>
      </c>
      <c r="B77" s="659"/>
      <c r="C77" s="659"/>
      <c r="D77" s="659"/>
      <c r="E77" s="805"/>
      <c r="F77" s="805"/>
      <c r="G77" s="803"/>
    </row>
    <row r="78" spans="1:7">
      <c r="A78" s="688"/>
      <c r="B78" s="660"/>
      <c r="C78" s="660"/>
      <c r="D78" s="660"/>
      <c r="E78" s="806"/>
      <c r="F78" s="806"/>
      <c r="G78" s="804"/>
    </row>
    <row r="79" spans="1:7">
      <c r="A79" s="687">
        <v>39</v>
      </c>
      <c r="B79" s="659"/>
      <c r="C79" s="659"/>
      <c r="D79" s="659"/>
      <c r="E79" s="805"/>
      <c r="F79" s="805"/>
      <c r="G79" s="803"/>
    </row>
    <row r="80" spans="1:7">
      <c r="A80" s="688"/>
      <c r="B80" s="660"/>
      <c r="C80" s="660"/>
      <c r="D80" s="660"/>
      <c r="E80" s="806"/>
      <c r="F80" s="806"/>
      <c r="G80" s="804"/>
    </row>
    <row r="81" spans="1:7">
      <c r="A81" s="687">
        <v>40</v>
      </c>
      <c r="B81" s="659"/>
      <c r="C81" s="659"/>
      <c r="D81" s="659"/>
      <c r="E81" s="805"/>
      <c r="F81" s="805"/>
      <c r="G81" s="803"/>
    </row>
    <row r="82" spans="1:7">
      <c r="A82" s="688"/>
      <c r="B82" s="660"/>
      <c r="C82" s="660"/>
      <c r="D82" s="660"/>
      <c r="E82" s="806"/>
      <c r="F82" s="806"/>
      <c r="G82" s="804"/>
    </row>
    <row r="83" spans="1:7">
      <c r="A83" s="687">
        <v>41</v>
      </c>
      <c r="B83" s="659"/>
      <c r="C83" s="659"/>
      <c r="D83" s="659"/>
      <c r="E83" s="805"/>
      <c r="F83" s="805"/>
      <c r="G83" s="803"/>
    </row>
    <row r="84" spans="1:7">
      <c r="A84" s="688"/>
      <c r="B84" s="660"/>
      <c r="C84" s="660"/>
      <c r="D84" s="660"/>
      <c r="E84" s="806"/>
      <c r="F84" s="806"/>
      <c r="G84" s="804"/>
    </row>
    <row r="85" spans="1:7">
      <c r="A85" s="687">
        <v>42</v>
      </c>
      <c r="B85" s="659"/>
      <c r="C85" s="659"/>
      <c r="D85" s="659"/>
      <c r="E85" s="805"/>
      <c r="F85" s="805"/>
      <c r="G85" s="803"/>
    </row>
    <row r="86" spans="1:7">
      <c r="A86" s="688"/>
      <c r="B86" s="660"/>
      <c r="C86" s="660"/>
      <c r="D86" s="660"/>
      <c r="E86" s="806"/>
      <c r="F86" s="806"/>
      <c r="G86" s="804"/>
    </row>
    <row r="87" spans="1:7">
      <c r="A87" s="687">
        <v>43</v>
      </c>
      <c r="B87" s="659"/>
      <c r="C87" s="659"/>
      <c r="D87" s="659"/>
      <c r="E87" s="805"/>
      <c r="F87" s="805"/>
      <c r="G87" s="803"/>
    </row>
    <row r="88" spans="1:7">
      <c r="A88" s="688"/>
      <c r="B88" s="660"/>
      <c r="C88" s="660"/>
      <c r="D88" s="660"/>
      <c r="E88" s="806"/>
      <c r="F88" s="806"/>
      <c r="G88" s="804"/>
    </row>
    <row r="89" spans="1:7">
      <c r="A89" s="687">
        <v>44</v>
      </c>
      <c r="B89" s="659"/>
      <c r="C89" s="659"/>
      <c r="D89" s="659"/>
      <c r="E89" s="805"/>
      <c r="F89" s="805"/>
      <c r="G89" s="803"/>
    </row>
    <row r="90" spans="1:7">
      <c r="A90" s="688"/>
      <c r="B90" s="660"/>
      <c r="C90" s="660"/>
      <c r="D90" s="660"/>
      <c r="E90" s="806"/>
      <c r="F90" s="806"/>
      <c r="G90" s="804"/>
    </row>
    <row r="91" spans="1:7">
      <c r="A91" s="687">
        <v>45</v>
      </c>
      <c r="B91" s="659"/>
      <c r="C91" s="659"/>
      <c r="D91" s="659"/>
      <c r="E91" s="805"/>
      <c r="F91" s="805"/>
      <c r="G91" s="803"/>
    </row>
    <row r="92" spans="1:7">
      <c r="A92" s="688"/>
      <c r="B92" s="660"/>
      <c r="C92" s="660"/>
      <c r="D92" s="660"/>
      <c r="E92" s="806"/>
      <c r="F92" s="806"/>
      <c r="G92" s="804"/>
    </row>
    <row r="93" spans="1:7">
      <c r="A93" s="687">
        <v>46</v>
      </c>
      <c r="B93" s="659"/>
      <c r="C93" s="659"/>
      <c r="D93" s="659"/>
      <c r="E93" s="805"/>
      <c r="F93" s="805"/>
      <c r="G93" s="803"/>
    </row>
    <row r="94" spans="1:7">
      <c r="A94" s="688"/>
      <c r="B94" s="660"/>
      <c r="C94" s="660"/>
      <c r="D94" s="660"/>
      <c r="E94" s="806"/>
      <c r="F94" s="806"/>
      <c r="G94" s="804"/>
    </row>
    <row r="95" spans="1:7">
      <c r="A95" s="687">
        <v>47</v>
      </c>
      <c r="B95" s="659"/>
      <c r="C95" s="659"/>
      <c r="D95" s="659"/>
      <c r="E95" s="805"/>
      <c r="F95" s="805"/>
      <c r="G95" s="803"/>
    </row>
    <row r="96" spans="1:7">
      <c r="A96" s="688"/>
      <c r="B96" s="660"/>
      <c r="C96" s="660"/>
      <c r="D96" s="660"/>
      <c r="E96" s="806"/>
      <c r="F96" s="806"/>
      <c r="G96" s="804"/>
    </row>
    <row r="97" spans="1:7">
      <c r="A97" s="687">
        <v>48</v>
      </c>
      <c r="B97" s="658"/>
      <c r="C97" s="658"/>
      <c r="D97" s="658"/>
      <c r="E97" s="657"/>
      <c r="F97" s="657"/>
      <c r="G97" s="803"/>
    </row>
    <row r="98" spans="1:7">
      <c r="A98" s="688"/>
      <c r="B98" s="658"/>
      <c r="C98" s="658"/>
      <c r="D98" s="658"/>
      <c r="E98" s="657"/>
      <c r="F98" s="657"/>
      <c r="G98" s="804"/>
    </row>
    <row r="99" spans="1:7">
      <c r="A99" s="687">
        <v>49</v>
      </c>
      <c r="B99" s="658"/>
      <c r="C99" s="658"/>
      <c r="D99" s="658"/>
      <c r="E99" s="657"/>
      <c r="F99" s="657"/>
      <c r="G99" s="803"/>
    </row>
    <row r="100" spans="1:7">
      <c r="A100" s="688"/>
      <c r="B100" s="658"/>
      <c r="C100" s="658"/>
      <c r="D100" s="658"/>
      <c r="E100" s="657"/>
      <c r="F100" s="657"/>
      <c r="G100" s="804"/>
    </row>
    <row r="101" spans="1:7">
      <c r="A101" s="687">
        <v>50</v>
      </c>
      <c r="B101" s="658"/>
      <c r="C101" s="658"/>
      <c r="D101" s="658"/>
      <c r="E101" s="657"/>
      <c r="F101" s="657"/>
      <c r="G101" s="803"/>
    </row>
    <row r="102" spans="1:7">
      <c r="A102" s="688"/>
      <c r="B102" s="658"/>
      <c r="C102" s="658"/>
      <c r="D102" s="658"/>
      <c r="E102" s="657"/>
      <c r="F102" s="657"/>
      <c r="G102" s="804"/>
    </row>
    <row r="103" spans="1:7">
      <c r="A103" s="687">
        <v>51</v>
      </c>
      <c r="B103" s="658"/>
      <c r="C103" s="658"/>
      <c r="D103" s="658"/>
      <c r="E103" s="657"/>
      <c r="F103" s="657"/>
      <c r="G103" s="803"/>
    </row>
    <row r="104" spans="1:7">
      <c r="A104" s="688"/>
      <c r="B104" s="658"/>
      <c r="C104" s="658"/>
      <c r="D104" s="658"/>
      <c r="E104" s="657"/>
      <c r="F104" s="657"/>
      <c r="G104" s="804"/>
    </row>
    <row r="105" spans="1:7">
      <c r="A105" s="687">
        <v>52</v>
      </c>
      <c r="B105" s="658"/>
      <c r="C105" s="658"/>
      <c r="D105" s="658"/>
      <c r="E105" s="657"/>
      <c r="F105" s="657"/>
      <c r="G105" s="803"/>
    </row>
    <row r="106" spans="1:7">
      <c r="A106" s="688"/>
      <c r="B106" s="658"/>
      <c r="C106" s="658"/>
      <c r="D106" s="658"/>
      <c r="E106" s="657"/>
      <c r="F106" s="657"/>
      <c r="G106" s="804"/>
    </row>
    <row r="107" spans="1:7">
      <c r="A107" s="687">
        <v>53</v>
      </c>
      <c r="B107" s="658"/>
      <c r="C107" s="658"/>
      <c r="D107" s="658"/>
      <c r="E107" s="657"/>
      <c r="F107" s="657"/>
      <c r="G107" s="803"/>
    </row>
    <row r="108" spans="1:7">
      <c r="A108" s="688"/>
      <c r="B108" s="658"/>
      <c r="C108" s="658"/>
      <c r="D108" s="658"/>
      <c r="E108" s="657"/>
      <c r="F108" s="657"/>
      <c r="G108" s="804"/>
    </row>
    <row r="109" spans="1:7">
      <c r="A109" s="687">
        <v>54</v>
      </c>
      <c r="B109" s="658"/>
      <c r="C109" s="658"/>
      <c r="D109" s="658"/>
      <c r="E109" s="657"/>
      <c r="F109" s="657"/>
      <c r="G109" s="803"/>
    </row>
    <row r="110" spans="1:7">
      <c r="A110" s="688"/>
      <c r="B110" s="658"/>
      <c r="C110" s="658"/>
      <c r="D110" s="658"/>
      <c r="E110" s="657"/>
      <c r="F110" s="657"/>
      <c r="G110" s="804"/>
    </row>
    <row r="111" spans="1:7">
      <c r="A111" s="687">
        <v>55</v>
      </c>
      <c r="B111" s="658"/>
      <c r="C111" s="658"/>
      <c r="D111" s="658"/>
      <c r="E111" s="657"/>
      <c r="F111" s="657"/>
      <c r="G111" s="803"/>
    </row>
    <row r="112" spans="1:7">
      <c r="A112" s="688"/>
      <c r="B112" s="658"/>
      <c r="C112" s="658"/>
      <c r="D112" s="658"/>
      <c r="E112" s="657"/>
      <c r="F112" s="657"/>
      <c r="G112" s="804"/>
    </row>
    <row r="113" spans="1:7">
      <c r="A113" s="687">
        <v>56</v>
      </c>
      <c r="B113" s="658"/>
      <c r="C113" s="658"/>
      <c r="D113" s="658"/>
      <c r="E113" s="657"/>
      <c r="F113" s="657"/>
      <c r="G113" s="803"/>
    </row>
    <row r="114" spans="1:7">
      <c r="A114" s="688"/>
      <c r="B114" s="658"/>
      <c r="C114" s="658"/>
      <c r="D114" s="658"/>
      <c r="E114" s="657"/>
      <c r="F114" s="657"/>
      <c r="G114" s="804"/>
    </row>
    <row r="115" spans="1:7">
      <c r="A115" s="687">
        <v>57</v>
      </c>
      <c r="B115" s="658"/>
      <c r="C115" s="658"/>
      <c r="D115" s="658"/>
      <c r="E115" s="657"/>
      <c r="F115" s="657"/>
      <c r="G115" s="803"/>
    </row>
    <row r="116" spans="1:7">
      <c r="A116" s="688"/>
      <c r="B116" s="658"/>
      <c r="C116" s="658"/>
      <c r="D116" s="658"/>
      <c r="E116" s="657"/>
      <c r="F116" s="657"/>
      <c r="G116" s="804"/>
    </row>
    <row r="117" spans="1:7">
      <c r="A117" s="687">
        <v>58</v>
      </c>
      <c r="B117" s="658"/>
      <c r="C117" s="658"/>
      <c r="D117" s="658"/>
      <c r="E117" s="657"/>
      <c r="F117" s="657"/>
      <c r="G117" s="807"/>
    </row>
    <row r="118" spans="1:7">
      <c r="A118" s="688"/>
      <c r="B118" s="658"/>
      <c r="C118" s="658"/>
      <c r="D118" s="658"/>
      <c r="E118" s="657"/>
      <c r="F118" s="657"/>
      <c r="G118" s="808"/>
    </row>
    <row r="119" spans="1:7">
      <c r="A119" s="687">
        <v>59</v>
      </c>
      <c r="B119" s="658"/>
      <c r="C119" s="658"/>
      <c r="D119" s="658"/>
      <c r="E119" s="657"/>
      <c r="F119" s="657"/>
      <c r="G119" s="807"/>
    </row>
    <row r="120" spans="1:7">
      <c r="A120" s="688"/>
      <c r="B120" s="658"/>
      <c r="C120" s="658"/>
      <c r="D120" s="658"/>
      <c r="E120" s="657"/>
      <c r="F120" s="657"/>
      <c r="G120" s="808"/>
    </row>
    <row r="121" spans="1:7">
      <c r="A121" s="687">
        <v>60</v>
      </c>
      <c r="B121" s="658"/>
      <c r="C121" s="658"/>
      <c r="D121" s="658"/>
      <c r="E121" s="657"/>
      <c r="F121" s="657"/>
      <c r="G121" s="807"/>
    </row>
    <row r="122" spans="1:7">
      <c r="A122" s="688"/>
      <c r="B122" s="658"/>
      <c r="C122" s="658"/>
      <c r="D122" s="658"/>
      <c r="E122" s="657"/>
      <c r="F122" s="657"/>
      <c r="G122" s="808"/>
    </row>
  </sheetData>
  <mergeCells count="421">
    <mergeCell ref="G121:G122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3:G114"/>
    <mergeCell ref="A115:A11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B43:B4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topLeftCell="A100" workbookViewId="0">
      <selection sqref="A1:G122"/>
    </sheetView>
  </sheetViews>
  <sheetFormatPr defaultRowHeight="12.75"/>
  <cols>
    <col min="2" max="2" width="13.5703125" customWidth="1"/>
    <col min="4" max="4" width="21" customWidth="1"/>
  </cols>
  <sheetData>
    <row r="1" spans="1:7" ht="15">
      <c r="A1" s="603" t="s">
        <v>2925</v>
      </c>
      <c r="B1" s="603"/>
      <c r="C1" s="603"/>
      <c r="D1" s="603"/>
      <c r="E1" s="603"/>
      <c r="F1" s="603"/>
      <c r="G1" s="604">
        <f>SUM(F3:F122)</f>
        <v>35200</v>
      </c>
    </row>
    <row r="2" spans="1:7" ht="15">
      <c r="A2" s="802" t="s">
        <v>3528</v>
      </c>
      <c r="B2" s="802"/>
      <c r="C2" s="802"/>
      <c r="D2" s="802"/>
      <c r="E2" s="802"/>
      <c r="F2" s="802"/>
      <c r="G2" s="802"/>
    </row>
    <row r="3" spans="1:7" ht="12.75" customHeight="1">
      <c r="A3" s="687">
        <v>1</v>
      </c>
      <c r="B3" s="658" t="s">
        <v>3437</v>
      </c>
      <c r="C3" s="658" t="s">
        <v>3436</v>
      </c>
      <c r="D3" s="658" t="s">
        <v>1140</v>
      </c>
      <c r="E3" s="657">
        <v>500</v>
      </c>
      <c r="F3" s="657">
        <f t="shared" ref="F3" si="0">E3</f>
        <v>500</v>
      </c>
      <c r="G3" s="1526"/>
    </row>
    <row r="4" spans="1:7">
      <c r="A4" s="688"/>
      <c r="B4" s="658"/>
      <c r="C4" s="658"/>
      <c r="D4" s="658"/>
      <c r="E4" s="657"/>
      <c r="F4" s="657"/>
      <c r="G4" s="1527"/>
    </row>
    <row r="5" spans="1:7" ht="12.75" customHeight="1">
      <c r="A5" s="687">
        <v>2</v>
      </c>
      <c r="B5" s="658" t="s">
        <v>3441</v>
      </c>
      <c r="C5" s="658" t="s">
        <v>3436</v>
      </c>
      <c r="D5" s="658" t="s">
        <v>3261</v>
      </c>
      <c r="E5" s="657">
        <v>17000</v>
      </c>
      <c r="F5" s="657">
        <v>516</v>
      </c>
      <c r="G5" s="803">
        <v>3.0343</v>
      </c>
    </row>
    <row r="6" spans="1:7">
      <c r="A6" s="688"/>
      <c r="B6" s="658"/>
      <c r="C6" s="658"/>
      <c r="D6" s="658"/>
      <c r="E6" s="657"/>
      <c r="F6" s="657"/>
      <c r="G6" s="804"/>
    </row>
    <row r="7" spans="1:7" ht="12.75" customHeight="1">
      <c r="A7" s="687">
        <v>3</v>
      </c>
      <c r="B7" s="658" t="s">
        <v>3442</v>
      </c>
      <c r="C7" s="658" t="s">
        <v>3436</v>
      </c>
      <c r="D7" s="658" t="s">
        <v>2348</v>
      </c>
      <c r="E7" s="657">
        <v>100</v>
      </c>
      <c r="F7" s="657">
        <f t="shared" ref="F7" si="1">E7</f>
        <v>100</v>
      </c>
      <c r="G7" s="803"/>
    </row>
    <row r="8" spans="1:7">
      <c r="A8" s="688"/>
      <c r="B8" s="658"/>
      <c r="C8" s="658"/>
      <c r="D8" s="658"/>
      <c r="E8" s="657"/>
      <c r="F8" s="657"/>
      <c r="G8" s="803"/>
    </row>
    <row r="9" spans="1:7">
      <c r="A9" s="687">
        <v>4</v>
      </c>
      <c r="B9" s="658" t="s">
        <v>3446</v>
      </c>
      <c r="C9" s="658" t="s">
        <v>3444</v>
      </c>
      <c r="D9" s="658" t="s">
        <v>3369</v>
      </c>
      <c r="E9" s="657">
        <v>410</v>
      </c>
      <c r="F9" s="657">
        <f t="shared" ref="F9" si="2">E9</f>
        <v>410</v>
      </c>
      <c r="G9" s="1528"/>
    </row>
    <row r="10" spans="1:7">
      <c r="A10" s="688"/>
      <c r="B10" s="658"/>
      <c r="C10" s="658"/>
      <c r="D10" s="658"/>
      <c r="E10" s="657"/>
      <c r="F10" s="657"/>
      <c r="G10" s="1529"/>
    </row>
    <row r="11" spans="1:7">
      <c r="A11" s="687">
        <v>5</v>
      </c>
      <c r="B11" s="658" t="s">
        <v>3447</v>
      </c>
      <c r="C11" s="658" t="s">
        <v>3445</v>
      </c>
      <c r="D11" s="658" t="s">
        <v>3389</v>
      </c>
      <c r="E11" s="657">
        <v>280</v>
      </c>
      <c r="F11" s="657">
        <f t="shared" ref="F11" si="3">E11</f>
        <v>280</v>
      </c>
      <c r="G11" s="803"/>
    </row>
    <row r="12" spans="1:7">
      <c r="A12" s="688"/>
      <c r="B12" s="658"/>
      <c r="C12" s="658"/>
      <c r="D12" s="658"/>
      <c r="E12" s="657"/>
      <c r="F12" s="657"/>
      <c r="G12" s="804"/>
    </row>
    <row r="13" spans="1:7">
      <c r="A13" s="687">
        <v>6</v>
      </c>
      <c r="B13" s="658" t="s">
        <v>3448</v>
      </c>
      <c r="C13" s="658" t="s">
        <v>3445</v>
      </c>
      <c r="D13" s="658" t="s">
        <v>1661</v>
      </c>
      <c r="E13" s="657">
        <v>430</v>
      </c>
      <c r="F13" s="657">
        <f t="shared" ref="F13" si="4">E13</f>
        <v>430</v>
      </c>
      <c r="G13" s="803"/>
    </row>
    <row r="14" spans="1:7">
      <c r="A14" s="688"/>
      <c r="B14" s="658"/>
      <c r="C14" s="658"/>
      <c r="D14" s="658"/>
      <c r="E14" s="657"/>
      <c r="F14" s="657"/>
      <c r="G14" s="804"/>
    </row>
    <row r="15" spans="1:7">
      <c r="A15" s="687">
        <v>7</v>
      </c>
      <c r="B15" s="658" t="s">
        <v>3452</v>
      </c>
      <c r="C15" s="658" t="s">
        <v>3436</v>
      </c>
      <c r="D15" s="658" t="s">
        <v>239</v>
      </c>
      <c r="E15" s="657">
        <v>1350</v>
      </c>
      <c r="F15" s="657">
        <f t="shared" ref="F15" si="5">E15</f>
        <v>1350</v>
      </c>
      <c r="G15" s="803"/>
    </row>
    <row r="16" spans="1:7">
      <c r="A16" s="688"/>
      <c r="B16" s="658"/>
      <c r="C16" s="658"/>
      <c r="D16" s="658"/>
      <c r="E16" s="657"/>
      <c r="F16" s="657"/>
      <c r="G16" s="804"/>
    </row>
    <row r="17" spans="1:7">
      <c r="A17" s="687">
        <v>8</v>
      </c>
      <c r="B17" s="658" t="s">
        <v>3449</v>
      </c>
      <c r="C17" s="658" t="s">
        <v>3445</v>
      </c>
      <c r="D17" s="658" t="s">
        <v>3025</v>
      </c>
      <c r="E17" s="657">
        <v>99</v>
      </c>
      <c r="F17" s="657">
        <f t="shared" ref="F17" si="6">E17</f>
        <v>99</v>
      </c>
      <c r="G17" s="803"/>
    </row>
    <row r="18" spans="1:7">
      <c r="A18" s="688"/>
      <c r="B18" s="658"/>
      <c r="C18" s="658"/>
      <c r="D18" s="658"/>
      <c r="E18" s="657"/>
      <c r="F18" s="657"/>
      <c r="G18" s="804"/>
    </row>
    <row r="19" spans="1:7">
      <c r="A19" s="687">
        <v>9</v>
      </c>
      <c r="B19" s="658" t="s">
        <v>3450</v>
      </c>
      <c r="C19" s="658" t="s">
        <v>3445</v>
      </c>
      <c r="D19" s="658" t="s">
        <v>3443</v>
      </c>
      <c r="E19" s="657">
        <v>100</v>
      </c>
      <c r="F19" s="657">
        <f t="shared" ref="F19" si="7">E19</f>
        <v>100</v>
      </c>
      <c r="G19" s="803"/>
    </row>
    <row r="20" spans="1:7">
      <c r="A20" s="688"/>
      <c r="B20" s="658"/>
      <c r="C20" s="658"/>
      <c r="D20" s="658"/>
      <c r="E20" s="657"/>
      <c r="F20" s="657"/>
      <c r="G20" s="804"/>
    </row>
    <row r="21" spans="1:7">
      <c r="A21" s="687">
        <v>10</v>
      </c>
      <c r="B21" s="658" t="s">
        <v>3451</v>
      </c>
      <c r="C21" s="658" t="s">
        <v>3445</v>
      </c>
      <c r="D21" s="658" t="s">
        <v>2517</v>
      </c>
      <c r="E21" s="657">
        <v>110</v>
      </c>
      <c r="F21" s="657">
        <f t="shared" ref="F21" si="8">E21</f>
        <v>110</v>
      </c>
      <c r="G21" s="803"/>
    </row>
    <row r="22" spans="1:7">
      <c r="A22" s="688"/>
      <c r="B22" s="658"/>
      <c r="C22" s="658"/>
      <c r="D22" s="658"/>
      <c r="E22" s="657"/>
      <c r="F22" s="657"/>
      <c r="G22" s="804"/>
    </row>
    <row r="23" spans="1:7">
      <c r="A23" s="687">
        <v>11</v>
      </c>
      <c r="B23" s="658" t="s">
        <v>3464</v>
      </c>
      <c r="C23" s="658" t="s">
        <v>3445</v>
      </c>
      <c r="D23" s="658" t="s">
        <v>239</v>
      </c>
      <c r="E23" s="657">
        <v>43950</v>
      </c>
      <c r="F23" s="657">
        <v>1350</v>
      </c>
      <c r="G23" s="803">
        <v>3.0716999999999999</v>
      </c>
    </row>
    <row r="24" spans="1:7">
      <c r="A24" s="688"/>
      <c r="B24" s="658"/>
      <c r="C24" s="658"/>
      <c r="D24" s="658"/>
      <c r="E24" s="657"/>
      <c r="F24" s="657"/>
      <c r="G24" s="804"/>
    </row>
    <row r="25" spans="1:7">
      <c r="A25" s="687">
        <v>12</v>
      </c>
      <c r="B25" s="658" t="s">
        <v>3456</v>
      </c>
      <c r="C25" s="658" t="s">
        <v>3455</v>
      </c>
      <c r="D25" s="658" t="s">
        <v>2723</v>
      </c>
      <c r="E25" s="657">
        <v>350</v>
      </c>
      <c r="F25" s="657">
        <f t="shared" ref="F25" si="9">E25</f>
        <v>350</v>
      </c>
      <c r="G25" s="803"/>
    </row>
    <row r="26" spans="1:7">
      <c r="A26" s="688"/>
      <c r="B26" s="658"/>
      <c r="C26" s="658"/>
      <c r="D26" s="658"/>
      <c r="E26" s="657"/>
      <c r="F26" s="657"/>
      <c r="G26" s="804"/>
    </row>
    <row r="27" spans="1:7">
      <c r="A27" s="687">
        <v>13</v>
      </c>
      <c r="B27" s="658" t="s">
        <v>3457</v>
      </c>
      <c r="C27" s="658" t="s">
        <v>3453</v>
      </c>
      <c r="D27" s="658" t="s">
        <v>2723</v>
      </c>
      <c r="E27" s="657">
        <v>100</v>
      </c>
      <c r="F27" s="657">
        <f t="shared" ref="F27" si="10">E27</f>
        <v>100</v>
      </c>
      <c r="G27" s="803"/>
    </row>
    <row r="28" spans="1:7">
      <c r="A28" s="688"/>
      <c r="B28" s="658"/>
      <c r="C28" s="658"/>
      <c r="D28" s="658"/>
      <c r="E28" s="657"/>
      <c r="F28" s="657"/>
      <c r="G28" s="804"/>
    </row>
    <row r="29" spans="1:7">
      <c r="A29" s="687">
        <v>14</v>
      </c>
      <c r="B29" s="658" t="s">
        <v>3458</v>
      </c>
      <c r="C29" s="658" t="s">
        <v>3453</v>
      </c>
      <c r="D29" s="658" t="s">
        <v>3388</v>
      </c>
      <c r="E29" s="657">
        <v>350</v>
      </c>
      <c r="F29" s="657">
        <f t="shared" ref="F29" si="11">E29</f>
        <v>350</v>
      </c>
      <c r="G29" s="803"/>
    </row>
    <row r="30" spans="1:7">
      <c r="A30" s="688"/>
      <c r="B30" s="658"/>
      <c r="C30" s="658"/>
      <c r="D30" s="658"/>
      <c r="E30" s="657"/>
      <c r="F30" s="657"/>
      <c r="G30" s="804"/>
    </row>
    <row r="31" spans="1:7">
      <c r="A31" s="687">
        <v>15</v>
      </c>
      <c r="B31" s="658" t="s">
        <v>3459</v>
      </c>
      <c r="C31" s="658" t="s">
        <v>3453</v>
      </c>
      <c r="D31" s="658" t="s">
        <v>2772</v>
      </c>
      <c r="E31" s="657">
        <v>280</v>
      </c>
      <c r="F31" s="657">
        <f t="shared" ref="F31" si="12">E31</f>
        <v>280</v>
      </c>
      <c r="G31" s="803"/>
    </row>
    <row r="32" spans="1:7">
      <c r="A32" s="688"/>
      <c r="B32" s="658"/>
      <c r="C32" s="658"/>
      <c r="D32" s="658"/>
      <c r="E32" s="657"/>
      <c r="F32" s="657"/>
      <c r="G32" s="804"/>
    </row>
    <row r="33" spans="1:7">
      <c r="A33" s="687">
        <v>16</v>
      </c>
      <c r="B33" s="658" t="s">
        <v>3466</v>
      </c>
      <c r="C33" s="658" t="s">
        <v>3465</v>
      </c>
      <c r="D33" s="658" t="s">
        <v>239</v>
      </c>
      <c r="E33" s="657">
        <v>1350</v>
      </c>
      <c r="F33" s="657">
        <f t="shared" ref="F33" si="13">E33</f>
        <v>1350</v>
      </c>
      <c r="G33" s="803"/>
    </row>
    <row r="34" spans="1:7">
      <c r="A34" s="688"/>
      <c r="B34" s="658"/>
      <c r="C34" s="658"/>
      <c r="D34" s="658"/>
      <c r="E34" s="657"/>
      <c r="F34" s="657"/>
      <c r="G34" s="804"/>
    </row>
    <row r="35" spans="1:7">
      <c r="A35" s="687">
        <v>17</v>
      </c>
      <c r="B35" s="658" t="s">
        <v>3460</v>
      </c>
      <c r="C35" s="658" t="s">
        <v>3454</v>
      </c>
      <c r="D35" s="658" t="s">
        <v>1601</v>
      </c>
      <c r="E35" s="657">
        <v>1100</v>
      </c>
      <c r="F35" s="657">
        <f t="shared" ref="F35" si="14">E35</f>
        <v>1100</v>
      </c>
      <c r="G35" s="803"/>
    </row>
    <row r="36" spans="1:7">
      <c r="A36" s="688"/>
      <c r="B36" s="658"/>
      <c r="C36" s="658"/>
      <c r="D36" s="658"/>
      <c r="E36" s="657"/>
      <c r="F36" s="657"/>
      <c r="G36" s="804"/>
    </row>
    <row r="37" spans="1:7">
      <c r="A37" s="687">
        <v>18</v>
      </c>
      <c r="B37" s="658" t="s">
        <v>3468</v>
      </c>
      <c r="C37" s="658" t="s">
        <v>3467</v>
      </c>
      <c r="D37" s="658" t="s">
        <v>239</v>
      </c>
      <c r="E37" s="657">
        <v>43784</v>
      </c>
      <c r="F37" s="657">
        <v>1350</v>
      </c>
      <c r="G37" s="803">
        <v>3.0832999999999999</v>
      </c>
    </row>
    <row r="38" spans="1:7">
      <c r="A38" s="688"/>
      <c r="B38" s="658"/>
      <c r="C38" s="658"/>
      <c r="D38" s="658"/>
      <c r="E38" s="657"/>
      <c r="F38" s="657"/>
      <c r="G38" s="804"/>
    </row>
    <row r="39" spans="1:7">
      <c r="A39" s="687">
        <v>19</v>
      </c>
      <c r="B39" s="659" t="s">
        <v>3461</v>
      </c>
      <c r="C39" s="658" t="s">
        <v>3454</v>
      </c>
      <c r="D39" s="658" t="s">
        <v>1601</v>
      </c>
      <c r="E39" s="657">
        <v>470</v>
      </c>
      <c r="F39" s="657">
        <f t="shared" ref="F39" si="15">E39</f>
        <v>470</v>
      </c>
      <c r="G39" s="803"/>
    </row>
    <row r="40" spans="1:7">
      <c r="A40" s="688"/>
      <c r="B40" s="660"/>
      <c r="C40" s="658"/>
      <c r="D40" s="658"/>
      <c r="E40" s="657"/>
      <c r="F40" s="657"/>
      <c r="G40" s="804"/>
    </row>
    <row r="41" spans="1:7">
      <c r="A41" s="687">
        <v>20</v>
      </c>
      <c r="B41" s="658" t="s">
        <v>3462</v>
      </c>
      <c r="C41" s="658" t="s">
        <v>3454</v>
      </c>
      <c r="D41" s="658" t="s">
        <v>3025</v>
      </c>
      <c r="E41" s="657">
        <v>99</v>
      </c>
      <c r="F41" s="657">
        <f t="shared" ref="F41" si="16">E41</f>
        <v>99</v>
      </c>
      <c r="G41" s="803"/>
    </row>
    <row r="42" spans="1:7">
      <c r="A42" s="688"/>
      <c r="B42" s="658"/>
      <c r="C42" s="658"/>
      <c r="D42" s="658"/>
      <c r="E42" s="657"/>
      <c r="F42" s="657"/>
      <c r="G42" s="804"/>
    </row>
    <row r="43" spans="1:7">
      <c r="A43" s="687">
        <v>21</v>
      </c>
      <c r="B43" s="605">
        <v>392</v>
      </c>
      <c r="C43" s="658" t="s">
        <v>3454</v>
      </c>
      <c r="D43" s="658" t="s">
        <v>2375</v>
      </c>
      <c r="E43" s="657">
        <v>80</v>
      </c>
      <c r="F43" s="657">
        <f t="shared" ref="F43" si="17">E43</f>
        <v>80</v>
      </c>
      <c r="G43" s="803"/>
    </row>
    <row r="44" spans="1:7">
      <c r="A44" s="688"/>
      <c r="C44" s="658"/>
      <c r="D44" s="658"/>
      <c r="E44" s="657"/>
      <c r="F44" s="657"/>
      <c r="G44" s="804"/>
    </row>
    <row r="45" spans="1:7">
      <c r="A45" s="687">
        <v>22</v>
      </c>
      <c r="B45" s="658" t="s">
        <v>3463</v>
      </c>
      <c r="C45" s="658" t="s">
        <v>3454</v>
      </c>
      <c r="D45" s="658" t="s">
        <v>2376</v>
      </c>
      <c r="E45" s="657">
        <v>60</v>
      </c>
      <c r="F45" s="657">
        <f t="shared" ref="F45" si="18">E45</f>
        <v>60</v>
      </c>
      <c r="G45" s="803"/>
    </row>
    <row r="46" spans="1:7">
      <c r="A46" s="688"/>
      <c r="B46" s="658"/>
      <c r="C46" s="658"/>
      <c r="D46" s="658"/>
      <c r="E46" s="657"/>
      <c r="F46" s="657"/>
      <c r="G46" s="804"/>
    </row>
    <row r="47" spans="1:7">
      <c r="A47" s="687">
        <v>23</v>
      </c>
      <c r="B47" s="658" t="s">
        <v>3486</v>
      </c>
      <c r="C47" s="658" t="s">
        <v>3454</v>
      </c>
      <c r="D47" s="658" t="s">
        <v>239</v>
      </c>
      <c r="E47" s="657">
        <v>1350</v>
      </c>
      <c r="F47" s="657">
        <f t="shared" ref="F47" si="19">E47</f>
        <v>1350</v>
      </c>
      <c r="G47" s="803"/>
    </row>
    <row r="48" spans="1:7">
      <c r="A48" s="688"/>
      <c r="B48" s="658"/>
      <c r="C48" s="658"/>
      <c r="D48" s="658"/>
      <c r="E48" s="657"/>
      <c r="F48" s="657"/>
      <c r="G48" s="804"/>
    </row>
    <row r="49" spans="1:7">
      <c r="A49" s="687">
        <v>24</v>
      </c>
      <c r="B49" s="658" t="s">
        <v>3473</v>
      </c>
      <c r="C49" s="658" t="s">
        <v>3484</v>
      </c>
      <c r="D49" s="658" t="s">
        <v>3469</v>
      </c>
      <c r="E49" s="657">
        <v>350</v>
      </c>
      <c r="F49" s="657">
        <f t="shared" ref="F49" si="20">E49</f>
        <v>350</v>
      </c>
      <c r="G49" s="803"/>
    </row>
    <row r="50" spans="1:7">
      <c r="A50" s="688"/>
      <c r="B50" s="658"/>
      <c r="C50" s="658"/>
      <c r="D50" s="658"/>
      <c r="E50" s="657"/>
      <c r="F50" s="657"/>
      <c r="G50" s="804"/>
    </row>
    <row r="51" spans="1:7">
      <c r="A51" s="687">
        <v>25</v>
      </c>
      <c r="B51" s="658" t="s">
        <v>3474</v>
      </c>
      <c r="C51" s="658" t="s">
        <v>3484</v>
      </c>
      <c r="D51" s="658" t="s">
        <v>2535</v>
      </c>
      <c r="E51" s="657">
        <v>200</v>
      </c>
      <c r="F51" s="657">
        <f t="shared" ref="F51" si="21">E51</f>
        <v>200</v>
      </c>
      <c r="G51" s="803"/>
    </row>
    <row r="52" spans="1:7">
      <c r="A52" s="688"/>
      <c r="B52" s="658"/>
      <c r="C52" s="658"/>
      <c r="D52" s="658"/>
      <c r="E52" s="657"/>
      <c r="F52" s="657"/>
      <c r="G52" s="804"/>
    </row>
    <row r="53" spans="1:7">
      <c r="A53" s="687">
        <v>26</v>
      </c>
      <c r="B53" s="658" t="s">
        <v>3481</v>
      </c>
      <c r="C53" s="658" t="s">
        <v>3484</v>
      </c>
      <c r="D53" s="658" t="s">
        <v>2723</v>
      </c>
      <c r="E53" s="657">
        <v>330</v>
      </c>
      <c r="F53" s="657">
        <f t="shared" ref="F53" si="22">E53</f>
        <v>330</v>
      </c>
      <c r="G53" s="803"/>
    </row>
    <row r="54" spans="1:7">
      <c r="A54" s="688"/>
      <c r="B54" s="658"/>
      <c r="C54" s="658"/>
      <c r="D54" s="658"/>
      <c r="E54" s="657"/>
      <c r="F54" s="657"/>
      <c r="G54" s="804"/>
    </row>
    <row r="55" spans="1:7">
      <c r="A55" s="687">
        <v>27</v>
      </c>
      <c r="B55" s="658" t="s">
        <v>3475</v>
      </c>
      <c r="C55" s="658" t="s">
        <v>3485</v>
      </c>
      <c r="D55" s="658" t="s">
        <v>3470</v>
      </c>
      <c r="E55" s="657">
        <v>400</v>
      </c>
      <c r="F55" s="657">
        <f t="shared" ref="F55" si="23">E55</f>
        <v>400</v>
      </c>
      <c r="G55" s="803"/>
    </row>
    <row r="56" spans="1:7">
      <c r="A56" s="688"/>
      <c r="B56" s="658"/>
      <c r="C56" s="658"/>
      <c r="D56" s="658"/>
      <c r="E56" s="657"/>
      <c r="F56" s="657"/>
      <c r="G56" s="804"/>
    </row>
    <row r="57" spans="1:7">
      <c r="A57" s="687">
        <v>28</v>
      </c>
      <c r="B57" s="658" t="s">
        <v>3488</v>
      </c>
      <c r="C57" s="658" t="s">
        <v>3487</v>
      </c>
      <c r="D57" s="658" t="s">
        <v>239</v>
      </c>
      <c r="E57" s="657">
        <v>42520</v>
      </c>
      <c r="F57" s="657">
        <v>1350</v>
      </c>
      <c r="G57" s="803">
        <v>3.1749999999999998</v>
      </c>
    </row>
    <row r="58" spans="1:7">
      <c r="A58" s="688"/>
      <c r="B58" s="658"/>
      <c r="C58" s="658"/>
      <c r="D58" s="658"/>
      <c r="E58" s="657"/>
      <c r="F58" s="657"/>
      <c r="G58" s="804"/>
    </row>
    <row r="59" spans="1:7">
      <c r="A59" s="687">
        <v>29</v>
      </c>
      <c r="B59" s="658" t="s">
        <v>3476</v>
      </c>
      <c r="C59" s="658" t="s">
        <v>3483</v>
      </c>
      <c r="D59" s="658" t="s">
        <v>3158</v>
      </c>
      <c r="E59" s="657">
        <v>300</v>
      </c>
      <c r="F59" s="657">
        <f t="shared" ref="F59" si="24">E59</f>
        <v>300</v>
      </c>
      <c r="G59" s="803"/>
    </row>
    <row r="60" spans="1:7">
      <c r="A60" s="688"/>
      <c r="B60" s="658"/>
      <c r="C60" s="658"/>
      <c r="D60" s="658"/>
      <c r="E60" s="657"/>
      <c r="F60" s="657"/>
      <c r="G60" s="804"/>
    </row>
    <row r="61" spans="1:7">
      <c r="A61" s="687">
        <v>30</v>
      </c>
      <c r="B61" s="658" t="s">
        <v>3477</v>
      </c>
      <c r="C61" s="658" t="s">
        <v>3483</v>
      </c>
      <c r="D61" s="658" t="s">
        <v>3261</v>
      </c>
      <c r="E61" s="657">
        <v>12650</v>
      </c>
      <c r="F61" s="657">
        <v>404</v>
      </c>
      <c r="G61" s="803">
        <v>3.1924000000000001</v>
      </c>
    </row>
    <row r="62" spans="1:7">
      <c r="A62" s="688"/>
      <c r="B62" s="658"/>
      <c r="C62" s="658"/>
      <c r="D62" s="658"/>
      <c r="E62" s="657"/>
      <c r="F62" s="657"/>
      <c r="G62" s="804"/>
    </row>
    <row r="63" spans="1:7">
      <c r="A63" s="687">
        <v>31</v>
      </c>
      <c r="B63" s="658" t="s">
        <v>3478</v>
      </c>
      <c r="C63" s="658" t="s">
        <v>3483</v>
      </c>
      <c r="D63" s="658" t="s">
        <v>3471</v>
      </c>
      <c r="E63" s="657">
        <v>480</v>
      </c>
      <c r="F63" s="657">
        <f t="shared" ref="F63" si="25">E63</f>
        <v>480</v>
      </c>
      <c r="G63" s="803"/>
    </row>
    <row r="64" spans="1:7">
      <c r="A64" s="688"/>
      <c r="B64" s="658"/>
      <c r="C64" s="658"/>
      <c r="D64" s="658"/>
      <c r="E64" s="657"/>
      <c r="F64" s="657"/>
      <c r="G64" s="804"/>
    </row>
    <row r="65" spans="1:7">
      <c r="A65" s="687">
        <v>32</v>
      </c>
      <c r="B65" s="658" t="s">
        <v>3490</v>
      </c>
      <c r="C65" s="658" t="s">
        <v>3489</v>
      </c>
      <c r="D65" s="658" t="s">
        <v>239</v>
      </c>
      <c r="E65" s="657">
        <v>1350</v>
      </c>
      <c r="F65" s="657">
        <f t="shared" ref="F65" si="26">E65</f>
        <v>1350</v>
      </c>
      <c r="G65" s="803"/>
    </row>
    <row r="66" spans="1:7">
      <c r="A66" s="688"/>
      <c r="B66" s="658"/>
      <c r="C66" s="658"/>
      <c r="D66" s="658"/>
      <c r="E66" s="657"/>
      <c r="F66" s="657"/>
      <c r="G66" s="804"/>
    </row>
    <row r="67" spans="1:7">
      <c r="A67" s="687">
        <v>33</v>
      </c>
      <c r="B67" s="658" t="s">
        <v>3479</v>
      </c>
      <c r="C67" s="658" t="s">
        <v>3483</v>
      </c>
      <c r="D67" s="658" t="s">
        <v>3472</v>
      </c>
      <c r="E67" s="657">
        <v>99</v>
      </c>
      <c r="F67" s="657">
        <f t="shared" ref="F67" si="27">E67</f>
        <v>99</v>
      </c>
      <c r="G67" s="803"/>
    </row>
    <row r="68" spans="1:7">
      <c r="A68" s="688"/>
      <c r="B68" s="658"/>
      <c r="C68" s="658"/>
      <c r="D68" s="658"/>
      <c r="E68" s="657"/>
      <c r="F68" s="657"/>
      <c r="G68" s="804"/>
    </row>
    <row r="69" spans="1:7">
      <c r="A69" s="687">
        <v>34</v>
      </c>
      <c r="B69" s="658" t="s">
        <v>3480</v>
      </c>
      <c r="C69" s="658" t="s">
        <v>3483</v>
      </c>
      <c r="D69" s="658" t="s">
        <v>1140</v>
      </c>
      <c r="E69" s="657">
        <v>750</v>
      </c>
      <c r="F69" s="657">
        <f t="shared" ref="F69" si="28">E69</f>
        <v>750</v>
      </c>
      <c r="G69" s="803"/>
    </row>
    <row r="70" spans="1:7">
      <c r="A70" s="688"/>
      <c r="B70" s="658"/>
      <c r="C70" s="658"/>
      <c r="D70" s="658"/>
      <c r="E70" s="657"/>
      <c r="F70" s="657"/>
      <c r="G70" s="804"/>
    </row>
    <row r="71" spans="1:7">
      <c r="A71" s="687">
        <v>35</v>
      </c>
      <c r="B71" s="658" t="s">
        <v>3482</v>
      </c>
      <c r="C71" s="658" t="s">
        <v>3483</v>
      </c>
      <c r="D71" s="658" t="s">
        <v>3365</v>
      </c>
      <c r="E71" s="657">
        <v>250</v>
      </c>
      <c r="F71" s="657">
        <f t="shared" ref="F71" si="29">E71</f>
        <v>250</v>
      </c>
      <c r="G71" s="803"/>
    </row>
    <row r="72" spans="1:7">
      <c r="A72" s="688"/>
      <c r="B72" s="658"/>
      <c r="C72" s="658"/>
      <c r="D72" s="658"/>
      <c r="E72" s="657"/>
      <c r="F72" s="657"/>
      <c r="G72" s="804"/>
    </row>
    <row r="73" spans="1:7">
      <c r="A73" s="687">
        <v>36</v>
      </c>
      <c r="B73" s="658" t="s">
        <v>3506</v>
      </c>
      <c r="C73" s="658" t="s">
        <v>3483</v>
      </c>
      <c r="D73" s="658" t="s">
        <v>239</v>
      </c>
      <c r="E73" s="657">
        <v>42288</v>
      </c>
      <c r="F73" s="657">
        <v>1350</v>
      </c>
      <c r="G73" s="803">
        <v>3.1924000000000001</v>
      </c>
    </row>
    <row r="74" spans="1:7">
      <c r="A74" s="688"/>
      <c r="B74" s="658"/>
      <c r="C74" s="658"/>
      <c r="D74" s="658"/>
      <c r="E74" s="657"/>
      <c r="F74" s="657"/>
      <c r="G74" s="804"/>
    </row>
    <row r="75" spans="1:7">
      <c r="A75" s="687">
        <v>37</v>
      </c>
      <c r="B75" s="658" t="s">
        <v>3491</v>
      </c>
      <c r="C75" s="658" t="s">
        <v>3501</v>
      </c>
      <c r="D75" s="658" t="s">
        <v>2517</v>
      </c>
      <c r="E75" s="657">
        <v>270</v>
      </c>
      <c r="F75" s="657">
        <f t="shared" ref="F75" si="30">E75</f>
        <v>270</v>
      </c>
      <c r="G75" s="803"/>
    </row>
    <row r="76" spans="1:7">
      <c r="A76" s="688"/>
      <c r="B76" s="658"/>
      <c r="C76" s="658"/>
      <c r="D76" s="658"/>
      <c r="E76" s="657"/>
      <c r="F76" s="657"/>
      <c r="G76" s="804"/>
    </row>
    <row r="77" spans="1:7">
      <c r="A77" s="687">
        <v>38</v>
      </c>
      <c r="B77" s="658" t="s">
        <v>3492</v>
      </c>
      <c r="C77" s="658" t="s">
        <v>3501</v>
      </c>
      <c r="D77" s="658" t="s">
        <v>2517</v>
      </c>
      <c r="E77" s="657">
        <v>270</v>
      </c>
      <c r="F77" s="657">
        <f t="shared" ref="F77" si="31">E77</f>
        <v>270</v>
      </c>
      <c r="G77" s="803"/>
    </row>
    <row r="78" spans="1:7">
      <c r="A78" s="688"/>
      <c r="B78" s="658"/>
      <c r="C78" s="658"/>
      <c r="D78" s="658"/>
      <c r="E78" s="657"/>
      <c r="F78" s="657"/>
      <c r="G78" s="804"/>
    </row>
    <row r="79" spans="1:7">
      <c r="A79" s="687">
        <v>39</v>
      </c>
      <c r="B79" s="658" t="s">
        <v>3493</v>
      </c>
      <c r="C79" s="658" t="s">
        <v>3501</v>
      </c>
      <c r="D79" s="658" t="s">
        <v>2723</v>
      </c>
      <c r="E79" s="657">
        <v>460</v>
      </c>
      <c r="F79" s="657">
        <f t="shared" ref="F79" si="32">E79</f>
        <v>460</v>
      </c>
      <c r="G79" s="803"/>
    </row>
    <row r="80" spans="1:7">
      <c r="A80" s="688"/>
      <c r="B80" s="658"/>
      <c r="C80" s="658"/>
      <c r="D80" s="658"/>
      <c r="E80" s="657"/>
      <c r="F80" s="657"/>
      <c r="G80" s="804"/>
    </row>
    <row r="81" spans="1:7">
      <c r="A81" s="687">
        <v>40</v>
      </c>
      <c r="B81" s="658" t="s">
        <v>3494</v>
      </c>
      <c r="C81" s="658" t="s">
        <v>3501</v>
      </c>
      <c r="D81" s="658" t="s">
        <v>2723</v>
      </c>
      <c r="E81" s="657">
        <v>200</v>
      </c>
      <c r="F81" s="657">
        <f t="shared" ref="F81" si="33">E81</f>
        <v>200</v>
      </c>
      <c r="G81" s="803"/>
    </row>
    <row r="82" spans="1:7">
      <c r="A82" s="688"/>
      <c r="B82" s="658"/>
      <c r="C82" s="658"/>
      <c r="D82" s="658"/>
      <c r="E82" s="657"/>
      <c r="F82" s="657"/>
      <c r="G82" s="804"/>
    </row>
    <row r="83" spans="1:7">
      <c r="A83" s="687">
        <v>41</v>
      </c>
      <c r="B83" s="658" t="s">
        <v>3511</v>
      </c>
      <c r="C83" s="658" t="s">
        <v>3483</v>
      </c>
      <c r="D83" s="658" t="s">
        <v>239</v>
      </c>
      <c r="E83" s="657">
        <v>60</v>
      </c>
      <c r="F83" s="657">
        <f t="shared" ref="F83" si="34">E83</f>
        <v>60</v>
      </c>
      <c r="G83" s="803" t="s">
        <v>3534</v>
      </c>
    </row>
    <row r="84" spans="1:7">
      <c r="A84" s="688"/>
      <c r="B84" s="658"/>
      <c r="C84" s="658"/>
      <c r="D84" s="658"/>
      <c r="E84" s="657"/>
      <c r="F84" s="657"/>
      <c r="G84" s="804"/>
    </row>
    <row r="85" spans="1:7">
      <c r="A85" s="687">
        <v>42</v>
      </c>
      <c r="B85" s="658" t="s">
        <v>3508</v>
      </c>
      <c r="C85" s="658" t="s">
        <v>3507</v>
      </c>
      <c r="D85" s="658" t="s">
        <v>239</v>
      </c>
      <c r="E85" s="657">
        <v>1350</v>
      </c>
      <c r="F85" s="657">
        <f t="shared" ref="F85" si="35">E85</f>
        <v>1350</v>
      </c>
      <c r="G85" s="803"/>
    </row>
    <row r="86" spans="1:7">
      <c r="A86" s="688"/>
      <c r="B86" s="658"/>
      <c r="C86" s="658"/>
      <c r="D86" s="658"/>
      <c r="E86" s="657"/>
      <c r="F86" s="657"/>
      <c r="G86" s="804"/>
    </row>
    <row r="87" spans="1:7">
      <c r="A87" s="687">
        <v>43</v>
      </c>
      <c r="B87" s="658" t="s">
        <v>3496</v>
      </c>
      <c r="C87" s="658" t="s">
        <v>3502</v>
      </c>
      <c r="D87" s="658" t="s">
        <v>1601</v>
      </c>
      <c r="E87" s="657">
        <v>150</v>
      </c>
      <c r="F87" s="657">
        <f t="shared" ref="F87" si="36">E87</f>
        <v>150</v>
      </c>
      <c r="G87" s="803"/>
    </row>
    <row r="88" spans="1:7">
      <c r="A88" s="688"/>
      <c r="B88" s="658"/>
      <c r="C88" s="658"/>
      <c r="D88" s="658"/>
      <c r="E88" s="657"/>
      <c r="F88" s="657"/>
      <c r="G88" s="804"/>
    </row>
    <row r="89" spans="1:7">
      <c r="A89" s="687">
        <v>44</v>
      </c>
      <c r="B89" s="658" t="s">
        <v>3497</v>
      </c>
      <c r="C89" s="658" t="s">
        <v>3502</v>
      </c>
      <c r="D89" s="658" t="s">
        <v>3309</v>
      </c>
      <c r="E89" s="657">
        <v>600</v>
      </c>
      <c r="F89" s="657">
        <f t="shared" ref="F89" si="37">E89</f>
        <v>600</v>
      </c>
      <c r="G89" s="803"/>
    </row>
    <row r="90" spans="1:7">
      <c r="A90" s="688"/>
      <c r="B90" s="658"/>
      <c r="C90" s="658"/>
      <c r="D90" s="658"/>
      <c r="E90" s="657"/>
      <c r="F90" s="657"/>
      <c r="G90" s="804"/>
    </row>
    <row r="91" spans="1:7">
      <c r="A91" s="687">
        <v>45</v>
      </c>
      <c r="B91" s="658" t="s">
        <v>3509</v>
      </c>
      <c r="C91" s="658" t="s">
        <v>3507</v>
      </c>
      <c r="D91" s="658" t="s">
        <v>239</v>
      </c>
      <c r="E91" s="657">
        <v>42284</v>
      </c>
      <c r="F91" s="657">
        <v>1350</v>
      </c>
      <c r="G91" s="803">
        <v>3.1926999999999999</v>
      </c>
    </row>
    <row r="92" spans="1:7">
      <c r="A92" s="688"/>
      <c r="B92" s="658"/>
      <c r="C92" s="658"/>
      <c r="D92" s="658"/>
      <c r="E92" s="657"/>
      <c r="F92" s="657"/>
      <c r="G92" s="804"/>
    </row>
    <row r="93" spans="1:7">
      <c r="A93" s="687">
        <v>46</v>
      </c>
      <c r="B93" s="658" t="s">
        <v>3498</v>
      </c>
      <c r="C93" s="658" t="s">
        <v>3502</v>
      </c>
      <c r="D93" s="658" t="s">
        <v>3025</v>
      </c>
      <c r="E93" s="657">
        <v>97</v>
      </c>
      <c r="F93" s="657">
        <f t="shared" ref="F93" si="38">E93</f>
        <v>97</v>
      </c>
      <c r="G93" s="803"/>
    </row>
    <row r="94" spans="1:7">
      <c r="A94" s="688"/>
      <c r="B94" s="658"/>
      <c r="C94" s="658"/>
      <c r="D94" s="658"/>
      <c r="E94" s="657"/>
      <c r="F94" s="657"/>
      <c r="G94" s="804"/>
    </row>
    <row r="95" spans="1:7">
      <c r="A95" s="687">
        <v>47</v>
      </c>
      <c r="B95" s="658" t="s">
        <v>3499</v>
      </c>
      <c r="C95" s="658" t="s">
        <v>3502</v>
      </c>
      <c r="D95" s="658" t="s">
        <v>3504</v>
      </c>
      <c r="E95" s="657">
        <v>13000</v>
      </c>
      <c r="F95" s="657">
        <v>416</v>
      </c>
      <c r="G95" s="803">
        <v>3.2008000000000001</v>
      </c>
    </row>
    <row r="96" spans="1:7">
      <c r="A96" s="688"/>
      <c r="B96" s="658"/>
      <c r="C96" s="658"/>
      <c r="D96" s="658"/>
      <c r="E96" s="657"/>
      <c r="F96" s="657"/>
      <c r="G96" s="804"/>
    </row>
    <row r="97" spans="1:7">
      <c r="A97" s="687">
        <v>48</v>
      </c>
      <c r="B97" s="658" t="s">
        <v>3510</v>
      </c>
      <c r="C97" s="658" t="s">
        <v>3507</v>
      </c>
      <c r="D97" s="658" t="s">
        <v>239</v>
      </c>
      <c r="E97" s="657">
        <v>1350</v>
      </c>
      <c r="F97" s="657">
        <f t="shared" ref="F97" si="39">E97</f>
        <v>1350</v>
      </c>
      <c r="G97" s="803"/>
    </row>
    <row r="98" spans="1:7">
      <c r="A98" s="688"/>
      <c r="B98" s="658"/>
      <c r="C98" s="658"/>
      <c r="D98" s="658"/>
      <c r="E98" s="657"/>
      <c r="F98" s="657"/>
      <c r="G98" s="804"/>
    </row>
    <row r="99" spans="1:7">
      <c r="A99" s="687">
        <v>49</v>
      </c>
      <c r="B99" s="658" t="s">
        <v>3495</v>
      </c>
      <c r="C99" s="658" t="s">
        <v>3500</v>
      </c>
      <c r="D99" s="658" t="s">
        <v>1601</v>
      </c>
      <c r="E99" s="657">
        <v>1300</v>
      </c>
      <c r="F99" s="657">
        <f t="shared" ref="F99" si="40">E99</f>
        <v>1300</v>
      </c>
      <c r="G99" s="803"/>
    </row>
    <row r="100" spans="1:7">
      <c r="A100" s="688"/>
      <c r="B100" s="658"/>
      <c r="C100" s="658"/>
      <c r="D100" s="658"/>
      <c r="E100" s="657"/>
      <c r="F100" s="657"/>
      <c r="G100" s="804"/>
    </row>
    <row r="101" spans="1:7">
      <c r="A101" s="687">
        <v>50</v>
      </c>
      <c r="B101" s="658" t="s">
        <v>3522</v>
      </c>
      <c r="C101" s="658" t="s">
        <v>3500</v>
      </c>
      <c r="D101" s="658" t="s">
        <v>239</v>
      </c>
      <c r="E101" s="657">
        <v>120</v>
      </c>
      <c r="F101" s="657">
        <f t="shared" ref="F101" si="41">E101</f>
        <v>120</v>
      </c>
      <c r="G101" s="803" t="s">
        <v>3534</v>
      </c>
    </row>
    <row r="102" spans="1:7">
      <c r="A102" s="688"/>
      <c r="B102" s="658"/>
      <c r="C102" s="658"/>
      <c r="D102" s="658"/>
      <c r="E102" s="657"/>
      <c r="F102" s="657"/>
      <c r="G102" s="804"/>
    </row>
    <row r="103" spans="1:7">
      <c r="A103" s="687">
        <v>51</v>
      </c>
      <c r="B103" s="658" t="s">
        <v>3523</v>
      </c>
      <c r="C103" s="658" t="s">
        <v>3502</v>
      </c>
      <c r="D103" s="658" t="s">
        <v>239</v>
      </c>
      <c r="E103" s="657">
        <v>42177</v>
      </c>
      <c r="F103" s="657">
        <v>1350</v>
      </c>
      <c r="G103" s="803">
        <v>3.2008000000000001</v>
      </c>
    </row>
    <row r="104" spans="1:7">
      <c r="A104" s="688"/>
      <c r="B104" s="658"/>
      <c r="C104" s="658"/>
      <c r="D104" s="658"/>
      <c r="E104" s="657"/>
      <c r="F104" s="657"/>
      <c r="G104" s="804"/>
    </row>
    <row r="105" spans="1:7">
      <c r="A105" s="687">
        <v>52</v>
      </c>
      <c r="B105" s="658" t="s">
        <v>3517</v>
      </c>
      <c r="C105" s="658" t="s">
        <v>3520</v>
      </c>
      <c r="D105" s="658" t="s">
        <v>3512</v>
      </c>
      <c r="E105" s="657">
        <v>400</v>
      </c>
      <c r="F105" s="657">
        <f t="shared" ref="F105" si="42">E105</f>
        <v>400</v>
      </c>
      <c r="G105" s="803"/>
    </row>
    <row r="106" spans="1:7">
      <c r="A106" s="688"/>
      <c r="B106" s="658"/>
      <c r="C106" s="658"/>
      <c r="D106" s="658"/>
      <c r="E106" s="657"/>
      <c r="F106" s="657"/>
      <c r="G106" s="804"/>
    </row>
    <row r="107" spans="1:7">
      <c r="A107" s="687">
        <v>53</v>
      </c>
      <c r="B107" s="658" t="s">
        <v>3518</v>
      </c>
      <c r="C107" s="658" t="s">
        <v>3520</v>
      </c>
      <c r="D107" s="658" t="s">
        <v>3513</v>
      </c>
      <c r="E107" s="657">
        <v>350</v>
      </c>
      <c r="F107" s="657">
        <f t="shared" ref="F107" si="43">E107</f>
        <v>350</v>
      </c>
      <c r="G107" s="803"/>
    </row>
    <row r="108" spans="1:7">
      <c r="A108" s="688"/>
      <c r="B108" s="658"/>
      <c r="C108" s="658"/>
      <c r="D108" s="658"/>
      <c r="E108" s="657"/>
      <c r="F108" s="657"/>
      <c r="G108" s="804"/>
    </row>
    <row r="109" spans="1:7">
      <c r="A109" s="687">
        <v>54</v>
      </c>
      <c r="B109" s="658" t="s">
        <v>3524</v>
      </c>
      <c r="C109" s="658" t="s">
        <v>3502</v>
      </c>
      <c r="D109" s="658" t="s">
        <v>239</v>
      </c>
      <c r="E109" s="657">
        <v>1350</v>
      </c>
      <c r="F109" s="657">
        <f t="shared" ref="F109" si="44">E109</f>
        <v>1350</v>
      </c>
      <c r="G109" s="803"/>
    </row>
    <row r="110" spans="1:7">
      <c r="A110" s="688"/>
      <c r="B110" s="658"/>
      <c r="C110" s="658"/>
      <c r="D110" s="658"/>
      <c r="E110" s="657"/>
      <c r="F110" s="657"/>
      <c r="G110" s="804"/>
    </row>
    <row r="111" spans="1:7">
      <c r="A111" s="687">
        <v>55</v>
      </c>
      <c r="B111" s="658" t="s">
        <v>3519</v>
      </c>
      <c r="C111" s="658" t="s">
        <v>3516</v>
      </c>
      <c r="D111" s="658" t="s">
        <v>2376</v>
      </c>
      <c r="E111" s="657">
        <v>60</v>
      </c>
      <c r="F111" s="657">
        <f t="shared" ref="F111" si="45">E111</f>
        <v>60</v>
      </c>
      <c r="G111" s="803"/>
    </row>
    <row r="112" spans="1:7">
      <c r="A112" s="688"/>
      <c r="B112" s="658"/>
      <c r="C112" s="658"/>
      <c r="D112" s="658"/>
      <c r="E112" s="657"/>
      <c r="F112" s="657"/>
      <c r="G112" s="804"/>
    </row>
    <row r="113" spans="1:7">
      <c r="A113" s="687">
        <v>56</v>
      </c>
      <c r="B113" s="658" t="s">
        <v>3530</v>
      </c>
      <c r="C113" s="658" t="s">
        <v>3516</v>
      </c>
      <c r="D113" s="658" t="s">
        <v>3309</v>
      </c>
      <c r="E113" s="657">
        <v>480</v>
      </c>
      <c r="F113" s="657">
        <f t="shared" ref="F113" si="46">E113</f>
        <v>480</v>
      </c>
      <c r="G113" s="803"/>
    </row>
    <row r="114" spans="1:7">
      <c r="A114" s="688"/>
      <c r="B114" s="658"/>
      <c r="C114" s="658"/>
      <c r="D114" s="658"/>
      <c r="E114" s="657"/>
      <c r="F114" s="657"/>
      <c r="G114" s="804"/>
    </row>
    <row r="115" spans="1:7">
      <c r="A115" s="687">
        <v>57</v>
      </c>
      <c r="B115" s="658" t="s">
        <v>3525</v>
      </c>
      <c r="C115" s="658" t="s">
        <v>3516</v>
      </c>
      <c r="D115" s="658" t="s">
        <v>239</v>
      </c>
      <c r="E115" s="657">
        <v>42159</v>
      </c>
      <c r="F115" s="657">
        <v>1350</v>
      </c>
      <c r="G115" s="803">
        <v>3.2021999999999999</v>
      </c>
    </row>
    <row r="116" spans="1:7">
      <c r="A116" s="688"/>
      <c r="B116" s="658"/>
      <c r="C116" s="658"/>
      <c r="D116" s="658"/>
      <c r="E116" s="657"/>
      <c r="F116" s="657"/>
      <c r="G116" s="804"/>
    </row>
    <row r="117" spans="1:7">
      <c r="A117" s="687">
        <v>58</v>
      </c>
      <c r="B117" s="658" t="s">
        <v>3526</v>
      </c>
      <c r="C117" s="658" t="s">
        <v>3527</v>
      </c>
      <c r="D117" s="658" t="s">
        <v>239</v>
      </c>
      <c r="E117" s="657">
        <v>1350</v>
      </c>
      <c r="F117" s="657">
        <f t="shared" ref="F117" si="47">E117</f>
        <v>1350</v>
      </c>
      <c r="G117" s="807"/>
    </row>
    <row r="118" spans="1:7">
      <c r="A118" s="688"/>
      <c r="B118" s="658"/>
      <c r="C118" s="658"/>
      <c r="D118" s="658"/>
      <c r="E118" s="657"/>
      <c r="F118" s="657"/>
      <c r="G118" s="808"/>
    </row>
    <row r="119" spans="1:7">
      <c r="A119" s="687">
        <v>59</v>
      </c>
      <c r="B119" s="658" t="s">
        <v>3531</v>
      </c>
      <c r="C119" s="658" t="s">
        <v>3521</v>
      </c>
      <c r="D119" s="658" t="s">
        <v>3515</v>
      </c>
      <c r="E119" s="657">
        <v>320</v>
      </c>
      <c r="F119" s="657">
        <f t="shared" ref="F119" si="48">E119</f>
        <v>320</v>
      </c>
      <c r="G119" s="807"/>
    </row>
    <row r="120" spans="1:7">
      <c r="A120" s="688"/>
      <c r="B120" s="658"/>
      <c r="C120" s="658"/>
      <c r="D120" s="658"/>
      <c r="E120" s="657"/>
      <c r="F120" s="657"/>
      <c r="G120" s="808"/>
    </row>
    <row r="121" spans="1:7">
      <c r="A121" s="687">
        <v>60</v>
      </c>
      <c r="B121" s="658" t="s">
        <v>3532</v>
      </c>
      <c r="C121" s="658" t="s">
        <v>3521</v>
      </c>
      <c r="D121" s="658" t="s">
        <v>3257</v>
      </c>
      <c r="E121" s="657">
        <v>400</v>
      </c>
      <c r="F121" s="657">
        <f t="shared" ref="F121" si="49">E121</f>
        <v>400</v>
      </c>
      <c r="G121" s="807"/>
    </row>
    <row r="122" spans="1:7">
      <c r="A122" s="688"/>
      <c r="B122" s="658"/>
      <c r="C122" s="658"/>
      <c r="D122" s="658"/>
      <c r="E122" s="657"/>
      <c r="F122" s="657"/>
      <c r="G122" s="808"/>
    </row>
    <row r="123" spans="1:7">
      <c r="A123" s="1531"/>
      <c r="B123" s="658"/>
      <c r="C123" s="658"/>
      <c r="D123" s="658"/>
      <c r="E123" s="657"/>
      <c r="F123" s="657"/>
      <c r="G123" s="807"/>
    </row>
    <row r="124" spans="1:7">
      <c r="A124" s="1531"/>
      <c r="B124" s="658"/>
      <c r="C124" s="658"/>
      <c r="D124" s="658"/>
      <c r="E124" s="657"/>
      <c r="F124" s="657"/>
      <c r="G124" s="1530"/>
    </row>
    <row r="125" spans="1:7">
      <c r="A125" s="1531"/>
      <c r="B125" s="658"/>
      <c r="C125" s="658"/>
      <c r="D125" s="658"/>
      <c r="E125" s="657"/>
      <c r="F125" s="657"/>
      <c r="G125" s="807"/>
    </row>
    <row r="126" spans="1:7">
      <c r="A126" s="1531"/>
      <c r="B126" s="658"/>
      <c r="C126" s="658"/>
      <c r="D126" s="658"/>
      <c r="E126" s="657"/>
      <c r="F126" s="657"/>
      <c r="G126" s="1530"/>
    </row>
    <row r="127" spans="1:7">
      <c r="A127" s="1531"/>
      <c r="B127" s="658"/>
      <c r="C127" s="658"/>
      <c r="D127" s="658"/>
      <c r="E127" s="657"/>
      <c r="F127" s="657"/>
      <c r="G127" s="807"/>
    </row>
    <row r="128" spans="1:7">
      <c r="A128" s="1531"/>
      <c r="B128" s="658"/>
      <c r="C128" s="658"/>
      <c r="D128" s="658"/>
      <c r="E128" s="657"/>
      <c r="F128" s="657"/>
      <c r="G128" s="1530"/>
    </row>
    <row r="129" spans="1:7">
      <c r="A129" s="1531"/>
      <c r="B129" s="658"/>
      <c r="C129" s="658"/>
      <c r="D129" s="658"/>
      <c r="E129" s="657"/>
      <c r="F129" s="657"/>
      <c r="G129" s="807"/>
    </row>
    <row r="130" spans="1:7">
      <c r="A130" s="1531"/>
      <c r="B130" s="658"/>
      <c r="C130" s="658"/>
      <c r="D130" s="658"/>
      <c r="E130" s="657"/>
      <c r="F130" s="657"/>
      <c r="G130" s="1530"/>
    </row>
    <row r="131" spans="1:7">
      <c r="A131" s="1531"/>
      <c r="B131" s="658"/>
      <c r="C131" s="658"/>
      <c r="D131" s="658"/>
      <c r="E131" s="657"/>
      <c r="F131" s="657"/>
      <c r="G131" s="807"/>
    </row>
    <row r="132" spans="1:7">
      <c r="A132" s="1531"/>
      <c r="B132" s="658"/>
      <c r="C132" s="658"/>
      <c r="D132" s="658"/>
      <c r="E132" s="657"/>
      <c r="F132" s="657"/>
      <c r="G132" s="1530"/>
    </row>
    <row r="133" spans="1:7">
      <c r="A133" s="1531"/>
      <c r="B133" s="658"/>
      <c r="C133" s="658"/>
      <c r="D133" s="658"/>
      <c r="E133" s="657"/>
      <c r="F133" s="657"/>
      <c r="G133" s="807"/>
    </row>
    <row r="134" spans="1:7">
      <c r="A134" s="1531"/>
      <c r="B134" s="658"/>
      <c r="C134" s="658"/>
      <c r="D134" s="658"/>
      <c r="E134" s="657"/>
      <c r="F134" s="657"/>
      <c r="G134" s="1530"/>
    </row>
    <row r="135" spans="1:7">
      <c r="A135" s="1531"/>
      <c r="B135" s="658"/>
      <c r="C135" s="658"/>
      <c r="D135" s="658"/>
      <c r="E135" s="657"/>
      <c r="F135" s="657"/>
      <c r="G135" s="807"/>
    </row>
    <row r="136" spans="1:7">
      <c r="A136" s="1531"/>
      <c r="B136" s="658"/>
      <c r="C136" s="658"/>
      <c r="D136" s="658"/>
      <c r="E136" s="657"/>
      <c r="F136" s="657"/>
      <c r="G136" s="1530"/>
    </row>
    <row r="137" spans="1:7">
      <c r="A137" s="1531"/>
      <c r="B137" s="658"/>
      <c r="C137" s="658"/>
      <c r="D137" s="658"/>
      <c r="E137" s="657"/>
      <c r="F137" s="657"/>
      <c r="G137" s="807"/>
    </row>
    <row r="138" spans="1:7">
      <c r="A138" s="1531"/>
      <c r="B138" s="658"/>
      <c r="C138" s="658"/>
      <c r="D138" s="658"/>
      <c r="E138" s="657"/>
      <c r="F138" s="657"/>
      <c r="G138" s="1530"/>
    </row>
    <row r="139" spans="1:7">
      <c r="A139" s="1531"/>
      <c r="B139" s="658"/>
      <c r="C139" s="658"/>
      <c r="D139" s="658"/>
      <c r="E139" s="657"/>
      <c r="F139" s="657"/>
      <c r="G139" s="807"/>
    </row>
    <row r="140" spans="1:7">
      <c r="A140" s="1531"/>
      <c r="B140" s="658"/>
      <c r="C140" s="658"/>
      <c r="D140" s="658"/>
      <c r="E140" s="657"/>
      <c r="F140" s="657"/>
      <c r="G140" s="1530"/>
    </row>
    <row r="141" spans="1:7">
      <c r="A141" s="1531"/>
      <c r="B141" s="658"/>
      <c r="C141" s="658"/>
      <c r="D141" s="658"/>
      <c r="E141" s="657"/>
      <c r="F141" s="657"/>
      <c r="G141" s="807"/>
    </row>
    <row r="142" spans="1:7">
      <c r="A142" s="1531"/>
      <c r="B142" s="658"/>
      <c r="C142" s="658"/>
      <c r="D142" s="658"/>
      <c r="E142" s="657"/>
      <c r="F142" s="657"/>
      <c r="G142" s="1530"/>
    </row>
    <row r="143" spans="1:7">
      <c r="A143" s="1531"/>
      <c r="B143" s="658"/>
      <c r="C143" s="658"/>
      <c r="D143" s="658"/>
      <c r="E143" s="657"/>
      <c r="F143" s="657"/>
      <c r="G143" s="807"/>
    </row>
    <row r="144" spans="1:7">
      <c r="A144" s="1531"/>
      <c r="B144" s="658"/>
      <c r="C144" s="658"/>
      <c r="D144" s="658"/>
      <c r="E144" s="657"/>
      <c r="F144" s="657"/>
      <c r="G144" s="1530"/>
    </row>
    <row r="145" spans="1:7">
      <c r="A145" s="1531"/>
      <c r="B145" s="658"/>
      <c r="C145" s="658"/>
      <c r="D145" s="658"/>
      <c r="E145" s="657"/>
      <c r="F145" s="657"/>
      <c r="G145" s="807"/>
    </row>
    <row r="146" spans="1:7">
      <c r="A146" s="1531"/>
      <c r="B146" s="658"/>
      <c r="C146" s="658"/>
      <c r="D146" s="658"/>
      <c r="E146" s="657"/>
      <c r="F146" s="657"/>
      <c r="G146" s="1530"/>
    </row>
    <row r="147" spans="1:7">
      <c r="A147" s="1531"/>
      <c r="B147" s="658"/>
      <c r="C147" s="658"/>
      <c r="D147" s="658"/>
      <c r="E147" s="657"/>
      <c r="F147" s="657"/>
      <c r="G147" s="807"/>
    </row>
    <row r="148" spans="1:7">
      <c r="A148" s="1531"/>
      <c r="B148" s="658"/>
      <c r="C148" s="658"/>
      <c r="D148" s="658"/>
      <c r="E148" s="657"/>
      <c r="F148" s="657"/>
      <c r="G148" s="1530"/>
    </row>
    <row r="149" spans="1:7">
      <c r="A149" s="1531"/>
      <c r="B149" s="658"/>
      <c r="C149" s="658"/>
      <c r="D149" s="658"/>
      <c r="E149" s="657"/>
      <c r="F149" s="657"/>
      <c r="G149" s="807"/>
    </row>
    <row r="150" spans="1:7">
      <c r="A150" s="1531"/>
      <c r="B150" s="658"/>
      <c r="C150" s="658"/>
      <c r="D150" s="658"/>
      <c r="E150" s="657"/>
      <c r="F150" s="657"/>
      <c r="G150" s="1530"/>
    </row>
    <row r="151" spans="1:7">
      <c r="A151" s="1531"/>
      <c r="B151" s="658"/>
      <c r="C151" s="658"/>
      <c r="D151" s="658"/>
      <c r="E151" s="657"/>
      <c r="F151" s="657"/>
      <c r="G151" s="807"/>
    </row>
    <row r="152" spans="1:7">
      <c r="A152" s="1531"/>
      <c r="B152" s="658"/>
      <c r="C152" s="658"/>
      <c r="D152" s="658"/>
      <c r="E152" s="657"/>
      <c r="F152" s="657"/>
      <c r="G152" s="1530"/>
    </row>
    <row r="153" spans="1:7">
      <c r="A153" s="1531"/>
      <c r="B153" s="658"/>
      <c r="C153" s="658"/>
      <c r="D153" s="658"/>
      <c r="E153" s="657"/>
      <c r="F153" s="657"/>
      <c r="G153" s="807"/>
    </row>
    <row r="154" spans="1:7">
      <c r="A154" s="1531"/>
      <c r="B154" s="658"/>
      <c r="C154" s="658"/>
      <c r="D154" s="658"/>
      <c r="E154" s="657"/>
      <c r="F154" s="657"/>
      <c r="G154" s="1530"/>
    </row>
    <row r="155" spans="1:7">
      <c r="A155" s="1531"/>
      <c r="B155" s="658"/>
      <c r="C155" s="658"/>
      <c r="D155" s="658"/>
      <c r="E155" s="657"/>
      <c r="F155" s="657"/>
      <c r="G155" s="807"/>
    </row>
    <row r="156" spans="1:7">
      <c r="A156" s="1531"/>
      <c r="B156" s="658"/>
      <c r="C156" s="658"/>
      <c r="D156" s="658"/>
      <c r="E156" s="657"/>
      <c r="F156" s="657"/>
      <c r="G156" s="1530"/>
    </row>
  </sheetData>
  <mergeCells count="539">
    <mergeCell ref="G155:G156"/>
    <mergeCell ref="A155:A156"/>
    <mergeCell ref="B155:B156"/>
    <mergeCell ref="C155:C156"/>
    <mergeCell ref="D155:D156"/>
    <mergeCell ref="E155:E156"/>
    <mergeCell ref="F155:F156"/>
    <mergeCell ref="G151:G152"/>
    <mergeCell ref="A153:A154"/>
    <mergeCell ref="B153:B154"/>
    <mergeCell ref="C153:C154"/>
    <mergeCell ref="D153:D154"/>
    <mergeCell ref="E153:E154"/>
    <mergeCell ref="F153:F154"/>
    <mergeCell ref="G153:G154"/>
    <mergeCell ref="A151:A152"/>
    <mergeCell ref="B151:B152"/>
    <mergeCell ref="C151:C152"/>
    <mergeCell ref="D151:D152"/>
    <mergeCell ref="E151:E152"/>
    <mergeCell ref="F151:F152"/>
    <mergeCell ref="G147:G148"/>
    <mergeCell ref="A149:A150"/>
    <mergeCell ref="B149:B150"/>
    <mergeCell ref="C149:C150"/>
    <mergeCell ref="D149:D150"/>
    <mergeCell ref="E149:E150"/>
    <mergeCell ref="F149:F150"/>
    <mergeCell ref="G149:G150"/>
    <mergeCell ref="A147:A148"/>
    <mergeCell ref="B147:B148"/>
    <mergeCell ref="C147:C148"/>
    <mergeCell ref="D147:D148"/>
    <mergeCell ref="E147:E148"/>
    <mergeCell ref="F147:F148"/>
    <mergeCell ref="G143:G144"/>
    <mergeCell ref="A145:A146"/>
    <mergeCell ref="B145:B146"/>
    <mergeCell ref="C145:C146"/>
    <mergeCell ref="D145:D146"/>
    <mergeCell ref="E145:E146"/>
    <mergeCell ref="F145:F146"/>
    <mergeCell ref="G145:G146"/>
    <mergeCell ref="A143:A144"/>
    <mergeCell ref="B143:B144"/>
    <mergeCell ref="C143:C144"/>
    <mergeCell ref="D143:D144"/>
    <mergeCell ref="E143:E144"/>
    <mergeCell ref="F143:F144"/>
    <mergeCell ref="G139:G140"/>
    <mergeCell ref="A141:A142"/>
    <mergeCell ref="B141:B142"/>
    <mergeCell ref="C141:C142"/>
    <mergeCell ref="D141:D142"/>
    <mergeCell ref="E141:E142"/>
    <mergeCell ref="F141:F142"/>
    <mergeCell ref="G141:G142"/>
    <mergeCell ref="A139:A140"/>
    <mergeCell ref="B139:B140"/>
    <mergeCell ref="C139:C140"/>
    <mergeCell ref="D139:D140"/>
    <mergeCell ref="E139:E140"/>
    <mergeCell ref="F139:F140"/>
    <mergeCell ref="G135:G136"/>
    <mergeCell ref="A137:A138"/>
    <mergeCell ref="B137:B138"/>
    <mergeCell ref="C137:C138"/>
    <mergeCell ref="D137:D138"/>
    <mergeCell ref="E137:E138"/>
    <mergeCell ref="F137:F138"/>
    <mergeCell ref="G137:G138"/>
    <mergeCell ref="A135:A136"/>
    <mergeCell ref="B135:B136"/>
    <mergeCell ref="C135:C136"/>
    <mergeCell ref="D135:D136"/>
    <mergeCell ref="E135:E136"/>
    <mergeCell ref="F135:F136"/>
    <mergeCell ref="G131:G132"/>
    <mergeCell ref="A133:A134"/>
    <mergeCell ref="B133:B134"/>
    <mergeCell ref="C133:C134"/>
    <mergeCell ref="D133:D134"/>
    <mergeCell ref="E133:E134"/>
    <mergeCell ref="F133:F134"/>
    <mergeCell ref="G133:G134"/>
    <mergeCell ref="A131:A132"/>
    <mergeCell ref="B131:B132"/>
    <mergeCell ref="C131:C132"/>
    <mergeCell ref="D131:D132"/>
    <mergeCell ref="E131:E132"/>
    <mergeCell ref="F131:F132"/>
    <mergeCell ref="G127:G128"/>
    <mergeCell ref="A129:A130"/>
    <mergeCell ref="B129:B130"/>
    <mergeCell ref="C129:C130"/>
    <mergeCell ref="D129:D130"/>
    <mergeCell ref="E129:E130"/>
    <mergeCell ref="F129:F130"/>
    <mergeCell ref="G129:G130"/>
    <mergeCell ref="A127:A128"/>
    <mergeCell ref="B127:B128"/>
    <mergeCell ref="C127:C128"/>
    <mergeCell ref="D127:D128"/>
    <mergeCell ref="E127:E128"/>
    <mergeCell ref="F127:F128"/>
    <mergeCell ref="G123:G124"/>
    <mergeCell ref="A125:A126"/>
    <mergeCell ref="B125:B126"/>
    <mergeCell ref="C125:C126"/>
    <mergeCell ref="D125:D126"/>
    <mergeCell ref="E125:E126"/>
    <mergeCell ref="F125:F126"/>
    <mergeCell ref="G125:G126"/>
    <mergeCell ref="A123:A124"/>
    <mergeCell ref="B123:B124"/>
    <mergeCell ref="C123:C124"/>
    <mergeCell ref="D123:D124"/>
    <mergeCell ref="E123:E124"/>
    <mergeCell ref="F123:F124"/>
    <mergeCell ref="G119:G120"/>
    <mergeCell ref="A121:A122"/>
    <mergeCell ref="B121:B122"/>
    <mergeCell ref="C121:C122"/>
    <mergeCell ref="D121:D122"/>
    <mergeCell ref="E121:E122"/>
    <mergeCell ref="F121:F122"/>
    <mergeCell ref="G121:G122"/>
    <mergeCell ref="A119:A120"/>
    <mergeCell ref="B119:B120"/>
    <mergeCell ref="C119:C120"/>
    <mergeCell ref="D119:D120"/>
    <mergeCell ref="E119:E120"/>
    <mergeCell ref="F119:F120"/>
    <mergeCell ref="A117:A118"/>
    <mergeCell ref="B117:B118"/>
    <mergeCell ref="C117:C118"/>
    <mergeCell ref="D117:D118"/>
    <mergeCell ref="E117:E118"/>
    <mergeCell ref="F117:F118"/>
    <mergeCell ref="G117:G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workbookViewId="0">
      <selection activeCell="A101" sqref="A101:A102"/>
    </sheetView>
  </sheetViews>
  <sheetFormatPr defaultRowHeight="12.75"/>
  <cols>
    <col min="2" max="2" width="17.42578125" customWidth="1"/>
    <col min="4" max="4" width="23" customWidth="1"/>
    <col min="7" max="7" width="9.5703125" bestFit="1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SUM(F3:F102)</f>
        <v>32709</v>
      </c>
    </row>
    <row r="2" spans="1:7" ht="15">
      <c r="A2" s="1536" t="s">
        <v>3435</v>
      </c>
      <c r="B2" s="1536"/>
      <c r="C2" s="1536"/>
      <c r="D2" s="1536"/>
      <c r="E2" s="1536"/>
      <c r="F2" s="1536"/>
      <c r="G2" s="1536"/>
    </row>
    <row r="3" spans="1:7">
      <c r="A3" s="1531">
        <v>1</v>
      </c>
      <c r="B3" s="658" t="s">
        <v>2744</v>
      </c>
      <c r="C3" s="658" t="s">
        <v>3370</v>
      </c>
      <c r="D3" s="658" t="s">
        <v>1601</v>
      </c>
      <c r="E3" s="657">
        <v>700</v>
      </c>
      <c r="F3" s="657">
        <f t="shared" ref="F3" si="0">E3</f>
        <v>700</v>
      </c>
      <c r="G3" s="1526"/>
    </row>
    <row r="4" spans="1:7">
      <c r="A4" s="1531"/>
      <c r="B4" s="658"/>
      <c r="C4" s="658"/>
      <c r="D4" s="658"/>
      <c r="E4" s="657"/>
      <c r="F4" s="657"/>
      <c r="G4" s="1535"/>
    </row>
    <row r="5" spans="1:7">
      <c r="A5" s="1531">
        <v>2</v>
      </c>
      <c r="B5" s="658" t="s">
        <v>3383</v>
      </c>
      <c r="C5" s="658" t="s">
        <v>3370</v>
      </c>
      <c r="D5" s="658" t="s">
        <v>239</v>
      </c>
      <c r="E5" s="657">
        <v>44781</v>
      </c>
      <c r="F5" s="657">
        <v>1350</v>
      </c>
      <c r="G5" s="1533">
        <v>3.0146999999999999</v>
      </c>
    </row>
    <row r="6" spans="1:7">
      <c r="A6" s="1531"/>
      <c r="B6" s="658"/>
      <c r="C6" s="658"/>
      <c r="D6" s="658"/>
      <c r="E6" s="657"/>
      <c r="F6" s="657"/>
      <c r="G6" s="1534"/>
    </row>
    <row r="7" spans="1:7">
      <c r="A7" s="1531">
        <v>3</v>
      </c>
      <c r="B7" s="658" t="s">
        <v>2759</v>
      </c>
      <c r="C7" s="658" t="s">
        <v>3381</v>
      </c>
      <c r="D7" s="658" t="s">
        <v>3261</v>
      </c>
      <c r="E7" s="657">
        <v>14000</v>
      </c>
      <c r="F7" s="657">
        <v>420</v>
      </c>
      <c r="G7" s="1533">
        <v>2.9996</v>
      </c>
    </row>
    <row r="8" spans="1:7">
      <c r="A8" s="1531"/>
      <c r="B8" s="658"/>
      <c r="C8" s="658"/>
      <c r="D8" s="658"/>
      <c r="E8" s="657"/>
      <c r="F8" s="657"/>
      <c r="G8" s="1533"/>
    </row>
    <row r="9" spans="1:7">
      <c r="A9" s="1531">
        <v>4</v>
      </c>
      <c r="B9" s="658" t="s">
        <v>2760</v>
      </c>
      <c r="C9" s="658" t="s">
        <v>3381</v>
      </c>
      <c r="D9" s="658" t="s">
        <v>2723</v>
      </c>
      <c r="E9" s="657">
        <v>180</v>
      </c>
      <c r="F9" s="657">
        <f t="shared" ref="F9" si="1">E9</f>
        <v>180</v>
      </c>
      <c r="G9" s="1526"/>
    </row>
    <row r="10" spans="1:7">
      <c r="A10" s="1531"/>
      <c r="B10" s="658"/>
      <c r="C10" s="658"/>
      <c r="D10" s="658"/>
      <c r="E10" s="657"/>
      <c r="F10" s="657"/>
      <c r="G10" s="1535"/>
    </row>
    <row r="11" spans="1:7">
      <c r="A11" s="1531">
        <v>5</v>
      </c>
      <c r="B11" s="658" t="s">
        <v>2765</v>
      </c>
      <c r="C11" s="658" t="s">
        <v>3381</v>
      </c>
      <c r="D11" s="658" t="s">
        <v>2723</v>
      </c>
      <c r="E11" s="657">
        <v>370</v>
      </c>
      <c r="F11" s="657">
        <f t="shared" ref="F11" si="2">E11</f>
        <v>370</v>
      </c>
      <c r="G11" s="1533"/>
    </row>
    <row r="12" spans="1:7">
      <c r="A12" s="1531"/>
      <c r="B12" s="658"/>
      <c r="C12" s="658"/>
      <c r="D12" s="658"/>
      <c r="E12" s="657"/>
      <c r="F12" s="657"/>
      <c r="G12" s="1534"/>
    </row>
    <row r="13" spans="1:7">
      <c r="A13" s="1531">
        <v>6</v>
      </c>
      <c r="B13" s="658" t="s">
        <v>3384</v>
      </c>
      <c r="C13" s="658" t="s">
        <v>3370</v>
      </c>
      <c r="D13" s="658" t="s">
        <v>239</v>
      </c>
      <c r="E13" s="657">
        <v>1400</v>
      </c>
      <c r="F13" s="657">
        <f t="shared" ref="F13" si="3">E13</f>
        <v>1400</v>
      </c>
      <c r="G13" s="1533"/>
    </row>
    <row r="14" spans="1:7">
      <c r="A14" s="1531"/>
      <c r="B14" s="658"/>
      <c r="C14" s="658"/>
      <c r="D14" s="658"/>
      <c r="E14" s="657"/>
      <c r="F14" s="657"/>
      <c r="G14" s="1534"/>
    </row>
    <row r="15" spans="1:7">
      <c r="A15" s="1531">
        <v>7</v>
      </c>
      <c r="B15" s="658" t="s">
        <v>2766</v>
      </c>
      <c r="C15" s="658" t="s">
        <v>3381</v>
      </c>
      <c r="D15" s="658" t="s">
        <v>3261</v>
      </c>
      <c r="E15" s="657">
        <v>10000</v>
      </c>
      <c r="F15" s="657">
        <v>300</v>
      </c>
      <c r="G15" s="1533">
        <v>2.9996</v>
      </c>
    </row>
    <row r="16" spans="1:7">
      <c r="A16" s="1531"/>
      <c r="B16" s="658"/>
      <c r="C16" s="658"/>
      <c r="D16" s="658"/>
      <c r="E16" s="657"/>
      <c r="F16" s="657"/>
      <c r="G16" s="1534"/>
    </row>
    <row r="17" spans="1:7">
      <c r="A17" s="1531">
        <v>8</v>
      </c>
      <c r="B17" s="658" t="s">
        <v>2768</v>
      </c>
      <c r="C17" s="658" t="s">
        <v>3382</v>
      </c>
      <c r="D17" s="658" t="s">
        <v>3379</v>
      </c>
      <c r="E17" s="657">
        <v>650</v>
      </c>
      <c r="F17" s="657">
        <f t="shared" ref="F17" si="4">E17</f>
        <v>650</v>
      </c>
      <c r="G17" s="1533"/>
    </row>
    <row r="18" spans="1:7">
      <c r="A18" s="1531"/>
      <c r="B18" s="658"/>
      <c r="C18" s="658"/>
      <c r="D18" s="658"/>
      <c r="E18" s="657"/>
      <c r="F18" s="657"/>
      <c r="G18" s="1534"/>
    </row>
    <row r="19" spans="1:7">
      <c r="A19" s="1531">
        <v>9</v>
      </c>
      <c r="B19" s="658" t="s">
        <v>3386</v>
      </c>
      <c r="C19" s="658" t="s">
        <v>3385</v>
      </c>
      <c r="D19" s="658" t="s">
        <v>239</v>
      </c>
      <c r="E19" s="657">
        <v>44790</v>
      </c>
      <c r="F19" s="657">
        <v>1350</v>
      </c>
      <c r="G19" s="1533">
        <v>3.0141</v>
      </c>
    </row>
    <row r="20" spans="1:7">
      <c r="A20" s="1531"/>
      <c r="B20" s="658"/>
      <c r="C20" s="658"/>
      <c r="D20" s="658"/>
      <c r="E20" s="657"/>
      <c r="F20" s="657"/>
      <c r="G20" s="1534"/>
    </row>
    <row r="21" spans="1:7">
      <c r="A21" s="1531">
        <v>10</v>
      </c>
      <c r="B21" s="658" t="s">
        <v>2769</v>
      </c>
      <c r="C21" s="658" t="s">
        <v>3381</v>
      </c>
      <c r="D21" s="658" t="s">
        <v>3380</v>
      </c>
      <c r="E21" s="657">
        <v>600</v>
      </c>
      <c r="F21" s="657">
        <f t="shared" ref="F21" si="5">E21</f>
        <v>600</v>
      </c>
      <c r="G21" s="1533"/>
    </row>
    <row r="22" spans="1:7">
      <c r="A22" s="1531"/>
      <c r="B22" s="658"/>
      <c r="C22" s="658"/>
      <c r="D22" s="658"/>
      <c r="E22" s="657"/>
      <c r="F22" s="657"/>
      <c r="G22" s="1534"/>
    </row>
    <row r="23" spans="1:7">
      <c r="A23" s="1531">
        <v>11</v>
      </c>
      <c r="B23" s="658" t="s">
        <v>3391</v>
      </c>
      <c r="C23" s="658" t="s">
        <v>3390</v>
      </c>
      <c r="D23" s="658" t="s">
        <v>239</v>
      </c>
      <c r="E23" s="657">
        <v>1350</v>
      </c>
      <c r="F23" s="657">
        <f t="shared" ref="F23" si="6">E23</f>
        <v>1350</v>
      </c>
      <c r="G23" s="1533"/>
    </row>
    <row r="24" spans="1:7">
      <c r="A24" s="1531"/>
      <c r="B24" s="658"/>
      <c r="C24" s="658"/>
      <c r="D24" s="658"/>
      <c r="E24" s="657"/>
      <c r="F24" s="657"/>
      <c r="G24" s="1534"/>
    </row>
    <row r="25" spans="1:7">
      <c r="A25" s="1531">
        <v>12</v>
      </c>
      <c r="B25" s="658" t="s">
        <v>2775</v>
      </c>
      <c r="C25" s="658" t="s">
        <v>3387</v>
      </c>
      <c r="D25" s="658" t="s">
        <v>1140</v>
      </c>
      <c r="E25" s="657">
        <v>500</v>
      </c>
      <c r="F25" s="657">
        <f t="shared" ref="F25" si="7">E25</f>
        <v>500</v>
      </c>
      <c r="G25" s="1533"/>
    </row>
    <row r="26" spans="1:7">
      <c r="A26" s="1531"/>
      <c r="B26" s="658"/>
      <c r="C26" s="658"/>
      <c r="D26" s="658"/>
      <c r="E26" s="657"/>
      <c r="F26" s="657"/>
      <c r="G26" s="1534"/>
    </row>
    <row r="27" spans="1:7">
      <c r="A27" s="1531">
        <v>13</v>
      </c>
      <c r="B27" s="658" t="s">
        <v>2776</v>
      </c>
      <c r="C27" s="658" t="s">
        <v>3387</v>
      </c>
      <c r="D27" s="658" t="s">
        <v>117</v>
      </c>
      <c r="E27" s="657">
        <v>110</v>
      </c>
      <c r="F27" s="657">
        <f t="shared" ref="F27" si="8">E27</f>
        <v>110</v>
      </c>
      <c r="G27" s="1533"/>
    </row>
    <row r="28" spans="1:7">
      <c r="A28" s="1531"/>
      <c r="B28" s="658"/>
      <c r="C28" s="658"/>
      <c r="D28" s="658"/>
      <c r="E28" s="657"/>
      <c r="F28" s="657"/>
      <c r="G28" s="1534"/>
    </row>
    <row r="29" spans="1:7">
      <c r="A29" s="1531">
        <v>14</v>
      </c>
      <c r="B29" s="658" t="s">
        <v>2783</v>
      </c>
      <c r="C29" s="658" t="s">
        <v>3387</v>
      </c>
      <c r="D29" s="658" t="s">
        <v>3309</v>
      </c>
      <c r="E29" s="657">
        <v>450</v>
      </c>
      <c r="F29" s="657">
        <f t="shared" ref="F29" si="9">E29</f>
        <v>450</v>
      </c>
      <c r="G29" s="1533"/>
    </row>
    <row r="30" spans="1:7">
      <c r="A30" s="1531"/>
      <c r="B30" s="658"/>
      <c r="C30" s="658"/>
      <c r="D30" s="658"/>
      <c r="E30" s="657"/>
      <c r="F30" s="657"/>
      <c r="G30" s="1534"/>
    </row>
    <row r="31" spans="1:7">
      <c r="A31" s="1531">
        <v>15</v>
      </c>
      <c r="B31" s="658" t="s">
        <v>3393</v>
      </c>
      <c r="C31" s="658" t="s">
        <v>3392</v>
      </c>
      <c r="D31" s="658" t="s">
        <v>239</v>
      </c>
      <c r="E31" s="657">
        <v>46834</v>
      </c>
      <c r="F31" s="657">
        <v>1400</v>
      </c>
      <c r="G31" s="1533">
        <v>2.9893000000000001</v>
      </c>
    </row>
    <row r="32" spans="1:7">
      <c r="A32" s="1531"/>
      <c r="B32" s="658"/>
      <c r="C32" s="658"/>
      <c r="D32" s="658"/>
      <c r="E32" s="657"/>
      <c r="F32" s="657"/>
      <c r="G32" s="1534"/>
    </row>
    <row r="33" spans="1:7">
      <c r="A33" s="1531">
        <v>16</v>
      </c>
      <c r="B33" s="658" t="s">
        <v>2784</v>
      </c>
      <c r="C33" s="658" t="s">
        <v>2835</v>
      </c>
      <c r="D33" s="658" t="s">
        <v>2723</v>
      </c>
      <c r="E33" s="657">
        <v>300</v>
      </c>
      <c r="F33" s="657">
        <f t="shared" ref="F33" si="10">E33</f>
        <v>300</v>
      </c>
      <c r="G33" s="1533"/>
    </row>
    <row r="34" spans="1:7">
      <c r="A34" s="1531"/>
      <c r="B34" s="658"/>
      <c r="C34" s="658"/>
      <c r="D34" s="658"/>
      <c r="E34" s="657"/>
      <c r="F34" s="657"/>
      <c r="G34" s="1534"/>
    </row>
    <row r="35" spans="1:7">
      <c r="A35" s="1531">
        <v>17</v>
      </c>
      <c r="B35" s="658" t="s">
        <v>2785</v>
      </c>
      <c r="C35" s="658" t="s">
        <v>2835</v>
      </c>
      <c r="D35" s="658" t="s">
        <v>2723</v>
      </c>
      <c r="E35" s="657">
        <v>200</v>
      </c>
      <c r="F35" s="657">
        <f t="shared" ref="F35" si="11">E35</f>
        <v>200</v>
      </c>
      <c r="G35" s="1533"/>
    </row>
    <row r="36" spans="1:7">
      <c r="A36" s="1531"/>
      <c r="B36" s="658"/>
      <c r="C36" s="658"/>
      <c r="D36" s="658"/>
      <c r="E36" s="657"/>
      <c r="F36" s="657"/>
      <c r="G36" s="1534"/>
    </row>
    <row r="37" spans="1:7">
      <c r="A37" s="1531">
        <v>18</v>
      </c>
      <c r="B37" s="658" t="s">
        <v>2786</v>
      </c>
      <c r="C37" s="658" t="s">
        <v>2835</v>
      </c>
      <c r="D37" s="658" t="s">
        <v>2723</v>
      </c>
      <c r="E37" s="657">
        <v>300</v>
      </c>
      <c r="F37" s="657">
        <f t="shared" ref="F37" si="12">E37</f>
        <v>300</v>
      </c>
      <c r="G37" s="1533"/>
    </row>
    <row r="38" spans="1:7">
      <c r="A38" s="1531"/>
      <c r="B38" s="658"/>
      <c r="C38" s="658"/>
      <c r="D38" s="658"/>
      <c r="E38" s="657"/>
      <c r="F38" s="657"/>
      <c r="G38" s="1534"/>
    </row>
    <row r="39" spans="1:7">
      <c r="A39" s="1531">
        <v>19</v>
      </c>
      <c r="B39" s="658" t="s">
        <v>2787</v>
      </c>
      <c r="C39" s="658" t="s">
        <v>2835</v>
      </c>
      <c r="D39" s="658" t="s">
        <v>2723</v>
      </c>
      <c r="E39" s="657">
        <v>270</v>
      </c>
      <c r="F39" s="657">
        <f t="shared" ref="F39" si="13">E39</f>
        <v>270</v>
      </c>
      <c r="G39" s="1533"/>
    </row>
    <row r="40" spans="1:7">
      <c r="A40" s="1531"/>
      <c r="B40" s="658"/>
      <c r="C40" s="658"/>
      <c r="D40" s="658"/>
      <c r="E40" s="657"/>
      <c r="F40" s="657"/>
      <c r="G40" s="1534"/>
    </row>
    <row r="41" spans="1:7">
      <c r="A41" s="1531">
        <v>20</v>
      </c>
      <c r="B41" s="658" t="s">
        <v>3395</v>
      </c>
      <c r="C41" s="658" t="s">
        <v>3394</v>
      </c>
      <c r="D41" s="658" t="s">
        <v>239</v>
      </c>
      <c r="E41" s="657">
        <v>1350</v>
      </c>
      <c r="F41" s="657">
        <f t="shared" ref="F41" si="14">E41</f>
        <v>1350</v>
      </c>
      <c r="G41" s="1533"/>
    </row>
    <row r="42" spans="1:7">
      <c r="A42" s="1531"/>
      <c r="B42" s="658"/>
      <c r="C42" s="658"/>
      <c r="D42" s="658"/>
      <c r="E42" s="657"/>
      <c r="F42" s="657"/>
      <c r="G42" s="1534"/>
    </row>
    <row r="43" spans="1:7">
      <c r="A43" s="1531">
        <v>21</v>
      </c>
      <c r="B43" s="658" t="s">
        <v>2788</v>
      </c>
      <c r="C43" s="658" t="s">
        <v>2835</v>
      </c>
      <c r="D43" s="658" t="s">
        <v>3388</v>
      </c>
      <c r="E43" s="657">
        <v>370</v>
      </c>
      <c r="F43" s="657">
        <f t="shared" ref="F43" si="15">E43</f>
        <v>370</v>
      </c>
      <c r="G43" s="1533"/>
    </row>
    <row r="44" spans="1:7">
      <c r="A44" s="1531"/>
      <c r="B44" s="658"/>
      <c r="C44" s="658"/>
      <c r="D44" s="658"/>
      <c r="E44" s="657"/>
      <c r="F44" s="657"/>
      <c r="G44" s="1534"/>
    </row>
    <row r="45" spans="1:7">
      <c r="A45" s="1531">
        <v>22</v>
      </c>
      <c r="B45" s="658" t="s">
        <v>2789</v>
      </c>
      <c r="C45" s="658" t="s">
        <v>2835</v>
      </c>
      <c r="D45" s="658" t="s">
        <v>3260</v>
      </c>
      <c r="E45" s="657">
        <v>270</v>
      </c>
      <c r="F45" s="657">
        <f t="shared" ref="F45" si="16">E45</f>
        <v>270</v>
      </c>
      <c r="G45" s="1533"/>
    </row>
    <row r="46" spans="1:7">
      <c r="A46" s="1531"/>
      <c r="B46" s="658"/>
      <c r="C46" s="658"/>
      <c r="D46" s="658"/>
      <c r="E46" s="657"/>
      <c r="F46" s="657"/>
      <c r="G46" s="1534"/>
    </row>
    <row r="47" spans="1:7">
      <c r="A47" s="1531">
        <v>23</v>
      </c>
      <c r="B47" s="658" t="s">
        <v>2805</v>
      </c>
      <c r="C47" s="658" t="s">
        <v>2835</v>
      </c>
      <c r="D47" s="658" t="s">
        <v>3261</v>
      </c>
      <c r="E47" s="657">
        <v>250</v>
      </c>
      <c r="F47" s="657">
        <f t="shared" ref="F47" si="17">E47</f>
        <v>250</v>
      </c>
      <c r="G47" s="1533"/>
    </row>
    <row r="48" spans="1:7">
      <c r="A48" s="1531"/>
      <c r="B48" s="658"/>
      <c r="C48" s="658"/>
      <c r="D48" s="658"/>
      <c r="E48" s="657"/>
      <c r="F48" s="657"/>
      <c r="G48" s="1534"/>
    </row>
    <row r="49" spans="1:7">
      <c r="A49" s="1531">
        <v>24</v>
      </c>
      <c r="B49" s="658" t="s">
        <v>2806</v>
      </c>
      <c r="C49" s="658" t="s">
        <v>2835</v>
      </c>
      <c r="D49" s="658" t="s">
        <v>3389</v>
      </c>
      <c r="E49" s="657">
        <v>280</v>
      </c>
      <c r="F49" s="657">
        <f t="shared" ref="F49" si="18">E49</f>
        <v>280</v>
      </c>
      <c r="G49" s="1533"/>
    </row>
    <row r="50" spans="1:7">
      <c r="A50" s="1531"/>
      <c r="B50" s="658"/>
      <c r="C50" s="658"/>
      <c r="D50" s="658"/>
      <c r="E50" s="657"/>
      <c r="F50" s="657"/>
      <c r="G50" s="1534"/>
    </row>
    <row r="51" spans="1:7">
      <c r="A51" s="1531">
        <v>25</v>
      </c>
      <c r="B51" s="658" t="s">
        <v>3412</v>
      </c>
      <c r="C51" s="658" t="s">
        <v>3387</v>
      </c>
      <c r="D51" s="658" t="s">
        <v>239</v>
      </c>
      <c r="E51" s="657">
        <v>47090</v>
      </c>
      <c r="F51" s="657">
        <v>1400</v>
      </c>
      <c r="G51" s="1533">
        <v>2.9729999999999999</v>
      </c>
    </row>
    <row r="52" spans="1:7">
      <c r="A52" s="1531"/>
      <c r="B52" s="658"/>
      <c r="C52" s="658"/>
      <c r="D52" s="658"/>
      <c r="E52" s="657"/>
      <c r="F52" s="657"/>
      <c r="G52" s="1534"/>
    </row>
    <row r="53" spans="1:7">
      <c r="A53" s="1531">
        <v>26</v>
      </c>
      <c r="B53" s="658" t="s">
        <v>3402</v>
      </c>
      <c r="C53" s="658" t="s">
        <v>3404</v>
      </c>
      <c r="D53" s="658" t="s">
        <v>2517</v>
      </c>
      <c r="E53" s="657">
        <v>200</v>
      </c>
      <c r="F53" s="657">
        <f t="shared" ref="F53" si="19">E53</f>
        <v>200</v>
      </c>
      <c r="G53" s="1533"/>
    </row>
    <row r="54" spans="1:7">
      <c r="A54" s="1531"/>
      <c r="B54" s="658"/>
      <c r="C54" s="658"/>
      <c r="D54" s="658"/>
      <c r="E54" s="657"/>
      <c r="F54" s="657"/>
      <c r="G54" s="1534"/>
    </row>
    <row r="55" spans="1:7">
      <c r="A55" s="1531">
        <v>27</v>
      </c>
      <c r="B55" s="658" t="s">
        <v>3403</v>
      </c>
      <c r="C55" s="658" t="s">
        <v>3404</v>
      </c>
      <c r="D55" s="658" t="s">
        <v>2517</v>
      </c>
      <c r="E55" s="657">
        <v>200</v>
      </c>
      <c r="F55" s="657">
        <f t="shared" ref="F55" si="20">E55</f>
        <v>200</v>
      </c>
      <c r="G55" s="1533"/>
    </row>
    <row r="56" spans="1:7">
      <c r="A56" s="1531"/>
      <c r="B56" s="658"/>
      <c r="C56" s="658"/>
      <c r="D56" s="658"/>
      <c r="E56" s="657"/>
      <c r="F56" s="657"/>
      <c r="G56" s="1534"/>
    </row>
    <row r="57" spans="1:7">
      <c r="A57" s="1531">
        <v>28</v>
      </c>
      <c r="B57" s="658" t="s">
        <v>3405</v>
      </c>
      <c r="C57" s="658" t="s">
        <v>3404</v>
      </c>
      <c r="D57" s="658" t="s">
        <v>3398</v>
      </c>
      <c r="E57" s="657">
        <v>17000</v>
      </c>
      <c r="F57" s="657">
        <v>513</v>
      </c>
      <c r="G57" s="1533">
        <v>3.0156000000000001</v>
      </c>
    </row>
    <row r="58" spans="1:7">
      <c r="A58" s="1531"/>
      <c r="B58" s="658"/>
      <c r="C58" s="658"/>
      <c r="D58" s="658"/>
      <c r="E58" s="657"/>
      <c r="F58" s="657"/>
      <c r="G58" s="1534"/>
    </row>
    <row r="59" spans="1:7">
      <c r="A59" s="1531">
        <v>29</v>
      </c>
      <c r="B59" s="658" t="s">
        <v>3414</v>
      </c>
      <c r="C59" s="658" t="s">
        <v>3413</v>
      </c>
      <c r="D59" s="658" t="s">
        <v>239</v>
      </c>
      <c r="E59" s="657">
        <v>1350</v>
      </c>
      <c r="F59" s="657">
        <f t="shared" ref="F59" si="21">E59</f>
        <v>1350</v>
      </c>
      <c r="G59" s="1533"/>
    </row>
    <row r="60" spans="1:7">
      <c r="A60" s="1531"/>
      <c r="B60" s="658"/>
      <c r="C60" s="658"/>
      <c r="D60" s="658"/>
      <c r="E60" s="657"/>
      <c r="F60" s="657"/>
      <c r="G60" s="1534"/>
    </row>
    <row r="61" spans="1:7">
      <c r="A61" s="1531">
        <v>30</v>
      </c>
      <c r="B61" s="658" t="s">
        <v>3401</v>
      </c>
      <c r="C61" s="658" t="s">
        <v>3400</v>
      </c>
      <c r="D61" s="658" t="s">
        <v>1601</v>
      </c>
      <c r="E61" s="657">
        <v>1150</v>
      </c>
      <c r="F61" s="657">
        <f t="shared" ref="F61" si="22">E61</f>
        <v>1150</v>
      </c>
      <c r="G61" s="1533"/>
    </row>
    <row r="62" spans="1:7">
      <c r="A62" s="1531"/>
      <c r="B62" s="658"/>
      <c r="C62" s="658"/>
      <c r="D62" s="658"/>
      <c r="E62" s="657"/>
      <c r="F62" s="657"/>
      <c r="G62" s="1534"/>
    </row>
    <row r="63" spans="1:7">
      <c r="A63" s="1531">
        <v>31</v>
      </c>
      <c r="B63" s="658" t="s">
        <v>3416</v>
      </c>
      <c r="C63" s="658" t="s">
        <v>3415</v>
      </c>
      <c r="D63" s="658" t="s">
        <v>239</v>
      </c>
      <c r="E63" s="657">
        <v>46856</v>
      </c>
      <c r="F63" s="657">
        <v>1400</v>
      </c>
      <c r="G63" s="1533">
        <v>2.9878999999999998</v>
      </c>
    </row>
    <row r="64" spans="1:7">
      <c r="A64" s="1531"/>
      <c r="B64" s="658"/>
      <c r="C64" s="658"/>
      <c r="D64" s="658"/>
      <c r="E64" s="657"/>
      <c r="F64" s="657"/>
      <c r="G64" s="1534"/>
    </row>
    <row r="65" spans="1:7">
      <c r="A65" s="1531">
        <v>32</v>
      </c>
      <c r="B65" s="658" t="s">
        <v>3407</v>
      </c>
      <c r="C65" s="658" t="s">
        <v>3406</v>
      </c>
      <c r="D65" s="658" t="s">
        <v>3349</v>
      </c>
      <c r="E65" s="657">
        <v>300</v>
      </c>
      <c r="F65" s="657">
        <f t="shared" ref="F65" si="23">E65</f>
        <v>300</v>
      </c>
      <c r="G65" s="1533"/>
    </row>
    <row r="66" spans="1:7">
      <c r="A66" s="1531"/>
      <c r="B66" s="658"/>
      <c r="C66" s="658"/>
      <c r="D66" s="658"/>
      <c r="E66" s="657"/>
      <c r="F66" s="657"/>
      <c r="G66" s="1534"/>
    </row>
    <row r="67" spans="1:7">
      <c r="A67" s="1531">
        <v>33</v>
      </c>
      <c r="B67" s="658" t="s">
        <v>3408</v>
      </c>
      <c r="C67" s="658" t="s">
        <v>3406</v>
      </c>
      <c r="D67" s="658" t="s">
        <v>3349</v>
      </c>
      <c r="E67" s="657">
        <v>100</v>
      </c>
      <c r="F67" s="657">
        <f t="shared" ref="F67" si="24">E67</f>
        <v>100</v>
      </c>
      <c r="G67" s="1533"/>
    </row>
    <row r="68" spans="1:7">
      <c r="A68" s="1531"/>
      <c r="B68" s="658"/>
      <c r="C68" s="658"/>
      <c r="D68" s="658"/>
      <c r="E68" s="657"/>
      <c r="F68" s="657"/>
      <c r="G68" s="1534"/>
    </row>
    <row r="69" spans="1:7">
      <c r="A69" s="1531">
        <v>34</v>
      </c>
      <c r="B69" s="658" t="s">
        <v>3409</v>
      </c>
      <c r="C69" s="658" t="s">
        <v>3406</v>
      </c>
      <c r="D69" s="658" t="s">
        <v>2772</v>
      </c>
      <c r="E69" s="657">
        <v>240</v>
      </c>
      <c r="F69" s="657">
        <f t="shared" ref="F69" si="25">E69</f>
        <v>240</v>
      </c>
      <c r="G69" s="1533"/>
    </row>
    <row r="70" spans="1:7">
      <c r="A70" s="1531"/>
      <c r="B70" s="658"/>
      <c r="C70" s="658"/>
      <c r="D70" s="658"/>
      <c r="E70" s="657"/>
      <c r="F70" s="657"/>
      <c r="G70" s="1534"/>
    </row>
    <row r="71" spans="1:7">
      <c r="A71" s="1531">
        <v>35</v>
      </c>
      <c r="B71" s="658" t="s">
        <v>3399</v>
      </c>
      <c r="C71" s="658" t="s">
        <v>3406</v>
      </c>
      <c r="D71" s="658" t="s">
        <v>2376</v>
      </c>
      <c r="E71" s="657">
        <v>100</v>
      </c>
      <c r="F71" s="657">
        <f t="shared" ref="F71" si="26">E71</f>
        <v>100</v>
      </c>
      <c r="G71" s="1533"/>
    </row>
    <row r="72" spans="1:7">
      <c r="A72" s="1531"/>
      <c r="B72" s="658"/>
      <c r="C72" s="658"/>
      <c r="D72" s="658"/>
      <c r="E72" s="657"/>
      <c r="F72" s="657"/>
      <c r="G72" s="1534"/>
    </row>
    <row r="73" spans="1:7">
      <c r="A73" s="1531">
        <v>36</v>
      </c>
      <c r="B73" s="658" t="s">
        <v>3417</v>
      </c>
      <c r="C73" s="658" t="s">
        <v>3415</v>
      </c>
      <c r="D73" s="658" t="s">
        <v>239</v>
      </c>
      <c r="E73" s="657">
        <v>1350</v>
      </c>
      <c r="F73" s="657">
        <f t="shared" ref="F73" si="27">E73</f>
        <v>1350</v>
      </c>
      <c r="G73" s="1533"/>
    </row>
    <row r="74" spans="1:7">
      <c r="A74" s="1531"/>
      <c r="B74" s="658"/>
      <c r="C74" s="658"/>
      <c r="D74" s="658"/>
      <c r="E74" s="657"/>
      <c r="F74" s="657"/>
      <c r="G74" s="1534"/>
    </row>
    <row r="75" spans="1:7">
      <c r="A75" s="1531">
        <v>37</v>
      </c>
      <c r="B75" s="658" t="s">
        <v>3410</v>
      </c>
      <c r="C75" s="658" t="s">
        <v>3406</v>
      </c>
      <c r="D75" s="658" t="s">
        <v>3389</v>
      </c>
      <c r="E75" s="657">
        <v>150</v>
      </c>
      <c r="F75" s="657">
        <f t="shared" ref="F75" si="28">E75</f>
        <v>150</v>
      </c>
      <c r="G75" s="1533"/>
    </row>
    <row r="76" spans="1:7">
      <c r="A76" s="1531"/>
      <c r="B76" s="658"/>
      <c r="C76" s="658"/>
      <c r="D76" s="658"/>
      <c r="E76" s="657"/>
      <c r="F76" s="657"/>
      <c r="G76" s="1534"/>
    </row>
    <row r="77" spans="1:7">
      <c r="A77" s="1531">
        <v>38</v>
      </c>
      <c r="B77" s="658" t="s">
        <v>3411</v>
      </c>
      <c r="C77" s="658" t="s">
        <v>3406</v>
      </c>
      <c r="D77" s="658" t="s">
        <v>3025</v>
      </c>
      <c r="E77" s="657">
        <v>98</v>
      </c>
      <c r="F77" s="657">
        <f t="shared" ref="F77" si="29">E77</f>
        <v>98</v>
      </c>
      <c r="G77" s="1533"/>
    </row>
    <row r="78" spans="1:7">
      <c r="A78" s="1531"/>
      <c r="B78" s="658"/>
      <c r="C78" s="658"/>
      <c r="D78" s="658"/>
      <c r="E78" s="657"/>
      <c r="F78" s="657"/>
      <c r="G78" s="1534"/>
    </row>
    <row r="79" spans="1:7">
      <c r="A79" s="1531">
        <v>39</v>
      </c>
      <c r="B79" s="658" t="s">
        <v>3431</v>
      </c>
      <c r="C79" s="658" t="s">
        <v>3406</v>
      </c>
      <c r="D79" s="658" t="s">
        <v>239</v>
      </c>
      <c r="E79" s="657">
        <v>44888</v>
      </c>
      <c r="F79" s="657">
        <v>1350</v>
      </c>
      <c r="G79" s="1533">
        <v>3.0074999999999998</v>
      </c>
    </row>
    <row r="80" spans="1:7">
      <c r="A80" s="1531"/>
      <c r="B80" s="658"/>
      <c r="C80" s="658"/>
      <c r="D80" s="658"/>
      <c r="E80" s="657"/>
      <c r="F80" s="657"/>
      <c r="G80" s="1534"/>
    </row>
    <row r="81" spans="1:7">
      <c r="A81" s="1531">
        <v>40</v>
      </c>
      <c r="B81" s="658" t="s">
        <v>3419</v>
      </c>
      <c r="C81" s="658" t="s">
        <v>3421</v>
      </c>
      <c r="D81" s="658" t="s">
        <v>3418</v>
      </c>
      <c r="E81" s="657">
        <v>550</v>
      </c>
      <c r="F81" s="657">
        <f t="shared" ref="F81" si="30">E81</f>
        <v>550</v>
      </c>
      <c r="G81" s="1533"/>
    </row>
    <row r="82" spans="1:7">
      <c r="A82" s="1531"/>
      <c r="B82" s="658"/>
      <c r="C82" s="658"/>
      <c r="D82" s="658"/>
      <c r="E82" s="657"/>
      <c r="F82" s="657"/>
      <c r="G82" s="1534"/>
    </row>
    <row r="83" spans="1:7">
      <c r="A83" s="1531">
        <v>41</v>
      </c>
      <c r="B83" s="658" t="s">
        <v>3420</v>
      </c>
      <c r="C83" s="658" t="s">
        <v>3421</v>
      </c>
      <c r="D83" s="658" t="s">
        <v>1655</v>
      </c>
      <c r="E83" s="657">
        <v>350</v>
      </c>
      <c r="F83" s="657">
        <f t="shared" ref="F83" si="31">E83</f>
        <v>350</v>
      </c>
      <c r="G83" s="1533"/>
    </row>
    <row r="84" spans="1:7">
      <c r="A84" s="1531"/>
      <c r="B84" s="658"/>
      <c r="C84" s="658"/>
      <c r="D84" s="658"/>
      <c r="E84" s="657"/>
      <c r="F84" s="657"/>
      <c r="G84" s="1534"/>
    </row>
    <row r="85" spans="1:7">
      <c r="A85" s="1531">
        <v>42</v>
      </c>
      <c r="B85" s="658" t="s">
        <v>3433</v>
      </c>
      <c r="C85" s="658" t="s">
        <v>3432</v>
      </c>
      <c r="D85" s="658" t="s">
        <v>239</v>
      </c>
      <c r="E85" s="657">
        <v>1350</v>
      </c>
      <c r="F85" s="657">
        <f t="shared" ref="F85" si="32">E85</f>
        <v>1350</v>
      </c>
      <c r="G85" s="1533"/>
    </row>
    <row r="86" spans="1:7">
      <c r="A86" s="1531"/>
      <c r="B86" s="658"/>
      <c r="C86" s="658"/>
      <c r="D86" s="658"/>
      <c r="E86" s="657"/>
      <c r="F86" s="657"/>
      <c r="G86" s="1534"/>
    </row>
    <row r="87" spans="1:7">
      <c r="A87" s="1531">
        <v>43</v>
      </c>
      <c r="B87" s="658" t="s">
        <v>3424</v>
      </c>
      <c r="C87" s="658" t="s">
        <v>3423</v>
      </c>
      <c r="D87" s="658" t="s">
        <v>1601</v>
      </c>
      <c r="E87" s="657">
        <v>700</v>
      </c>
      <c r="F87" s="657">
        <f t="shared" ref="F87" si="33">E87</f>
        <v>700</v>
      </c>
      <c r="G87" s="1533"/>
    </row>
    <row r="88" spans="1:7">
      <c r="A88" s="1531"/>
      <c r="B88" s="658"/>
      <c r="C88" s="658"/>
      <c r="D88" s="658"/>
      <c r="E88" s="657"/>
      <c r="F88" s="657"/>
      <c r="G88" s="1534"/>
    </row>
    <row r="89" spans="1:7">
      <c r="A89" s="1531">
        <v>44</v>
      </c>
      <c r="B89" s="658" t="s">
        <v>3425</v>
      </c>
      <c r="C89" s="658" t="s">
        <v>3423</v>
      </c>
      <c r="D89" s="658" t="s">
        <v>3422</v>
      </c>
      <c r="E89" s="657">
        <v>350</v>
      </c>
      <c r="F89" s="657">
        <f t="shared" ref="F89" si="34">E89</f>
        <v>350</v>
      </c>
      <c r="G89" s="1533"/>
    </row>
    <row r="90" spans="1:7">
      <c r="A90" s="1531"/>
      <c r="B90" s="658"/>
      <c r="C90" s="658"/>
      <c r="D90" s="658"/>
      <c r="E90" s="657"/>
      <c r="F90" s="657"/>
      <c r="G90" s="1534"/>
    </row>
    <row r="91" spans="1:7">
      <c r="A91" s="1531">
        <v>45</v>
      </c>
      <c r="B91" s="658" t="s">
        <v>3434</v>
      </c>
      <c r="C91" s="658" t="s">
        <v>3432</v>
      </c>
      <c r="D91" s="658" t="s">
        <v>239</v>
      </c>
      <c r="E91" s="657">
        <v>44234</v>
      </c>
      <c r="F91" s="657">
        <v>1350</v>
      </c>
      <c r="G91" s="1533">
        <v>3.0518999999999998</v>
      </c>
    </row>
    <row r="92" spans="1:7">
      <c r="A92" s="1531"/>
      <c r="B92" s="658"/>
      <c r="C92" s="658"/>
      <c r="D92" s="658"/>
      <c r="E92" s="657"/>
      <c r="F92" s="657"/>
      <c r="G92" s="1534"/>
    </row>
    <row r="93" spans="1:7">
      <c r="A93" s="1531">
        <v>46</v>
      </c>
      <c r="B93" s="658" t="s">
        <v>3426</v>
      </c>
      <c r="C93" s="658" t="s">
        <v>3423</v>
      </c>
      <c r="D93" s="658" t="s">
        <v>3025</v>
      </c>
      <c r="E93" s="657">
        <v>98</v>
      </c>
      <c r="F93" s="657">
        <f t="shared" ref="F93" si="35">E93</f>
        <v>98</v>
      </c>
      <c r="G93" s="1533"/>
    </row>
    <row r="94" spans="1:7">
      <c r="A94" s="1531"/>
      <c r="B94" s="658"/>
      <c r="C94" s="658"/>
      <c r="D94" s="658"/>
      <c r="E94" s="657"/>
      <c r="F94" s="657"/>
      <c r="G94" s="1534"/>
    </row>
    <row r="95" spans="1:7">
      <c r="A95" s="1531">
        <v>47</v>
      </c>
      <c r="B95" s="658" t="s">
        <v>3428</v>
      </c>
      <c r="C95" s="658" t="s">
        <v>3423</v>
      </c>
      <c r="D95" s="658" t="s">
        <v>3427</v>
      </c>
      <c r="E95" s="657">
        <v>370</v>
      </c>
      <c r="F95" s="657">
        <f t="shared" ref="F95" si="36">E95</f>
        <v>370</v>
      </c>
      <c r="G95" s="1533"/>
    </row>
    <row r="96" spans="1:7">
      <c r="A96" s="1531"/>
      <c r="B96" s="658"/>
      <c r="C96" s="658"/>
      <c r="D96" s="658"/>
      <c r="E96" s="657"/>
      <c r="F96" s="657"/>
      <c r="G96" s="1534"/>
    </row>
    <row r="97" spans="1:7">
      <c r="A97" s="1531">
        <v>48</v>
      </c>
      <c r="B97" s="658" t="s">
        <v>3429</v>
      </c>
      <c r="C97" s="658" t="s">
        <v>3423</v>
      </c>
      <c r="D97" s="658" t="s">
        <v>3430</v>
      </c>
      <c r="E97" s="657">
        <v>270</v>
      </c>
      <c r="F97" s="657">
        <f t="shared" ref="F97" si="37">E97</f>
        <v>270</v>
      </c>
      <c r="G97" s="1533"/>
    </row>
    <row r="98" spans="1:7">
      <c r="A98" s="1531"/>
      <c r="B98" s="658"/>
      <c r="C98" s="658"/>
      <c r="D98" s="658"/>
      <c r="E98" s="657"/>
      <c r="F98" s="657"/>
      <c r="G98" s="1534"/>
    </row>
    <row r="99" spans="1:7">
      <c r="A99" s="1531">
        <v>49</v>
      </c>
      <c r="B99" s="658" t="s">
        <v>3438</v>
      </c>
      <c r="C99" s="658" t="s">
        <v>3423</v>
      </c>
      <c r="D99" s="658" t="s">
        <v>239</v>
      </c>
      <c r="E99" s="657">
        <v>1350</v>
      </c>
      <c r="F99" s="657">
        <v>1350</v>
      </c>
      <c r="G99" s="807"/>
    </row>
    <row r="100" spans="1:7">
      <c r="A100" s="1531"/>
      <c r="B100" s="658"/>
      <c r="C100" s="658"/>
      <c r="D100" s="658"/>
      <c r="E100" s="657"/>
      <c r="F100" s="657"/>
      <c r="G100" s="1530"/>
    </row>
    <row r="101" spans="1:7">
      <c r="A101" s="1531">
        <v>50</v>
      </c>
      <c r="B101" s="658" t="s">
        <v>3440</v>
      </c>
      <c r="C101" s="658" t="s">
        <v>3439</v>
      </c>
      <c r="D101" s="658" t="s">
        <v>239</v>
      </c>
      <c r="E101" s="657">
        <v>44463</v>
      </c>
      <c r="F101" s="657">
        <v>1350</v>
      </c>
      <c r="G101" s="807"/>
    </row>
    <row r="102" spans="1:7">
      <c r="A102" s="1531"/>
      <c r="B102" s="658"/>
      <c r="C102" s="658"/>
      <c r="D102" s="658"/>
      <c r="E102" s="657"/>
      <c r="F102" s="657"/>
      <c r="G102" s="1530"/>
    </row>
    <row r="103" spans="1:7">
      <c r="A103" s="1532"/>
      <c r="B103" s="658"/>
      <c r="C103" s="658"/>
      <c r="D103" s="658"/>
      <c r="E103" s="657"/>
      <c r="F103" s="657"/>
      <c r="G103" s="807"/>
    </row>
    <row r="104" spans="1:7">
      <c r="A104" s="1532"/>
      <c r="B104" s="658"/>
      <c r="C104" s="658"/>
      <c r="D104" s="658"/>
      <c r="E104" s="657"/>
      <c r="F104" s="657"/>
      <c r="G104" s="1530"/>
    </row>
    <row r="105" spans="1:7">
      <c r="A105" s="1532"/>
      <c r="B105" s="658"/>
      <c r="C105" s="658"/>
      <c r="D105" s="658"/>
      <c r="E105" s="657"/>
      <c r="F105" s="657"/>
      <c r="G105" s="807"/>
    </row>
    <row r="106" spans="1:7">
      <c r="A106" s="1532"/>
      <c r="B106" s="658"/>
      <c r="C106" s="658"/>
      <c r="D106" s="658"/>
      <c r="E106" s="657"/>
      <c r="F106" s="657"/>
      <c r="G106" s="1530"/>
    </row>
    <row r="107" spans="1:7">
      <c r="A107" s="1532"/>
      <c r="B107" s="658"/>
      <c r="C107" s="658"/>
      <c r="D107" s="658"/>
      <c r="E107" s="657"/>
      <c r="F107" s="657"/>
      <c r="G107" s="807"/>
    </row>
    <row r="108" spans="1:7">
      <c r="A108" s="1532"/>
      <c r="B108" s="658"/>
      <c r="C108" s="658"/>
      <c r="D108" s="658"/>
      <c r="E108" s="657"/>
      <c r="F108" s="657"/>
      <c r="G108" s="1530"/>
    </row>
    <row r="109" spans="1:7">
      <c r="A109" s="1532"/>
      <c r="B109" s="658"/>
      <c r="C109" s="658"/>
      <c r="D109" s="658"/>
      <c r="E109" s="657"/>
      <c r="F109" s="657"/>
      <c r="G109" s="807"/>
    </row>
    <row r="110" spans="1:7">
      <c r="A110" s="1532"/>
      <c r="B110" s="658"/>
      <c r="C110" s="658"/>
      <c r="D110" s="658"/>
      <c r="E110" s="657"/>
      <c r="F110" s="657"/>
      <c r="G110" s="1530"/>
    </row>
    <row r="111" spans="1:7">
      <c r="A111" s="1532"/>
      <c r="B111" s="658"/>
      <c r="C111" s="658"/>
      <c r="D111" s="658"/>
      <c r="E111" s="657"/>
      <c r="F111" s="657"/>
      <c r="G111" s="807"/>
    </row>
    <row r="112" spans="1:7">
      <c r="A112" s="1532"/>
      <c r="B112" s="658"/>
      <c r="C112" s="658"/>
      <c r="D112" s="658"/>
      <c r="E112" s="657"/>
      <c r="F112" s="657"/>
      <c r="G112" s="1530"/>
    </row>
    <row r="113" spans="1:7">
      <c r="A113" s="1532"/>
      <c r="B113" s="658"/>
      <c r="C113" s="658"/>
      <c r="D113" s="658"/>
      <c r="E113" s="657"/>
      <c r="F113" s="657"/>
      <c r="G113" s="807"/>
    </row>
    <row r="114" spans="1:7">
      <c r="A114" s="1532"/>
      <c r="B114" s="658"/>
      <c r="C114" s="658"/>
      <c r="D114" s="658"/>
      <c r="E114" s="657"/>
      <c r="F114" s="657"/>
      <c r="G114" s="1530"/>
    </row>
    <row r="115" spans="1:7">
      <c r="A115" s="1532"/>
      <c r="B115" s="658"/>
      <c r="C115" s="658"/>
      <c r="D115" s="658"/>
      <c r="E115" s="657"/>
      <c r="F115" s="657"/>
      <c r="G115" s="807"/>
    </row>
    <row r="116" spans="1:7">
      <c r="A116" s="1532"/>
      <c r="B116" s="658"/>
      <c r="C116" s="658"/>
      <c r="D116" s="658"/>
      <c r="E116" s="657"/>
      <c r="F116" s="657"/>
      <c r="G116" s="1530"/>
    </row>
  </sheetData>
  <mergeCells count="400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</mergeCells>
  <pageMargins left="1" right="1" top="1" bottom="1" header="0.5" footer="0.5"/>
  <pageSetup paperSize="9" orientation="landscape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topLeftCell="A4" workbookViewId="0">
      <selection sqref="A1:G116"/>
    </sheetView>
  </sheetViews>
  <sheetFormatPr defaultRowHeight="12.75"/>
  <cols>
    <col min="2" max="2" width="16.28515625" customWidth="1"/>
    <col min="3" max="3" width="18.7109375" customWidth="1"/>
    <col min="4" max="4" width="27.7109375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SUM(F3:F102)</f>
        <v>27569</v>
      </c>
    </row>
    <row r="2" spans="1:7" ht="15">
      <c r="A2" s="1536" t="s">
        <v>3355</v>
      </c>
      <c r="B2" s="1536"/>
      <c r="C2" s="1536"/>
      <c r="D2" s="1536"/>
      <c r="E2" s="1536"/>
      <c r="F2" s="1536"/>
      <c r="G2" s="1536"/>
    </row>
    <row r="3" spans="1:7">
      <c r="A3" s="1532">
        <v>1</v>
      </c>
      <c r="B3" s="658" t="s">
        <v>1085</v>
      </c>
      <c r="C3" s="658" t="s">
        <v>3292</v>
      </c>
      <c r="D3" s="658" t="s">
        <v>2723</v>
      </c>
      <c r="E3" s="657">
        <v>330</v>
      </c>
      <c r="F3" s="657">
        <v>330</v>
      </c>
      <c r="G3" s="1537"/>
    </row>
    <row r="4" spans="1:7">
      <c r="A4" s="1532"/>
      <c r="B4" s="658"/>
      <c r="C4" s="658"/>
      <c r="D4" s="658"/>
      <c r="E4" s="657"/>
      <c r="F4" s="657"/>
      <c r="G4" s="1538"/>
    </row>
    <row r="5" spans="1:7">
      <c r="A5" s="1532">
        <v>2</v>
      </c>
      <c r="B5" s="658" t="s">
        <v>2633</v>
      </c>
      <c r="C5" s="658" t="s">
        <v>3292</v>
      </c>
      <c r="D5" s="658" t="s">
        <v>3287</v>
      </c>
      <c r="E5" s="657">
        <v>330</v>
      </c>
      <c r="F5" s="657">
        <f t="shared" ref="F5" si="0">E5</f>
        <v>330</v>
      </c>
      <c r="G5" s="1537"/>
    </row>
    <row r="6" spans="1:7">
      <c r="A6" s="1532"/>
      <c r="B6" s="658"/>
      <c r="C6" s="658"/>
      <c r="D6" s="658"/>
      <c r="E6" s="657"/>
      <c r="F6" s="657"/>
      <c r="G6" s="1538"/>
    </row>
    <row r="7" spans="1:7">
      <c r="A7" s="1532">
        <v>3</v>
      </c>
      <c r="B7" s="658" t="s">
        <v>2637</v>
      </c>
      <c r="C7" s="658" t="s">
        <v>3292</v>
      </c>
      <c r="D7" s="658" t="s">
        <v>3289</v>
      </c>
      <c r="E7" s="657">
        <v>200</v>
      </c>
      <c r="F7" s="657">
        <f t="shared" ref="F7" si="1">E7</f>
        <v>200</v>
      </c>
      <c r="G7" s="1537"/>
    </row>
    <row r="8" spans="1:7">
      <c r="A8" s="1532"/>
      <c r="B8" s="658"/>
      <c r="C8" s="658"/>
      <c r="D8" s="658"/>
      <c r="E8" s="657"/>
      <c r="F8" s="657"/>
      <c r="G8" s="1537"/>
    </row>
    <row r="9" spans="1:7">
      <c r="A9" s="1532">
        <v>4</v>
      </c>
      <c r="B9" s="658" t="s">
        <v>1867</v>
      </c>
      <c r="C9" s="658" t="s">
        <v>3292</v>
      </c>
      <c r="D9" s="658" t="s">
        <v>2723</v>
      </c>
      <c r="E9" s="657">
        <v>350</v>
      </c>
      <c r="F9" s="657">
        <f t="shared" ref="F9" si="2">E9</f>
        <v>350</v>
      </c>
      <c r="G9" s="1537"/>
    </row>
    <row r="10" spans="1:7">
      <c r="A10" s="1532"/>
      <c r="B10" s="658"/>
      <c r="C10" s="658"/>
      <c r="D10" s="658"/>
      <c r="E10" s="657"/>
      <c r="F10" s="657"/>
      <c r="G10" s="1538"/>
    </row>
    <row r="11" spans="1:7">
      <c r="A11" s="1532">
        <v>5</v>
      </c>
      <c r="B11" s="658" t="s">
        <v>2646</v>
      </c>
      <c r="C11" s="658" t="s">
        <v>3292</v>
      </c>
      <c r="D11" s="658" t="s">
        <v>3226</v>
      </c>
      <c r="E11" s="657">
        <v>570</v>
      </c>
      <c r="F11" s="657">
        <f t="shared" ref="F11" si="3">E11</f>
        <v>570</v>
      </c>
      <c r="G11" s="807"/>
    </row>
    <row r="12" spans="1:7">
      <c r="A12" s="1532"/>
      <c r="B12" s="658"/>
      <c r="C12" s="658"/>
      <c r="D12" s="658"/>
      <c r="E12" s="657"/>
      <c r="F12" s="657"/>
      <c r="G12" s="1530"/>
    </row>
    <row r="13" spans="1:7">
      <c r="A13" s="1532">
        <v>6</v>
      </c>
      <c r="B13" s="658" t="s">
        <v>2653</v>
      </c>
      <c r="C13" s="658" t="s">
        <v>3292</v>
      </c>
      <c r="D13" s="658" t="s">
        <v>2376</v>
      </c>
      <c r="E13" s="657">
        <v>50</v>
      </c>
      <c r="F13" s="657">
        <f t="shared" ref="F13" si="4">E13</f>
        <v>50</v>
      </c>
      <c r="G13" s="807"/>
    </row>
    <row r="14" spans="1:7">
      <c r="A14" s="1532"/>
      <c r="B14" s="658"/>
      <c r="C14" s="658"/>
      <c r="D14" s="658"/>
      <c r="E14" s="657"/>
      <c r="F14" s="657"/>
      <c r="G14" s="1530"/>
    </row>
    <row r="15" spans="1:7">
      <c r="A15" s="1532">
        <v>7</v>
      </c>
      <c r="B15" s="658" t="s">
        <v>3303</v>
      </c>
      <c r="C15" s="658" t="s">
        <v>3292</v>
      </c>
      <c r="D15" s="658" t="s">
        <v>239</v>
      </c>
      <c r="E15" s="657">
        <v>1350</v>
      </c>
      <c r="F15" s="657">
        <f t="shared" ref="F15" si="5">E15</f>
        <v>1350</v>
      </c>
      <c r="G15" s="807"/>
    </row>
    <row r="16" spans="1:7">
      <c r="A16" s="1532"/>
      <c r="B16" s="658"/>
      <c r="C16" s="658"/>
      <c r="D16" s="658"/>
      <c r="E16" s="657"/>
      <c r="F16" s="657"/>
      <c r="G16" s="1530"/>
    </row>
    <row r="17" spans="1:7">
      <c r="A17" s="1532">
        <v>8</v>
      </c>
      <c r="B17" s="658" t="s">
        <v>1866</v>
      </c>
      <c r="C17" s="658" t="s">
        <v>3301</v>
      </c>
      <c r="D17" s="658" t="s">
        <v>1140</v>
      </c>
      <c r="E17" s="657">
        <v>300</v>
      </c>
      <c r="F17" s="657">
        <f t="shared" ref="F17" si="6">E17</f>
        <v>300</v>
      </c>
      <c r="G17" s="807"/>
    </row>
    <row r="18" spans="1:7">
      <c r="A18" s="1532"/>
      <c r="B18" s="658"/>
      <c r="C18" s="658"/>
      <c r="D18" s="658"/>
      <c r="E18" s="657"/>
      <c r="F18" s="657"/>
      <c r="G18" s="1530"/>
    </row>
    <row r="19" spans="1:7">
      <c r="A19" s="1532">
        <v>9</v>
      </c>
      <c r="B19" s="658" t="s">
        <v>2668</v>
      </c>
      <c r="C19" s="658" t="s">
        <v>3301</v>
      </c>
      <c r="D19" s="658" t="s">
        <v>3299</v>
      </c>
      <c r="E19" s="657">
        <v>13000</v>
      </c>
      <c r="F19" s="657">
        <v>399</v>
      </c>
      <c r="G19" s="807">
        <v>3.0705</v>
      </c>
    </row>
    <row r="20" spans="1:7">
      <c r="A20" s="1532"/>
      <c r="B20" s="658"/>
      <c r="C20" s="658"/>
      <c r="D20" s="658"/>
      <c r="E20" s="657"/>
      <c r="F20" s="657"/>
      <c r="G20" s="1530"/>
    </row>
    <row r="21" spans="1:7">
      <c r="A21" s="1532">
        <v>10</v>
      </c>
      <c r="B21" s="658" t="s">
        <v>2670</v>
      </c>
      <c r="C21" s="658" t="s">
        <v>3301</v>
      </c>
      <c r="D21" s="658" t="s">
        <v>2723</v>
      </c>
      <c r="E21" s="657">
        <v>260</v>
      </c>
      <c r="F21" s="657">
        <f t="shared" ref="F21" si="7">E21</f>
        <v>260</v>
      </c>
      <c r="G21" s="807"/>
    </row>
    <row r="22" spans="1:7">
      <c r="A22" s="1532"/>
      <c r="B22" s="658"/>
      <c r="C22" s="658"/>
      <c r="D22" s="658"/>
      <c r="E22" s="657"/>
      <c r="F22" s="657"/>
      <c r="G22" s="1530"/>
    </row>
    <row r="23" spans="1:7">
      <c r="A23" s="1532">
        <v>11</v>
      </c>
      <c r="B23" s="658" t="s">
        <v>2671</v>
      </c>
      <c r="C23" s="658" t="s">
        <v>3301</v>
      </c>
      <c r="D23" s="658" t="s">
        <v>2723</v>
      </c>
      <c r="E23" s="657">
        <v>90</v>
      </c>
      <c r="F23" s="657">
        <f t="shared" ref="F23" si="8">E23</f>
        <v>90</v>
      </c>
      <c r="G23" s="807"/>
    </row>
    <row r="24" spans="1:7">
      <c r="A24" s="1532"/>
      <c r="B24" s="658"/>
      <c r="C24" s="658"/>
      <c r="D24" s="658"/>
      <c r="E24" s="657"/>
      <c r="F24" s="657"/>
      <c r="G24" s="1530"/>
    </row>
    <row r="25" spans="1:7">
      <c r="A25" s="1532">
        <v>12</v>
      </c>
      <c r="B25" s="658" t="s">
        <v>3305</v>
      </c>
      <c r="C25" s="658" t="s">
        <v>3304</v>
      </c>
      <c r="D25" s="658" t="s">
        <v>239</v>
      </c>
      <c r="E25" s="657">
        <v>43964</v>
      </c>
      <c r="F25" s="657">
        <v>1350</v>
      </c>
      <c r="G25" s="807">
        <v>3.0707</v>
      </c>
    </row>
    <row r="26" spans="1:7">
      <c r="A26" s="1532"/>
      <c r="B26" s="658"/>
      <c r="C26" s="658"/>
      <c r="D26" s="658"/>
      <c r="E26" s="657"/>
      <c r="F26" s="657"/>
      <c r="G26" s="1530"/>
    </row>
    <row r="27" spans="1:7">
      <c r="A27" s="1532">
        <v>13</v>
      </c>
      <c r="B27" s="658" t="s">
        <v>2673</v>
      </c>
      <c r="C27" s="658" t="s">
        <v>3302</v>
      </c>
      <c r="D27" s="658" t="s">
        <v>1661</v>
      </c>
      <c r="E27" s="657">
        <v>400</v>
      </c>
      <c r="F27" s="657">
        <f t="shared" ref="F27" si="9">E27</f>
        <v>400</v>
      </c>
      <c r="G27" s="807"/>
    </row>
    <row r="28" spans="1:7">
      <c r="A28" s="1532"/>
      <c r="B28" s="658"/>
      <c r="C28" s="658"/>
      <c r="D28" s="658"/>
      <c r="E28" s="657"/>
      <c r="F28" s="657"/>
      <c r="G28" s="1530"/>
    </row>
    <row r="29" spans="1:7">
      <c r="A29" s="1532">
        <v>14</v>
      </c>
      <c r="B29" s="658" t="s">
        <v>2674</v>
      </c>
      <c r="C29" s="658" t="s">
        <v>3302</v>
      </c>
      <c r="D29" s="658" t="s">
        <v>3187</v>
      </c>
      <c r="E29" s="657">
        <v>360</v>
      </c>
      <c r="F29" s="657">
        <f t="shared" ref="F29" si="10">E29</f>
        <v>360</v>
      </c>
      <c r="G29" s="807"/>
    </row>
    <row r="30" spans="1:7">
      <c r="A30" s="1532"/>
      <c r="B30" s="658"/>
      <c r="C30" s="658"/>
      <c r="D30" s="658"/>
      <c r="E30" s="657"/>
      <c r="F30" s="657"/>
      <c r="G30" s="1530"/>
    </row>
    <row r="31" spans="1:7">
      <c r="A31" s="1532">
        <v>15</v>
      </c>
      <c r="B31" s="658" t="s">
        <v>2675</v>
      </c>
      <c r="C31" s="658" t="s">
        <v>3302</v>
      </c>
      <c r="D31" s="658" t="s">
        <v>117</v>
      </c>
      <c r="E31" s="657">
        <v>110</v>
      </c>
      <c r="F31" s="657">
        <f t="shared" ref="F31" si="11">E31</f>
        <v>110</v>
      </c>
      <c r="G31" s="807"/>
    </row>
    <row r="32" spans="1:7">
      <c r="A32" s="1532"/>
      <c r="B32" s="658"/>
      <c r="C32" s="658"/>
      <c r="D32" s="658"/>
      <c r="E32" s="657"/>
      <c r="F32" s="657"/>
      <c r="G32" s="1530"/>
    </row>
    <row r="33" spans="1:7">
      <c r="A33" s="1532">
        <v>16</v>
      </c>
      <c r="B33" s="658" t="s">
        <v>3306</v>
      </c>
      <c r="C33" s="658" t="s">
        <v>3304</v>
      </c>
      <c r="D33" s="658" t="s">
        <v>239</v>
      </c>
      <c r="E33" s="657">
        <v>1350</v>
      </c>
      <c r="F33" s="657">
        <f t="shared" ref="F33" si="12">E33</f>
        <v>1350</v>
      </c>
      <c r="G33" s="807"/>
    </row>
    <row r="34" spans="1:7">
      <c r="A34" s="1532"/>
      <c r="B34" s="658"/>
      <c r="C34" s="658"/>
      <c r="D34" s="658"/>
      <c r="E34" s="657"/>
      <c r="F34" s="657"/>
      <c r="G34" s="1530"/>
    </row>
    <row r="35" spans="1:7">
      <c r="A35" s="1532">
        <v>17</v>
      </c>
      <c r="B35" s="658" t="s">
        <v>2676</v>
      </c>
      <c r="C35" s="658" t="s">
        <v>3302</v>
      </c>
      <c r="D35" s="658" t="s">
        <v>1601</v>
      </c>
      <c r="E35" s="657">
        <v>1180</v>
      </c>
      <c r="F35" s="657">
        <f t="shared" ref="F35" si="13">E35</f>
        <v>1180</v>
      </c>
      <c r="G35" s="807"/>
    </row>
    <row r="36" spans="1:7">
      <c r="A36" s="1532"/>
      <c r="B36" s="658"/>
      <c r="C36" s="658"/>
      <c r="D36" s="658"/>
      <c r="E36" s="657"/>
      <c r="F36" s="657"/>
      <c r="G36" s="1530"/>
    </row>
    <row r="37" spans="1:7">
      <c r="A37" s="1532">
        <v>18</v>
      </c>
      <c r="B37" s="658" t="s">
        <v>3308</v>
      </c>
      <c r="C37" s="658" t="s">
        <v>3302</v>
      </c>
      <c r="D37" s="658" t="s">
        <v>239</v>
      </c>
      <c r="E37" s="657">
        <v>1350</v>
      </c>
      <c r="F37" s="657">
        <v>1350</v>
      </c>
      <c r="G37" s="807"/>
    </row>
    <row r="38" spans="1:7">
      <c r="A38" s="1532"/>
      <c r="B38" s="658"/>
      <c r="C38" s="658"/>
      <c r="D38" s="658"/>
      <c r="E38" s="657"/>
      <c r="F38" s="657"/>
      <c r="G38" s="1530"/>
    </row>
    <row r="39" spans="1:7">
      <c r="A39" s="1532">
        <v>19</v>
      </c>
      <c r="B39" s="658" t="s">
        <v>2677</v>
      </c>
      <c r="C39" s="658" t="s">
        <v>3307</v>
      </c>
      <c r="D39" s="658" t="s">
        <v>1140</v>
      </c>
      <c r="E39" s="657">
        <v>200</v>
      </c>
      <c r="F39" s="657">
        <f t="shared" ref="F39" si="14">E39</f>
        <v>200</v>
      </c>
      <c r="G39" s="807"/>
    </row>
    <row r="40" spans="1:7">
      <c r="A40" s="1532"/>
      <c r="B40" s="658"/>
      <c r="C40" s="658"/>
      <c r="D40" s="658"/>
      <c r="E40" s="657"/>
      <c r="F40" s="657"/>
      <c r="G40" s="1530"/>
    </row>
    <row r="41" spans="1:7">
      <c r="A41" s="1532">
        <v>20</v>
      </c>
      <c r="B41" s="658" t="s">
        <v>2683</v>
      </c>
      <c r="C41" s="658" t="s">
        <v>3307</v>
      </c>
      <c r="D41" s="658" t="s">
        <v>2517</v>
      </c>
      <c r="E41" s="657">
        <v>200</v>
      </c>
      <c r="F41" s="657">
        <f t="shared" ref="F41" si="15">E41</f>
        <v>200</v>
      </c>
      <c r="G41" s="807"/>
    </row>
    <row r="42" spans="1:7">
      <c r="A42" s="1532"/>
      <c r="B42" s="658"/>
      <c r="C42" s="658"/>
      <c r="D42" s="658"/>
      <c r="E42" s="657"/>
      <c r="F42" s="657"/>
      <c r="G42" s="1530"/>
    </row>
    <row r="43" spans="1:7">
      <c r="A43" s="1532">
        <v>21</v>
      </c>
      <c r="B43" s="658" t="s">
        <v>2693</v>
      </c>
      <c r="C43" s="658" t="s">
        <v>3307</v>
      </c>
      <c r="D43" s="658" t="s">
        <v>2517</v>
      </c>
      <c r="E43" s="657">
        <v>200</v>
      </c>
      <c r="F43" s="657">
        <f t="shared" ref="F43" si="16">E43</f>
        <v>200</v>
      </c>
      <c r="G43" s="807"/>
    </row>
    <row r="44" spans="1:7">
      <c r="A44" s="1532"/>
      <c r="B44" s="658"/>
      <c r="C44" s="658"/>
      <c r="D44" s="658"/>
      <c r="E44" s="657"/>
      <c r="F44" s="657"/>
      <c r="G44" s="1530"/>
    </row>
    <row r="45" spans="1:7">
      <c r="A45" s="1532">
        <v>22</v>
      </c>
      <c r="B45" s="658" t="s">
        <v>3359</v>
      </c>
      <c r="C45" s="658" t="s">
        <v>3358</v>
      </c>
      <c r="D45" s="658" t="s">
        <v>239</v>
      </c>
      <c r="E45" s="657">
        <v>1350</v>
      </c>
      <c r="F45" s="657">
        <v>1350</v>
      </c>
      <c r="G45" s="807"/>
    </row>
    <row r="46" spans="1:7">
      <c r="A46" s="1532"/>
      <c r="B46" s="658"/>
      <c r="C46" s="658"/>
      <c r="D46" s="658"/>
      <c r="E46" s="657"/>
      <c r="F46" s="657"/>
      <c r="G46" s="1530"/>
    </row>
    <row r="47" spans="1:7">
      <c r="A47" s="1532">
        <v>23</v>
      </c>
      <c r="B47" s="658" t="s">
        <v>2699</v>
      </c>
      <c r="C47" s="658" t="s">
        <v>3348</v>
      </c>
      <c r="D47" s="658" t="s">
        <v>117</v>
      </c>
      <c r="E47" s="657">
        <v>110</v>
      </c>
      <c r="F47" s="657">
        <f t="shared" ref="F47" si="17">E47</f>
        <v>110</v>
      </c>
      <c r="G47" s="807"/>
    </row>
    <row r="48" spans="1:7">
      <c r="A48" s="1532"/>
      <c r="B48" s="658"/>
      <c r="C48" s="658"/>
      <c r="D48" s="658"/>
      <c r="E48" s="657"/>
      <c r="F48" s="657"/>
      <c r="G48" s="1530"/>
    </row>
    <row r="49" spans="1:7">
      <c r="A49" s="1532">
        <v>24</v>
      </c>
      <c r="B49" s="658" t="s">
        <v>2702</v>
      </c>
      <c r="C49" s="658" t="s">
        <v>3348</v>
      </c>
      <c r="D49" s="658" t="s">
        <v>3309</v>
      </c>
      <c r="E49" s="657">
        <v>320</v>
      </c>
      <c r="F49" s="657">
        <f t="shared" ref="F49" si="18">E49</f>
        <v>320</v>
      </c>
      <c r="G49" s="807"/>
    </row>
    <row r="50" spans="1:7">
      <c r="A50" s="1532"/>
      <c r="B50" s="658"/>
      <c r="C50" s="658"/>
      <c r="D50" s="658"/>
      <c r="E50" s="657"/>
      <c r="F50" s="657"/>
      <c r="G50" s="1530"/>
    </row>
    <row r="51" spans="1:7">
      <c r="A51" s="1532">
        <v>25</v>
      </c>
      <c r="B51" s="658" t="s">
        <v>2705</v>
      </c>
      <c r="C51" s="658" t="s">
        <v>3348</v>
      </c>
      <c r="D51" s="658" t="s">
        <v>3346</v>
      </c>
      <c r="E51" s="657">
        <v>300</v>
      </c>
      <c r="F51" s="657">
        <f t="shared" ref="F51" si="19">E51</f>
        <v>300</v>
      </c>
      <c r="G51" s="807"/>
    </row>
    <row r="52" spans="1:7">
      <c r="A52" s="1532"/>
      <c r="B52" s="658"/>
      <c r="C52" s="658"/>
      <c r="D52" s="658"/>
      <c r="E52" s="657"/>
      <c r="F52" s="657"/>
      <c r="G52" s="1530"/>
    </row>
    <row r="53" spans="1:7">
      <c r="A53" s="1532">
        <v>26</v>
      </c>
      <c r="B53" s="658" t="s">
        <v>3357</v>
      </c>
      <c r="C53" s="658" t="s">
        <v>3356</v>
      </c>
      <c r="D53" s="658" t="s">
        <v>239</v>
      </c>
      <c r="E53" s="657">
        <v>44000</v>
      </c>
      <c r="F53" s="657">
        <v>1350</v>
      </c>
      <c r="G53" s="807">
        <v>3.0682</v>
      </c>
    </row>
    <row r="54" spans="1:7">
      <c r="A54" s="1532"/>
      <c r="B54" s="658"/>
      <c r="C54" s="658"/>
      <c r="D54" s="658"/>
      <c r="E54" s="657"/>
      <c r="F54" s="657"/>
      <c r="G54" s="1530"/>
    </row>
    <row r="55" spans="1:7">
      <c r="A55" s="1532">
        <v>27</v>
      </c>
      <c r="B55" s="658" t="s">
        <v>2706</v>
      </c>
      <c r="C55" s="658" t="s">
        <v>3348</v>
      </c>
      <c r="D55" s="658" t="s">
        <v>2723</v>
      </c>
      <c r="E55" s="657">
        <v>330</v>
      </c>
      <c r="F55" s="657">
        <f t="shared" ref="F55" si="20">E55</f>
        <v>330</v>
      </c>
      <c r="G55" s="807"/>
    </row>
    <row r="56" spans="1:7">
      <c r="A56" s="1532"/>
      <c r="B56" s="658"/>
      <c r="C56" s="658"/>
      <c r="D56" s="658"/>
      <c r="E56" s="657"/>
      <c r="F56" s="657"/>
      <c r="G56" s="1530"/>
    </row>
    <row r="57" spans="1:7">
      <c r="A57" s="1532">
        <v>28</v>
      </c>
      <c r="B57" s="658" t="s">
        <v>3360</v>
      </c>
      <c r="C57" s="658" t="s">
        <v>3348</v>
      </c>
      <c r="D57" s="658" t="s">
        <v>239</v>
      </c>
      <c r="E57" s="657">
        <v>45792</v>
      </c>
      <c r="F57" s="657">
        <v>1400</v>
      </c>
      <c r="G57" s="807">
        <v>3.0573000000000001</v>
      </c>
    </row>
    <row r="58" spans="1:7">
      <c r="A58" s="1532"/>
      <c r="B58" s="658"/>
      <c r="C58" s="658"/>
      <c r="D58" s="658"/>
      <c r="E58" s="657"/>
      <c r="F58" s="657"/>
      <c r="G58" s="1530"/>
    </row>
    <row r="59" spans="1:7">
      <c r="A59" s="1532">
        <v>29</v>
      </c>
      <c r="B59" s="658" t="s">
        <v>2735</v>
      </c>
      <c r="C59" s="658" t="s">
        <v>3351</v>
      </c>
      <c r="D59" s="658" t="s">
        <v>3349</v>
      </c>
      <c r="E59" s="657">
        <v>50</v>
      </c>
      <c r="F59" s="657">
        <f t="shared" ref="F59" si="21">E59</f>
        <v>50</v>
      </c>
      <c r="G59" s="807"/>
    </row>
    <row r="60" spans="1:7">
      <c r="A60" s="1532"/>
      <c r="B60" s="658"/>
      <c r="C60" s="658"/>
      <c r="D60" s="658"/>
      <c r="E60" s="657"/>
      <c r="F60" s="657"/>
      <c r="G60" s="1530"/>
    </row>
    <row r="61" spans="1:7">
      <c r="A61" s="1532">
        <v>30</v>
      </c>
      <c r="B61" s="658" t="s">
        <v>2708</v>
      </c>
      <c r="C61" s="658" t="s">
        <v>3351</v>
      </c>
      <c r="D61" s="658" t="s">
        <v>2866</v>
      </c>
      <c r="E61" s="657">
        <v>330</v>
      </c>
      <c r="F61" s="657">
        <f t="shared" ref="F61" si="22">E61</f>
        <v>330</v>
      </c>
      <c r="G61" s="807"/>
    </row>
    <row r="62" spans="1:7">
      <c r="A62" s="1532"/>
      <c r="B62" s="658"/>
      <c r="C62" s="658"/>
      <c r="D62" s="658"/>
      <c r="E62" s="657"/>
      <c r="F62" s="657"/>
      <c r="G62" s="1530"/>
    </row>
    <row r="63" spans="1:7">
      <c r="A63" s="1532">
        <v>31</v>
      </c>
      <c r="B63" s="658" t="s">
        <v>2717</v>
      </c>
      <c r="C63" s="658" t="s">
        <v>3351</v>
      </c>
      <c r="D63" s="658" t="s">
        <v>3350</v>
      </c>
      <c r="E63" s="657">
        <v>400</v>
      </c>
      <c r="F63" s="657">
        <f t="shared" ref="F63" si="23">E63</f>
        <v>400</v>
      </c>
      <c r="G63" s="807"/>
    </row>
    <row r="64" spans="1:7">
      <c r="A64" s="1532"/>
      <c r="B64" s="658"/>
      <c r="C64" s="658"/>
      <c r="D64" s="658"/>
      <c r="E64" s="657"/>
      <c r="F64" s="657"/>
      <c r="G64" s="1530"/>
    </row>
    <row r="65" spans="1:7">
      <c r="A65" s="1532">
        <v>32</v>
      </c>
      <c r="B65" s="658" t="s">
        <v>3362</v>
      </c>
      <c r="C65" s="658" t="s">
        <v>3361</v>
      </c>
      <c r="D65" s="658" t="s">
        <v>239</v>
      </c>
      <c r="E65" s="657">
        <v>1350</v>
      </c>
      <c r="F65" s="657">
        <f t="shared" ref="F65" si="24">E65</f>
        <v>1350</v>
      </c>
      <c r="G65" s="807"/>
    </row>
    <row r="66" spans="1:7">
      <c r="A66" s="1532"/>
      <c r="B66" s="658"/>
      <c r="C66" s="658"/>
      <c r="D66" s="658"/>
      <c r="E66" s="657"/>
      <c r="F66" s="657"/>
      <c r="G66" s="1530"/>
    </row>
    <row r="67" spans="1:7">
      <c r="A67" s="1532">
        <v>33</v>
      </c>
      <c r="B67" s="658" t="s">
        <v>2718</v>
      </c>
      <c r="C67" s="658" t="s">
        <v>3353</v>
      </c>
      <c r="D67" s="658" t="s">
        <v>3352</v>
      </c>
      <c r="E67" s="657">
        <v>500</v>
      </c>
      <c r="F67" s="657">
        <f t="shared" ref="F67" si="25">E67</f>
        <v>500</v>
      </c>
      <c r="G67" s="807"/>
    </row>
    <row r="68" spans="1:7">
      <c r="A68" s="1532"/>
      <c r="B68" s="658"/>
      <c r="C68" s="658"/>
      <c r="D68" s="658"/>
      <c r="E68" s="657"/>
      <c r="F68" s="657"/>
      <c r="G68" s="1530"/>
    </row>
    <row r="69" spans="1:7">
      <c r="A69" s="1532">
        <v>34</v>
      </c>
      <c r="B69" s="658" t="s">
        <v>2719</v>
      </c>
      <c r="C69" s="658" t="s">
        <v>3353</v>
      </c>
      <c r="D69" s="658" t="s">
        <v>3365</v>
      </c>
      <c r="E69" s="657">
        <v>250</v>
      </c>
      <c r="F69" s="657">
        <f t="shared" ref="F69" si="26">E69</f>
        <v>250</v>
      </c>
      <c r="G69" s="807"/>
    </row>
    <row r="70" spans="1:7">
      <c r="A70" s="1532"/>
      <c r="B70" s="658"/>
      <c r="C70" s="658"/>
      <c r="D70" s="658"/>
      <c r="E70" s="657"/>
      <c r="F70" s="657"/>
      <c r="G70" s="1530"/>
    </row>
    <row r="71" spans="1:7">
      <c r="A71" s="1532">
        <v>35</v>
      </c>
      <c r="B71" s="658" t="s">
        <v>2729</v>
      </c>
      <c r="C71" s="658" t="s">
        <v>3353</v>
      </c>
      <c r="D71" s="658" t="s">
        <v>2376</v>
      </c>
      <c r="E71" s="657">
        <v>70</v>
      </c>
      <c r="F71" s="657">
        <f t="shared" ref="F71" si="27">E71</f>
        <v>70</v>
      </c>
      <c r="G71" s="807"/>
    </row>
    <row r="72" spans="1:7">
      <c r="A72" s="1532"/>
      <c r="B72" s="658"/>
      <c r="C72" s="658"/>
      <c r="D72" s="658"/>
      <c r="E72" s="657"/>
      <c r="F72" s="657"/>
      <c r="G72" s="1530"/>
    </row>
    <row r="73" spans="1:7">
      <c r="A73" s="1532">
        <v>36</v>
      </c>
      <c r="B73" s="658" t="s">
        <v>2730</v>
      </c>
      <c r="C73" s="658" t="s">
        <v>3353</v>
      </c>
      <c r="D73" s="658" t="s">
        <v>2517</v>
      </c>
      <c r="E73" s="657">
        <v>100</v>
      </c>
      <c r="F73" s="657">
        <f t="shared" ref="F73" si="28">E73</f>
        <v>100</v>
      </c>
      <c r="G73" s="807"/>
    </row>
    <row r="74" spans="1:7">
      <c r="A74" s="1532"/>
      <c r="B74" s="658"/>
      <c r="C74" s="658"/>
      <c r="D74" s="658"/>
      <c r="E74" s="657"/>
      <c r="F74" s="657"/>
      <c r="G74" s="1530"/>
    </row>
    <row r="75" spans="1:7">
      <c r="A75" s="1532">
        <v>37</v>
      </c>
      <c r="B75" s="658" t="s">
        <v>2731</v>
      </c>
      <c r="C75" s="658" t="s">
        <v>3353</v>
      </c>
      <c r="D75" s="658" t="s">
        <v>2375</v>
      </c>
      <c r="E75" s="657">
        <v>60</v>
      </c>
      <c r="F75" s="657">
        <f t="shared" ref="F75" si="29">E75</f>
        <v>60</v>
      </c>
      <c r="G75" s="807"/>
    </row>
    <row r="76" spans="1:7">
      <c r="A76" s="1532"/>
      <c r="B76" s="658"/>
      <c r="C76" s="658"/>
      <c r="D76" s="658"/>
      <c r="E76" s="657"/>
      <c r="F76" s="657"/>
      <c r="G76" s="1530"/>
    </row>
    <row r="77" spans="1:7">
      <c r="A77" s="1532">
        <v>38</v>
      </c>
      <c r="B77" s="658" t="s">
        <v>3364</v>
      </c>
      <c r="C77" s="658" t="s">
        <v>3363</v>
      </c>
      <c r="D77" s="658" t="s">
        <v>239</v>
      </c>
      <c r="E77" s="657">
        <v>44241</v>
      </c>
      <c r="F77" s="657">
        <v>1350</v>
      </c>
      <c r="G77" s="807">
        <v>3.0514999999999999</v>
      </c>
    </row>
    <row r="78" spans="1:7">
      <c r="A78" s="1532"/>
      <c r="B78" s="658"/>
      <c r="C78" s="658"/>
      <c r="D78" s="658"/>
      <c r="E78" s="657"/>
      <c r="F78" s="657"/>
      <c r="G78" s="1530"/>
    </row>
    <row r="79" spans="1:7">
      <c r="A79" s="1532">
        <v>39</v>
      </c>
      <c r="B79" s="658" t="s">
        <v>2732</v>
      </c>
      <c r="C79" s="658" t="s">
        <v>3353</v>
      </c>
      <c r="D79" s="658" t="s">
        <v>1745</v>
      </c>
      <c r="E79" s="657">
        <v>110</v>
      </c>
      <c r="F79" s="657">
        <f t="shared" ref="F79" si="30">E79</f>
        <v>110</v>
      </c>
      <c r="G79" s="807"/>
    </row>
    <row r="80" spans="1:7">
      <c r="A80" s="1532"/>
      <c r="B80" s="658"/>
      <c r="C80" s="658"/>
      <c r="D80" s="658"/>
      <c r="E80" s="657"/>
      <c r="F80" s="657"/>
      <c r="G80" s="1530"/>
    </row>
    <row r="81" spans="1:7">
      <c r="A81" s="1532">
        <v>40</v>
      </c>
      <c r="B81" s="658" t="s">
        <v>2733</v>
      </c>
      <c r="C81" s="658" t="s">
        <v>3353</v>
      </c>
      <c r="D81" s="658" t="s">
        <v>2723</v>
      </c>
      <c r="E81" s="657">
        <v>370</v>
      </c>
      <c r="F81" s="657">
        <f t="shared" ref="F81" si="31">E81</f>
        <v>370</v>
      </c>
      <c r="G81" s="807"/>
    </row>
    <row r="82" spans="1:7">
      <c r="A82" s="1532"/>
      <c r="B82" s="658"/>
      <c r="C82" s="658"/>
      <c r="D82" s="658"/>
      <c r="E82" s="657"/>
      <c r="F82" s="657"/>
      <c r="G82" s="1530"/>
    </row>
    <row r="83" spans="1:7">
      <c r="A83" s="1532">
        <v>41</v>
      </c>
      <c r="B83" s="658" t="s">
        <v>2734</v>
      </c>
      <c r="C83" s="658" t="s">
        <v>3353</v>
      </c>
      <c r="D83" s="658" t="s">
        <v>3260</v>
      </c>
      <c r="E83" s="657">
        <v>300</v>
      </c>
      <c r="F83" s="657">
        <f t="shared" ref="F83" si="32">E83</f>
        <v>300</v>
      </c>
      <c r="G83" s="807"/>
    </row>
    <row r="84" spans="1:7">
      <c r="A84" s="1532"/>
      <c r="B84" s="658"/>
      <c r="C84" s="658"/>
      <c r="D84" s="658"/>
      <c r="E84" s="657"/>
      <c r="F84" s="657"/>
      <c r="G84" s="1530"/>
    </row>
    <row r="85" spans="1:7">
      <c r="A85" s="1532">
        <v>42</v>
      </c>
      <c r="B85" s="658" t="s">
        <v>2707</v>
      </c>
      <c r="C85" s="658" t="s">
        <v>3354</v>
      </c>
      <c r="D85" s="658" t="s">
        <v>1140</v>
      </c>
      <c r="E85" s="657">
        <v>500</v>
      </c>
      <c r="F85" s="657">
        <v>200</v>
      </c>
      <c r="G85" s="807" t="s">
        <v>3376</v>
      </c>
    </row>
    <row r="86" spans="1:7">
      <c r="A86" s="1532"/>
      <c r="B86" s="658"/>
      <c r="C86" s="658"/>
      <c r="D86" s="658"/>
      <c r="E86" s="657"/>
      <c r="F86" s="657"/>
      <c r="G86" s="1530"/>
    </row>
    <row r="87" spans="1:7">
      <c r="A87" s="1532">
        <v>43</v>
      </c>
      <c r="B87" s="658" t="s">
        <v>3372</v>
      </c>
      <c r="C87" s="658" t="s">
        <v>3353</v>
      </c>
      <c r="D87" s="658" t="s">
        <v>239</v>
      </c>
      <c r="E87" s="657">
        <v>1350</v>
      </c>
      <c r="F87" s="657">
        <v>1350</v>
      </c>
      <c r="G87" s="807"/>
    </row>
    <row r="88" spans="1:7">
      <c r="A88" s="1532"/>
      <c r="B88" s="658"/>
      <c r="C88" s="658"/>
      <c r="D88" s="658"/>
      <c r="E88" s="657"/>
      <c r="F88" s="657"/>
      <c r="G88" s="1530"/>
    </row>
    <row r="89" spans="1:7">
      <c r="A89" s="1532">
        <v>44</v>
      </c>
      <c r="B89" s="658" t="s">
        <v>2743</v>
      </c>
      <c r="C89" s="658" t="s">
        <v>3366</v>
      </c>
      <c r="D89" s="658" t="s">
        <v>1601</v>
      </c>
      <c r="E89" s="657">
        <v>1000</v>
      </c>
      <c r="F89" s="657">
        <f t="shared" ref="F89" si="33">E89</f>
        <v>1000</v>
      </c>
      <c r="G89" s="807"/>
    </row>
    <row r="90" spans="1:7">
      <c r="A90" s="1532"/>
      <c r="B90" s="658"/>
      <c r="C90" s="658"/>
      <c r="D90" s="658"/>
      <c r="E90" s="657"/>
      <c r="F90" s="657"/>
      <c r="G90" s="1530"/>
    </row>
    <row r="91" spans="1:7">
      <c r="A91" s="1532">
        <v>45</v>
      </c>
      <c r="B91" s="658" t="s">
        <v>3374</v>
      </c>
      <c r="C91" s="658" t="s">
        <v>3373</v>
      </c>
      <c r="D91" s="658" t="s">
        <v>239</v>
      </c>
      <c r="E91" s="657">
        <v>44095</v>
      </c>
      <c r="F91" s="657">
        <v>1350</v>
      </c>
      <c r="G91" s="807">
        <v>3.0615999999999999</v>
      </c>
    </row>
    <row r="92" spans="1:7">
      <c r="A92" s="1532"/>
      <c r="B92" s="658"/>
      <c r="C92" s="658"/>
      <c r="D92" s="658"/>
      <c r="E92" s="657"/>
      <c r="F92" s="657"/>
      <c r="G92" s="1530"/>
    </row>
    <row r="93" spans="1:7">
      <c r="A93" s="1532">
        <v>46</v>
      </c>
      <c r="B93" s="658" t="s">
        <v>2747</v>
      </c>
      <c r="C93" s="658" t="s">
        <v>3371</v>
      </c>
      <c r="D93" s="658" t="s">
        <v>2348</v>
      </c>
      <c r="E93" s="657">
        <v>100</v>
      </c>
      <c r="F93" s="657">
        <f t="shared" ref="F93" si="34">E93</f>
        <v>100</v>
      </c>
      <c r="G93" s="807"/>
    </row>
    <row r="94" spans="1:7">
      <c r="A94" s="1532"/>
      <c r="B94" s="658"/>
      <c r="C94" s="658"/>
      <c r="D94" s="658"/>
      <c r="E94" s="657"/>
      <c r="F94" s="657"/>
      <c r="G94" s="1530"/>
    </row>
    <row r="95" spans="1:7">
      <c r="A95" s="1532">
        <v>47</v>
      </c>
      <c r="B95" s="658" t="s">
        <v>3375</v>
      </c>
      <c r="C95" s="658" t="s">
        <v>3373</v>
      </c>
      <c r="D95" s="658" t="s">
        <v>239</v>
      </c>
      <c r="E95" s="657">
        <v>1350</v>
      </c>
      <c r="F95" s="657">
        <f t="shared" ref="F95" si="35">E95</f>
        <v>1350</v>
      </c>
      <c r="G95" s="807"/>
    </row>
    <row r="96" spans="1:7">
      <c r="A96" s="1532"/>
      <c r="B96" s="658"/>
      <c r="C96" s="658"/>
      <c r="D96" s="658"/>
      <c r="E96" s="657"/>
      <c r="F96" s="657"/>
      <c r="G96" s="1530"/>
    </row>
    <row r="97" spans="1:7">
      <c r="A97" s="1532">
        <v>48</v>
      </c>
      <c r="B97" s="658" t="s">
        <v>2751</v>
      </c>
      <c r="C97" s="658" t="s">
        <v>3371</v>
      </c>
      <c r="D97" s="658" t="s">
        <v>3309</v>
      </c>
      <c r="E97" s="657">
        <v>360</v>
      </c>
      <c r="F97" s="657">
        <f t="shared" ref="F97" si="36">E97</f>
        <v>360</v>
      </c>
      <c r="G97" s="807"/>
    </row>
    <row r="98" spans="1:7">
      <c r="A98" s="1532"/>
      <c r="B98" s="658"/>
      <c r="C98" s="658"/>
      <c r="D98" s="658"/>
      <c r="E98" s="657"/>
      <c r="F98" s="657"/>
      <c r="G98" s="1530"/>
    </row>
    <row r="99" spans="1:7">
      <c r="A99" s="1532">
        <v>49</v>
      </c>
      <c r="B99" s="658" t="s">
        <v>2752</v>
      </c>
      <c r="C99" s="658" t="s">
        <v>3378</v>
      </c>
      <c r="D99" s="658" t="s">
        <v>3369</v>
      </c>
      <c r="E99" s="657">
        <v>420</v>
      </c>
      <c r="F99" s="657">
        <f t="shared" ref="F99" si="37">E99</f>
        <v>420</v>
      </c>
      <c r="G99" s="807"/>
    </row>
    <row r="100" spans="1:7">
      <c r="A100" s="1532"/>
      <c r="B100" s="658"/>
      <c r="C100" s="658"/>
      <c r="D100" s="658"/>
      <c r="E100" s="657"/>
      <c r="F100" s="657"/>
      <c r="G100" s="1530"/>
    </row>
    <row r="101" spans="1:7">
      <c r="A101" s="1532">
        <v>50</v>
      </c>
      <c r="B101" s="658" t="s">
        <v>2758</v>
      </c>
      <c r="C101" s="658" t="s">
        <v>3371</v>
      </c>
      <c r="D101" s="658" t="s">
        <v>117</v>
      </c>
      <c r="E101" s="657">
        <v>110</v>
      </c>
      <c r="F101" s="657">
        <f t="shared" ref="F101" si="38">E101</f>
        <v>110</v>
      </c>
      <c r="G101" s="807"/>
    </row>
    <row r="102" spans="1:7">
      <c r="A102" s="1532"/>
      <c r="B102" s="658"/>
      <c r="C102" s="658"/>
      <c r="D102" s="658"/>
      <c r="E102" s="657"/>
      <c r="F102" s="657"/>
      <c r="G102" s="1530"/>
    </row>
    <row r="103" spans="1:7">
      <c r="A103" s="1532"/>
      <c r="B103" s="658"/>
      <c r="C103" s="658"/>
      <c r="D103" s="658"/>
      <c r="E103" s="657"/>
      <c r="F103" s="657"/>
      <c r="G103" s="807"/>
    </row>
    <row r="104" spans="1:7">
      <c r="A104" s="1532"/>
      <c r="B104" s="658"/>
      <c r="C104" s="658"/>
      <c r="D104" s="658"/>
      <c r="E104" s="657"/>
      <c r="F104" s="657"/>
      <c r="G104" s="1530"/>
    </row>
    <row r="105" spans="1:7">
      <c r="A105" s="1532"/>
      <c r="B105" s="658"/>
      <c r="C105" s="658"/>
      <c r="D105" s="658"/>
      <c r="E105" s="657"/>
      <c r="F105" s="657"/>
      <c r="G105" s="807"/>
    </row>
    <row r="106" spans="1:7">
      <c r="A106" s="1532"/>
      <c r="B106" s="658"/>
      <c r="C106" s="658"/>
      <c r="D106" s="658"/>
      <c r="E106" s="657"/>
      <c r="F106" s="657"/>
      <c r="G106" s="1530"/>
    </row>
    <row r="107" spans="1:7">
      <c r="A107" s="1532"/>
      <c r="B107" s="658"/>
      <c r="C107" s="658"/>
      <c r="D107" s="658"/>
      <c r="E107" s="657"/>
      <c r="F107" s="657"/>
      <c r="G107" s="807"/>
    </row>
    <row r="108" spans="1:7">
      <c r="A108" s="1532"/>
      <c r="B108" s="658"/>
      <c r="C108" s="658"/>
      <c r="D108" s="658"/>
      <c r="E108" s="657"/>
      <c r="F108" s="657"/>
      <c r="G108" s="1530"/>
    </row>
    <row r="109" spans="1:7">
      <c r="A109" s="1532"/>
      <c r="B109" s="658"/>
      <c r="C109" s="658"/>
      <c r="D109" s="658"/>
      <c r="E109" s="657"/>
      <c r="F109" s="657"/>
      <c r="G109" s="807"/>
    </row>
    <row r="110" spans="1:7">
      <c r="A110" s="1532"/>
      <c r="B110" s="658"/>
      <c r="C110" s="658"/>
      <c r="D110" s="658"/>
      <c r="E110" s="657"/>
      <c r="F110" s="657"/>
      <c r="G110" s="1530"/>
    </row>
    <row r="111" spans="1:7">
      <c r="A111" s="1532"/>
      <c r="B111" s="658"/>
      <c r="C111" s="658"/>
      <c r="D111" s="658"/>
      <c r="E111" s="657"/>
      <c r="F111" s="657"/>
      <c r="G111" s="807"/>
    </row>
    <row r="112" spans="1:7">
      <c r="A112" s="1532"/>
      <c r="B112" s="658"/>
      <c r="C112" s="658"/>
      <c r="D112" s="658"/>
      <c r="E112" s="657"/>
      <c r="F112" s="657"/>
      <c r="G112" s="1530"/>
    </row>
    <row r="113" spans="1:7">
      <c r="A113" s="1532"/>
      <c r="B113" s="658"/>
      <c r="C113" s="658"/>
      <c r="D113" s="658"/>
      <c r="E113" s="657"/>
      <c r="F113" s="657"/>
      <c r="G113" s="807"/>
    </row>
    <row r="114" spans="1:7">
      <c r="A114" s="1532"/>
      <c r="B114" s="658"/>
      <c r="C114" s="658"/>
      <c r="D114" s="658"/>
      <c r="E114" s="657"/>
      <c r="F114" s="657"/>
      <c r="G114" s="1530"/>
    </row>
    <row r="115" spans="1:7">
      <c r="A115" s="1532"/>
      <c r="B115" s="658"/>
      <c r="C115" s="658"/>
      <c r="D115" s="658"/>
      <c r="E115" s="657"/>
      <c r="F115" s="657"/>
      <c r="G115" s="807"/>
    </row>
    <row r="116" spans="1:7">
      <c r="A116" s="1532"/>
      <c r="B116" s="658"/>
      <c r="C116" s="658"/>
      <c r="D116" s="658"/>
      <c r="E116" s="657"/>
      <c r="F116" s="657"/>
      <c r="G116" s="1530"/>
    </row>
    <row r="117" spans="1:7">
      <c r="A117" s="1532"/>
      <c r="B117" s="658"/>
      <c r="C117" s="658"/>
      <c r="D117" s="658"/>
      <c r="E117" s="657"/>
      <c r="F117" s="657"/>
      <c r="G117" s="807"/>
    </row>
    <row r="118" spans="1:7">
      <c r="A118" s="1532"/>
      <c r="B118" s="658"/>
      <c r="C118" s="658"/>
      <c r="D118" s="658"/>
      <c r="E118" s="657"/>
      <c r="F118" s="657"/>
      <c r="G118" s="1530"/>
    </row>
    <row r="119" spans="1:7">
      <c r="A119" s="1532"/>
      <c r="B119" s="658"/>
      <c r="C119" s="658"/>
      <c r="D119" s="658"/>
      <c r="E119" s="657"/>
      <c r="F119" s="657"/>
      <c r="G119" s="807"/>
    </row>
    <row r="120" spans="1:7">
      <c r="A120" s="1532"/>
      <c r="B120" s="658"/>
      <c r="C120" s="658"/>
      <c r="D120" s="658"/>
      <c r="E120" s="657"/>
      <c r="F120" s="657"/>
      <c r="G120" s="1530"/>
    </row>
    <row r="121" spans="1:7">
      <c r="A121" s="1532"/>
      <c r="B121" s="658"/>
      <c r="C121" s="658"/>
      <c r="D121" s="658"/>
      <c r="E121" s="657"/>
      <c r="F121" s="657"/>
      <c r="G121" s="807"/>
    </row>
    <row r="122" spans="1:7">
      <c r="A122" s="1532"/>
      <c r="B122" s="658"/>
      <c r="C122" s="658"/>
      <c r="D122" s="658"/>
      <c r="E122" s="657"/>
      <c r="F122" s="657"/>
      <c r="G122" s="1530"/>
    </row>
    <row r="123" spans="1:7">
      <c r="A123" s="1532"/>
      <c r="B123" s="658"/>
      <c r="C123" s="658"/>
      <c r="D123" s="658"/>
      <c r="E123" s="657"/>
      <c r="F123" s="657"/>
      <c r="G123" s="807"/>
    </row>
    <row r="124" spans="1:7">
      <c r="A124" s="1532"/>
      <c r="B124" s="658"/>
      <c r="C124" s="658"/>
      <c r="D124" s="658"/>
      <c r="E124" s="657"/>
      <c r="F124" s="657"/>
      <c r="G124" s="1530"/>
    </row>
    <row r="125" spans="1:7">
      <c r="A125" s="1532"/>
      <c r="B125" s="658"/>
      <c r="C125" s="658"/>
      <c r="D125" s="658"/>
      <c r="E125" s="657"/>
      <c r="F125" s="657"/>
      <c r="G125" s="807"/>
    </row>
    <row r="126" spans="1:7">
      <c r="A126" s="1532"/>
      <c r="B126" s="658"/>
      <c r="C126" s="658"/>
      <c r="D126" s="658"/>
      <c r="E126" s="657"/>
      <c r="F126" s="657"/>
      <c r="G126" s="1530"/>
    </row>
  </sheetData>
  <mergeCells count="435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25:G126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</mergeCells>
  <pageMargins left="1" right="1" top="1" bottom="1" header="0.5" footer="0.5"/>
  <pageSetup paperSize="9" orientation="landscape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"/>
  <sheetViews>
    <sheetView topLeftCell="A112" workbookViewId="0">
      <selection sqref="A1:G132"/>
    </sheetView>
  </sheetViews>
  <sheetFormatPr defaultRowHeight="12.75"/>
  <cols>
    <col min="2" max="2" width="20" customWidth="1"/>
    <col min="3" max="3" width="20.7109375" customWidth="1"/>
    <col min="4" max="4" width="29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SUM(F3:F144)</f>
        <v>40484</v>
      </c>
    </row>
    <row r="2" spans="1:7" ht="15">
      <c r="A2" s="1536" t="s">
        <v>3297</v>
      </c>
      <c r="B2" s="1536"/>
      <c r="C2" s="1536"/>
      <c r="D2" s="1536"/>
      <c r="E2" s="1536"/>
      <c r="F2" s="1536"/>
      <c r="G2" s="1536"/>
    </row>
    <row r="3" spans="1:7">
      <c r="A3" s="1532">
        <v>1</v>
      </c>
      <c r="B3" s="658" t="s">
        <v>945</v>
      </c>
      <c r="C3" s="658" t="s">
        <v>3237</v>
      </c>
      <c r="D3" s="658" t="s">
        <v>1113</v>
      </c>
      <c r="E3" s="657">
        <v>550</v>
      </c>
      <c r="F3" s="657">
        <f t="shared" ref="F3" si="0">E3</f>
        <v>550</v>
      </c>
      <c r="G3" s="1537"/>
    </row>
    <row r="4" spans="1:7">
      <c r="A4" s="1532"/>
      <c r="B4" s="658"/>
      <c r="C4" s="658"/>
      <c r="D4" s="658"/>
      <c r="E4" s="657"/>
      <c r="F4" s="657"/>
      <c r="G4" s="1538"/>
    </row>
    <row r="5" spans="1:7">
      <c r="A5" s="1532">
        <v>2</v>
      </c>
      <c r="B5" s="658" t="s">
        <v>941</v>
      </c>
      <c r="C5" s="658" t="s">
        <v>3237</v>
      </c>
      <c r="D5" s="658" t="s">
        <v>2517</v>
      </c>
      <c r="E5" s="657">
        <v>150</v>
      </c>
      <c r="F5" s="657">
        <f t="shared" ref="F5" si="1">E5</f>
        <v>150</v>
      </c>
      <c r="G5" s="1537"/>
    </row>
    <row r="6" spans="1:7">
      <c r="A6" s="1532"/>
      <c r="B6" s="658"/>
      <c r="C6" s="658"/>
      <c r="D6" s="658"/>
      <c r="E6" s="657"/>
      <c r="F6" s="657"/>
      <c r="G6" s="1538"/>
    </row>
    <row r="7" spans="1:7">
      <c r="A7" s="1532">
        <v>3</v>
      </c>
      <c r="B7" s="658" t="s">
        <v>944</v>
      </c>
      <c r="C7" s="658" t="s">
        <v>3237</v>
      </c>
      <c r="D7" s="658" t="s">
        <v>2517</v>
      </c>
      <c r="E7" s="657">
        <v>150</v>
      </c>
      <c r="F7" s="657">
        <f t="shared" ref="F7" si="2">E7</f>
        <v>150</v>
      </c>
      <c r="G7" s="1537"/>
    </row>
    <row r="8" spans="1:7">
      <c r="A8" s="1532"/>
      <c r="B8" s="658"/>
      <c r="C8" s="658"/>
      <c r="D8" s="658"/>
      <c r="E8" s="657"/>
      <c r="F8" s="657"/>
      <c r="G8" s="1537"/>
    </row>
    <row r="9" spans="1:7">
      <c r="A9" s="1532">
        <v>4</v>
      </c>
      <c r="B9" s="658" t="s">
        <v>928</v>
      </c>
      <c r="C9" s="658" t="s">
        <v>3237</v>
      </c>
      <c r="D9" s="658" t="s">
        <v>2032</v>
      </c>
      <c r="E9" s="657">
        <v>1700</v>
      </c>
      <c r="F9" s="657">
        <f t="shared" ref="F9" si="3">E9</f>
        <v>1700</v>
      </c>
      <c r="G9" s="1537"/>
    </row>
    <row r="10" spans="1:7">
      <c r="A10" s="1532"/>
      <c r="B10" s="658"/>
      <c r="C10" s="658"/>
      <c r="D10" s="658"/>
      <c r="E10" s="657"/>
      <c r="F10" s="657"/>
      <c r="G10" s="1538"/>
    </row>
    <row r="11" spans="1:7">
      <c r="A11" s="1532">
        <v>5</v>
      </c>
      <c r="B11" s="658" t="s">
        <v>946</v>
      </c>
      <c r="C11" s="658" t="s">
        <v>3237</v>
      </c>
      <c r="D11" s="658" t="s">
        <v>1140</v>
      </c>
      <c r="E11" s="657">
        <v>510</v>
      </c>
      <c r="F11" s="657">
        <f t="shared" ref="F11" si="4">E11</f>
        <v>510</v>
      </c>
      <c r="G11" s="807"/>
    </row>
    <row r="12" spans="1:7">
      <c r="A12" s="1532"/>
      <c r="B12" s="658"/>
      <c r="C12" s="658"/>
      <c r="D12" s="658"/>
      <c r="E12" s="657"/>
      <c r="F12" s="657"/>
      <c r="G12" s="1530"/>
    </row>
    <row r="13" spans="1:7">
      <c r="A13" s="1532">
        <v>6</v>
      </c>
      <c r="B13" s="658" t="s">
        <v>948</v>
      </c>
      <c r="C13" s="658" t="s">
        <v>3237</v>
      </c>
      <c r="D13" s="658" t="s">
        <v>2723</v>
      </c>
      <c r="E13" s="657">
        <v>200</v>
      </c>
      <c r="F13" s="657">
        <f t="shared" ref="F13" si="5">E13</f>
        <v>200</v>
      </c>
      <c r="G13" s="807"/>
    </row>
    <row r="14" spans="1:7">
      <c r="A14" s="1532"/>
      <c r="B14" s="658"/>
      <c r="C14" s="658"/>
      <c r="D14" s="658"/>
      <c r="E14" s="657"/>
      <c r="F14" s="657"/>
      <c r="G14" s="1530"/>
    </row>
    <row r="15" spans="1:7">
      <c r="A15" s="1532">
        <v>7</v>
      </c>
      <c r="B15" s="658" t="s">
        <v>958</v>
      </c>
      <c r="C15" s="658" t="s">
        <v>3239</v>
      </c>
      <c r="D15" s="658" t="s">
        <v>2582</v>
      </c>
      <c r="E15" s="657">
        <v>350</v>
      </c>
      <c r="F15" s="657">
        <f t="shared" ref="F15" si="6">E15</f>
        <v>350</v>
      </c>
      <c r="G15" s="807"/>
    </row>
    <row r="16" spans="1:7">
      <c r="A16" s="1532"/>
      <c r="B16" s="658"/>
      <c r="C16" s="658"/>
      <c r="D16" s="658"/>
      <c r="E16" s="657"/>
      <c r="F16" s="657"/>
      <c r="G16" s="1530"/>
    </row>
    <row r="17" spans="1:7">
      <c r="A17" s="1532">
        <v>8</v>
      </c>
      <c r="B17" s="658" t="s">
        <v>959</v>
      </c>
      <c r="C17" s="658" t="s">
        <v>3239</v>
      </c>
      <c r="D17" s="658" t="s">
        <v>2723</v>
      </c>
      <c r="E17" s="657">
        <v>400</v>
      </c>
      <c r="F17" s="657">
        <f t="shared" ref="F17" si="7">E17</f>
        <v>400</v>
      </c>
      <c r="G17" s="807"/>
    </row>
    <row r="18" spans="1:7">
      <c r="A18" s="1532"/>
      <c r="B18" s="658"/>
      <c r="C18" s="658"/>
      <c r="D18" s="658"/>
      <c r="E18" s="657"/>
      <c r="F18" s="657"/>
      <c r="G18" s="1530"/>
    </row>
    <row r="19" spans="1:7">
      <c r="A19" s="1532">
        <v>9</v>
      </c>
      <c r="B19" s="658" t="s">
        <v>960</v>
      </c>
      <c r="C19" s="658" t="s">
        <v>3239</v>
      </c>
      <c r="D19" s="658" t="s">
        <v>2723</v>
      </c>
      <c r="E19" s="657">
        <v>350</v>
      </c>
      <c r="F19" s="657">
        <f t="shared" ref="F19" si="8">E19</f>
        <v>350</v>
      </c>
      <c r="G19" s="807"/>
    </row>
    <row r="20" spans="1:7">
      <c r="A20" s="1532"/>
      <c r="B20" s="658"/>
      <c r="C20" s="658"/>
      <c r="D20" s="658"/>
      <c r="E20" s="657"/>
      <c r="F20" s="657"/>
      <c r="G20" s="1530"/>
    </row>
    <row r="21" spans="1:7">
      <c r="A21" s="1532">
        <v>10</v>
      </c>
      <c r="B21" s="658" t="s">
        <v>962</v>
      </c>
      <c r="C21" s="658" t="s">
        <v>3239</v>
      </c>
      <c r="D21" s="658" t="s">
        <v>2723</v>
      </c>
      <c r="E21" s="657">
        <v>100</v>
      </c>
      <c r="F21" s="657">
        <f t="shared" ref="F21" si="9">E21</f>
        <v>100</v>
      </c>
      <c r="G21" s="807"/>
    </row>
    <row r="22" spans="1:7">
      <c r="A22" s="1532"/>
      <c r="B22" s="658"/>
      <c r="C22" s="658"/>
      <c r="D22" s="658"/>
      <c r="E22" s="657"/>
      <c r="F22" s="657"/>
      <c r="G22" s="1530"/>
    </row>
    <row r="23" spans="1:7">
      <c r="A23" s="1532">
        <v>11</v>
      </c>
      <c r="B23" s="658" t="s">
        <v>963</v>
      </c>
      <c r="C23" s="658" t="s">
        <v>3239</v>
      </c>
      <c r="D23" s="658" t="s">
        <v>117</v>
      </c>
      <c r="E23" s="657">
        <v>110</v>
      </c>
      <c r="F23" s="657">
        <f t="shared" ref="F23" si="10">E23</f>
        <v>110</v>
      </c>
      <c r="G23" s="807"/>
    </row>
    <row r="24" spans="1:7">
      <c r="A24" s="1532"/>
      <c r="B24" s="658"/>
      <c r="C24" s="658"/>
      <c r="D24" s="658"/>
      <c r="E24" s="657"/>
      <c r="F24" s="657"/>
      <c r="G24" s="1530"/>
    </row>
    <row r="25" spans="1:7">
      <c r="A25" s="1532">
        <v>12</v>
      </c>
      <c r="B25" s="658" t="s">
        <v>3251</v>
      </c>
      <c r="C25" s="658" t="s">
        <v>3248</v>
      </c>
      <c r="D25" s="658" t="s">
        <v>239</v>
      </c>
      <c r="E25" s="657">
        <v>1350</v>
      </c>
      <c r="F25" s="657">
        <f t="shared" ref="F25" si="11">E25</f>
        <v>1350</v>
      </c>
      <c r="G25" s="807"/>
    </row>
    <row r="26" spans="1:7">
      <c r="A26" s="1532"/>
      <c r="B26" s="658"/>
      <c r="C26" s="658"/>
      <c r="D26" s="658"/>
      <c r="E26" s="657"/>
      <c r="F26" s="657"/>
      <c r="G26" s="1530"/>
    </row>
    <row r="27" spans="1:7">
      <c r="A27" s="1532">
        <v>13</v>
      </c>
      <c r="B27" s="658" t="s">
        <v>968</v>
      </c>
      <c r="C27" s="658" t="s">
        <v>3247</v>
      </c>
      <c r="D27" s="658" t="s">
        <v>1601</v>
      </c>
      <c r="E27" s="657">
        <v>1300</v>
      </c>
      <c r="F27" s="657">
        <f t="shared" ref="F27" si="12">E27</f>
        <v>1300</v>
      </c>
      <c r="G27" s="807"/>
    </row>
    <row r="28" spans="1:7">
      <c r="A28" s="1532"/>
      <c r="B28" s="658"/>
      <c r="C28" s="658"/>
      <c r="D28" s="658"/>
      <c r="E28" s="657"/>
      <c r="F28" s="657"/>
      <c r="G28" s="1530"/>
    </row>
    <row r="29" spans="1:7">
      <c r="A29" s="1532">
        <v>14</v>
      </c>
      <c r="B29" s="658" t="s">
        <v>3252</v>
      </c>
      <c r="C29" s="658" t="s">
        <v>3248</v>
      </c>
      <c r="D29" s="658" t="s">
        <v>239</v>
      </c>
      <c r="E29" s="657">
        <v>46298</v>
      </c>
      <c r="F29" s="657">
        <v>1400</v>
      </c>
      <c r="G29" s="807">
        <v>3.0238999999999998</v>
      </c>
    </row>
    <row r="30" spans="1:7">
      <c r="A30" s="1532"/>
      <c r="B30" s="658"/>
      <c r="C30" s="658"/>
      <c r="D30" s="658"/>
      <c r="E30" s="657"/>
      <c r="F30" s="657"/>
      <c r="G30" s="1530"/>
    </row>
    <row r="31" spans="1:7">
      <c r="A31" s="1532">
        <v>15</v>
      </c>
      <c r="B31" s="658" t="s">
        <v>969</v>
      </c>
      <c r="C31" s="658" t="s">
        <v>3249</v>
      </c>
      <c r="D31" s="658" t="s">
        <v>2723</v>
      </c>
      <c r="E31" s="657">
        <v>480</v>
      </c>
      <c r="F31" s="657">
        <f t="shared" ref="F31" si="13">E31</f>
        <v>480</v>
      </c>
      <c r="G31" s="807"/>
    </row>
    <row r="32" spans="1:7">
      <c r="A32" s="1532"/>
      <c r="B32" s="658"/>
      <c r="C32" s="658"/>
      <c r="D32" s="658"/>
      <c r="E32" s="657"/>
      <c r="F32" s="657"/>
      <c r="G32" s="1530"/>
    </row>
    <row r="33" spans="1:7">
      <c r="A33" s="1532">
        <v>16</v>
      </c>
      <c r="B33" s="658" t="s">
        <v>972</v>
      </c>
      <c r="C33" s="658" t="s">
        <v>3249</v>
      </c>
      <c r="D33" s="658" t="s">
        <v>2853</v>
      </c>
      <c r="E33" s="657">
        <v>350</v>
      </c>
      <c r="F33" s="657">
        <f t="shared" ref="F33" si="14">E33</f>
        <v>350</v>
      </c>
      <c r="G33" s="807"/>
    </row>
    <row r="34" spans="1:7">
      <c r="A34" s="1532"/>
      <c r="B34" s="658"/>
      <c r="C34" s="658"/>
      <c r="D34" s="658"/>
      <c r="E34" s="657"/>
      <c r="F34" s="657"/>
      <c r="G34" s="1530"/>
    </row>
    <row r="35" spans="1:7">
      <c r="A35" s="1532">
        <v>17</v>
      </c>
      <c r="B35" s="658" t="s">
        <v>977</v>
      </c>
      <c r="C35" s="658" t="s">
        <v>3249</v>
      </c>
      <c r="D35" s="658" t="s">
        <v>3226</v>
      </c>
      <c r="E35" s="657">
        <v>300</v>
      </c>
      <c r="F35" s="657">
        <f t="shared" ref="F35" si="15">E35</f>
        <v>300</v>
      </c>
      <c r="G35" s="807"/>
    </row>
    <row r="36" spans="1:7">
      <c r="A36" s="1532"/>
      <c r="B36" s="658"/>
      <c r="C36" s="658"/>
      <c r="D36" s="658"/>
      <c r="E36" s="657"/>
      <c r="F36" s="657"/>
      <c r="G36" s="1530"/>
    </row>
    <row r="37" spans="1:7">
      <c r="A37" s="1532">
        <v>18</v>
      </c>
      <c r="B37" s="658" t="s">
        <v>3253</v>
      </c>
      <c r="C37" s="658" t="s">
        <v>3249</v>
      </c>
      <c r="D37" s="658" t="s">
        <v>239</v>
      </c>
      <c r="E37" s="657">
        <v>1350</v>
      </c>
      <c r="F37" s="657">
        <f t="shared" ref="F37" si="16">E37</f>
        <v>1350</v>
      </c>
      <c r="G37" s="807"/>
    </row>
    <row r="38" spans="1:7">
      <c r="A38" s="1532"/>
      <c r="B38" s="658"/>
      <c r="C38" s="658"/>
      <c r="D38" s="658"/>
      <c r="E38" s="657"/>
      <c r="F38" s="657"/>
      <c r="G38" s="1530"/>
    </row>
    <row r="39" spans="1:7">
      <c r="A39" s="1532">
        <v>19</v>
      </c>
      <c r="B39" s="658" t="s">
        <v>978</v>
      </c>
      <c r="C39" s="658" t="s">
        <v>3250</v>
      </c>
      <c r="D39" s="658" t="s">
        <v>2723</v>
      </c>
      <c r="E39" s="657">
        <v>740</v>
      </c>
      <c r="F39" s="657">
        <f t="shared" ref="F39" si="17">E39</f>
        <v>740</v>
      </c>
      <c r="G39" s="807"/>
    </row>
    <row r="40" spans="1:7">
      <c r="A40" s="1532"/>
      <c r="B40" s="658"/>
      <c r="C40" s="658"/>
      <c r="D40" s="658"/>
      <c r="E40" s="657"/>
      <c r="F40" s="657"/>
      <c r="G40" s="1530"/>
    </row>
    <row r="41" spans="1:7">
      <c r="A41" s="1532">
        <v>20</v>
      </c>
      <c r="B41" s="658" t="s">
        <v>983</v>
      </c>
      <c r="C41" s="658" t="s">
        <v>3250</v>
      </c>
      <c r="D41" s="658" t="s">
        <v>3187</v>
      </c>
      <c r="E41" s="657">
        <v>350</v>
      </c>
      <c r="F41" s="657">
        <f t="shared" ref="F41" si="18">E41</f>
        <v>350</v>
      </c>
      <c r="G41" s="807"/>
    </row>
    <row r="42" spans="1:7">
      <c r="A42" s="1532"/>
      <c r="B42" s="658"/>
      <c r="C42" s="658"/>
      <c r="D42" s="658"/>
      <c r="E42" s="657"/>
      <c r="F42" s="657"/>
      <c r="G42" s="1530"/>
    </row>
    <row r="43" spans="1:7">
      <c r="A43" s="1532">
        <v>21</v>
      </c>
      <c r="B43" s="658" t="s">
        <v>3254</v>
      </c>
      <c r="C43" s="658" t="s">
        <v>3249</v>
      </c>
      <c r="D43" s="658" t="s">
        <v>239</v>
      </c>
      <c r="E43" s="657">
        <v>44493</v>
      </c>
      <c r="F43" s="657">
        <v>1350</v>
      </c>
      <c r="G43" s="807">
        <v>3.0341999999999998</v>
      </c>
    </row>
    <row r="44" spans="1:7">
      <c r="A44" s="1532"/>
      <c r="B44" s="658"/>
      <c r="C44" s="658"/>
      <c r="D44" s="658"/>
      <c r="E44" s="657"/>
      <c r="F44" s="657"/>
      <c r="G44" s="1530"/>
    </row>
    <row r="45" spans="1:7">
      <c r="A45" s="1532">
        <v>22</v>
      </c>
      <c r="B45" s="658" t="s">
        <v>988</v>
      </c>
      <c r="C45" s="658" t="s">
        <v>3250</v>
      </c>
      <c r="D45" s="658" t="s">
        <v>2723</v>
      </c>
      <c r="E45" s="657">
        <v>370</v>
      </c>
      <c r="F45" s="657">
        <f t="shared" ref="F45" si="19">E45</f>
        <v>370</v>
      </c>
      <c r="G45" s="807"/>
    </row>
    <row r="46" spans="1:7">
      <c r="A46" s="1532"/>
      <c r="B46" s="658"/>
      <c r="C46" s="658"/>
      <c r="D46" s="658"/>
      <c r="E46" s="657"/>
      <c r="F46" s="657"/>
      <c r="G46" s="1530"/>
    </row>
    <row r="47" spans="1:7">
      <c r="A47" s="1532">
        <v>23</v>
      </c>
      <c r="B47" s="658" t="s">
        <v>993</v>
      </c>
      <c r="C47" s="658" t="s">
        <v>3250</v>
      </c>
      <c r="D47" s="658" t="s">
        <v>117</v>
      </c>
      <c r="E47" s="657">
        <v>110</v>
      </c>
      <c r="F47" s="657">
        <f t="shared" ref="F47" si="20">E47</f>
        <v>110</v>
      </c>
      <c r="G47" s="807"/>
    </row>
    <row r="48" spans="1:7">
      <c r="A48" s="1532"/>
      <c r="B48" s="658"/>
      <c r="C48" s="658"/>
      <c r="D48" s="658"/>
      <c r="E48" s="657"/>
      <c r="F48" s="657"/>
      <c r="G48" s="1530"/>
    </row>
    <row r="49" spans="1:7">
      <c r="A49" s="1532">
        <v>24</v>
      </c>
      <c r="B49" s="658" t="s">
        <v>3266</v>
      </c>
      <c r="C49" s="658" t="s">
        <v>3250</v>
      </c>
      <c r="D49" s="658" t="s">
        <v>239</v>
      </c>
      <c r="E49" s="657">
        <v>1350</v>
      </c>
      <c r="F49" s="657">
        <f t="shared" ref="F49" si="21">E49</f>
        <v>1350</v>
      </c>
      <c r="G49" s="807"/>
    </row>
    <row r="50" spans="1:7">
      <c r="A50" s="1532"/>
      <c r="B50" s="658"/>
      <c r="C50" s="658"/>
      <c r="D50" s="658"/>
      <c r="E50" s="657"/>
      <c r="F50" s="657"/>
      <c r="G50" s="1530"/>
    </row>
    <row r="51" spans="1:7">
      <c r="A51" s="1532">
        <v>25</v>
      </c>
      <c r="B51" s="658" t="s">
        <v>554</v>
      </c>
      <c r="C51" s="658" t="s">
        <v>3255</v>
      </c>
      <c r="D51" s="658" t="s">
        <v>3043</v>
      </c>
      <c r="E51" s="657">
        <v>250</v>
      </c>
      <c r="F51" s="657">
        <f t="shared" ref="F51" si="22">E51</f>
        <v>250</v>
      </c>
      <c r="G51" s="807"/>
    </row>
    <row r="52" spans="1:7">
      <c r="A52" s="1532"/>
      <c r="B52" s="658"/>
      <c r="C52" s="658"/>
      <c r="D52" s="658"/>
      <c r="E52" s="657"/>
      <c r="F52" s="657"/>
      <c r="G52" s="1530"/>
    </row>
    <row r="53" spans="1:7">
      <c r="A53" s="1532">
        <v>26</v>
      </c>
      <c r="B53" s="658" t="s">
        <v>994</v>
      </c>
      <c r="C53" s="658" t="s">
        <v>3255</v>
      </c>
      <c r="D53" s="658" t="s">
        <v>3256</v>
      </c>
      <c r="E53" s="657">
        <v>370</v>
      </c>
      <c r="F53" s="657">
        <f t="shared" ref="F53" si="23">E53</f>
        <v>370</v>
      </c>
      <c r="G53" s="807"/>
    </row>
    <row r="54" spans="1:7">
      <c r="A54" s="1532"/>
      <c r="B54" s="658"/>
      <c r="C54" s="658"/>
      <c r="D54" s="658"/>
      <c r="E54" s="657"/>
      <c r="F54" s="657"/>
      <c r="G54" s="1530"/>
    </row>
    <row r="55" spans="1:7">
      <c r="A55" s="1532">
        <v>27</v>
      </c>
      <c r="B55" s="658" t="s">
        <v>1000</v>
      </c>
      <c r="C55" s="658" t="s">
        <v>3255</v>
      </c>
      <c r="D55" s="658" t="s">
        <v>3257</v>
      </c>
      <c r="E55" s="657">
        <v>300</v>
      </c>
      <c r="F55" s="657">
        <f t="shared" ref="F55" si="24">E55</f>
        <v>300</v>
      </c>
      <c r="G55" s="807"/>
    </row>
    <row r="56" spans="1:7">
      <c r="A56" s="1532"/>
      <c r="B56" s="658"/>
      <c r="C56" s="658"/>
      <c r="D56" s="658"/>
      <c r="E56" s="657"/>
      <c r="F56" s="657"/>
      <c r="G56" s="1530"/>
    </row>
    <row r="57" spans="1:7">
      <c r="A57" s="1532">
        <v>28</v>
      </c>
      <c r="B57" s="658" t="s">
        <v>3268</v>
      </c>
      <c r="C57" s="658" t="s">
        <v>3267</v>
      </c>
      <c r="D57" s="658" t="s">
        <v>239</v>
      </c>
      <c r="E57" s="657">
        <v>44851</v>
      </c>
      <c r="F57" s="657">
        <v>1350</v>
      </c>
      <c r="G57" s="807">
        <v>3.01</v>
      </c>
    </row>
    <row r="58" spans="1:7">
      <c r="A58" s="1532"/>
      <c r="B58" s="658"/>
      <c r="C58" s="658"/>
      <c r="D58" s="658"/>
      <c r="E58" s="657"/>
      <c r="F58" s="657"/>
      <c r="G58" s="1530"/>
    </row>
    <row r="59" spans="1:7">
      <c r="A59" s="1532">
        <v>29</v>
      </c>
      <c r="B59" s="658" t="s">
        <v>1001</v>
      </c>
      <c r="C59" s="658" t="s">
        <v>3259</v>
      </c>
      <c r="D59" s="658" t="s">
        <v>3258</v>
      </c>
      <c r="E59" s="657">
        <v>450</v>
      </c>
      <c r="F59" s="657">
        <f t="shared" ref="F59" si="25">E59</f>
        <v>450</v>
      </c>
      <c r="G59" s="807"/>
    </row>
    <row r="60" spans="1:7">
      <c r="A60" s="1532"/>
      <c r="B60" s="658"/>
      <c r="C60" s="658"/>
      <c r="D60" s="658"/>
      <c r="E60" s="657"/>
      <c r="F60" s="657"/>
      <c r="G60" s="1530"/>
    </row>
    <row r="61" spans="1:7">
      <c r="A61" s="1532">
        <v>30</v>
      </c>
      <c r="B61" s="658" t="s">
        <v>1002</v>
      </c>
      <c r="C61" s="658" t="s">
        <v>3263</v>
      </c>
      <c r="D61" s="658" t="s">
        <v>3260</v>
      </c>
      <c r="E61" s="657">
        <v>350</v>
      </c>
      <c r="F61" s="657">
        <f t="shared" ref="F61" si="26">E61</f>
        <v>350</v>
      </c>
      <c r="G61" s="807"/>
    </row>
    <row r="62" spans="1:7">
      <c r="A62" s="1532"/>
      <c r="B62" s="658"/>
      <c r="C62" s="658"/>
      <c r="D62" s="658"/>
      <c r="E62" s="657"/>
      <c r="F62" s="657"/>
      <c r="G62" s="1530"/>
    </row>
    <row r="63" spans="1:7">
      <c r="A63" s="1532">
        <v>31</v>
      </c>
      <c r="B63" s="658" t="s">
        <v>1011</v>
      </c>
      <c r="C63" s="658" t="s">
        <v>3259</v>
      </c>
      <c r="D63" s="658" t="s">
        <v>3261</v>
      </c>
      <c r="E63" s="657">
        <v>10000</v>
      </c>
      <c r="F63" s="657">
        <v>301</v>
      </c>
      <c r="G63" s="807">
        <v>3.0051000000000001</v>
      </c>
    </row>
    <row r="64" spans="1:7">
      <c r="A64" s="1532"/>
      <c r="B64" s="658"/>
      <c r="C64" s="658"/>
      <c r="D64" s="658"/>
      <c r="E64" s="657"/>
      <c r="F64" s="657"/>
      <c r="G64" s="1530"/>
    </row>
    <row r="65" spans="1:7">
      <c r="A65" s="1532">
        <v>32</v>
      </c>
      <c r="B65" s="658" t="s">
        <v>3269</v>
      </c>
      <c r="C65" s="658" t="s">
        <v>3270</v>
      </c>
      <c r="D65" s="658" t="s">
        <v>239</v>
      </c>
      <c r="E65" s="657">
        <v>1350</v>
      </c>
      <c r="F65" s="657">
        <f t="shared" ref="F65" si="27">E65</f>
        <v>1350</v>
      </c>
      <c r="G65" s="807"/>
    </row>
    <row r="66" spans="1:7">
      <c r="A66" s="1532"/>
      <c r="B66" s="658"/>
      <c r="C66" s="658"/>
      <c r="D66" s="658"/>
      <c r="E66" s="657"/>
      <c r="F66" s="657"/>
      <c r="G66" s="1530"/>
    </row>
    <row r="67" spans="1:7">
      <c r="A67" s="1532">
        <v>33</v>
      </c>
      <c r="B67" s="658" t="s">
        <v>1012</v>
      </c>
      <c r="C67" s="658" t="s">
        <v>3259</v>
      </c>
      <c r="D67" s="658" t="s">
        <v>2723</v>
      </c>
      <c r="E67" s="657">
        <v>300</v>
      </c>
      <c r="F67" s="657">
        <f t="shared" ref="F67" si="28">E67</f>
        <v>300</v>
      </c>
      <c r="G67" s="807"/>
    </row>
    <row r="68" spans="1:7">
      <c r="A68" s="1532"/>
      <c r="B68" s="658"/>
      <c r="C68" s="658"/>
      <c r="D68" s="658"/>
      <c r="E68" s="657"/>
      <c r="F68" s="657"/>
      <c r="G68" s="1530"/>
    </row>
    <row r="69" spans="1:7">
      <c r="A69" s="1532">
        <v>34</v>
      </c>
      <c r="B69" s="658" t="s">
        <v>1013</v>
      </c>
      <c r="C69" s="658" t="s">
        <v>3259</v>
      </c>
      <c r="D69" s="658" t="s">
        <v>3261</v>
      </c>
      <c r="E69" s="657">
        <v>13000</v>
      </c>
      <c r="F69" s="657">
        <v>391</v>
      </c>
      <c r="G69" s="807">
        <v>3.0051000000000001</v>
      </c>
    </row>
    <row r="70" spans="1:7">
      <c r="A70" s="1532"/>
      <c r="B70" s="658"/>
      <c r="C70" s="658"/>
      <c r="D70" s="658"/>
      <c r="E70" s="657"/>
      <c r="F70" s="657"/>
      <c r="G70" s="1530"/>
    </row>
    <row r="71" spans="1:7">
      <c r="A71" s="1532">
        <v>35</v>
      </c>
      <c r="B71" s="658" t="s">
        <v>1019</v>
      </c>
      <c r="C71" s="658" t="s">
        <v>3259</v>
      </c>
      <c r="D71" s="658" t="s">
        <v>117</v>
      </c>
      <c r="E71" s="657">
        <v>110</v>
      </c>
      <c r="F71" s="657">
        <f t="shared" ref="F71" si="29">E71</f>
        <v>110</v>
      </c>
      <c r="G71" s="807"/>
    </row>
    <row r="72" spans="1:7">
      <c r="A72" s="1532"/>
      <c r="B72" s="658"/>
      <c r="C72" s="658"/>
      <c r="D72" s="658"/>
      <c r="E72" s="657"/>
      <c r="F72" s="657"/>
      <c r="G72" s="1530"/>
    </row>
    <row r="73" spans="1:7">
      <c r="A73" s="1532">
        <v>36</v>
      </c>
      <c r="B73" s="658" t="s">
        <v>3271</v>
      </c>
      <c r="C73" s="658" t="s">
        <v>3255</v>
      </c>
      <c r="D73" s="658" t="s">
        <v>239</v>
      </c>
      <c r="E73" s="657">
        <v>46479</v>
      </c>
      <c r="F73" s="657">
        <v>1400</v>
      </c>
      <c r="G73" s="807">
        <v>3.0121000000000002</v>
      </c>
    </row>
    <row r="74" spans="1:7">
      <c r="A74" s="1532"/>
      <c r="B74" s="658"/>
      <c r="C74" s="658"/>
      <c r="D74" s="658"/>
      <c r="E74" s="657"/>
      <c r="F74" s="657"/>
      <c r="G74" s="1530"/>
    </row>
    <row r="75" spans="1:7">
      <c r="A75" s="1532">
        <v>37</v>
      </c>
      <c r="B75" s="658" t="s">
        <v>1020</v>
      </c>
      <c r="C75" s="658" t="s">
        <v>3259</v>
      </c>
      <c r="D75" s="658" t="s">
        <v>2723</v>
      </c>
      <c r="E75" s="657">
        <v>330</v>
      </c>
      <c r="F75" s="657">
        <f t="shared" ref="F75" si="30">E75</f>
        <v>330</v>
      </c>
      <c r="G75" s="807"/>
    </row>
    <row r="76" spans="1:7">
      <c r="A76" s="1532"/>
      <c r="B76" s="658"/>
      <c r="C76" s="658"/>
      <c r="D76" s="658"/>
      <c r="E76" s="657"/>
      <c r="F76" s="657"/>
      <c r="G76" s="1530"/>
    </row>
    <row r="77" spans="1:7">
      <c r="A77" s="1532">
        <v>38</v>
      </c>
      <c r="B77" s="658" t="s">
        <v>1031</v>
      </c>
      <c r="C77" s="658" t="s">
        <v>3259</v>
      </c>
      <c r="D77" s="658" t="s">
        <v>2375</v>
      </c>
      <c r="E77" s="657">
        <v>45</v>
      </c>
      <c r="F77" s="657">
        <f t="shared" ref="F77" si="31">E77</f>
        <v>45</v>
      </c>
      <c r="G77" s="807"/>
    </row>
    <row r="78" spans="1:7">
      <c r="A78" s="1532"/>
      <c r="B78" s="658"/>
      <c r="C78" s="658"/>
      <c r="D78" s="658"/>
      <c r="E78" s="657"/>
      <c r="F78" s="657"/>
      <c r="G78" s="1530"/>
    </row>
    <row r="79" spans="1:7">
      <c r="A79" s="1532">
        <v>39</v>
      </c>
      <c r="B79" s="658" t="s">
        <v>1030</v>
      </c>
      <c r="C79" s="658" t="s">
        <v>3259</v>
      </c>
      <c r="D79" s="658" t="s">
        <v>3187</v>
      </c>
      <c r="E79" s="657">
        <v>430</v>
      </c>
      <c r="F79" s="657">
        <f t="shared" ref="F79" si="32">E79</f>
        <v>430</v>
      </c>
      <c r="G79" s="807"/>
    </row>
    <row r="80" spans="1:7">
      <c r="A80" s="1532"/>
      <c r="B80" s="658"/>
      <c r="C80" s="658"/>
      <c r="D80" s="658"/>
      <c r="E80" s="657"/>
      <c r="F80" s="657"/>
      <c r="G80" s="1530"/>
    </row>
    <row r="81" spans="1:7">
      <c r="A81" s="1532">
        <v>40</v>
      </c>
      <c r="B81" s="658" t="s">
        <v>1035</v>
      </c>
      <c r="C81" s="658" t="s">
        <v>3259</v>
      </c>
      <c r="D81" s="658" t="s">
        <v>2376</v>
      </c>
      <c r="E81" s="657">
        <v>55</v>
      </c>
      <c r="F81" s="657">
        <f t="shared" ref="F81" si="33">E81</f>
        <v>55</v>
      </c>
      <c r="G81" s="807"/>
    </row>
    <row r="82" spans="1:7">
      <c r="A82" s="1532"/>
      <c r="B82" s="658"/>
      <c r="C82" s="658"/>
      <c r="D82" s="658"/>
      <c r="E82" s="657"/>
      <c r="F82" s="657"/>
      <c r="G82" s="1530"/>
    </row>
    <row r="83" spans="1:7">
      <c r="A83" s="1532">
        <v>41</v>
      </c>
      <c r="B83" s="658" t="s">
        <v>3275</v>
      </c>
      <c r="C83" s="658" t="s">
        <v>3259</v>
      </c>
      <c r="D83" s="658" t="s">
        <v>239</v>
      </c>
      <c r="E83" s="657">
        <v>1350</v>
      </c>
      <c r="F83" s="657">
        <f t="shared" ref="F83" si="34">E83</f>
        <v>1350</v>
      </c>
      <c r="G83" s="807"/>
    </row>
    <row r="84" spans="1:7">
      <c r="A84" s="1532"/>
      <c r="B84" s="658"/>
      <c r="C84" s="658"/>
      <c r="D84" s="658"/>
      <c r="E84" s="657"/>
      <c r="F84" s="657"/>
      <c r="G84" s="1530"/>
    </row>
    <row r="85" spans="1:7">
      <c r="A85" s="1532">
        <v>42</v>
      </c>
      <c r="B85" s="658" t="s">
        <v>1036</v>
      </c>
      <c r="C85" s="658" t="s">
        <v>3265</v>
      </c>
      <c r="D85" s="658" t="s">
        <v>2723</v>
      </c>
      <c r="E85" s="657">
        <v>380</v>
      </c>
      <c r="F85" s="657">
        <f t="shared" ref="F85" si="35">E85</f>
        <v>380</v>
      </c>
      <c r="G85" s="807"/>
    </row>
    <row r="86" spans="1:7">
      <c r="A86" s="1532"/>
      <c r="B86" s="658"/>
      <c r="C86" s="658"/>
      <c r="D86" s="658"/>
      <c r="E86" s="657"/>
      <c r="F86" s="657"/>
      <c r="G86" s="1530"/>
    </row>
    <row r="87" spans="1:7">
      <c r="A87" s="1532">
        <v>43</v>
      </c>
      <c r="B87" s="658" t="s">
        <v>1037</v>
      </c>
      <c r="C87" s="658" t="s">
        <v>3265</v>
      </c>
      <c r="D87" s="658" t="s">
        <v>1140</v>
      </c>
      <c r="E87" s="657">
        <v>520</v>
      </c>
      <c r="F87" s="657">
        <f t="shared" ref="F87" si="36">E87</f>
        <v>520</v>
      </c>
      <c r="G87" s="807"/>
    </row>
    <row r="88" spans="1:7">
      <c r="A88" s="1532"/>
      <c r="B88" s="658"/>
      <c r="C88" s="658"/>
      <c r="D88" s="658"/>
      <c r="E88" s="657"/>
      <c r="F88" s="657"/>
      <c r="G88" s="1530"/>
    </row>
    <row r="89" spans="1:7">
      <c r="A89" s="1532">
        <v>44</v>
      </c>
      <c r="B89" s="658" t="s">
        <v>1038</v>
      </c>
      <c r="C89" s="658" t="s">
        <v>3265</v>
      </c>
      <c r="D89" s="658" t="s">
        <v>1601</v>
      </c>
      <c r="E89" s="657">
        <v>400</v>
      </c>
      <c r="F89" s="657">
        <f t="shared" ref="F89" si="37">E89</f>
        <v>400</v>
      </c>
      <c r="G89" s="807"/>
    </row>
    <row r="90" spans="1:7">
      <c r="A90" s="1532"/>
      <c r="B90" s="658"/>
      <c r="C90" s="658"/>
      <c r="D90" s="658"/>
      <c r="E90" s="657"/>
      <c r="F90" s="657"/>
      <c r="G90" s="1530"/>
    </row>
    <row r="91" spans="1:7">
      <c r="A91" s="1532">
        <v>45</v>
      </c>
      <c r="B91" s="658" t="s">
        <v>1045</v>
      </c>
      <c r="C91" s="658" t="s">
        <v>3265</v>
      </c>
      <c r="D91" s="658" t="s">
        <v>3264</v>
      </c>
      <c r="E91" s="657">
        <v>350</v>
      </c>
      <c r="F91" s="657">
        <f t="shared" ref="F91" si="38">E91</f>
        <v>350</v>
      </c>
      <c r="G91" s="807"/>
    </row>
    <row r="92" spans="1:7">
      <c r="A92" s="1532"/>
      <c r="B92" s="658"/>
      <c r="C92" s="658"/>
      <c r="D92" s="658"/>
      <c r="E92" s="657"/>
      <c r="F92" s="657"/>
      <c r="G92" s="1530"/>
    </row>
    <row r="93" spans="1:7">
      <c r="A93" s="1532">
        <v>46</v>
      </c>
      <c r="B93" s="658" t="s">
        <v>3277</v>
      </c>
      <c r="C93" s="658" t="s">
        <v>3276</v>
      </c>
      <c r="D93" s="658" t="s">
        <v>239</v>
      </c>
      <c r="E93" s="657">
        <v>44934</v>
      </c>
      <c r="F93" s="657">
        <v>1350</v>
      </c>
      <c r="G93" s="807">
        <v>3.0044</v>
      </c>
    </row>
    <row r="94" spans="1:7">
      <c r="A94" s="1532"/>
      <c r="B94" s="658"/>
      <c r="C94" s="658"/>
      <c r="D94" s="658"/>
      <c r="E94" s="657"/>
      <c r="F94" s="657"/>
      <c r="G94" s="1530"/>
    </row>
    <row r="95" spans="1:7">
      <c r="A95" s="1532">
        <v>47</v>
      </c>
      <c r="B95" s="658" t="s">
        <v>1046</v>
      </c>
      <c r="C95" s="658" t="s">
        <v>3265</v>
      </c>
      <c r="D95" s="658" t="s">
        <v>1601</v>
      </c>
      <c r="E95" s="657">
        <v>1100</v>
      </c>
      <c r="F95" s="657">
        <f t="shared" ref="F95" si="39">E95</f>
        <v>1100</v>
      </c>
      <c r="G95" s="807"/>
    </row>
    <row r="96" spans="1:7">
      <c r="A96" s="1532"/>
      <c r="B96" s="658"/>
      <c r="C96" s="658"/>
      <c r="D96" s="658"/>
      <c r="E96" s="657"/>
      <c r="F96" s="657"/>
      <c r="G96" s="1530"/>
    </row>
    <row r="97" spans="1:7">
      <c r="A97" s="1532">
        <v>48</v>
      </c>
      <c r="B97" s="658" t="s">
        <v>3279</v>
      </c>
      <c r="C97" s="658" t="s">
        <v>3278</v>
      </c>
      <c r="D97" s="658" t="s">
        <v>239</v>
      </c>
      <c r="E97" s="657">
        <v>1750</v>
      </c>
      <c r="F97" s="657">
        <f t="shared" ref="F97" si="40">E97</f>
        <v>1750</v>
      </c>
      <c r="G97" s="807"/>
    </row>
    <row r="98" spans="1:7">
      <c r="A98" s="1532"/>
      <c r="B98" s="658"/>
      <c r="C98" s="658"/>
      <c r="D98" s="658"/>
      <c r="E98" s="657"/>
      <c r="F98" s="657"/>
      <c r="G98" s="1530"/>
    </row>
    <row r="99" spans="1:7">
      <c r="A99" s="1532">
        <v>49</v>
      </c>
      <c r="B99" s="658" t="s">
        <v>1052</v>
      </c>
      <c r="C99" s="658" t="s">
        <v>3273</v>
      </c>
      <c r="D99" s="658" t="s">
        <v>1661</v>
      </c>
      <c r="E99" s="657">
        <v>580</v>
      </c>
      <c r="F99" s="657">
        <f t="shared" ref="F99" si="41">E99</f>
        <v>580</v>
      </c>
      <c r="G99" s="807"/>
    </row>
    <row r="100" spans="1:7">
      <c r="A100" s="1532"/>
      <c r="B100" s="658"/>
      <c r="C100" s="658"/>
      <c r="D100" s="658"/>
      <c r="E100" s="657"/>
      <c r="F100" s="657"/>
      <c r="G100" s="1530"/>
    </row>
    <row r="101" spans="1:7">
      <c r="A101" s="1532">
        <v>50</v>
      </c>
      <c r="B101" s="658" t="s">
        <v>1053</v>
      </c>
      <c r="C101" s="658" t="s">
        <v>3273</v>
      </c>
      <c r="D101" s="658" t="s">
        <v>117</v>
      </c>
      <c r="E101" s="657">
        <v>110</v>
      </c>
      <c r="F101" s="657">
        <f t="shared" ref="F101" si="42">E101</f>
        <v>110</v>
      </c>
      <c r="G101" s="807"/>
    </row>
    <row r="102" spans="1:7">
      <c r="A102" s="1532"/>
      <c r="B102" s="658"/>
      <c r="C102" s="658"/>
      <c r="D102" s="658"/>
      <c r="E102" s="657"/>
      <c r="F102" s="657"/>
      <c r="G102" s="1530"/>
    </row>
    <row r="103" spans="1:7">
      <c r="A103" s="1532">
        <v>51</v>
      </c>
      <c r="B103" s="658" t="s">
        <v>3280</v>
      </c>
      <c r="C103" s="659" t="s">
        <v>3278</v>
      </c>
      <c r="D103" s="658" t="s">
        <v>239</v>
      </c>
      <c r="E103" s="657">
        <v>44894</v>
      </c>
      <c r="F103" s="657">
        <v>1350</v>
      </c>
      <c r="G103" s="807">
        <v>3.0070999999999999</v>
      </c>
    </row>
    <row r="104" spans="1:7">
      <c r="A104" s="1532"/>
      <c r="B104" s="658"/>
      <c r="C104" s="660"/>
      <c r="D104" s="658"/>
      <c r="E104" s="657"/>
      <c r="F104" s="657"/>
      <c r="G104" s="1530"/>
    </row>
    <row r="105" spans="1:7">
      <c r="A105" s="1532">
        <v>52</v>
      </c>
      <c r="B105" s="658" t="s">
        <v>1054</v>
      </c>
      <c r="C105" s="658" t="s">
        <v>3273</v>
      </c>
      <c r="D105" s="658" t="s">
        <v>1661</v>
      </c>
      <c r="E105" s="657">
        <v>380</v>
      </c>
      <c r="F105" s="657">
        <f t="shared" ref="F105" si="43">E105</f>
        <v>380</v>
      </c>
      <c r="G105" s="807"/>
    </row>
    <row r="106" spans="1:7">
      <c r="A106" s="1532"/>
      <c r="B106" s="658"/>
      <c r="C106" s="658"/>
      <c r="D106" s="658"/>
      <c r="E106" s="657"/>
      <c r="F106" s="657"/>
      <c r="G106" s="1530"/>
    </row>
    <row r="107" spans="1:7">
      <c r="A107" s="1532">
        <v>53</v>
      </c>
      <c r="B107" s="658" t="s">
        <v>1049</v>
      </c>
      <c r="C107" s="658" t="s">
        <v>3273</v>
      </c>
      <c r="D107" s="658" t="s">
        <v>1601</v>
      </c>
      <c r="E107" s="657">
        <v>250</v>
      </c>
      <c r="F107" s="657">
        <f t="shared" ref="F107" si="44">E107</f>
        <v>250</v>
      </c>
      <c r="G107" s="807"/>
    </row>
    <row r="108" spans="1:7">
      <c r="A108" s="1532"/>
      <c r="B108" s="658"/>
      <c r="C108" s="658"/>
      <c r="D108" s="658"/>
      <c r="E108" s="657"/>
      <c r="F108" s="657"/>
      <c r="G108" s="1530"/>
    </row>
    <row r="109" spans="1:7">
      <c r="A109" s="1532">
        <v>54</v>
      </c>
      <c r="B109" s="658" t="s">
        <v>3285</v>
      </c>
      <c r="C109" s="658" t="s">
        <v>3273</v>
      </c>
      <c r="D109" s="658" t="s">
        <v>239</v>
      </c>
      <c r="E109" s="657">
        <v>1400</v>
      </c>
      <c r="F109" s="657">
        <f t="shared" ref="F109" si="45">E109</f>
        <v>1400</v>
      </c>
      <c r="G109" s="807"/>
    </row>
    <row r="110" spans="1:7">
      <c r="A110" s="1532"/>
      <c r="B110" s="658"/>
      <c r="C110" s="658"/>
      <c r="D110" s="658"/>
      <c r="E110" s="657"/>
      <c r="F110" s="657"/>
      <c r="G110" s="1530"/>
    </row>
    <row r="111" spans="1:7">
      <c r="A111" s="1532">
        <v>55</v>
      </c>
      <c r="B111" s="658" t="s">
        <v>1055</v>
      </c>
      <c r="C111" s="658" t="s">
        <v>3284</v>
      </c>
      <c r="D111" s="658" t="s">
        <v>3260</v>
      </c>
      <c r="E111" s="657">
        <v>280</v>
      </c>
      <c r="F111" s="657">
        <f t="shared" ref="F111" si="46">E111</f>
        <v>280</v>
      </c>
      <c r="G111" s="807"/>
    </row>
    <row r="112" spans="1:7">
      <c r="A112" s="1532"/>
      <c r="B112" s="658"/>
      <c r="C112" s="658"/>
      <c r="D112" s="658"/>
      <c r="E112" s="657"/>
      <c r="F112" s="657"/>
      <c r="G112" s="1530"/>
    </row>
    <row r="113" spans="1:7">
      <c r="A113" s="1532">
        <v>56</v>
      </c>
      <c r="B113" s="658" t="s">
        <v>1056</v>
      </c>
      <c r="C113" s="658" t="s">
        <v>3284</v>
      </c>
      <c r="D113" s="658" t="s">
        <v>3282</v>
      </c>
      <c r="E113" s="657">
        <v>310</v>
      </c>
      <c r="F113" s="657">
        <f t="shared" ref="F113" si="47">E113</f>
        <v>310</v>
      </c>
      <c r="G113" s="807"/>
    </row>
    <row r="114" spans="1:7">
      <c r="A114" s="1532"/>
      <c r="B114" s="658"/>
      <c r="C114" s="658"/>
      <c r="D114" s="658"/>
      <c r="E114" s="657"/>
      <c r="F114" s="657"/>
      <c r="G114" s="1530"/>
    </row>
    <row r="115" spans="1:7">
      <c r="A115" s="1532">
        <v>57</v>
      </c>
      <c r="B115" s="658" t="s">
        <v>1057</v>
      </c>
      <c r="C115" s="658" t="s">
        <v>3284</v>
      </c>
      <c r="D115" s="658" t="s">
        <v>3283</v>
      </c>
      <c r="E115" s="657">
        <v>11000</v>
      </c>
      <c r="F115" s="657">
        <v>302</v>
      </c>
      <c r="G115" s="807"/>
    </row>
    <row r="116" spans="1:7">
      <c r="A116" s="1532"/>
      <c r="B116" s="658"/>
      <c r="C116" s="658"/>
      <c r="D116" s="658"/>
      <c r="E116" s="657"/>
      <c r="F116" s="657"/>
      <c r="G116" s="1530"/>
    </row>
    <row r="117" spans="1:7">
      <c r="A117" s="1532">
        <v>58</v>
      </c>
      <c r="B117" s="658" t="s">
        <v>3293</v>
      </c>
      <c r="C117" s="658" t="s">
        <v>3273</v>
      </c>
      <c r="D117" s="658" t="s">
        <v>239</v>
      </c>
      <c r="E117" s="657">
        <v>44619</v>
      </c>
      <c r="F117" s="657">
        <v>1350</v>
      </c>
      <c r="G117" s="807">
        <v>3.0255999999999998</v>
      </c>
    </row>
    <row r="118" spans="1:7">
      <c r="A118" s="1532"/>
      <c r="B118" s="658"/>
      <c r="C118" s="658"/>
      <c r="D118" s="658"/>
      <c r="E118" s="657"/>
      <c r="F118" s="657"/>
      <c r="G118" s="1530"/>
    </row>
    <row r="119" spans="1:7">
      <c r="A119" s="1532">
        <v>59</v>
      </c>
      <c r="B119" s="658" t="s">
        <v>1072</v>
      </c>
      <c r="C119" s="658" t="s">
        <v>3284</v>
      </c>
      <c r="D119" s="658" t="s">
        <v>2348</v>
      </c>
      <c r="E119" s="657">
        <v>100</v>
      </c>
      <c r="F119" s="657">
        <f t="shared" ref="F119" si="48">E119</f>
        <v>100</v>
      </c>
      <c r="G119" s="807"/>
    </row>
    <row r="120" spans="1:7">
      <c r="A120" s="1532"/>
      <c r="B120" s="658"/>
      <c r="C120" s="658"/>
      <c r="D120" s="658"/>
      <c r="E120" s="657"/>
      <c r="F120" s="657"/>
      <c r="G120" s="1530"/>
    </row>
    <row r="121" spans="1:7">
      <c r="A121" s="1532">
        <v>60</v>
      </c>
      <c r="B121" s="658" t="s">
        <v>1073</v>
      </c>
      <c r="C121" s="658" t="s">
        <v>3284</v>
      </c>
      <c r="D121" s="658" t="s">
        <v>3286</v>
      </c>
      <c r="E121" s="657">
        <v>300</v>
      </c>
      <c r="F121" s="657">
        <f t="shared" ref="F121" si="49">E121</f>
        <v>300</v>
      </c>
      <c r="G121" s="807"/>
    </row>
    <row r="122" spans="1:7">
      <c r="A122" s="1532"/>
      <c r="B122" s="658"/>
      <c r="C122" s="658"/>
      <c r="D122" s="658"/>
      <c r="E122" s="657"/>
      <c r="F122" s="657"/>
      <c r="G122" s="1530"/>
    </row>
    <row r="123" spans="1:7">
      <c r="A123" s="1532">
        <v>61</v>
      </c>
      <c r="B123" s="658" t="s">
        <v>1083</v>
      </c>
      <c r="C123" s="658" t="s">
        <v>3284</v>
      </c>
      <c r="D123" s="658" t="s">
        <v>2409</v>
      </c>
      <c r="E123" s="657">
        <v>300</v>
      </c>
      <c r="F123" s="657">
        <f t="shared" ref="F123" si="50">E123</f>
        <v>300</v>
      </c>
      <c r="G123" s="807"/>
    </row>
    <row r="124" spans="1:7">
      <c r="A124" s="1532"/>
      <c r="B124" s="658"/>
      <c r="C124" s="658"/>
      <c r="D124" s="658"/>
      <c r="E124" s="657"/>
      <c r="F124" s="657"/>
      <c r="G124" s="1530"/>
    </row>
    <row r="125" spans="1:7">
      <c r="A125" s="1532">
        <v>62</v>
      </c>
      <c r="B125" s="658" t="s">
        <v>1084</v>
      </c>
      <c r="C125" s="658" t="s">
        <v>3284</v>
      </c>
      <c r="D125" s="658" t="s">
        <v>3216</v>
      </c>
      <c r="E125" s="657">
        <v>310</v>
      </c>
      <c r="F125" s="657">
        <f t="shared" ref="F125" si="51">E125</f>
        <v>310</v>
      </c>
      <c r="G125" s="807"/>
    </row>
    <row r="126" spans="1:7">
      <c r="A126" s="1532"/>
      <c r="B126" s="658"/>
      <c r="C126" s="658"/>
      <c r="D126" s="658"/>
      <c r="E126" s="657"/>
      <c r="F126" s="657"/>
      <c r="G126" s="1530"/>
    </row>
    <row r="127" spans="1:7">
      <c r="A127" s="1532">
        <v>63</v>
      </c>
      <c r="B127" s="658" t="s">
        <v>3295</v>
      </c>
      <c r="C127" s="658" t="s">
        <v>3294</v>
      </c>
      <c r="D127" s="658" t="s">
        <v>239</v>
      </c>
      <c r="E127" s="657">
        <v>1350</v>
      </c>
      <c r="F127" s="657">
        <f t="shared" ref="F127" si="52">E127</f>
        <v>1350</v>
      </c>
      <c r="G127" s="807"/>
    </row>
    <row r="128" spans="1:7">
      <c r="A128" s="1532"/>
      <c r="B128" s="658"/>
      <c r="C128" s="658"/>
      <c r="D128" s="658"/>
      <c r="E128" s="657"/>
      <c r="F128" s="657"/>
      <c r="G128" s="1530"/>
    </row>
    <row r="129" spans="1:7">
      <c r="A129" s="1532">
        <v>64</v>
      </c>
      <c r="B129" s="658" t="s">
        <v>2634</v>
      </c>
      <c r="C129" s="658" t="s">
        <v>3288</v>
      </c>
      <c r="D129" s="658" t="s">
        <v>117</v>
      </c>
      <c r="E129" s="657">
        <v>110</v>
      </c>
      <c r="F129" s="657">
        <f t="shared" ref="F129" si="53">E129</f>
        <v>110</v>
      </c>
      <c r="G129" s="807"/>
    </row>
    <row r="130" spans="1:7">
      <c r="A130" s="1532"/>
      <c r="B130" s="658"/>
      <c r="C130" s="658"/>
      <c r="D130" s="658"/>
      <c r="E130" s="657"/>
      <c r="F130" s="657"/>
      <c r="G130" s="1530"/>
    </row>
    <row r="131" spans="1:7">
      <c r="A131" s="1532">
        <v>65</v>
      </c>
      <c r="B131" s="658" t="s">
        <v>3296</v>
      </c>
      <c r="C131" s="658" t="s">
        <v>3294</v>
      </c>
      <c r="D131" s="658" t="s">
        <v>239</v>
      </c>
      <c r="E131" s="657">
        <v>44615</v>
      </c>
      <c r="F131" s="657">
        <v>1350</v>
      </c>
      <c r="G131" s="807">
        <v>3.0259</v>
      </c>
    </row>
    <row r="132" spans="1:7">
      <c r="A132" s="1532"/>
      <c r="B132" s="658"/>
      <c r="C132" s="658"/>
      <c r="D132" s="658"/>
      <c r="E132" s="657"/>
      <c r="F132" s="657"/>
      <c r="G132" s="1530"/>
    </row>
    <row r="133" spans="1:7">
      <c r="A133" s="1532"/>
      <c r="G133" s="807"/>
    </row>
    <row r="134" spans="1:7">
      <c r="A134" s="1532"/>
      <c r="G134" s="1530"/>
    </row>
    <row r="135" spans="1:7">
      <c r="A135" s="1532"/>
      <c r="G135" s="807"/>
    </row>
    <row r="136" spans="1:7">
      <c r="A136" s="1532"/>
      <c r="G136" s="1530"/>
    </row>
    <row r="137" spans="1:7">
      <c r="A137" s="1532"/>
      <c r="B137" s="658"/>
      <c r="C137" s="658"/>
      <c r="D137" s="658"/>
      <c r="E137" s="657"/>
      <c r="F137" s="657"/>
      <c r="G137" s="807"/>
    </row>
    <row r="138" spans="1:7">
      <c r="A138" s="1532"/>
      <c r="B138" s="658"/>
      <c r="C138" s="658"/>
      <c r="D138" s="658"/>
      <c r="E138" s="657"/>
      <c r="F138" s="657"/>
      <c r="G138" s="1530"/>
    </row>
    <row r="139" spans="1:7">
      <c r="A139" s="1532"/>
      <c r="B139" s="658"/>
      <c r="C139" s="658"/>
      <c r="D139" s="658"/>
      <c r="E139" s="657"/>
      <c r="F139" s="657"/>
      <c r="G139" s="807"/>
    </row>
    <row r="140" spans="1:7">
      <c r="A140" s="1532"/>
      <c r="B140" s="658"/>
      <c r="C140" s="658"/>
      <c r="D140" s="658"/>
      <c r="E140" s="657"/>
      <c r="F140" s="657"/>
      <c r="G140" s="1530"/>
    </row>
    <row r="141" spans="1:7">
      <c r="A141" s="1532"/>
      <c r="B141" s="658"/>
      <c r="C141" s="658"/>
      <c r="D141" s="658"/>
      <c r="E141" s="657"/>
      <c r="F141" s="657"/>
      <c r="G141" s="807"/>
    </row>
    <row r="142" spans="1:7">
      <c r="A142" s="1532"/>
      <c r="B142" s="658"/>
      <c r="C142" s="658"/>
      <c r="D142" s="658"/>
      <c r="E142" s="657"/>
      <c r="F142" s="657"/>
      <c r="G142" s="1530"/>
    </row>
    <row r="143" spans="1:7">
      <c r="A143" s="1532"/>
      <c r="B143" s="658"/>
      <c r="C143" s="658"/>
      <c r="D143" s="658"/>
      <c r="E143" s="657"/>
      <c r="F143" s="657"/>
      <c r="G143" s="807"/>
    </row>
    <row r="144" spans="1:7">
      <c r="A144" s="1532"/>
      <c r="B144" s="658"/>
      <c r="C144" s="658"/>
      <c r="D144" s="658"/>
      <c r="E144" s="657"/>
      <c r="F144" s="657"/>
      <c r="G144" s="1530"/>
    </row>
    <row r="145" spans="1:7">
      <c r="A145" s="1532"/>
      <c r="B145" s="658"/>
      <c r="C145" s="658"/>
      <c r="D145" s="658"/>
      <c r="E145" s="657"/>
      <c r="F145" s="657"/>
      <c r="G145" s="807"/>
    </row>
    <row r="146" spans="1:7">
      <c r="A146" s="1532"/>
      <c r="B146" s="658"/>
      <c r="C146" s="658"/>
      <c r="D146" s="658"/>
      <c r="E146" s="657"/>
      <c r="F146" s="657"/>
      <c r="G146" s="1530"/>
    </row>
    <row r="147" spans="1:7">
      <c r="A147" s="1532"/>
      <c r="B147" s="658"/>
      <c r="C147" s="658"/>
      <c r="D147" s="658"/>
      <c r="E147" s="657"/>
      <c r="F147" s="657"/>
      <c r="G147" s="807"/>
    </row>
    <row r="148" spans="1:7">
      <c r="A148" s="1532"/>
      <c r="B148" s="658"/>
      <c r="C148" s="658"/>
      <c r="D148" s="658"/>
      <c r="E148" s="657"/>
      <c r="F148" s="657"/>
      <c r="G148" s="1530"/>
    </row>
    <row r="149" spans="1:7">
      <c r="A149" s="1532"/>
      <c r="B149" s="658"/>
      <c r="C149" s="658"/>
      <c r="D149" s="658"/>
      <c r="E149" s="657"/>
      <c r="F149" s="657"/>
      <c r="G149" s="807"/>
    </row>
    <row r="150" spans="1:7">
      <c r="A150" s="1532"/>
      <c r="B150" s="658"/>
      <c r="C150" s="658"/>
      <c r="D150" s="658"/>
      <c r="E150" s="657"/>
      <c r="F150" s="657"/>
      <c r="G150" s="1530"/>
    </row>
    <row r="151" spans="1:7">
      <c r="A151" s="1532"/>
      <c r="B151" s="658"/>
      <c r="C151" s="658"/>
      <c r="D151" s="658"/>
      <c r="E151" s="657"/>
      <c r="F151" s="657"/>
      <c r="G151" s="807"/>
    </row>
    <row r="152" spans="1:7">
      <c r="A152" s="1532"/>
      <c r="B152" s="658"/>
      <c r="C152" s="658"/>
      <c r="D152" s="658"/>
      <c r="E152" s="657"/>
      <c r="F152" s="657"/>
      <c r="G152" s="1530"/>
    </row>
    <row r="153" spans="1:7">
      <c r="A153" s="1532"/>
      <c r="B153" s="658"/>
      <c r="C153" s="658"/>
      <c r="D153" s="658"/>
      <c r="E153" s="657"/>
      <c r="F153" s="657"/>
      <c r="G153" s="807"/>
    </row>
    <row r="154" spans="1:7">
      <c r="A154" s="1532"/>
      <c r="B154" s="658"/>
      <c r="C154" s="658"/>
      <c r="D154" s="658"/>
      <c r="E154" s="657"/>
      <c r="F154" s="657"/>
      <c r="G154" s="1530"/>
    </row>
    <row r="155" spans="1:7">
      <c r="A155" s="1532"/>
      <c r="B155" s="658"/>
      <c r="C155" s="658"/>
      <c r="D155" s="658"/>
      <c r="E155" s="657"/>
      <c r="F155" s="657"/>
      <c r="G155" s="807"/>
    </row>
    <row r="156" spans="1:7">
      <c r="A156" s="1532"/>
      <c r="B156" s="658"/>
      <c r="C156" s="658"/>
      <c r="D156" s="658"/>
      <c r="E156" s="657"/>
      <c r="F156" s="657"/>
      <c r="G156" s="1530"/>
    </row>
    <row r="157" spans="1:7">
      <c r="A157" s="1532"/>
      <c r="B157" s="658"/>
      <c r="C157" s="658"/>
      <c r="D157" s="658"/>
      <c r="E157" s="657"/>
      <c r="F157" s="657"/>
      <c r="G157" s="807"/>
    </row>
    <row r="158" spans="1:7">
      <c r="A158" s="1532"/>
      <c r="B158" s="658"/>
      <c r="C158" s="658"/>
      <c r="D158" s="658"/>
      <c r="E158" s="657"/>
      <c r="F158" s="657"/>
      <c r="G158" s="1530"/>
    </row>
    <row r="159" spans="1:7">
      <c r="A159" s="1532"/>
      <c r="B159" s="658"/>
      <c r="C159" s="658"/>
      <c r="D159" s="658"/>
      <c r="E159" s="657"/>
      <c r="F159" s="657"/>
      <c r="G159" s="807"/>
    </row>
    <row r="160" spans="1:7">
      <c r="A160" s="1532"/>
      <c r="B160" s="658"/>
      <c r="C160" s="658"/>
      <c r="D160" s="658"/>
      <c r="E160" s="657"/>
      <c r="F160" s="657"/>
      <c r="G160" s="1530"/>
    </row>
    <row r="161" spans="1:7">
      <c r="A161" s="1532"/>
      <c r="B161" s="658"/>
      <c r="C161" s="658"/>
      <c r="D161" s="658"/>
      <c r="E161" s="657"/>
      <c r="F161" s="657"/>
      <c r="G161" s="807"/>
    </row>
    <row r="162" spans="1:7">
      <c r="A162" s="1532"/>
      <c r="B162" s="658"/>
      <c r="C162" s="658"/>
      <c r="D162" s="658"/>
      <c r="E162" s="657"/>
      <c r="F162" s="657"/>
      <c r="G162" s="1530"/>
    </row>
    <row r="163" spans="1:7">
      <c r="A163" s="1532"/>
      <c r="B163" s="658"/>
      <c r="C163" s="658"/>
      <c r="D163" s="658"/>
      <c r="E163" s="657"/>
      <c r="F163" s="657"/>
      <c r="G163" s="807"/>
    </row>
    <row r="164" spans="1:7">
      <c r="A164" s="1532"/>
      <c r="B164" s="658"/>
      <c r="C164" s="658"/>
      <c r="D164" s="658"/>
      <c r="E164" s="657"/>
      <c r="F164" s="657"/>
      <c r="G164" s="1530"/>
    </row>
    <row r="165" spans="1:7">
      <c r="A165" s="1532"/>
      <c r="B165" s="658"/>
      <c r="C165" s="658"/>
      <c r="D165" s="658"/>
      <c r="E165" s="657"/>
      <c r="F165" s="657"/>
      <c r="G165" s="807"/>
    </row>
    <row r="166" spans="1:7">
      <c r="A166" s="1532"/>
      <c r="B166" s="658"/>
      <c r="C166" s="658"/>
      <c r="D166" s="658"/>
      <c r="E166" s="657"/>
      <c r="F166" s="657"/>
      <c r="G166" s="1530"/>
    </row>
    <row r="167" spans="1:7">
      <c r="A167" s="1532"/>
      <c r="B167" s="658"/>
      <c r="C167" s="658"/>
      <c r="D167" s="658"/>
      <c r="E167" s="657"/>
      <c r="F167" s="657"/>
      <c r="G167" s="807"/>
    </row>
    <row r="168" spans="1:7">
      <c r="A168" s="1532"/>
      <c r="B168" s="658"/>
      <c r="C168" s="658"/>
      <c r="D168" s="658"/>
      <c r="E168" s="657"/>
      <c r="F168" s="657"/>
      <c r="G168" s="1530"/>
    </row>
    <row r="169" spans="1:7">
      <c r="A169" s="1532"/>
      <c r="B169" s="658"/>
      <c r="C169" s="658"/>
      <c r="D169" s="658"/>
      <c r="E169" s="657"/>
      <c r="F169" s="657"/>
      <c r="G169" s="807"/>
    </row>
    <row r="170" spans="1:7">
      <c r="A170" s="1532"/>
      <c r="B170" s="658"/>
      <c r="C170" s="658"/>
      <c r="D170" s="658"/>
      <c r="E170" s="657"/>
      <c r="F170" s="657"/>
      <c r="G170" s="1530"/>
    </row>
    <row r="171" spans="1:7">
      <c r="A171" s="1532"/>
      <c r="B171" s="658"/>
      <c r="C171" s="658"/>
      <c r="D171" s="658"/>
      <c r="E171" s="657"/>
      <c r="F171" s="657"/>
      <c r="G171" s="807"/>
    </row>
    <row r="172" spans="1:7">
      <c r="A172" s="1532"/>
      <c r="B172" s="658"/>
      <c r="C172" s="658"/>
      <c r="D172" s="658"/>
      <c r="E172" s="657"/>
      <c r="F172" s="657"/>
      <c r="G172" s="1530"/>
    </row>
    <row r="173" spans="1:7">
      <c r="A173" s="1532"/>
      <c r="B173" s="658"/>
      <c r="C173" s="658"/>
      <c r="D173" s="658"/>
      <c r="E173" s="657"/>
      <c r="F173" s="657"/>
      <c r="G173" s="807"/>
    </row>
    <row r="174" spans="1:7">
      <c r="A174" s="1532"/>
      <c r="B174" s="658"/>
      <c r="C174" s="658"/>
      <c r="D174" s="658"/>
      <c r="E174" s="657"/>
      <c r="F174" s="657"/>
      <c r="G174" s="1530"/>
    </row>
    <row r="175" spans="1:7">
      <c r="A175" s="1532"/>
      <c r="B175" s="658"/>
      <c r="C175" s="658"/>
      <c r="D175" s="658"/>
      <c r="E175" s="657"/>
      <c r="F175" s="657"/>
      <c r="G175" s="807"/>
    </row>
    <row r="176" spans="1:7">
      <c r="A176" s="1532"/>
      <c r="B176" s="658"/>
      <c r="C176" s="658"/>
      <c r="D176" s="658"/>
      <c r="E176" s="657"/>
      <c r="F176" s="657"/>
      <c r="G176" s="1530"/>
    </row>
    <row r="177" spans="1:7">
      <c r="A177" s="1532"/>
      <c r="B177" s="658"/>
      <c r="C177" s="658"/>
      <c r="D177" s="658"/>
      <c r="E177" s="657"/>
      <c r="F177" s="657"/>
      <c r="G177" s="807"/>
    </row>
    <row r="178" spans="1:7">
      <c r="A178" s="1532"/>
      <c r="B178" s="658"/>
      <c r="C178" s="658"/>
      <c r="D178" s="658"/>
      <c r="E178" s="657"/>
      <c r="F178" s="657"/>
      <c r="G178" s="1530"/>
    </row>
    <row r="179" spans="1:7">
      <c r="A179" s="1532"/>
      <c r="B179" s="658"/>
      <c r="C179" s="658"/>
      <c r="D179" s="658"/>
      <c r="E179" s="657"/>
      <c r="F179" s="657"/>
      <c r="G179" s="807"/>
    </row>
    <row r="180" spans="1:7">
      <c r="A180" s="1532"/>
      <c r="B180" s="658"/>
      <c r="C180" s="658"/>
      <c r="D180" s="658"/>
      <c r="E180" s="657"/>
      <c r="F180" s="657"/>
      <c r="G180" s="1530"/>
    </row>
    <row r="181" spans="1:7">
      <c r="A181" s="1532"/>
      <c r="B181" s="658"/>
      <c r="C181" s="658"/>
      <c r="D181" s="658"/>
      <c r="E181" s="657"/>
      <c r="F181" s="657"/>
      <c r="G181" s="807"/>
    </row>
    <row r="182" spans="1:7">
      <c r="A182" s="1532"/>
      <c r="B182" s="658"/>
      <c r="C182" s="658"/>
      <c r="D182" s="658"/>
      <c r="E182" s="657"/>
      <c r="F182" s="657"/>
      <c r="G182" s="1530"/>
    </row>
    <row r="183" spans="1:7">
      <c r="A183" s="1532"/>
      <c r="B183" s="658"/>
      <c r="C183" s="658"/>
      <c r="D183" s="658"/>
      <c r="E183" s="657"/>
      <c r="F183" s="657"/>
      <c r="G183" s="807"/>
    </row>
    <row r="184" spans="1:7">
      <c r="A184" s="1532"/>
      <c r="B184" s="658"/>
      <c r="C184" s="658"/>
      <c r="D184" s="658"/>
      <c r="E184" s="657"/>
      <c r="F184" s="657"/>
      <c r="G184" s="1530"/>
    </row>
    <row r="185" spans="1:7">
      <c r="A185" s="1532"/>
      <c r="B185" s="658"/>
      <c r="C185" s="658"/>
      <c r="D185" s="658"/>
      <c r="E185" s="657"/>
      <c r="F185" s="657"/>
      <c r="G185" s="807"/>
    </row>
    <row r="186" spans="1:7">
      <c r="A186" s="1532"/>
      <c r="B186" s="658"/>
      <c r="C186" s="658"/>
      <c r="D186" s="658"/>
      <c r="E186" s="657"/>
      <c r="F186" s="657"/>
      <c r="G186" s="1530"/>
    </row>
    <row r="187" spans="1:7">
      <c r="A187" s="1532"/>
      <c r="B187" s="658"/>
      <c r="C187" s="658"/>
      <c r="D187" s="658"/>
      <c r="E187" s="657"/>
      <c r="F187" s="657"/>
      <c r="G187" s="807"/>
    </row>
    <row r="188" spans="1:7">
      <c r="A188" s="1532"/>
      <c r="B188" s="658"/>
      <c r="C188" s="658"/>
      <c r="D188" s="658"/>
      <c r="E188" s="657"/>
      <c r="F188" s="657"/>
      <c r="G188" s="1530"/>
    </row>
    <row r="189" spans="1:7">
      <c r="A189" s="1532"/>
      <c r="B189" s="658"/>
      <c r="C189" s="658"/>
      <c r="D189" s="658"/>
      <c r="E189" s="657"/>
      <c r="F189" s="657"/>
      <c r="G189" s="807"/>
    </row>
    <row r="190" spans="1:7">
      <c r="A190" s="1532"/>
      <c r="B190" s="658"/>
      <c r="C190" s="658"/>
      <c r="D190" s="658"/>
      <c r="E190" s="657"/>
      <c r="F190" s="657"/>
      <c r="G190" s="1530"/>
    </row>
    <row r="191" spans="1:7">
      <c r="A191" s="1532"/>
      <c r="B191" s="658"/>
      <c r="C191" s="658"/>
      <c r="D191" s="658"/>
      <c r="E191" s="657"/>
      <c r="F191" s="657"/>
      <c r="G191" s="807"/>
    </row>
    <row r="192" spans="1:7">
      <c r="A192" s="1532"/>
      <c r="B192" s="658"/>
      <c r="C192" s="658"/>
      <c r="D192" s="658"/>
      <c r="E192" s="657"/>
      <c r="F192" s="657"/>
      <c r="G192" s="1530"/>
    </row>
    <row r="193" spans="1:7">
      <c r="A193" s="1532"/>
      <c r="B193" s="658"/>
      <c r="C193" s="658"/>
      <c r="D193" s="658"/>
      <c r="E193" s="657"/>
      <c r="F193" s="657"/>
      <c r="G193" s="807"/>
    </row>
    <row r="194" spans="1:7">
      <c r="A194" s="1532"/>
      <c r="B194" s="658"/>
      <c r="C194" s="658"/>
      <c r="D194" s="658"/>
      <c r="E194" s="657"/>
      <c r="F194" s="657"/>
      <c r="G194" s="1530"/>
    </row>
    <row r="195" spans="1:7">
      <c r="A195" s="1532"/>
      <c r="B195" s="658"/>
      <c r="C195" s="658"/>
      <c r="D195" s="658"/>
      <c r="E195" s="657"/>
      <c r="F195" s="657"/>
      <c r="G195" s="807"/>
    </row>
    <row r="196" spans="1:7">
      <c r="A196" s="1532"/>
      <c r="B196" s="658"/>
      <c r="C196" s="658"/>
      <c r="D196" s="658"/>
      <c r="E196" s="657"/>
      <c r="F196" s="657"/>
      <c r="G196" s="1530"/>
    </row>
    <row r="197" spans="1:7">
      <c r="A197" s="1532"/>
      <c r="B197" s="658"/>
      <c r="C197" s="658"/>
      <c r="D197" s="658"/>
      <c r="E197" s="657"/>
      <c r="F197" s="657"/>
      <c r="G197" s="807"/>
    </row>
    <row r="198" spans="1:7">
      <c r="A198" s="1532"/>
      <c r="B198" s="658"/>
      <c r="C198" s="658"/>
      <c r="D198" s="658"/>
      <c r="E198" s="657"/>
      <c r="F198" s="657"/>
      <c r="G198" s="1530"/>
    </row>
    <row r="199" spans="1:7">
      <c r="A199" s="1532"/>
      <c r="B199" s="658"/>
      <c r="C199" s="658"/>
      <c r="D199" s="658"/>
      <c r="E199" s="657"/>
      <c r="F199" s="657"/>
      <c r="G199" s="807"/>
    </row>
    <row r="200" spans="1:7">
      <c r="A200" s="1532"/>
      <c r="B200" s="658"/>
      <c r="C200" s="658"/>
      <c r="D200" s="658"/>
      <c r="E200" s="657"/>
      <c r="F200" s="657"/>
      <c r="G200" s="1530"/>
    </row>
    <row r="201" spans="1:7">
      <c r="A201" s="1532"/>
      <c r="B201" s="658"/>
      <c r="C201" s="658"/>
      <c r="D201" s="658"/>
      <c r="E201" s="657"/>
      <c r="F201" s="657"/>
      <c r="G201" s="807"/>
    </row>
    <row r="202" spans="1:7">
      <c r="A202" s="1532"/>
      <c r="B202" s="658"/>
      <c r="C202" s="658"/>
      <c r="D202" s="658"/>
      <c r="E202" s="657"/>
      <c r="F202" s="657"/>
      <c r="G202" s="1530"/>
    </row>
    <row r="203" spans="1:7">
      <c r="A203" s="1532"/>
      <c r="B203" s="658"/>
      <c r="C203" s="658"/>
      <c r="D203" s="658"/>
      <c r="E203" s="657"/>
      <c r="F203" s="657"/>
      <c r="G203" s="807"/>
    </row>
    <row r="204" spans="1:7">
      <c r="A204" s="1532"/>
      <c r="B204" s="658"/>
      <c r="C204" s="658"/>
      <c r="D204" s="658"/>
      <c r="E204" s="657"/>
      <c r="F204" s="657"/>
      <c r="G204" s="1530"/>
    </row>
    <row r="205" spans="1:7">
      <c r="A205" s="1532"/>
      <c r="B205" s="658"/>
      <c r="C205" s="658"/>
      <c r="D205" s="658"/>
      <c r="E205" s="657"/>
      <c r="F205" s="657"/>
      <c r="G205" s="807"/>
    </row>
    <row r="206" spans="1:7">
      <c r="A206" s="1532"/>
      <c r="B206" s="658"/>
      <c r="C206" s="658"/>
      <c r="D206" s="658"/>
      <c r="E206" s="657"/>
      <c r="F206" s="657"/>
      <c r="G206" s="1530"/>
    </row>
    <row r="207" spans="1:7">
      <c r="A207" s="1532"/>
      <c r="B207" s="658"/>
      <c r="C207" s="658"/>
      <c r="D207" s="658"/>
      <c r="E207" s="657"/>
      <c r="F207" s="657"/>
      <c r="G207" s="807"/>
    </row>
    <row r="208" spans="1:7">
      <c r="A208" s="1532"/>
      <c r="B208" s="658"/>
      <c r="C208" s="658"/>
      <c r="D208" s="658"/>
      <c r="E208" s="657"/>
      <c r="F208" s="657"/>
      <c r="G208" s="1530"/>
    </row>
    <row r="209" spans="1:7">
      <c r="A209" s="1532"/>
      <c r="B209" s="658"/>
      <c r="C209" s="658"/>
      <c r="D209" s="658"/>
      <c r="E209" s="657"/>
      <c r="F209" s="657"/>
      <c r="G209" s="807"/>
    </row>
    <row r="210" spans="1:7">
      <c r="A210" s="1532"/>
      <c r="B210" s="658"/>
      <c r="C210" s="658"/>
      <c r="D210" s="658"/>
      <c r="E210" s="657"/>
      <c r="F210" s="657"/>
      <c r="G210" s="1530"/>
    </row>
    <row r="211" spans="1:7">
      <c r="A211" s="1532"/>
      <c r="B211" s="658"/>
      <c r="C211" s="658"/>
      <c r="D211" s="658"/>
      <c r="E211" s="657"/>
      <c r="F211" s="657"/>
      <c r="G211" s="807"/>
    </row>
    <row r="212" spans="1:7">
      <c r="A212" s="1532"/>
      <c r="B212" s="658"/>
      <c r="C212" s="658"/>
      <c r="D212" s="658"/>
      <c r="E212" s="657"/>
      <c r="F212" s="657"/>
      <c r="G212" s="1530"/>
    </row>
    <row r="213" spans="1:7">
      <c r="A213" s="1532"/>
      <c r="B213" s="658"/>
      <c r="C213" s="658"/>
      <c r="D213" s="658"/>
      <c r="E213" s="657"/>
      <c r="F213" s="657"/>
      <c r="G213" s="807"/>
    </row>
    <row r="214" spans="1:7">
      <c r="A214" s="1532"/>
      <c r="B214" s="658"/>
      <c r="C214" s="658"/>
      <c r="D214" s="658"/>
      <c r="E214" s="657"/>
      <c r="F214" s="657"/>
      <c r="G214" s="1530"/>
    </row>
    <row r="215" spans="1:7">
      <c r="A215" s="1532"/>
      <c r="B215" s="658"/>
      <c r="C215" s="658"/>
      <c r="D215" s="658"/>
      <c r="E215" s="657"/>
      <c r="F215" s="657"/>
      <c r="G215" s="807"/>
    </row>
    <row r="216" spans="1:7">
      <c r="A216" s="1532"/>
      <c r="B216" s="658"/>
      <c r="C216" s="658"/>
      <c r="D216" s="658"/>
      <c r="E216" s="657"/>
      <c r="F216" s="657"/>
      <c r="G216" s="1530"/>
    </row>
    <row r="217" spans="1:7">
      <c r="A217" s="1532"/>
      <c r="B217" s="658"/>
      <c r="C217" s="658"/>
      <c r="D217" s="658"/>
      <c r="E217" s="657"/>
      <c r="F217" s="657"/>
      <c r="G217" s="807"/>
    </row>
    <row r="218" spans="1:7">
      <c r="A218" s="1532"/>
      <c r="B218" s="658"/>
      <c r="C218" s="658"/>
      <c r="D218" s="658"/>
      <c r="E218" s="657"/>
      <c r="F218" s="657"/>
      <c r="G218" s="1530"/>
    </row>
    <row r="219" spans="1:7">
      <c r="A219" s="1532"/>
      <c r="B219" s="658"/>
      <c r="C219" s="658"/>
      <c r="D219" s="658"/>
      <c r="E219" s="657"/>
      <c r="F219" s="657"/>
      <c r="G219" s="807"/>
    </row>
    <row r="220" spans="1:7">
      <c r="A220" s="1532"/>
      <c r="B220" s="658"/>
      <c r="C220" s="658"/>
      <c r="D220" s="658"/>
      <c r="E220" s="657"/>
      <c r="F220" s="657"/>
      <c r="G220" s="1530"/>
    </row>
    <row r="221" spans="1:7">
      <c r="A221" s="1532"/>
      <c r="B221" s="658"/>
      <c r="C221" s="658"/>
      <c r="D221" s="658"/>
      <c r="E221" s="657"/>
      <c r="F221" s="657"/>
      <c r="G221" s="807"/>
    </row>
    <row r="222" spans="1:7">
      <c r="A222" s="1532"/>
      <c r="B222" s="658"/>
      <c r="C222" s="658"/>
      <c r="D222" s="658"/>
      <c r="E222" s="657"/>
      <c r="F222" s="657"/>
      <c r="G222" s="1530"/>
    </row>
    <row r="223" spans="1:7">
      <c r="A223" s="1532"/>
      <c r="B223" s="658"/>
      <c r="C223" s="658"/>
      <c r="D223" s="658"/>
      <c r="E223" s="657"/>
      <c r="F223" s="657"/>
      <c r="G223" s="807"/>
    </row>
    <row r="224" spans="1:7">
      <c r="A224" s="1532"/>
      <c r="B224" s="658"/>
      <c r="C224" s="658"/>
      <c r="D224" s="658"/>
      <c r="E224" s="657"/>
      <c r="F224" s="657"/>
      <c r="G224" s="1530"/>
    </row>
    <row r="225" spans="1:7">
      <c r="A225" s="1532"/>
      <c r="B225" s="658"/>
      <c r="C225" s="658"/>
      <c r="D225" s="658"/>
      <c r="E225" s="657"/>
      <c r="F225" s="657"/>
      <c r="G225" s="807"/>
    </row>
    <row r="226" spans="1:7">
      <c r="A226" s="1532"/>
      <c r="B226" s="658"/>
      <c r="C226" s="658"/>
      <c r="D226" s="658"/>
      <c r="E226" s="657"/>
      <c r="F226" s="657"/>
      <c r="G226" s="1530"/>
    </row>
    <row r="227" spans="1:7">
      <c r="A227" s="1532"/>
      <c r="B227" s="658"/>
      <c r="C227" s="658"/>
      <c r="D227" s="658"/>
      <c r="E227" s="657"/>
      <c r="F227" s="657"/>
      <c r="G227" s="807"/>
    </row>
    <row r="228" spans="1:7">
      <c r="A228" s="1532"/>
      <c r="B228" s="658"/>
      <c r="C228" s="658"/>
      <c r="D228" s="658"/>
      <c r="E228" s="657"/>
      <c r="F228" s="657"/>
      <c r="G228" s="1530"/>
    </row>
    <row r="229" spans="1:7">
      <c r="A229" s="1532"/>
      <c r="B229" s="658"/>
      <c r="C229" s="658"/>
      <c r="D229" s="658"/>
      <c r="E229" s="657"/>
      <c r="F229" s="657"/>
      <c r="G229" s="807"/>
    </row>
    <row r="230" spans="1:7">
      <c r="A230" s="1532"/>
      <c r="B230" s="658"/>
      <c r="C230" s="658"/>
      <c r="D230" s="658"/>
      <c r="E230" s="657"/>
      <c r="F230" s="657"/>
      <c r="G230" s="1530"/>
    </row>
    <row r="231" spans="1:7">
      <c r="A231" s="1532"/>
      <c r="B231" s="658"/>
      <c r="C231" s="658"/>
      <c r="D231" s="658"/>
      <c r="E231" s="657"/>
      <c r="F231" s="657"/>
      <c r="G231" s="807"/>
    </row>
    <row r="232" spans="1:7">
      <c r="A232" s="1532"/>
      <c r="B232" s="658"/>
      <c r="C232" s="658"/>
      <c r="D232" s="658"/>
      <c r="E232" s="657"/>
      <c r="F232" s="657"/>
      <c r="G232" s="1530"/>
    </row>
    <row r="233" spans="1:7">
      <c r="A233" s="1532"/>
      <c r="B233" s="658"/>
      <c r="C233" s="658"/>
      <c r="D233" s="658"/>
      <c r="E233" s="657"/>
      <c r="F233" s="657"/>
      <c r="G233" s="807"/>
    </row>
    <row r="234" spans="1:7">
      <c r="A234" s="1532"/>
      <c r="B234" s="658"/>
      <c r="C234" s="658"/>
      <c r="D234" s="658"/>
      <c r="E234" s="657"/>
      <c r="F234" s="657"/>
      <c r="G234" s="1530"/>
    </row>
    <row r="235" spans="1:7">
      <c r="A235" s="1532"/>
      <c r="B235" s="658"/>
      <c r="C235" s="658"/>
      <c r="D235" s="658"/>
      <c r="E235" s="657"/>
      <c r="F235" s="657"/>
      <c r="G235" s="807"/>
    </row>
    <row r="236" spans="1:7">
      <c r="A236" s="1532"/>
      <c r="B236" s="658"/>
      <c r="C236" s="658"/>
      <c r="D236" s="658"/>
      <c r="E236" s="657"/>
      <c r="F236" s="657"/>
      <c r="G236" s="1530"/>
    </row>
    <row r="237" spans="1:7">
      <c r="A237" s="1532"/>
      <c r="B237" s="658"/>
      <c r="C237" s="658"/>
      <c r="D237" s="658"/>
      <c r="E237" s="657"/>
      <c r="F237" s="657"/>
      <c r="G237" s="807"/>
    </row>
    <row r="238" spans="1:7">
      <c r="A238" s="1532"/>
      <c r="B238" s="658"/>
      <c r="C238" s="658"/>
      <c r="D238" s="658"/>
      <c r="E238" s="657"/>
      <c r="F238" s="657"/>
      <c r="G238" s="1530"/>
    </row>
    <row r="239" spans="1:7">
      <c r="A239" s="1532"/>
      <c r="B239" s="658"/>
      <c r="C239" s="658"/>
      <c r="D239" s="658"/>
      <c r="E239" s="657"/>
      <c r="F239" s="657"/>
      <c r="G239" s="807"/>
    </row>
    <row r="240" spans="1:7">
      <c r="A240" s="1532"/>
      <c r="B240" s="658"/>
      <c r="C240" s="658"/>
      <c r="D240" s="658"/>
      <c r="E240" s="657"/>
      <c r="F240" s="657"/>
      <c r="G240" s="1530"/>
    </row>
    <row r="241" spans="1:7">
      <c r="A241" s="1532"/>
      <c r="B241" s="658"/>
      <c r="C241" s="658"/>
      <c r="D241" s="658"/>
      <c r="E241" s="657"/>
      <c r="F241" s="657"/>
      <c r="G241" s="807"/>
    </row>
    <row r="242" spans="1:7">
      <c r="A242" s="1532"/>
      <c r="B242" s="658"/>
      <c r="C242" s="658"/>
      <c r="D242" s="658"/>
      <c r="E242" s="657"/>
      <c r="F242" s="657"/>
      <c r="G242" s="1530"/>
    </row>
  </sheetData>
  <mergeCells count="831">
    <mergeCell ref="G241:G242"/>
    <mergeCell ref="A241:A242"/>
    <mergeCell ref="B241:B242"/>
    <mergeCell ref="C241:C242"/>
    <mergeCell ref="D241:D242"/>
    <mergeCell ref="E241:E242"/>
    <mergeCell ref="F241:F242"/>
    <mergeCell ref="G237:G238"/>
    <mergeCell ref="A239:A240"/>
    <mergeCell ref="B239:B240"/>
    <mergeCell ref="C239:C240"/>
    <mergeCell ref="D239:D240"/>
    <mergeCell ref="E239:E240"/>
    <mergeCell ref="F239:F240"/>
    <mergeCell ref="G239:G240"/>
    <mergeCell ref="A237:A238"/>
    <mergeCell ref="B237:B238"/>
    <mergeCell ref="C237:C238"/>
    <mergeCell ref="D237:D238"/>
    <mergeCell ref="E237:E238"/>
    <mergeCell ref="F237:F238"/>
    <mergeCell ref="G233:G234"/>
    <mergeCell ref="A235:A236"/>
    <mergeCell ref="B235:B236"/>
    <mergeCell ref="C235:C236"/>
    <mergeCell ref="D235:D236"/>
    <mergeCell ref="E235:E236"/>
    <mergeCell ref="F235:F236"/>
    <mergeCell ref="G235:G236"/>
    <mergeCell ref="A233:A234"/>
    <mergeCell ref="B233:B234"/>
    <mergeCell ref="C233:C234"/>
    <mergeCell ref="D233:D234"/>
    <mergeCell ref="E233:E234"/>
    <mergeCell ref="F233:F234"/>
    <mergeCell ref="G229:G230"/>
    <mergeCell ref="A231:A232"/>
    <mergeCell ref="B231:B232"/>
    <mergeCell ref="C231:C232"/>
    <mergeCell ref="D231:D232"/>
    <mergeCell ref="E231:E232"/>
    <mergeCell ref="F231:F232"/>
    <mergeCell ref="G231:G232"/>
    <mergeCell ref="A229:A230"/>
    <mergeCell ref="B229:B230"/>
    <mergeCell ref="C229:C230"/>
    <mergeCell ref="D229:D230"/>
    <mergeCell ref="E229:E230"/>
    <mergeCell ref="F229:F230"/>
    <mergeCell ref="G225:G226"/>
    <mergeCell ref="A227:A228"/>
    <mergeCell ref="B227:B228"/>
    <mergeCell ref="C227:C228"/>
    <mergeCell ref="D227:D228"/>
    <mergeCell ref="E227:E228"/>
    <mergeCell ref="F227:F228"/>
    <mergeCell ref="G227:G228"/>
    <mergeCell ref="A225:A226"/>
    <mergeCell ref="B225:B226"/>
    <mergeCell ref="C225:C226"/>
    <mergeCell ref="D225:D226"/>
    <mergeCell ref="E225:E226"/>
    <mergeCell ref="F225:F226"/>
    <mergeCell ref="G221:G222"/>
    <mergeCell ref="A223:A224"/>
    <mergeCell ref="B223:B224"/>
    <mergeCell ref="C223:C224"/>
    <mergeCell ref="D223:D224"/>
    <mergeCell ref="E223:E224"/>
    <mergeCell ref="F223:F224"/>
    <mergeCell ref="G223:G224"/>
    <mergeCell ref="A221:A222"/>
    <mergeCell ref="B221:B222"/>
    <mergeCell ref="C221:C222"/>
    <mergeCell ref="D221:D222"/>
    <mergeCell ref="E221:E222"/>
    <mergeCell ref="F221:F222"/>
    <mergeCell ref="G217:G218"/>
    <mergeCell ref="A219:A220"/>
    <mergeCell ref="B219:B220"/>
    <mergeCell ref="C219:C220"/>
    <mergeCell ref="D219:D220"/>
    <mergeCell ref="E219:E220"/>
    <mergeCell ref="F219:F220"/>
    <mergeCell ref="G219:G220"/>
    <mergeCell ref="A217:A218"/>
    <mergeCell ref="B217:B218"/>
    <mergeCell ref="C217:C218"/>
    <mergeCell ref="D217:D218"/>
    <mergeCell ref="E217:E218"/>
    <mergeCell ref="F217:F218"/>
    <mergeCell ref="G213:G214"/>
    <mergeCell ref="A215:A216"/>
    <mergeCell ref="B215:B216"/>
    <mergeCell ref="C215:C216"/>
    <mergeCell ref="D215:D216"/>
    <mergeCell ref="E215:E216"/>
    <mergeCell ref="F215:F216"/>
    <mergeCell ref="G215:G216"/>
    <mergeCell ref="A213:A214"/>
    <mergeCell ref="B213:B214"/>
    <mergeCell ref="C213:C214"/>
    <mergeCell ref="D213:D214"/>
    <mergeCell ref="E213:E214"/>
    <mergeCell ref="F213:F214"/>
    <mergeCell ref="G209:G210"/>
    <mergeCell ref="A211:A212"/>
    <mergeCell ref="B211:B212"/>
    <mergeCell ref="C211:C212"/>
    <mergeCell ref="D211:D212"/>
    <mergeCell ref="E211:E212"/>
    <mergeCell ref="F211:F212"/>
    <mergeCell ref="G211:G212"/>
    <mergeCell ref="A209:A210"/>
    <mergeCell ref="B209:B210"/>
    <mergeCell ref="C209:C210"/>
    <mergeCell ref="D209:D210"/>
    <mergeCell ref="E209:E210"/>
    <mergeCell ref="F209:F210"/>
    <mergeCell ref="G205:G206"/>
    <mergeCell ref="A207:A208"/>
    <mergeCell ref="B207:B208"/>
    <mergeCell ref="C207:C208"/>
    <mergeCell ref="D207:D208"/>
    <mergeCell ref="E207:E208"/>
    <mergeCell ref="F207:F208"/>
    <mergeCell ref="G207:G208"/>
    <mergeCell ref="A205:A206"/>
    <mergeCell ref="B205:B206"/>
    <mergeCell ref="C205:C206"/>
    <mergeCell ref="D205:D206"/>
    <mergeCell ref="E205:E206"/>
    <mergeCell ref="F205:F206"/>
    <mergeCell ref="G201:G202"/>
    <mergeCell ref="A203:A204"/>
    <mergeCell ref="B203:B204"/>
    <mergeCell ref="C203:C204"/>
    <mergeCell ref="D203:D204"/>
    <mergeCell ref="E203:E204"/>
    <mergeCell ref="F203:F204"/>
    <mergeCell ref="G203:G204"/>
    <mergeCell ref="A201:A202"/>
    <mergeCell ref="B201:B202"/>
    <mergeCell ref="C201:C202"/>
    <mergeCell ref="D201:D202"/>
    <mergeCell ref="E201:E202"/>
    <mergeCell ref="F201:F202"/>
    <mergeCell ref="G197:G198"/>
    <mergeCell ref="A199:A200"/>
    <mergeCell ref="B199:B200"/>
    <mergeCell ref="C199:C200"/>
    <mergeCell ref="D199:D200"/>
    <mergeCell ref="E199:E200"/>
    <mergeCell ref="F199:F200"/>
    <mergeCell ref="G199:G200"/>
    <mergeCell ref="A197:A198"/>
    <mergeCell ref="B197:B198"/>
    <mergeCell ref="C197:C198"/>
    <mergeCell ref="D197:D198"/>
    <mergeCell ref="E197:E198"/>
    <mergeCell ref="F197:F198"/>
    <mergeCell ref="G193:G194"/>
    <mergeCell ref="A195:A196"/>
    <mergeCell ref="B195:B196"/>
    <mergeCell ref="C195:C196"/>
    <mergeCell ref="D195:D196"/>
    <mergeCell ref="E195:E196"/>
    <mergeCell ref="F195:F196"/>
    <mergeCell ref="G195:G196"/>
    <mergeCell ref="A193:A194"/>
    <mergeCell ref="B193:B194"/>
    <mergeCell ref="C193:C194"/>
    <mergeCell ref="D193:D194"/>
    <mergeCell ref="E193:E194"/>
    <mergeCell ref="F193:F194"/>
    <mergeCell ref="G189:G190"/>
    <mergeCell ref="A191:A192"/>
    <mergeCell ref="B191:B192"/>
    <mergeCell ref="C191:C192"/>
    <mergeCell ref="D191:D192"/>
    <mergeCell ref="E191:E192"/>
    <mergeCell ref="F191:F192"/>
    <mergeCell ref="G191:G192"/>
    <mergeCell ref="A189:A190"/>
    <mergeCell ref="B189:B190"/>
    <mergeCell ref="C189:C190"/>
    <mergeCell ref="D189:D190"/>
    <mergeCell ref="E189:E190"/>
    <mergeCell ref="F189:F190"/>
    <mergeCell ref="G185:G186"/>
    <mergeCell ref="A187:A188"/>
    <mergeCell ref="B187:B188"/>
    <mergeCell ref="C187:C188"/>
    <mergeCell ref="D187:D188"/>
    <mergeCell ref="E187:E188"/>
    <mergeCell ref="F187:F188"/>
    <mergeCell ref="G187:G188"/>
    <mergeCell ref="A185:A186"/>
    <mergeCell ref="B185:B186"/>
    <mergeCell ref="C185:C186"/>
    <mergeCell ref="D185:D186"/>
    <mergeCell ref="E185:E186"/>
    <mergeCell ref="F185:F186"/>
    <mergeCell ref="G181:G182"/>
    <mergeCell ref="A183:A184"/>
    <mergeCell ref="B183:B184"/>
    <mergeCell ref="C183:C184"/>
    <mergeCell ref="D183:D184"/>
    <mergeCell ref="E183:E184"/>
    <mergeCell ref="F183:F184"/>
    <mergeCell ref="G183:G184"/>
    <mergeCell ref="A181:A182"/>
    <mergeCell ref="B181:B182"/>
    <mergeCell ref="C181:C182"/>
    <mergeCell ref="D181:D182"/>
    <mergeCell ref="E181:E182"/>
    <mergeCell ref="F181:F182"/>
    <mergeCell ref="G177:G178"/>
    <mergeCell ref="A179:A180"/>
    <mergeCell ref="B179:B180"/>
    <mergeCell ref="C179:C180"/>
    <mergeCell ref="D179:D180"/>
    <mergeCell ref="E179:E180"/>
    <mergeCell ref="F179:F180"/>
    <mergeCell ref="G179:G180"/>
    <mergeCell ref="A177:A178"/>
    <mergeCell ref="B177:B178"/>
    <mergeCell ref="C177:C178"/>
    <mergeCell ref="D177:D178"/>
    <mergeCell ref="E177:E178"/>
    <mergeCell ref="F177:F178"/>
    <mergeCell ref="G173:G174"/>
    <mergeCell ref="A175:A176"/>
    <mergeCell ref="B175:B176"/>
    <mergeCell ref="C175:C176"/>
    <mergeCell ref="D175:D176"/>
    <mergeCell ref="E175:E176"/>
    <mergeCell ref="F175:F176"/>
    <mergeCell ref="G175:G176"/>
    <mergeCell ref="A173:A174"/>
    <mergeCell ref="B173:B174"/>
    <mergeCell ref="C173:C174"/>
    <mergeCell ref="D173:D174"/>
    <mergeCell ref="E173:E174"/>
    <mergeCell ref="F173:F174"/>
    <mergeCell ref="G169:G170"/>
    <mergeCell ref="A171:A172"/>
    <mergeCell ref="B171:B172"/>
    <mergeCell ref="C171:C172"/>
    <mergeCell ref="D171:D172"/>
    <mergeCell ref="E171:E172"/>
    <mergeCell ref="F171:F172"/>
    <mergeCell ref="G171:G172"/>
    <mergeCell ref="A169:A170"/>
    <mergeCell ref="B169:B170"/>
    <mergeCell ref="C169:C170"/>
    <mergeCell ref="D169:D170"/>
    <mergeCell ref="E169:E170"/>
    <mergeCell ref="F169:F170"/>
    <mergeCell ref="G165:G166"/>
    <mergeCell ref="A167:A168"/>
    <mergeCell ref="B167:B168"/>
    <mergeCell ref="C167:C168"/>
    <mergeCell ref="D167:D168"/>
    <mergeCell ref="E167:E168"/>
    <mergeCell ref="F167:F168"/>
    <mergeCell ref="G167:G168"/>
    <mergeCell ref="A165:A166"/>
    <mergeCell ref="B165:B166"/>
    <mergeCell ref="C165:C166"/>
    <mergeCell ref="D165:D166"/>
    <mergeCell ref="E165:E166"/>
    <mergeCell ref="F165:F166"/>
    <mergeCell ref="G161:G162"/>
    <mergeCell ref="A163:A164"/>
    <mergeCell ref="B163:B164"/>
    <mergeCell ref="C163:C164"/>
    <mergeCell ref="D163:D164"/>
    <mergeCell ref="E163:E164"/>
    <mergeCell ref="F163:F164"/>
    <mergeCell ref="G163:G164"/>
    <mergeCell ref="A161:A162"/>
    <mergeCell ref="B161:B162"/>
    <mergeCell ref="C161:C162"/>
    <mergeCell ref="D161:D162"/>
    <mergeCell ref="E161:E162"/>
    <mergeCell ref="F161:F162"/>
    <mergeCell ref="G157:G158"/>
    <mergeCell ref="A159:A160"/>
    <mergeCell ref="B159:B160"/>
    <mergeCell ref="C159:C160"/>
    <mergeCell ref="D159:D160"/>
    <mergeCell ref="E159:E160"/>
    <mergeCell ref="F159:F160"/>
    <mergeCell ref="G159:G160"/>
    <mergeCell ref="A157:A158"/>
    <mergeCell ref="B157:B158"/>
    <mergeCell ref="C157:C158"/>
    <mergeCell ref="D157:D158"/>
    <mergeCell ref="E157:E158"/>
    <mergeCell ref="F157:F158"/>
    <mergeCell ref="G153:G154"/>
    <mergeCell ref="A155:A156"/>
    <mergeCell ref="B155:B156"/>
    <mergeCell ref="C155:C156"/>
    <mergeCell ref="D155:D156"/>
    <mergeCell ref="E155:E156"/>
    <mergeCell ref="F155:F156"/>
    <mergeCell ref="G155:G156"/>
    <mergeCell ref="A153:A154"/>
    <mergeCell ref="B153:B154"/>
    <mergeCell ref="C153:C154"/>
    <mergeCell ref="D153:D154"/>
    <mergeCell ref="E153:E154"/>
    <mergeCell ref="F153:F154"/>
    <mergeCell ref="G149:G150"/>
    <mergeCell ref="A151:A152"/>
    <mergeCell ref="B151:B152"/>
    <mergeCell ref="C151:C152"/>
    <mergeCell ref="D151:D152"/>
    <mergeCell ref="E151:E152"/>
    <mergeCell ref="F151:F152"/>
    <mergeCell ref="G151:G152"/>
    <mergeCell ref="A149:A150"/>
    <mergeCell ref="B149:B150"/>
    <mergeCell ref="C149:C150"/>
    <mergeCell ref="D149:D150"/>
    <mergeCell ref="E149:E150"/>
    <mergeCell ref="F149:F150"/>
    <mergeCell ref="G145:G146"/>
    <mergeCell ref="A147:A148"/>
    <mergeCell ref="B147:B148"/>
    <mergeCell ref="C147:C148"/>
    <mergeCell ref="D147:D148"/>
    <mergeCell ref="E147:E148"/>
    <mergeCell ref="F147:F148"/>
    <mergeCell ref="G147:G148"/>
    <mergeCell ref="A145:A146"/>
    <mergeCell ref="B145:B146"/>
    <mergeCell ref="C145:C146"/>
    <mergeCell ref="D145:D146"/>
    <mergeCell ref="E145:E146"/>
    <mergeCell ref="F145:F146"/>
    <mergeCell ref="G141:G142"/>
    <mergeCell ref="A143:A144"/>
    <mergeCell ref="B143:B144"/>
    <mergeCell ref="C143:C144"/>
    <mergeCell ref="D143:D144"/>
    <mergeCell ref="E143:E144"/>
    <mergeCell ref="F143:F144"/>
    <mergeCell ref="G143:G144"/>
    <mergeCell ref="A141:A142"/>
    <mergeCell ref="B141:B142"/>
    <mergeCell ref="C141:C142"/>
    <mergeCell ref="D141:D142"/>
    <mergeCell ref="E141:E142"/>
    <mergeCell ref="F141:F142"/>
    <mergeCell ref="G137:G138"/>
    <mergeCell ref="A139:A140"/>
    <mergeCell ref="B139:B140"/>
    <mergeCell ref="C139:C140"/>
    <mergeCell ref="D139:D140"/>
    <mergeCell ref="E139:E140"/>
    <mergeCell ref="F139:F140"/>
    <mergeCell ref="G139:G140"/>
    <mergeCell ref="A137:A138"/>
    <mergeCell ref="B137:B138"/>
    <mergeCell ref="C137:C138"/>
    <mergeCell ref="D137:D138"/>
    <mergeCell ref="E137:E138"/>
    <mergeCell ref="F137:F138"/>
    <mergeCell ref="G133:G134"/>
    <mergeCell ref="A135:A136"/>
    <mergeCell ref="B131:B132"/>
    <mergeCell ref="C131:C132"/>
    <mergeCell ref="D131:D132"/>
    <mergeCell ref="E131:E132"/>
    <mergeCell ref="F131:F132"/>
    <mergeCell ref="G135:G136"/>
    <mergeCell ref="A133:A134"/>
    <mergeCell ref="B129:B130"/>
    <mergeCell ref="C129:C130"/>
    <mergeCell ref="D129:D130"/>
    <mergeCell ref="E129:E130"/>
    <mergeCell ref="F129:F130"/>
    <mergeCell ref="G129:G130"/>
    <mergeCell ref="A131:A132"/>
    <mergeCell ref="G131:G132"/>
    <mergeCell ref="A129:A130"/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topLeftCell="A64" workbookViewId="0">
      <selection sqref="A1:G126"/>
    </sheetView>
  </sheetViews>
  <sheetFormatPr defaultRowHeight="12.75"/>
  <cols>
    <col min="2" max="2" width="14.28515625" customWidth="1"/>
    <col min="4" max="4" width="34.85546875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SUM(F3:F126)</f>
        <v>39845</v>
      </c>
    </row>
    <row r="2" spans="1:7" ht="15">
      <c r="A2" s="1536" t="s">
        <v>3240</v>
      </c>
      <c r="B2" s="1536"/>
      <c r="C2" s="1536"/>
      <c r="D2" s="1536"/>
      <c r="E2" s="1536"/>
      <c r="F2" s="1536"/>
      <c r="G2" s="1536"/>
    </row>
    <row r="3" spans="1:7">
      <c r="A3" s="1532">
        <v>1</v>
      </c>
      <c r="B3" s="658" t="s">
        <v>742</v>
      </c>
      <c r="C3" s="658" t="s">
        <v>3188</v>
      </c>
      <c r="D3" s="658" t="s">
        <v>1601</v>
      </c>
      <c r="E3" s="657">
        <v>1100</v>
      </c>
      <c r="F3" s="657">
        <f t="shared" ref="F3" si="0">E3</f>
        <v>1100</v>
      </c>
      <c r="G3" s="1537"/>
    </row>
    <row r="4" spans="1:7">
      <c r="A4" s="1532"/>
      <c r="B4" s="658"/>
      <c r="C4" s="658"/>
      <c r="D4" s="658"/>
      <c r="E4" s="657"/>
      <c r="F4" s="657"/>
      <c r="G4" s="1538"/>
    </row>
    <row r="5" spans="1:7">
      <c r="A5" s="1532">
        <v>2</v>
      </c>
      <c r="B5" s="658" t="s">
        <v>741</v>
      </c>
      <c r="C5" s="658" t="s">
        <v>3188</v>
      </c>
      <c r="D5" s="658" t="s">
        <v>1140</v>
      </c>
      <c r="E5" s="657">
        <v>420</v>
      </c>
      <c r="F5" s="657">
        <f t="shared" ref="F5" si="1">E5</f>
        <v>420</v>
      </c>
      <c r="G5" s="1537"/>
    </row>
    <row r="6" spans="1:7">
      <c r="A6" s="1532"/>
      <c r="B6" s="658"/>
      <c r="C6" s="658"/>
      <c r="D6" s="658"/>
      <c r="E6" s="657"/>
      <c r="F6" s="657"/>
      <c r="G6" s="1538"/>
    </row>
    <row r="7" spans="1:7">
      <c r="A7" s="1532">
        <v>3</v>
      </c>
      <c r="B7" s="658" t="s">
        <v>778</v>
      </c>
      <c r="C7" s="658" t="s">
        <v>3188</v>
      </c>
      <c r="D7" s="658" t="s">
        <v>3187</v>
      </c>
      <c r="E7" s="657">
        <v>350</v>
      </c>
      <c r="F7" s="657">
        <f t="shared" ref="F7" si="2">E7</f>
        <v>350</v>
      </c>
      <c r="G7" s="1537"/>
    </row>
    <row r="8" spans="1:7">
      <c r="A8" s="1532"/>
      <c r="B8" s="658"/>
      <c r="C8" s="658"/>
      <c r="D8" s="658"/>
      <c r="E8" s="657"/>
      <c r="F8" s="657"/>
      <c r="G8" s="1537"/>
    </row>
    <row r="9" spans="1:7">
      <c r="A9" s="1532">
        <v>4</v>
      </c>
      <c r="B9" s="658" t="s">
        <v>779</v>
      </c>
      <c r="C9" s="658" t="s">
        <v>3188</v>
      </c>
      <c r="D9" s="658" t="s">
        <v>117</v>
      </c>
      <c r="E9" s="657">
        <v>110</v>
      </c>
      <c r="F9" s="657">
        <f t="shared" ref="F9" si="3">E9</f>
        <v>110</v>
      </c>
      <c r="G9" s="1537"/>
    </row>
    <row r="10" spans="1:7">
      <c r="A10" s="1532"/>
      <c r="B10" s="658"/>
      <c r="C10" s="658"/>
      <c r="D10" s="658"/>
      <c r="E10" s="657"/>
      <c r="F10" s="657"/>
      <c r="G10" s="1538"/>
    </row>
    <row r="11" spans="1:7">
      <c r="A11" s="1532">
        <v>5</v>
      </c>
      <c r="B11" s="658" t="s">
        <v>3199</v>
      </c>
      <c r="C11" s="658" t="s">
        <v>3198</v>
      </c>
      <c r="D11" s="658" t="s">
        <v>239</v>
      </c>
      <c r="E11" s="657">
        <v>1400</v>
      </c>
      <c r="F11" s="657">
        <f t="shared" ref="F11" si="4">E11</f>
        <v>1400</v>
      </c>
      <c r="G11" s="807"/>
    </row>
    <row r="12" spans="1:7">
      <c r="A12" s="1532"/>
      <c r="B12" s="658"/>
      <c r="C12" s="658"/>
      <c r="D12" s="658"/>
      <c r="E12" s="657"/>
      <c r="F12" s="657"/>
      <c r="G12" s="1530"/>
    </row>
    <row r="13" spans="1:7">
      <c r="A13" s="1532">
        <v>6</v>
      </c>
      <c r="B13" s="658" t="s">
        <v>782</v>
      </c>
      <c r="C13" s="658" t="s">
        <v>3193</v>
      </c>
      <c r="D13" s="658" t="s">
        <v>2723</v>
      </c>
      <c r="E13" s="657">
        <v>190</v>
      </c>
      <c r="F13" s="657">
        <f t="shared" ref="F13" si="5">E13</f>
        <v>190</v>
      </c>
      <c r="G13" s="807"/>
    </row>
    <row r="14" spans="1:7">
      <c r="A14" s="1532"/>
      <c r="B14" s="658"/>
      <c r="C14" s="658"/>
      <c r="D14" s="658"/>
      <c r="E14" s="657"/>
      <c r="F14" s="657"/>
      <c r="G14" s="1530"/>
    </row>
    <row r="15" spans="1:7">
      <c r="A15" s="1532">
        <v>7</v>
      </c>
      <c r="B15" s="658" t="s">
        <v>799</v>
      </c>
      <c r="C15" s="658" t="s">
        <v>3193</v>
      </c>
      <c r="D15" s="658" t="s">
        <v>2723</v>
      </c>
      <c r="E15" s="657">
        <v>330</v>
      </c>
      <c r="F15" s="657">
        <f t="shared" ref="F15" si="6">E15</f>
        <v>330</v>
      </c>
      <c r="G15" s="807"/>
    </row>
    <row r="16" spans="1:7">
      <c r="A16" s="1532"/>
      <c r="B16" s="658"/>
      <c r="C16" s="658"/>
      <c r="D16" s="658"/>
      <c r="E16" s="657"/>
      <c r="F16" s="657"/>
      <c r="G16" s="1530"/>
    </row>
    <row r="17" spans="1:7">
      <c r="A17" s="1532">
        <v>8</v>
      </c>
      <c r="B17" s="658" t="s">
        <v>807</v>
      </c>
      <c r="C17" s="658" t="s">
        <v>3193</v>
      </c>
      <c r="D17" s="658" t="s">
        <v>3194</v>
      </c>
      <c r="E17" s="657">
        <v>300</v>
      </c>
      <c r="F17" s="657">
        <f t="shared" ref="F17" si="7">E17</f>
        <v>300</v>
      </c>
      <c r="G17" s="807"/>
    </row>
    <row r="18" spans="1:7">
      <c r="A18" s="1532"/>
      <c r="B18" s="658"/>
      <c r="C18" s="658"/>
      <c r="D18" s="658"/>
      <c r="E18" s="657"/>
      <c r="F18" s="657"/>
      <c r="G18" s="1530"/>
    </row>
    <row r="19" spans="1:7">
      <c r="A19" s="1532">
        <v>9</v>
      </c>
      <c r="B19" s="658" t="s">
        <v>810</v>
      </c>
      <c r="C19" s="658" t="s">
        <v>3193</v>
      </c>
      <c r="D19" s="658" t="s">
        <v>2547</v>
      </c>
      <c r="E19" s="657">
        <v>90</v>
      </c>
      <c r="F19" s="657">
        <f t="shared" ref="F19" si="8">E19</f>
        <v>90</v>
      </c>
      <c r="G19" s="807"/>
    </row>
    <row r="20" spans="1:7">
      <c r="A20" s="1532"/>
      <c r="B20" s="658"/>
      <c r="C20" s="658"/>
      <c r="D20" s="658"/>
      <c r="E20" s="657"/>
      <c r="F20" s="657"/>
      <c r="G20" s="1530"/>
    </row>
    <row r="21" spans="1:7">
      <c r="A21" s="1532">
        <v>10</v>
      </c>
      <c r="B21" s="658" t="s">
        <v>3202</v>
      </c>
      <c r="C21" s="658" t="s">
        <v>3200</v>
      </c>
      <c r="D21" s="658" t="s">
        <v>239</v>
      </c>
      <c r="E21" s="657">
        <v>45358</v>
      </c>
      <c r="F21" s="657">
        <v>1350</v>
      </c>
      <c r="G21" s="807">
        <v>2.9763000000000002</v>
      </c>
    </row>
    <row r="22" spans="1:7">
      <c r="A22" s="1532"/>
      <c r="B22" s="658"/>
      <c r="C22" s="658"/>
      <c r="D22" s="658"/>
      <c r="E22" s="657"/>
      <c r="F22" s="657"/>
      <c r="G22" s="1530"/>
    </row>
    <row r="23" spans="1:7">
      <c r="A23" s="1532">
        <v>11</v>
      </c>
      <c r="B23" s="658" t="s">
        <v>811</v>
      </c>
      <c r="C23" s="658" t="s">
        <v>3196</v>
      </c>
      <c r="D23" s="658" t="s">
        <v>117</v>
      </c>
      <c r="E23" s="657">
        <v>110</v>
      </c>
      <c r="F23" s="657">
        <f t="shared" ref="F23" si="9">E23</f>
        <v>110</v>
      </c>
      <c r="G23" s="807"/>
    </row>
    <row r="24" spans="1:7">
      <c r="A24" s="1532"/>
      <c r="B24" s="658"/>
      <c r="C24" s="658"/>
      <c r="D24" s="658"/>
      <c r="E24" s="657"/>
      <c r="F24" s="657"/>
      <c r="G24" s="1530"/>
    </row>
    <row r="25" spans="1:7">
      <c r="A25" s="1532">
        <v>12</v>
      </c>
      <c r="B25" s="658" t="s">
        <v>800</v>
      </c>
      <c r="C25" s="658" t="s">
        <v>3196</v>
      </c>
      <c r="D25" s="658" t="s">
        <v>2517</v>
      </c>
      <c r="E25" s="657">
        <v>150</v>
      </c>
      <c r="F25" s="657">
        <f t="shared" ref="F25" si="10">E25</f>
        <v>150</v>
      </c>
      <c r="G25" s="807"/>
    </row>
    <row r="26" spans="1:7">
      <c r="A26" s="1532"/>
      <c r="B26" s="658"/>
      <c r="C26" s="658"/>
      <c r="D26" s="658"/>
      <c r="E26" s="657"/>
      <c r="F26" s="657"/>
      <c r="G26" s="1530"/>
    </row>
    <row r="27" spans="1:7">
      <c r="A27" s="1532">
        <v>13</v>
      </c>
      <c r="B27" s="658" t="s">
        <v>812</v>
      </c>
      <c r="C27" s="658" t="s">
        <v>3196</v>
      </c>
      <c r="D27" s="658" t="s">
        <v>2547</v>
      </c>
      <c r="E27" s="657">
        <v>400</v>
      </c>
      <c r="F27" s="657">
        <f t="shared" ref="F27" si="11">E27</f>
        <v>400</v>
      </c>
      <c r="G27" s="807"/>
    </row>
    <row r="28" spans="1:7">
      <c r="A28" s="1532"/>
      <c r="B28" s="658"/>
      <c r="C28" s="658"/>
      <c r="D28" s="658"/>
      <c r="E28" s="657"/>
      <c r="F28" s="657"/>
      <c r="G28" s="1530"/>
    </row>
    <row r="29" spans="1:7">
      <c r="A29" s="1532">
        <v>14</v>
      </c>
      <c r="B29" s="658" t="s">
        <v>3201</v>
      </c>
      <c r="C29" s="658" t="s">
        <v>3200</v>
      </c>
      <c r="D29" s="658" t="s">
        <v>239</v>
      </c>
      <c r="E29" s="657">
        <v>1400</v>
      </c>
      <c r="F29" s="657">
        <v>1400</v>
      </c>
      <c r="G29" s="807"/>
    </row>
    <row r="30" spans="1:7">
      <c r="A30" s="1532"/>
      <c r="B30" s="658"/>
      <c r="C30" s="658"/>
      <c r="D30" s="658"/>
      <c r="E30" s="657"/>
      <c r="F30" s="657"/>
      <c r="G30" s="1530"/>
    </row>
    <row r="31" spans="1:7">
      <c r="A31" s="1532">
        <v>15</v>
      </c>
      <c r="B31" s="658" t="s">
        <v>820</v>
      </c>
      <c r="C31" s="658" t="s">
        <v>3196</v>
      </c>
      <c r="D31" s="658" t="s">
        <v>3187</v>
      </c>
      <c r="E31" s="657">
        <v>330</v>
      </c>
      <c r="F31" s="657">
        <f t="shared" ref="F31" si="12">E31</f>
        <v>330</v>
      </c>
      <c r="G31" s="807"/>
    </row>
    <row r="32" spans="1:7">
      <c r="A32" s="1532"/>
      <c r="B32" s="658"/>
      <c r="C32" s="658"/>
      <c r="D32" s="658"/>
      <c r="E32" s="657"/>
      <c r="F32" s="657"/>
      <c r="G32" s="1530"/>
    </row>
    <row r="33" spans="1:7">
      <c r="A33" s="1532">
        <v>16</v>
      </c>
      <c r="B33" s="658" t="s">
        <v>801</v>
      </c>
      <c r="C33" s="658" t="s">
        <v>3196</v>
      </c>
      <c r="D33" s="658" t="s">
        <v>2376</v>
      </c>
      <c r="E33" s="657">
        <v>100</v>
      </c>
      <c r="F33" s="657">
        <f t="shared" ref="F33" si="13">E33</f>
        <v>100</v>
      </c>
      <c r="G33" s="807"/>
    </row>
    <row r="34" spans="1:7">
      <c r="A34" s="1532"/>
      <c r="B34" s="658"/>
      <c r="C34" s="658"/>
      <c r="D34" s="658"/>
      <c r="E34" s="657"/>
      <c r="F34" s="657"/>
      <c r="G34" s="1530"/>
    </row>
    <row r="35" spans="1:7">
      <c r="A35" s="1532">
        <v>17</v>
      </c>
      <c r="B35" s="658" t="s">
        <v>813</v>
      </c>
      <c r="C35" s="658" t="s">
        <v>3196</v>
      </c>
      <c r="D35" s="658" t="s">
        <v>1601</v>
      </c>
      <c r="E35" s="657">
        <v>470</v>
      </c>
      <c r="F35" s="657">
        <f t="shared" ref="F35" si="14">E35</f>
        <v>470</v>
      </c>
      <c r="G35" s="807"/>
    </row>
    <row r="36" spans="1:7">
      <c r="A36" s="1532"/>
      <c r="B36" s="658"/>
      <c r="C36" s="658"/>
      <c r="D36" s="658"/>
      <c r="E36" s="657"/>
      <c r="F36" s="657"/>
      <c r="G36" s="1530"/>
    </row>
    <row r="37" spans="1:7">
      <c r="A37" s="1532">
        <v>18</v>
      </c>
      <c r="B37" s="658" t="s">
        <v>3209</v>
      </c>
      <c r="C37" s="658" t="s">
        <v>3196</v>
      </c>
      <c r="D37" s="658" t="s">
        <v>239</v>
      </c>
      <c r="E37" s="657">
        <v>44681</v>
      </c>
      <c r="F37" s="657">
        <v>1350</v>
      </c>
      <c r="G37" s="807">
        <v>3.0213999999999999</v>
      </c>
    </row>
    <row r="38" spans="1:7">
      <c r="A38" s="1532"/>
      <c r="B38" s="658"/>
      <c r="C38" s="658"/>
      <c r="D38" s="658"/>
      <c r="E38" s="657"/>
      <c r="F38" s="657"/>
      <c r="G38" s="1530"/>
    </row>
    <row r="39" spans="1:7">
      <c r="A39" s="1532">
        <v>19</v>
      </c>
      <c r="B39" s="658" t="s">
        <v>821</v>
      </c>
      <c r="C39" s="658" t="s">
        <v>3205</v>
      </c>
      <c r="D39" s="658" t="s">
        <v>2723</v>
      </c>
      <c r="E39" s="657">
        <v>450</v>
      </c>
      <c r="F39" s="657">
        <f t="shared" ref="F39" si="15">E39</f>
        <v>450</v>
      </c>
      <c r="G39" s="807"/>
    </row>
    <row r="40" spans="1:7">
      <c r="A40" s="1532"/>
      <c r="B40" s="658"/>
      <c r="C40" s="658"/>
      <c r="D40" s="658"/>
      <c r="E40" s="657"/>
      <c r="F40" s="657"/>
      <c r="G40" s="1530"/>
    </row>
    <row r="41" spans="1:7">
      <c r="A41" s="1532">
        <v>20</v>
      </c>
      <c r="B41" s="658" t="s">
        <v>824</v>
      </c>
      <c r="C41" s="658" t="s">
        <v>3205</v>
      </c>
      <c r="D41" s="658" t="s">
        <v>3203</v>
      </c>
      <c r="E41" s="657">
        <v>285</v>
      </c>
      <c r="F41" s="657">
        <f t="shared" ref="F41" si="16">E41</f>
        <v>285</v>
      </c>
      <c r="G41" s="807"/>
    </row>
    <row r="42" spans="1:7">
      <c r="A42" s="1532"/>
      <c r="B42" s="658"/>
      <c r="C42" s="658"/>
      <c r="D42" s="658"/>
      <c r="E42" s="657"/>
      <c r="F42" s="657"/>
      <c r="G42" s="1530"/>
    </row>
    <row r="43" spans="1:7">
      <c r="A43" s="1532">
        <v>21</v>
      </c>
      <c r="B43" s="658" t="s">
        <v>826</v>
      </c>
      <c r="C43" s="658" t="s">
        <v>3205</v>
      </c>
      <c r="D43" s="658" t="s">
        <v>3204</v>
      </c>
      <c r="E43" s="657">
        <v>370</v>
      </c>
      <c r="F43" s="657">
        <f t="shared" ref="F43" si="17">E43</f>
        <v>370</v>
      </c>
      <c r="G43" s="807"/>
    </row>
    <row r="44" spans="1:7">
      <c r="A44" s="1532"/>
      <c r="B44" s="658"/>
      <c r="C44" s="658"/>
      <c r="D44" s="658"/>
      <c r="E44" s="657"/>
      <c r="F44" s="657"/>
      <c r="G44" s="1530"/>
    </row>
    <row r="45" spans="1:7">
      <c r="A45" s="1532">
        <v>22</v>
      </c>
      <c r="B45" s="658" t="s">
        <v>3211</v>
      </c>
      <c r="C45" s="658" t="s">
        <v>3210</v>
      </c>
      <c r="D45" s="658" t="s">
        <v>239</v>
      </c>
      <c r="E45" s="657">
        <v>1350</v>
      </c>
      <c r="F45" s="657">
        <v>1350</v>
      </c>
      <c r="G45" s="807"/>
    </row>
    <row r="46" spans="1:7">
      <c r="A46" s="1532"/>
      <c r="B46" s="658"/>
      <c r="C46" s="658"/>
      <c r="D46" s="658"/>
      <c r="E46" s="657"/>
      <c r="F46" s="657"/>
      <c r="G46" s="1530"/>
    </row>
    <row r="47" spans="1:7">
      <c r="A47" s="1532">
        <v>23</v>
      </c>
      <c r="B47" s="658" t="s">
        <v>833</v>
      </c>
      <c r="C47" s="658" t="s">
        <v>3207</v>
      </c>
      <c r="D47" s="658" t="s">
        <v>2723</v>
      </c>
      <c r="E47" s="657">
        <v>380</v>
      </c>
      <c r="F47" s="657">
        <f t="shared" ref="F47" si="18">E47</f>
        <v>380</v>
      </c>
      <c r="G47" s="807"/>
    </row>
    <row r="48" spans="1:7">
      <c r="A48" s="1532"/>
      <c r="B48" s="658"/>
      <c r="C48" s="658"/>
      <c r="D48" s="658"/>
      <c r="E48" s="657"/>
      <c r="F48" s="657"/>
      <c r="G48" s="1530"/>
    </row>
    <row r="49" spans="1:7">
      <c r="A49" s="1532">
        <v>24</v>
      </c>
      <c r="B49" s="658" t="s">
        <v>841</v>
      </c>
      <c r="C49" s="658" t="s">
        <v>3207</v>
      </c>
      <c r="D49" s="658" t="s">
        <v>2190</v>
      </c>
      <c r="E49" s="657">
        <v>350</v>
      </c>
      <c r="F49" s="657">
        <f t="shared" ref="F49" si="19">E49</f>
        <v>350</v>
      </c>
      <c r="G49" s="807"/>
    </row>
    <row r="50" spans="1:7">
      <c r="A50" s="1532"/>
      <c r="B50" s="658"/>
      <c r="C50" s="658"/>
      <c r="D50" s="658"/>
      <c r="E50" s="657"/>
      <c r="F50" s="657"/>
      <c r="G50" s="1530"/>
    </row>
    <row r="51" spans="1:7">
      <c r="A51" s="1532">
        <v>25</v>
      </c>
      <c r="B51" s="658" t="s">
        <v>842</v>
      </c>
      <c r="C51" s="658" t="s">
        <v>3207</v>
      </c>
      <c r="D51" s="658" t="s">
        <v>3206</v>
      </c>
      <c r="E51" s="657">
        <v>400</v>
      </c>
      <c r="F51" s="657">
        <f t="shared" ref="F51" si="20">E51</f>
        <v>400</v>
      </c>
      <c r="G51" s="807"/>
    </row>
    <row r="52" spans="1:7">
      <c r="A52" s="1532"/>
      <c r="B52" s="658"/>
      <c r="C52" s="658"/>
      <c r="D52" s="658"/>
      <c r="E52" s="657"/>
      <c r="F52" s="657"/>
      <c r="G52" s="1530"/>
    </row>
    <row r="53" spans="1:7">
      <c r="A53" s="1532">
        <v>26</v>
      </c>
      <c r="B53" s="658" t="s">
        <v>3213</v>
      </c>
      <c r="C53" s="658" t="s">
        <v>3212</v>
      </c>
      <c r="D53" s="658" t="s">
        <v>239</v>
      </c>
      <c r="E53" s="657">
        <v>44499</v>
      </c>
      <c r="F53" s="657">
        <v>1350</v>
      </c>
      <c r="G53" s="807">
        <v>3.0337999999999998</v>
      </c>
    </row>
    <row r="54" spans="1:7">
      <c r="A54" s="1532"/>
      <c r="B54" s="658"/>
      <c r="C54" s="658"/>
      <c r="D54" s="658"/>
      <c r="E54" s="657"/>
      <c r="F54" s="657"/>
      <c r="G54" s="1530"/>
    </row>
    <row r="55" spans="1:7">
      <c r="A55" s="1532">
        <v>27</v>
      </c>
      <c r="B55" s="658" t="s">
        <v>1642</v>
      </c>
      <c r="C55" s="658" t="s">
        <v>3207</v>
      </c>
      <c r="D55" s="658" t="s">
        <v>3174</v>
      </c>
      <c r="E55" s="657">
        <v>400</v>
      </c>
      <c r="F55" s="657">
        <f t="shared" ref="F55" si="21">E55</f>
        <v>400</v>
      </c>
      <c r="G55" s="807"/>
    </row>
    <row r="56" spans="1:7">
      <c r="A56" s="1532"/>
      <c r="B56" s="658"/>
      <c r="C56" s="658"/>
      <c r="D56" s="658"/>
      <c r="E56" s="657"/>
      <c r="F56" s="657"/>
      <c r="G56" s="1530"/>
    </row>
    <row r="57" spans="1:7">
      <c r="A57" s="1532">
        <v>28</v>
      </c>
      <c r="B57" s="658" t="s">
        <v>843</v>
      </c>
      <c r="C57" s="658" t="s">
        <v>3207</v>
      </c>
      <c r="D57" s="658" t="s">
        <v>2375</v>
      </c>
      <c r="E57" s="657">
        <v>100</v>
      </c>
      <c r="F57" s="657">
        <f t="shared" ref="F57" si="22">E57</f>
        <v>100</v>
      </c>
      <c r="G57" s="807"/>
    </row>
    <row r="58" spans="1:7">
      <c r="A58" s="1532"/>
      <c r="B58" s="658"/>
      <c r="C58" s="658"/>
      <c r="D58" s="658"/>
      <c r="E58" s="657"/>
      <c r="F58" s="657"/>
      <c r="G58" s="1530"/>
    </row>
    <row r="59" spans="1:7">
      <c r="A59" s="1532">
        <v>29</v>
      </c>
      <c r="B59" s="658" t="s">
        <v>844</v>
      </c>
      <c r="C59" s="658" t="s">
        <v>3207</v>
      </c>
      <c r="D59" s="658" t="s">
        <v>2723</v>
      </c>
      <c r="E59" s="657">
        <v>400</v>
      </c>
      <c r="F59" s="657">
        <f t="shared" ref="F59" si="23">E59</f>
        <v>400</v>
      </c>
      <c r="G59" s="807"/>
    </row>
    <row r="60" spans="1:7">
      <c r="A60" s="1532"/>
      <c r="B60" s="658"/>
      <c r="C60" s="658"/>
      <c r="D60" s="658"/>
      <c r="E60" s="657"/>
      <c r="F60" s="657"/>
      <c r="G60" s="1530"/>
    </row>
    <row r="61" spans="1:7">
      <c r="A61" s="1532">
        <v>30</v>
      </c>
      <c r="B61" s="658" t="s">
        <v>3214</v>
      </c>
      <c r="C61" s="658" t="s">
        <v>3205</v>
      </c>
      <c r="D61" s="658" t="s">
        <v>239</v>
      </c>
      <c r="E61" s="657">
        <v>1350</v>
      </c>
      <c r="F61" s="657">
        <v>1350</v>
      </c>
      <c r="G61" s="807"/>
    </row>
    <row r="62" spans="1:7">
      <c r="A62" s="1532"/>
      <c r="B62" s="658"/>
      <c r="C62" s="658"/>
      <c r="D62" s="658"/>
      <c r="E62" s="657"/>
      <c r="F62" s="657"/>
      <c r="G62" s="1530"/>
    </row>
    <row r="63" spans="1:7">
      <c r="A63" s="1532">
        <v>31</v>
      </c>
      <c r="B63" s="658" t="s">
        <v>845</v>
      </c>
      <c r="C63" s="658" t="s">
        <v>3207</v>
      </c>
      <c r="D63" s="658" t="s">
        <v>117</v>
      </c>
      <c r="E63" s="657">
        <v>110</v>
      </c>
      <c r="F63" s="657">
        <f t="shared" ref="F63" si="24">E63</f>
        <v>110</v>
      </c>
      <c r="G63" s="807"/>
    </row>
    <row r="64" spans="1:7">
      <c r="A64" s="1532"/>
      <c r="B64" s="658"/>
      <c r="C64" s="658"/>
      <c r="D64" s="658"/>
      <c r="E64" s="657"/>
      <c r="F64" s="657"/>
      <c r="G64" s="1530"/>
    </row>
    <row r="65" spans="1:7">
      <c r="A65" s="1532">
        <v>32</v>
      </c>
      <c r="B65" s="658" t="s">
        <v>851</v>
      </c>
      <c r="C65" s="658" t="s">
        <v>3207</v>
      </c>
      <c r="D65" s="658" t="s">
        <v>1601</v>
      </c>
      <c r="E65" s="657">
        <v>900</v>
      </c>
      <c r="F65" s="657">
        <f t="shared" ref="F65" si="25">E65</f>
        <v>900</v>
      </c>
      <c r="G65" s="807"/>
    </row>
    <row r="66" spans="1:7">
      <c r="A66" s="1532"/>
      <c r="B66" s="658"/>
      <c r="C66" s="658"/>
      <c r="D66" s="658"/>
      <c r="E66" s="657"/>
      <c r="F66" s="657"/>
      <c r="G66" s="1530"/>
    </row>
    <row r="67" spans="1:7">
      <c r="A67" s="1532">
        <v>33</v>
      </c>
      <c r="B67" s="658" t="s">
        <v>3220</v>
      </c>
      <c r="C67" s="658" t="s">
        <v>3207</v>
      </c>
      <c r="D67" s="658" t="s">
        <v>239</v>
      </c>
      <c r="E67" s="657">
        <v>44560</v>
      </c>
      <c r="F67" s="657">
        <v>1350</v>
      </c>
      <c r="G67" s="807">
        <v>3.0295999999999998</v>
      </c>
    </row>
    <row r="68" spans="1:7">
      <c r="A68" s="1532"/>
      <c r="B68" s="658"/>
      <c r="C68" s="658"/>
      <c r="D68" s="658"/>
      <c r="E68" s="657"/>
      <c r="F68" s="657"/>
      <c r="G68" s="1530"/>
    </row>
    <row r="69" spans="1:7">
      <c r="A69" s="1532">
        <v>34</v>
      </c>
      <c r="B69" s="658" t="s">
        <v>855</v>
      </c>
      <c r="C69" s="658" t="s">
        <v>3215</v>
      </c>
      <c r="D69" s="658" t="s">
        <v>1140</v>
      </c>
      <c r="E69" s="657">
        <v>400</v>
      </c>
      <c r="F69" s="657">
        <v>400</v>
      </c>
      <c r="G69" s="807"/>
    </row>
    <row r="70" spans="1:7">
      <c r="A70" s="1532"/>
      <c r="B70" s="658"/>
      <c r="C70" s="658"/>
      <c r="D70" s="658"/>
      <c r="E70" s="657"/>
      <c r="F70" s="657"/>
      <c r="G70" s="1530"/>
    </row>
    <row r="71" spans="1:7">
      <c r="A71" s="1532">
        <v>35</v>
      </c>
      <c r="B71" s="658" t="s">
        <v>867</v>
      </c>
      <c r="C71" s="658" t="s">
        <v>3215</v>
      </c>
      <c r="D71" s="658" t="s">
        <v>3216</v>
      </c>
      <c r="E71" s="657">
        <v>360</v>
      </c>
      <c r="F71" s="657">
        <f t="shared" ref="F71" si="26">E71</f>
        <v>360</v>
      </c>
      <c r="G71" s="807"/>
    </row>
    <row r="72" spans="1:7">
      <c r="A72" s="1532"/>
      <c r="B72" s="658"/>
      <c r="C72" s="658"/>
      <c r="D72" s="658"/>
      <c r="E72" s="657"/>
      <c r="F72" s="657"/>
      <c r="G72" s="1530"/>
    </row>
    <row r="73" spans="1:7">
      <c r="A73" s="1532">
        <v>36</v>
      </c>
      <c r="B73" s="658" t="s">
        <v>868</v>
      </c>
      <c r="C73" s="658" t="s">
        <v>3215</v>
      </c>
      <c r="D73" s="658" t="s">
        <v>1144</v>
      </c>
      <c r="E73" s="657">
        <v>280</v>
      </c>
      <c r="F73" s="657">
        <f t="shared" ref="F73" si="27">E73</f>
        <v>280</v>
      </c>
      <c r="G73" s="807"/>
    </row>
    <row r="74" spans="1:7">
      <c r="A74" s="1532"/>
      <c r="B74" s="658"/>
      <c r="C74" s="658"/>
      <c r="D74" s="658"/>
      <c r="E74" s="657"/>
      <c r="F74" s="657"/>
      <c r="G74" s="1530"/>
    </row>
    <row r="75" spans="1:7">
      <c r="A75" s="1532">
        <v>37</v>
      </c>
      <c r="B75" s="658" t="s">
        <v>3222</v>
      </c>
      <c r="C75" s="658" t="s">
        <v>3221</v>
      </c>
      <c r="D75" s="658" t="s">
        <v>239</v>
      </c>
      <c r="E75" s="657">
        <v>1350</v>
      </c>
      <c r="F75" s="657">
        <f t="shared" ref="F75" si="28">E75</f>
        <v>1350</v>
      </c>
      <c r="G75" s="807"/>
    </row>
    <row r="76" spans="1:7">
      <c r="A76" s="1532"/>
      <c r="B76" s="658"/>
      <c r="C76" s="658"/>
      <c r="D76" s="658"/>
      <c r="E76" s="657"/>
      <c r="F76" s="657"/>
      <c r="G76" s="1530"/>
    </row>
    <row r="77" spans="1:7">
      <c r="A77" s="1532">
        <v>38</v>
      </c>
      <c r="B77" s="658" t="s">
        <v>877</v>
      </c>
      <c r="C77" s="658" t="s">
        <v>3219</v>
      </c>
      <c r="D77" s="658" t="s">
        <v>3217</v>
      </c>
      <c r="E77" s="657">
        <v>300</v>
      </c>
      <c r="F77" s="657">
        <f t="shared" ref="F77" si="29">E77</f>
        <v>300</v>
      </c>
      <c r="G77" s="807"/>
    </row>
    <row r="78" spans="1:7">
      <c r="A78" s="1532"/>
      <c r="B78" s="658"/>
      <c r="C78" s="658"/>
      <c r="D78" s="658"/>
      <c r="E78" s="657"/>
      <c r="F78" s="657"/>
      <c r="G78" s="1530"/>
    </row>
    <row r="79" spans="1:7">
      <c r="A79" s="1532">
        <v>39</v>
      </c>
      <c r="B79" s="658" t="s">
        <v>878</v>
      </c>
      <c r="C79" s="658" t="s">
        <v>3219</v>
      </c>
      <c r="D79" s="658" t="s">
        <v>2723</v>
      </c>
      <c r="E79" s="657">
        <v>550</v>
      </c>
      <c r="F79" s="657">
        <f t="shared" ref="F79" si="30">E79</f>
        <v>550</v>
      </c>
      <c r="G79" s="807"/>
    </row>
    <row r="80" spans="1:7">
      <c r="A80" s="1532"/>
      <c r="B80" s="658"/>
      <c r="C80" s="658"/>
      <c r="D80" s="658"/>
      <c r="E80" s="657"/>
      <c r="F80" s="657"/>
      <c r="G80" s="1530"/>
    </row>
    <row r="81" spans="1:7">
      <c r="A81" s="1532">
        <v>40</v>
      </c>
      <c r="B81" s="658" t="s">
        <v>879</v>
      </c>
      <c r="C81" s="658" t="s">
        <v>3219</v>
      </c>
      <c r="D81" s="658" t="s">
        <v>117</v>
      </c>
      <c r="E81" s="657">
        <v>110</v>
      </c>
      <c r="F81" s="657">
        <f t="shared" ref="F81" si="31">E81</f>
        <v>110</v>
      </c>
      <c r="G81" s="807"/>
    </row>
    <row r="82" spans="1:7">
      <c r="A82" s="1532"/>
      <c r="B82" s="658"/>
      <c r="C82" s="658"/>
      <c r="D82" s="658"/>
      <c r="E82" s="657"/>
      <c r="F82" s="657"/>
      <c r="G82" s="1530"/>
    </row>
    <row r="83" spans="1:7">
      <c r="A83" s="1532">
        <v>41</v>
      </c>
      <c r="B83" s="658" t="s">
        <v>3223</v>
      </c>
      <c r="C83" s="658" t="s">
        <v>3221</v>
      </c>
      <c r="D83" s="658" t="s">
        <v>239</v>
      </c>
      <c r="E83" s="657">
        <v>44515</v>
      </c>
      <c r="F83" s="657">
        <v>1350</v>
      </c>
      <c r="G83" s="807">
        <v>3.0327000000000002</v>
      </c>
    </row>
    <row r="84" spans="1:7">
      <c r="A84" s="1532"/>
      <c r="B84" s="658"/>
      <c r="C84" s="658"/>
      <c r="D84" s="658"/>
      <c r="E84" s="657"/>
      <c r="F84" s="657"/>
      <c r="G84" s="1530"/>
    </row>
    <row r="85" spans="1:7">
      <c r="A85" s="1532">
        <v>42</v>
      </c>
      <c r="B85" s="658" t="s">
        <v>884</v>
      </c>
      <c r="C85" s="658" t="s">
        <v>3219</v>
      </c>
      <c r="D85" s="658" t="s">
        <v>3218</v>
      </c>
      <c r="E85" s="657">
        <v>500</v>
      </c>
      <c r="F85" s="657">
        <f t="shared" ref="F85" si="32">E85</f>
        <v>500</v>
      </c>
      <c r="G85" s="807"/>
    </row>
    <row r="86" spans="1:7">
      <c r="A86" s="1532"/>
      <c r="B86" s="658"/>
      <c r="C86" s="658"/>
      <c r="D86" s="658"/>
      <c r="E86" s="657"/>
      <c r="F86" s="657"/>
      <c r="G86" s="1530"/>
    </row>
    <row r="87" spans="1:7">
      <c r="A87" s="1532">
        <v>43</v>
      </c>
      <c r="B87" s="658" t="s">
        <v>885</v>
      </c>
      <c r="C87" s="658" t="s">
        <v>3219</v>
      </c>
      <c r="D87" s="658" t="s">
        <v>2723</v>
      </c>
      <c r="E87" s="657">
        <v>370</v>
      </c>
      <c r="F87" s="657">
        <f t="shared" ref="F87" si="33">E87</f>
        <v>370</v>
      </c>
      <c r="G87" s="807"/>
    </row>
    <row r="88" spans="1:7">
      <c r="A88" s="1532"/>
      <c r="B88" s="658"/>
      <c r="C88" s="658"/>
      <c r="D88" s="658"/>
      <c r="E88" s="657"/>
      <c r="F88" s="657"/>
      <c r="G88" s="1530"/>
    </row>
    <row r="89" spans="1:7">
      <c r="A89" s="1532">
        <v>44</v>
      </c>
      <c r="B89" s="658" t="s">
        <v>3224</v>
      </c>
      <c r="C89" s="658" t="s">
        <v>3215</v>
      </c>
      <c r="D89" s="658" t="s">
        <v>239</v>
      </c>
      <c r="E89" s="657">
        <v>1350</v>
      </c>
      <c r="F89" s="657">
        <f t="shared" ref="F89" si="34">E89</f>
        <v>1350</v>
      </c>
      <c r="G89" s="807"/>
    </row>
    <row r="90" spans="1:7">
      <c r="A90" s="1532"/>
      <c r="B90" s="658"/>
      <c r="C90" s="658"/>
      <c r="D90" s="658"/>
      <c r="E90" s="657"/>
      <c r="F90" s="657"/>
      <c r="G90" s="1530"/>
    </row>
    <row r="91" spans="1:7">
      <c r="A91" s="1532">
        <v>45</v>
      </c>
      <c r="B91" s="658" t="s">
        <v>886</v>
      </c>
      <c r="C91" s="658" t="s">
        <v>3219</v>
      </c>
      <c r="D91" s="658" t="s">
        <v>1144</v>
      </c>
      <c r="E91" s="657">
        <v>680</v>
      </c>
      <c r="F91" s="657">
        <f t="shared" ref="F91" si="35">E91</f>
        <v>680</v>
      </c>
      <c r="G91" s="807"/>
    </row>
    <row r="92" spans="1:7">
      <c r="A92" s="1532"/>
      <c r="B92" s="658"/>
      <c r="C92" s="658"/>
      <c r="D92" s="658"/>
      <c r="E92" s="657"/>
      <c r="F92" s="657"/>
      <c r="G92" s="1530"/>
    </row>
    <row r="93" spans="1:7">
      <c r="A93" s="1532">
        <v>46</v>
      </c>
      <c r="B93" s="658" t="s">
        <v>893</v>
      </c>
      <c r="C93" s="658" t="s">
        <v>3219</v>
      </c>
      <c r="D93" s="658" t="s">
        <v>2892</v>
      </c>
      <c r="E93" s="657">
        <v>180</v>
      </c>
      <c r="F93" s="657">
        <f t="shared" ref="F93" si="36">E93</f>
        <v>180</v>
      </c>
      <c r="G93" s="807"/>
    </row>
    <row r="94" spans="1:7">
      <c r="A94" s="1532"/>
      <c r="B94" s="658"/>
      <c r="C94" s="658"/>
      <c r="D94" s="658"/>
      <c r="E94" s="657"/>
      <c r="F94" s="657"/>
      <c r="G94" s="1530"/>
    </row>
    <row r="95" spans="1:7">
      <c r="A95" s="1532">
        <v>47</v>
      </c>
      <c r="B95" s="658" t="s">
        <v>896</v>
      </c>
      <c r="C95" s="658" t="s">
        <v>3219</v>
      </c>
      <c r="D95" s="658" t="s">
        <v>2892</v>
      </c>
      <c r="E95" s="657">
        <v>80</v>
      </c>
      <c r="F95" s="657">
        <f t="shared" ref="F95" si="37">E95</f>
        <v>80</v>
      </c>
      <c r="G95" s="807"/>
    </row>
    <row r="96" spans="1:7">
      <c r="A96" s="1532"/>
      <c r="B96" s="658"/>
      <c r="C96" s="658"/>
      <c r="D96" s="658"/>
      <c r="E96" s="657"/>
      <c r="F96" s="657"/>
      <c r="G96" s="1530"/>
    </row>
    <row r="97" spans="1:7">
      <c r="A97" s="1532">
        <v>48</v>
      </c>
      <c r="B97" s="658" t="s">
        <v>3232</v>
      </c>
      <c r="C97" s="658" t="s">
        <v>3219</v>
      </c>
      <c r="D97" s="658" t="s">
        <v>239</v>
      </c>
      <c r="E97" s="657">
        <v>1350</v>
      </c>
      <c r="F97" s="657">
        <f t="shared" ref="F97" si="38">E97</f>
        <v>1350</v>
      </c>
      <c r="G97" s="807"/>
    </row>
    <row r="98" spans="1:7">
      <c r="A98" s="1532"/>
      <c r="B98" s="658"/>
      <c r="C98" s="658"/>
      <c r="D98" s="658"/>
      <c r="E98" s="657"/>
      <c r="F98" s="657"/>
      <c r="G98" s="1530"/>
    </row>
    <row r="99" spans="1:7">
      <c r="A99" s="1532">
        <v>49</v>
      </c>
      <c r="B99" s="658" t="s">
        <v>910</v>
      </c>
      <c r="C99" s="658" t="s">
        <v>3227</v>
      </c>
      <c r="D99" s="658" t="s">
        <v>3226</v>
      </c>
      <c r="E99" s="657">
        <v>350</v>
      </c>
      <c r="F99" s="657">
        <f t="shared" ref="F99" si="39">E99</f>
        <v>350</v>
      </c>
      <c r="G99" s="807"/>
    </row>
    <row r="100" spans="1:7">
      <c r="A100" s="1532"/>
      <c r="B100" s="658"/>
      <c r="C100" s="658"/>
      <c r="D100" s="658"/>
      <c r="E100" s="657"/>
      <c r="F100" s="657"/>
      <c r="G100" s="1530"/>
    </row>
    <row r="101" spans="1:7">
      <c r="A101" s="1532">
        <v>50</v>
      </c>
      <c r="B101" s="658" t="s">
        <v>913</v>
      </c>
      <c r="C101" s="658" t="s">
        <v>3227</v>
      </c>
      <c r="D101" s="658" t="s">
        <v>3084</v>
      </c>
      <c r="E101" s="657">
        <v>380</v>
      </c>
      <c r="F101" s="657">
        <f t="shared" ref="F101" si="40">E101</f>
        <v>380</v>
      </c>
      <c r="G101" s="807"/>
    </row>
    <row r="102" spans="1:7">
      <c r="A102" s="1532"/>
      <c r="B102" s="658"/>
      <c r="C102" s="658"/>
      <c r="D102" s="658"/>
      <c r="E102" s="657"/>
      <c r="F102" s="657"/>
      <c r="G102" s="1530"/>
    </row>
    <row r="103" spans="1:7">
      <c r="A103" s="1532">
        <v>51</v>
      </c>
      <c r="B103" s="658" t="s">
        <v>914</v>
      </c>
      <c r="C103" s="658" t="s">
        <v>3227</v>
      </c>
      <c r="D103" s="658" t="s">
        <v>3064</v>
      </c>
      <c r="E103" s="657">
        <v>400</v>
      </c>
      <c r="F103" s="657">
        <f t="shared" ref="F103" si="41">E103</f>
        <v>400</v>
      </c>
      <c r="G103" s="807"/>
    </row>
    <row r="104" spans="1:7">
      <c r="A104" s="1532"/>
      <c r="B104" s="658"/>
      <c r="C104" s="658"/>
      <c r="D104" s="658"/>
      <c r="E104" s="657"/>
      <c r="F104" s="657"/>
      <c r="G104" s="1530"/>
    </row>
    <row r="105" spans="1:7">
      <c r="A105" s="1532">
        <v>52</v>
      </c>
      <c r="B105" s="658" t="s">
        <v>918</v>
      </c>
      <c r="C105" s="658" t="s">
        <v>3227</v>
      </c>
      <c r="D105" s="658" t="s">
        <v>2508</v>
      </c>
      <c r="E105" s="657">
        <v>140</v>
      </c>
      <c r="F105" s="657">
        <f t="shared" ref="F105" si="42">E105</f>
        <v>140</v>
      </c>
      <c r="G105" s="807"/>
    </row>
    <row r="106" spans="1:7">
      <c r="A106" s="1532"/>
      <c r="B106" s="658"/>
      <c r="C106" s="658"/>
      <c r="D106" s="658"/>
      <c r="E106" s="657"/>
      <c r="F106" s="657"/>
      <c r="G106" s="1530"/>
    </row>
    <row r="107" spans="1:7">
      <c r="A107" s="1532">
        <v>53</v>
      </c>
      <c r="B107" s="658" t="s">
        <v>3234</v>
      </c>
      <c r="C107" s="658" t="s">
        <v>3233</v>
      </c>
      <c r="D107" s="658" t="s">
        <v>239</v>
      </c>
      <c r="E107" s="657">
        <v>46580</v>
      </c>
      <c r="F107" s="657">
        <v>1400</v>
      </c>
      <c r="G107" s="807">
        <v>3.0055999999999998</v>
      </c>
    </row>
    <row r="108" spans="1:7">
      <c r="A108" s="1532"/>
      <c r="B108" s="658"/>
      <c r="C108" s="658"/>
      <c r="D108" s="658"/>
      <c r="E108" s="657"/>
      <c r="F108" s="657"/>
      <c r="G108" s="1530"/>
    </row>
    <row r="109" spans="1:7">
      <c r="A109" s="1532">
        <v>54</v>
      </c>
      <c r="B109" s="658" t="s">
        <v>921</v>
      </c>
      <c r="C109" s="658" t="s">
        <v>3228</v>
      </c>
      <c r="D109" s="658" t="s">
        <v>2376</v>
      </c>
      <c r="E109" s="657">
        <v>60</v>
      </c>
      <c r="F109" s="657">
        <f t="shared" ref="F109" si="43">E109</f>
        <v>60</v>
      </c>
      <c r="G109" s="807"/>
    </row>
    <row r="110" spans="1:7">
      <c r="A110" s="1532"/>
      <c r="B110" s="658"/>
      <c r="C110" s="658"/>
      <c r="D110" s="658"/>
      <c r="E110" s="657"/>
      <c r="F110" s="657"/>
      <c r="G110" s="1530"/>
    </row>
    <row r="111" spans="1:7">
      <c r="A111" s="1532">
        <v>55</v>
      </c>
      <c r="B111" s="658" t="s">
        <v>922</v>
      </c>
      <c r="C111" s="658" t="s">
        <v>3228</v>
      </c>
      <c r="D111" s="658" t="s">
        <v>117</v>
      </c>
      <c r="E111" s="657">
        <v>110</v>
      </c>
      <c r="F111" s="657">
        <f t="shared" ref="F111" si="44">E111</f>
        <v>110</v>
      </c>
      <c r="G111" s="807"/>
    </row>
    <row r="112" spans="1:7">
      <c r="A112" s="1532"/>
      <c r="B112" s="658"/>
      <c r="C112" s="658"/>
      <c r="D112" s="658"/>
      <c r="E112" s="657"/>
      <c r="F112" s="657"/>
      <c r="G112" s="1530"/>
    </row>
    <row r="113" spans="1:7">
      <c r="A113" s="1532">
        <v>56</v>
      </c>
      <c r="B113" s="658" t="s">
        <v>927</v>
      </c>
      <c r="C113" s="658" t="s">
        <v>3231</v>
      </c>
      <c r="D113" s="658" t="s">
        <v>2348</v>
      </c>
      <c r="E113" s="657">
        <v>50</v>
      </c>
      <c r="F113" s="657">
        <f t="shared" ref="F113" si="45">E113</f>
        <v>50</v>
      </c>
      <c r="G113" s="807"/>
    </row>
    <row r="114" spans="1:7">
      <c r="A114" s="1532"/>
      <c r="B114" s="658"/>
      <c r="C114" s="658"/>
      <c r="D114" s="658"/>
      <c r="E114" s="657"/>
      <c r="F114" s="657"/>
      <c r="G114" s="1530"/>
    </row>
    <row r="115" spans="1:7">
      <c r="A115" s="1532">
        <v>57</v>
      </c>
      <c r="B115" s="658" t="s">
        <v>3236</v>
      </c>
      <c r="C115" s="658" t="s">
        <v>3235</v>
      </c>
      <c r="D115" s="658" t="s">
        <v>239</v>
      </c>
      <c r="E115" s="657">
        <v>1350</v>
      </c>
      <c r="F115" s="657">
        <f t="shared" ref="F115" si="46">E115</f>
        <v>1350</v>
      </c>
      <c r="G115" s="807"/>
    </row>
    <row r="116" spans="1:7">
      <c r="A116" s="1532"/>
      <c r="B116" s="658"/>
      <c r="C116" s="658"/>
      <c r="D116" s="658"/>
      <c r="E116" s="657"/>
      <c r="F116" s="657"/>
      <c r="G116" s="1530"/>
    </row>
    <row r="117" spans="1:7">
      <c r="A117" s="1532">
        <v>58</v>
      </c>
      <c r="B117" s="658" t="s">
        <v>903</v>
      </c>
      <c r="C117" s="658" t="s">
        <v>3228</v>
      </c>
      <c r="D117" s="658" t="s">
        <v>1601</v>
      </c>
      <c r="E117" s="657">
        <v>1450</v>
      </c>
      <c r="F117" s="657">
        <f t="shared" ref="F117" si="47">E117</f>
        <v>1450</v>
      </c>
      <c r="G117" s="807"/>
    </row>
    <row r="118" spans="1:7">
      <c r="A118" s="1532"/>
      <c r="B118" s="658"/>
      <c r="C118" s="658"/>
      <c r="D118" s="658"/>
      <c r="E118" s="657"/>
      <c r="F118" s="657"/>
      <c r="G118" s="1530"/>
    </row>
    <row r="119" spans="1:7">
      <c r="A119" s="1532">
        <v>59</v>
      </c>
      <c r="B119" s="658" t="s">
        <v>3241</v>
      </c>
      <c r="C119" s="658" t="s">
        <v>3228</v>
      </c>
      <c r="D119" s="658" t="s">
        <v>239</v>
      </c>
      <c r="E119" s="657">
        <v>1350</v>
      </c>
      <c r="F119" s="657">
        <f t="shared" ref="F119" si="48">E119</f>
        <v>1350</v>
      </c>
      <c r="G119" s="807"/>
    </row>
    <row r="120" spans="1:7">
      <c r="A120" s="1532"/>
      <c r="B120" s="658"/>
      <c r="C120" s="658"/>
      <c r="D120" s="658"/>
      <c r="E120" s="657"/>
      <c r="F120" s="657"/>
      <c r="G120" s="1530"/>
    </row>
    <row r="121" spans="1:7">
      <c r="A121" s="1532">
        <v>60</v>
      </c>
      <c r="B121" s="658" t="s">
        <v>3242</v>
      </c>
      <c r="C121" s="658" t="s">
        <v>3228</v>
      </c>
      <c r="D121" s="658" t="s">
        <v>239</v>
      </c>
      <c r="E121" s="657">
        <v>46425</v>
      </c>
      <c r="F121" s="657">
        <v>1400</v>
      </c>
      <c r="G121" s="807">
        <v>3.0156000000000001</v>
      </c>
    </row>
    <row r="122" spans="1:7">
      <c r="A122" s="1532"/>
      <c r="B122" s="658"/>
      <c r="C122" s="658"/>
      <c r="D122" s="658"/>
      <c r="E122" s="657"/>
      <c r="F122" s="657"/>
      <c r="G122" s="1530"/>
    </row>
    <row r="123" spans="1:7">
      <c r="A123" s="1532">
        <v>61</v>
      </c>
      <c r="B123" s="658" t="s">
        <v>3244</v>
      </c>
      <c r="C123" s="658" t="s">
        <v>3243</v>
      </c>
      <c r="D123" s="658" t="s">
        <v>239</v>
      </c>
      <c r="E123" s="657">
        <v>1350</v>
      </c>
      <c r="F123" s="657">
        <f t="shared" ref="F123" si="49">E123</f>
        <v>1350</v>
      </c>
      <c r="G123" s="807"/>
    </row>
    <row r="124" spans="1:7">
      <c r="A124" s="1532"/>
      <c r="B124" s="658"/>
      <c r="C124" s="658"/>
      <c r="D124" s="658"/>
      <c r="E124" s="657"/>
      <c r="F124" s="657"/>
      <c r="G124" s="1530"/>
    </row>
    <row r="125" spans="1:7">
      <c r="A125" s="1532">
        <v>62</v>
      </c>
      <c r="B125" s="658" t="s">
        <v>3245</v>
      </c>
      <c r="C125" s="658" t="s">
        <v>2496</v>
      </c>
      <c r="D125" s="658" t="s">
        <v>239</v>
      </c>
      <c r="E125" s="657">
        <v>44770</v>
      </c>
      <c r="F125" s="657">
        <v>1350</v>
      </c>
      <c r="G125" s="807">
        <v>3.0154000000000001</v>
      </c>
    </row>
    <row r="126" spans="1:7">
      <c r="A126" s="1532"/>
      <c r="B126" s="658"/>
      <c r="C126" s="658"/>
      <c r="D126" s="658"/>
      <c r="E126" s="657"/>
      <c r="F126" s="657"/>
      <c r="G126" s="1530"/>
    </row>
    <row r="127" spans="1:7">
      <c r="A127" s="1532"/>
      <c r="B127" s="658"/>
      <c r="C127" s="658"/>
      <c r="D127" s="658"/>
      <c r="E127" s="657"/>
      <c r="F127" s="657"/>
      <c r="G127" s="807"/>
    </row>
    <row r="128" spans="1:7">
      <c r="A128" s="1532"/>
      <c r="B128" s="658"/>
      <c r="C128" s="658"/>
      <c r="D128" s="658"/>
      <c r="E128" s="657"/>
      <c r="F128" s="657"/>
      <c r="G128" s="1530"/>
    </row>
  </sheetData>
  <mergeCells count="442">
    <mergeCell ref="G125:G126"/>
    <mergeCell ref="A127:A128"/>
    <mergeCell ref="B127:B128"/>
    <mergeCell ref="C127:C128"/>
    <mergeCell ref="D127:D128"/>
    <mergeCell ref="E127:E128"/>
    <mergeCell ref="F127:F128"/>
    <mergeCell ref="G127:G128"/>
    <mergeCell ref="A125:A126"/>
    <mergeCell ref="B125:B126"/>
    <mergeCell ref="C125:C126"/>
    <mergeCell ref="D125:D126"/>
    <mergeCell ref="E125:E126"/>
    <mergeCell ref="F125:F126"/>
    <mergeCell ref="G121:G122"/>
    <mergeCell ref="A123:A124"/>
    <mergeCell ref="B123:B124"/>
    <mergeCell ref="C123:C124"/>
    <mergeCell ref="D123:D124"/>
    <mergeCell ref="E123:E124"/>
    <mergeCell ref="F123:F124"/>
    <mergeCell ref="G123:G124"/>
    <mergeCell ref="A121:A122"/>
    <mergeCell ref="B121:B122"/>
    <mergeCell ref="C121:C122"/>
    <mergeCell ref="D121:D122"/>
    <mergeCell ref="E121:E122"/>
    <mergeCell ref="F121:F122"/>
    <mergeCell ref="G117:G118"/>
    <mergeCell ref="A119:A120"/>
    <mergeCell ref="B119:B120"/>
    <mergeCell ref="C119:C120"/>
    <mergeCell ref="D119:D120"/>
    <mergeCell ref="E119:E120"/>
    <mergeCell ref="F119:F120"/>
    <mergeCell ref="G119:G120"/>
    <mergeCell ref="A117:A118"/>
    <mergeCell ref="B117:B118"/>
    <mergeCell ref="C117:C118"/>
    <mergeCell ref="D117:D118"/>
    <mergeCell ref="E117:E118"/>
    <mergeCell ref="F117:F118"/>
    <mergeCell ref="G113:G114"/>
    <mergeCell ref="A115:A116"/>
    <mergeCell ref="B115:B116"/>
    <mergeCell ref="C115:C116"/>
    <mergeCell ref="D115:D116"/>
    <mergeCell ref="E115:E116"/>
    <mergeCell ref="F115:F116"/>
    <mergeCell ref="G115:G116"/>
    <mergeCell ref="A113:A114"/>
    <mergeCell ref="B113:B114"/>
    <mergeCell ref="C113:C114"/>
    <mergeCell ref="D113:D114"/>
    <mergeCell ref="E113:E114"/>
    <mergeCell ref="F113:F114"/>
    <mergeCell ref="G109:G110"/>
    <mergeCell ref="A111:A112"/>
    <mergeCell ref="B111:B112"/>
    <mergeCell ref="C111:C112"/>
    <mergeCell ref="D111:D112"/>
    <mergeCell ref="E111:E112"/>
    <mergeCell ref="F111:F112"/>
    <mergeCell ref="G111:G112"/>
    <mergeCell ref="A109:A110"/>
    <mergeCell ref="B109:B110"/>
    <mergeCell ref="C109:C110"/>
    <mergeCell ref="D109:D110"/>
    <mergeCell ref="E109:E110"/>
    <mergeCell ref="F109:F110"/>
    <mergeCell ref="G105:G106"/>
    <mergeCell ref="A107:A108"/>
    <mergeCell ref="B107:B108"/>
    <mergeCell ref="C107:C108"/>
    <mergeCell ref="D107:D108"/>
    <mergeCell ref="E107:E108"/>
    <mergeCell ref="F107:F108"/>
    <mergeCell ref="G107:G108"/>
    <mergeCell ref="A105:A106"/>
    <mergeCell ref="B105:B106"/>
    <mergeCell ref="C105:C106"/>
    <mergeCell ref="D105:D106"/>
    <mergeCell ref="E105:E106"/>
    <mergeCell ref="F105:F106"/>
    <mergeCell ref="G101:G102"/>
    <mergeCell ref="A103:A104"/>
    <mergeCell ref="B103:B104"/>
    <mergeCell ref="C103:C104"/>
    <mergeCell ref="D103:D104"/>
    <mergeCell ref="E103:E104"/>
    <mergeCell ref="F103:F104"/>
    <mergeCell ref="G103:G104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topLeftCell="A73" workbookViewId="0">
      <selection sqref="A1:G102"/>
    </sheetView>
  </sheetViews>
  <sheetFormatPr defaultRowHeight="12.75"/>
  <cols>
    <col min="2" max="2" width="18" customWidth="1"/>
    <col min="3" max="3" width="14" customWidth="1"/>
    <col min="4" max="4" width="26" customWidth="1"/>
  </cols>
  <sheetData>
    <row r="1" spans="1:7" ht="12.75" customHeight="1">
      <c r="A1" s="575" t="s">
        <v>2925</v>
      </c>
      <c r="B1" s="575"/>
      <c r="C1" s="575"/>
      <c r="D1" s="575"/>
      <c r="E1" s="575"/>
      <c r="F1" s="575"/>
      <c r="G1" s="577">
        <f>SUM(F3:F102)</f>
        <v>29105</v>
      </c>
    </row>
    <row r="2" spans="1:7" ht="12.75" customHeight="1">
      <c r="A2" s="1536" t="s">
        <v>3197</v>
      </c>
      <c r="B2" s="1536"/>
      <c r="C2" s="1536"/>
      <c r="D2" s="1536"/>
      <c r="E2" s="1536"/>
      <c r="F2" s="1536"/>
      <c r="G2" s="1536"/>
    </row>
    <row r="3" spans="1:7" ht="12.75" customHeight="1">
      <c r="A3" s="1532">
        <v>1</v>
      </c>
      <c r="B3" s="658" t="s">
        <v>655</v>
      </c>
      <c r="C3" s="658" t="s">
        <v>3131</v>
      </c>
      <c r="D3" s="658" t="s">
        <v>1727</v>
      </c>
      <c r="E3" s="657">
        <v>410</v>
      </c>
      <c r="F3" s="657">
        <f t="shared" ref="F3" si="0">E3</f>
        <v>410</v>
      </c>
      <c r="G3" s="1537"/>
    </row>
    <row r="4" spans="1:7" ht="12.75" customHeight="1">
      <c r="A4" s="1532"/>
      <c r="B4" s="658"/>
      <c r="C4" s="658"/>
      <c r="D4" s="658"/>
      <c r="E4" s="657"/>
      <c r="F4" s="657"/>
      <c r="G4" s="1538"/>
    </row>
    <row r="5" spans="1:7">
      <c r="A5" s="1532">
        <v>2</v>
      </c>
      <c r="B5" s="658" t="s">
        <v>659</v>
      </c>
      <c r="C5" s="658" t="s">
        <v>3131</v>
      </c>
      <c r="D5" s="658" t="s">
        <v>3138</v>
      </c>
      <c r="E5" s="657">
        <v>400</v>
      </c>
      <c r="F5" s="657">
        <f t="shared" ref="F5" si="1">E5</f>
        <v>400</v>
      </c>
      <c r="G5" s="1537"/>
    </row>
    <row r="6" spans="1:7">
      <c r="A6" s="1532"/>
      <c r="B6" s="658"/>
      <c r="C6" s="658"/>
      <c r="D6" s="658"/>
      <c r="E6" s="657"/>
      <c r="F6" s="657"/>
      <c r="G6" s="1538"/>
    </row>
    <row r="7" spans="1:7">
      <c r="A7" s="1532">
        <v>3</v>
      </c>
      <c r="B7" s="658" t="s">
        <v>660</v>
      </c>
      <c r="C7" s="658" t="s">
        <v>3131</v>
      </c>
      <c r="D7" s="658" t="s">
        <v>2853</v>
      </c>
      <c r="E7" s="657">
        <v>430</v>
      </c>
      <c r="F7" s="657">
        <f t="shared" ref="F7" si="2">E7</f>
        <v>430</v>
      </c>
      <c r="G7" s="1537"/>
    </row>
    <row r="8" spans="1:7" ht="12.75" customHeight="1">
      <c r="A8" s="1532"/>
      <c r="B8" s="658"/>
      <c r="C8" s="658"/>
      <c r="D8" s="658"/>
      <c r="E8" s="657"/>
      <c r="F8" s="657"/>
      <c r="G8" s="1537"/>
    </row>
    <row r="9" spans="1:7">
      <c r="A9" s="1532">
        <v>4</v>
      </c>
      <c r="B9" s="658" t="s">
        <v>666</v>
      </c>
      <c r="C9" s="658" t="s">
        <v>3131</v>
      </c>
      <c r="D9" s="658" t="s">
        <v>117</v>
      </c>
      <c r="E9" s="657">
        <v>110</v>
      </c>
      <c r="F9" s="657">
        <f t="shared" ref="F9" si="3">E9</f>
        <v>110</v>
      </c>
      <c r="G9" s="1537"/>
    </row>
    <row r="10" spans="1:7" ht="12.75" customHeight="1">
      <c r="A10" s="1532"/>
      <c r="B10" s="658"/>
      <c r="C10" s="658"/>
      <c r="D10" s="658"/>
      <c r="E10" s="657"/>
      <c r="F10" s="657"/>
      <c r="G10" s="1538"/>
    </row>
    <row r="11" spans="1:7">
      <c r="A11" s="1532">
        <v>5</v>
      </c>
      <c r="B11" s="658" t="s">
        <v>3154</v>
      </c>
      <c r="C11" s="658" t="s">
        <v>3131</v>
      </c>
      <c r="D11" s="658" t="s">
        <v>239</v>
      </c>
      <c r="E11" s="657">
        <v>1400</v>
      </c>
      <c r="F11" s="657">
        <v>1400</v>
      </c>
      <c r="G11" s="807"/>
    </row>
    <row r="12" spans="1:7" ht="12.75" customHeight="1">
      <c r="A12" s="1532"/>
      <c r="B12" s="658"/>
      <c r="C12" s="658"/>
      <c r="D12" s="658"/>
      <c r="E12" s="657"/>
      <c r="F12" s="657"/>
      <c r="G12" s="1530"/>
    </row>
    <row r="13" spans="1:7">
      <c r="A13" s="1532">
        <v>6</v>
      </c>
      <c r="B13" s="658" t="s">
        <v>675</v>
      </c>
      <c r="C13" s="658" t="s">
        <v>3149</v>
      </c>
      <c r="D13" s="658" t="s">
        <v>3148</v>
      </c>
      <c r="E13" s="657">
        <v>400</v>
      </c>
      <c r="F13" s="657">
        <f t="shared" ref="F13" si="4">E13</f>
        <v>400</v>
      </c>
      <c r="G13" s="807"/>
    </row>
    <row r="14" spans="1:7" ht="12.75" customHeight="1">
      <c r="A14" s="1532"/>
      <c r="B14" s="658"/>
      <c r="C14" s="658"/>
      <c r="D14" s="658"/>
      <c r="E14" s="657"/>
      <c r="F14" s="657"/>
      <c r="G14" s="1530"/>
    </row>
    <row r="15" spans="1:7">
      <c r="A15" s="1532">
        <v>7</v>
      </c>
      <c r="B15" s="658" t="s">
        <v>676</v>
      </c>
      <c r="C15" s="658" t="s">
        <v>3150</v>
      </c>
      <c r="D15" s="658" t="s">
        <v>3163</v>
      </c>
      <c r="E15" s="657">
        <v>400</v>
      </c>
      <c r="F15" s="657">
        <f t="shared" ref="F15" si="5">E15</f>
        <v>400</v>
      </c>
      <c r="G15" s="807"/>
    </row>
    <row r="16" spans="1:7" ht="12.75" customHeight="1">
      <c r="A16" s="1532"/>
      <c r="B16" s="658"/>
      <c r="C16" s="658"/>
      <c r="D16" s="658"/>
      <c r="E16" s="657"/>
      <c r="F16" s="657"/>
      <c r="G16" s="1530"/>
    </row>
    <row r="17" spans="1:7">
      <c r="A17" s="1532">
        <v>8</v>
      </c>
      <c r="B17" s="658" t="s">
        <v>679</v>
      </c>
      <c r="C17" s="658" t="s">
        <v>3149</v>
      </c>
      <c r="D17" s="658" t="s">
        <v>3151</v>
      </c>
      <c r="E17" s="657">
        <v>50</v>
      </c>
      <c r="F17" s="657">
        <f t="shared" ref="F17" si="6">E17</f>
        <v>50</v>
      </c>
      <c r="G17" s="807"/>
    </row>
    <row r="18" spans="1:7" ht="12.75" customHeight="1">
      <c r="A18" s="1532"/>
      <c r="B18" s="658"/>
      <c r="C18" s="658"/>
      <c r="D18" s="658"/>
      <c r="E18" s="657"/>
      <c r="F18" s="657"/>
      <c r="G18" s="1530"/>
    </row>
    <row r="19" spans="1:7">
      <c r="A19" s="1532">
        <v>9</v>
      </c>
      <c r="B19" s="658" t="s">
        <v>3155</v>
      </c>
      <c r="C19" s="658" t="s">
        <v>3153</v>
      </c>
      <c r="D19" s="658" t="s">
        <v>239</v>
      </c>
      <c r="E19" s="657">
        <v>43106</v>
      </c>
      <c r="F19" s="657">
        <v>1350</v>
      </c>
      <c r="G19" s="807">
        <v>3.1318000000000001</v>
      </c>
    </row>
    <row r="20" spans="1:7" ht="12.75" customHeight="1">
      <c r="A20" s="1532"/>
      <c r="B20" s="658"/>
      <c r="C20" s="658"/>
      <c r="D20" s="658"/>
      <c r="E20" s="657"/>
      <c r="F20" s="657"/>
      <c r="G20" s="1530"/>
    </row>
    <row r="21" spans="1:7">
      <c r="A21" s="1532">
        <v>10</v>
      </c>
      <c r="B21" s="658" t="s">
        <v>668</v>
      </c>
      <c r="C21" s="658" t="s">
        <v>3150</v>
      </c>
      <c r="D21" s="658" t="s">
        <v>1601</v>
      </c>
      <c r="E21" s="657">
        <v>370</v>
      </c>
      <c r="F21" s="657">
        <f t="shared" ref="F21" si="7">E21</f>
        <v>370</v>
      </c>
      <c r="G21" s="807"/>
    </row>
    <row r="22" spans="1:7" ht="12.75" customHeight="1">
      <c r="A22" s="1532"/>
      <c r="B22" s="658"/>
      <c r="C22" s="658"/>
      <c r="D22" s="658"/>
      <c r="E22" s="657"/>
      <c r="F22" s="657"/>
      <c r="G22" s="1530"/>
    </row>
    <row r="23" spans="1:7">
      <c r="A23" s="1532">
        <v>11</v>
      </c>
      <c r="B23" s="658" t="s">
        <v>681</v>
      </c>
      <c r="C23" s="658" t="s">
        <v>3150</v>
      </c>
      <c r="D23" s="658" t="s">
        <v>3152</v>
      </c>
      <c r="E23" s="657">
        <v>290</v>
      </c>
      <c r="F23" s="657">
        <f t="shared" ref="F23" si="8">E23</f>
        <v>290</v>
      </c>
      <c r="G23" s="807"/>
    </row>
    <row r="24" spans="1:7" ht="12.75" customHeight="1">
      <c r="A24" s="1532"/>
      <c r="B24" s="658"/>
      <c r="C24" s="658"/>
      <c r="D24" s="658"/>
      <c r="E24" s="657"/>
      <c r="F24" s="657"/>
      <c r="G24" s="1530"/>
    </row>
    <row r="25" spans="1:7">
      <c r="A25" s="1532">
        <v>12</v>
      </c>
      <c r="B25" s="658" t="s">
        <v>682</v>
      </c>
      <c r="C25" s="658" t="s">
        <v>3150</v>
      </c>
      <c r="D25" s="658" t="s">
        <v>3152</v>
      </c>
      <c r="E25" s="657">
        <v>90</v>
      </c>
      <c r="F25" s="657">
        <f t="shared" ref="F25" si="9">E25</f>
        <v>90</v>
      </c>
      <c r="G25" s="807"/>
    </row>
    <row r="26" spans="1:7" ht="12.75" customHeight="1">
      <c r="A26" s="1532"/>
      <c r="B26" s="658"/>
      <c r="C26" s="658"/>
      <c r="D26" s="658"/>
      <c r="E26" s="657"/>
      <c r="F26" s="657"/>
      <c r="G26" s="1530"/>
    </row>
    <row r="27" spans="1:7">
      <c r="A27" s="1532">
        <v>13</v>
      </c>
      <c r="B27" s="658" t="s">
        <v>3159</v>
      </c>
      <c r="C27" s="658" t="s">
        <v>3153</v>
      </c>
      <c r="D27" s="658" t="s">
        <v>239</v>
      </c>
      <c r="E27" s="657">
        <v>1350</v>
      </c>
      <c r="F27" s="657">
        <f t="shared" ref="F27" si="10">E27</f>
        <v>1350</v>
      </c>
      <c r="G27" s="807"/>
    </row>
    <row r="28" spans="1:7" ht="12.75" customHeight="1">
      <c r="A28" s="1532"/>
      <c r="B28" s="658"/>
      <c r="C28" s="658"/>
      <c r="D28" s="658"/>
      <c r="E28" s="657"/>
      <c r="F28" s="657"/>
      <c r="G28" s="1530"/>
    </row>
    <row r="29" spans="1:7">
      <c r="A29" s="1532">
        <v>14</v>
      </c>
      <c r="B29" s="658" t="s">
        <v>683</v>
      </c>
      <c r="C29" s="658" t="s">
        <v>3157</v>
      </c>
      <c r="D29" s="658" t="s">
        <v>3156</v>
      </c>
      <c r="E29" s="657">
        <v>280</v>
      </c>
      <c r="F29" s="657">
        <f t="shared" ref="F29" si="11">E29</f>
        <v>280</v>
      </c>
      <c r="G29" s="807"/>
    </row>
    <row r="30" spans="1:7" ht="12.75" customHeight="1">
      <c r="A30" s="1532"/>
      <c r="B30" s="658"/>
      <c r="C30" s="658"/>
      <c r="D30" s="658"/>
      <c r="E30" s="657"/>
      <c r="F30" s="657"/>
      <c r="G30" s="1530"/>
    </row>
    <row r="31" spans="1:7">
      <c r="A31" s="1532">
        <v>15</v>
      </c>
      <c r="B31" s="658" t="s">
        <v>693</v>
      </c>
      <c r="C31" s="658" t="s">
        <v>3157</v>
      </c>
      <c r="D31" s="658" t="s">
        <v>2843</v>
      </c>
      <c r="E31" s="657">
        <v>330</v>
      </c>
      <c r="F31" s="657">
        <f t="shared" ref="F31" si="12">E31</f>
        <v>330</v>
      </c>
      <c r="G31" s="807"/>
    </row>
    <row r="32" spans="1:7" ht="12.75" customHeight="1">
      <c r="A32" s="1532"/>
      <c r="B32" s="658"/>
      <c r="C32" s="658"/>
      <c r="D32" s="658"/>
      <c r="E32" s="657"/>
      <c r="F32" s="657"/>
      <c r="G32" s="1530"/>
    </row>
    <row r="33" spans="1:7">
      <c r="A33" s="1532">
        <v>16</v>
      </c>
      <c r="B33" s="658" t="s">
        <v>694</v>
      </c>
      <c r="C33" s="658" t="s">
        <v>3157</v>
      </c>
      <c r="D33" s="658" t="s">
        <v>3158</v>
      </c>
      <c r="E33" s="657">
        <v>340</v>
      </c>
      <c r="F33" s="657">
        <f t="shared" ref="F33" si="13">E33</f>
        <v>340</v>
      </c>
      <c r="G33" s="807"/>
    </row>
    <row r="34" spans="1:7" ht="12.75" customHeight="1">
      <c r="A34" s="1532"/>
      <c r="B34" s="658"/>
      <c r="C34" s="658"/>
      <c r="D34" s="658"/>
      <c r="E34" s="657"/>
      <c r="F34" s="657"/>
      <c r="G34" s="1530"/>
    </row>
    <row r="35" spans="1:7">
      <c r="A35" s="1532">
        <v>17</v>
      </c>
      <c r="B35" s="658" t="s">
        <v>3162</v>
      </c>
      <c r="C35" s="658" t="s">
        <v>3161</v>
      </c>
      <c r="D35" s="658" t="s">
        <v>239</v>
      </c>
      <c r="E35" s="657">
        <v>44860</v>
      </c>
      <c r="F35" s="657">
        <v>1400</v>
      </c>
      <c r="G35" s="807">
        <v>3.1208</v>
      </c>
    </row>
    <row r="36" spans="1:7" ht="12.75" customHeight="1">
      <c r="A36" s="1532"/>
      <c r="B36" s="658"/>
      <c r="C36" s="658"/>
      <c r="D36" s="658"/>
      <c r="E36" s="657"/>
      <c r="F36" s="657"/>
      <c r="G36" s="1530"/>
    </row>
    <row r="37" spans="1:7">
      <c r="A37" s="1532">
        <v>18</v>
      </c>
      <c r="B37" s="658" t="s">
        <v>700</v>
      </c>
      <c r="C37" s="658" t="s">
        <v>3157</v>
      </c>
      <c r="D37" s="658" t="s">
        <v>117</v>
      </c>
      <c r="E37" s="657">
        <v>110</v>
      </c>
      <c r="F37" s="657">
        <f t="shared" ref="F37" si="14">E37</f>
        <v>110</v>
      </c>
      <c r="G37" s="807"/>
    </row>
    <row r="38" spans="1:7" ht="12.75" customHeight="1">
      <c r="A38" s="1532"/>
      <c r="B38" s="658"/>
      <c r="C38" s="658"/>
      <c r="D38" s="658"/>
      <c r="E38" s="657"/>
      <c r="F38" s="657"/>
      <c r="G38" s="1530"/>
    </row>
    <row r="39" spans="1:7">
      <c r="A39" s="1532">
        <v>19</v>
      </c>
      <c r="B39" s="658" t="s">
        <v>701</v>
      </c>
      <c r="C39" s="658" t="s">
        <v>3157</v>
      </c>
      <c r="D39" s="658" t="s">
        <v>2582</v>
      </c>
      <c r="E39" s="657">
        <v>350</v>
      </c>
      <c r="F39" s="657">
        <f t="shared" ref="F39" si="15">E39</f>
        <v>350</v>
      </c>
      <c r="G39" s="807"/>
    </row>
    <row r="40" spans="1:7" ht="12.75" customHeight="1">
      <c r="A40" s="1532"/>
      <c r="B40" s="658"/>
      <c r="C40" s="658"/>
      <c r="D40" s="658"/>
      <c r="E40" s="657"/>
      <c r="F40" s="657"/>
      <c r="G40" s="1530"/>
    </row>
    <row r="41" spans="1:7">
      <c r="A41" s="1532">
        <v>20</v>
      </c>
      <c r="B41" s="658" t="s">
        <v>702</v>
      </c>
      <c r="C41" s="658" t="s">
        <v>3157</v>
      </c>
      <c r="D41" s="658" t="s">
        <v>3118</v>
      </c>
      <c r="E41" s="657">
        <v>400</v>
      </c>
      <c r="F41" s="657">
        <f t="shared" ref="F41" si="16">E41</f>
        <v>400</v>
      </c>
      <c r="G41" s="807"/>
    </row>
    <row r="42" spans="1:7" ht="12.75" customHeight="1">
      <c r="A42" s="1532"/>
      <c r="B42" s="658"/>
      <c r="C42" s="658"/>
      <c r="D42" s="658"/>
      <c r="E42" s="657"/>
      <c r="F42" s="657"/>
      <c r="G42" s="1530"/>
    </row>
    <row r="43" spans="1:7">
      <c r="A43" s="1532">
        <v>21</v>
      </c>
      <c r="B43" s="658" t="s">
        <v>3169</v>
      </c>
      <c r="C43" s="658" t="s">
        <v>3157</v>
      </c>
      <c r="D43" s="658" t="s">
        <v>239</v>
      </c>
      <c r="E43" s="657">
        <v>43047</v>
      </c>
      <c r="F43" s="657">
        <v>1350</v>
      </c>
      <c r="G43" s="807">
        <v>3.1360999999999999</v>
      </c>
    </row>
    <row r="44" spans="1:7" ht="12.75" customHeight="1">
      <c r="A44" s="1532"/>
      <c r="B44" s="658"/>
      <c r="C44" s="658"/>
      <c r="D44" s="658"/>
      <c r="E44" s="657"/>
      <c r="F44" s="657"/>
      <c r="G44" s="1530"/>
    </row>
    <row r="45" spans="1:7">
      <c r="A45" s="1532">
        <v>22</v>
      </c>
      <c r="B45" s="658" t="s">
        <v>704</v>
      </c>
      <c r="C45" s="658" t="s">
        <v>3166</v>
      </c>
      <c r="D45" s="658" t="s">
        <v>1601</v>
      </c>
      <c r="E45" s="657">
        <v>800</v>
      </c>
      <c r="F45" s="657">
        <f t="shared" ref="F45" si="17">E45</f>
        <v>800</v>
      </c>
      <c r="G45" s="807"/>
    </row>
    <row r="46" spans="1:7" ht="12.75" customHeight="1">
      <c r="A46" s="1532"/>
      <c r="B46" s="658"/>
      <c r="C46" s="658"/>
      <c r="D46" s="658"/>
      <c r="E46" s="657"/>
      <c r="F46" s="657"/>
      <c r="G46" s="1530"/>
    </row>
    <row r="47" spans="1:7">
      <c r="A47" s="1532">
        <v>23</v>
      </c>
      <c r="B47" s="658" t="s">
        <v>708</v>
      </c>
      <c r="C47" s="658" t="s">
        <v>3166</v>
      </c>
      <c r="D47" s="658" t="s">
        <v>2723</v>
      </c>
      <c r="E47" s="657">
        <v>100</v>
      </c>
      <c r="F47" s="657">
        <f t="shared" ref="F47" si="18">E47</f>
        <v>100</v>
      </c>
      <c r="G47" s="807"/>
    </row>
    <row r="48" spans="1:7" ht="12.75" customHeight="1">
      <c r="A48" s="1532"/>
      <c r="B48" s="658"/>
      <c r="C48" s="658"/>
      <c r="D48" s="658"/>
      <c r="E48" s="657"/>
      <c r="F48" s="657"/>
      <c r="G48" s="1530"/>
    </row>
    <row r="49" spans="1:7">
      <c r="A49" s="1532">
        <v>24</v>
      </c>
      <c r="B49" s="658" t="s">
        <v>709</v>
      </c>
      <c r="C49" s="658" t="s">
        <v>3166</v>
      </c>
      <c r="D49" s="658" t="s">
        <v>2723</v>
      </c>
      <c r="E49" s="657">
        <v>380</v>
      </c>
      <c r="F49" s="657">
        <f t="shared" ref="F49" si="19">E49</f>
        <v>380</v>
      </c>
      <c r="G49" s="807"/>
    </row>
    <row r="50" spans="1:7" ht="12.75" customHeight="1">
      <c r="A50" s="1532"/>
      <c r="B50" s="658"/>
      <c r="C50" s="658"/>
      <c r="D50" s="658"/>
      <c r="E50" s="657"/>
      <c r="F50" s="657"/>
      <c r="G50" s="1530"/>
    </row>
    <row r="51" spans="1:7">
      <c r="A51" s="1532">
        <v>25</v>
      </c>
      <c r="B51" s="658" t="s">
        <v>3171</v>
      </c>
      <c r="C51" s="658" t="s">
        <v>3170</v>
      </c>
      <c r="D51" s="658" t="s">
        <v>239</v>
      </c>
      <c r="E51" s="657">
        <v>1350</v>
      </c>
      <c r="F51" s="657">
        <v>1350</v>
      </c>
      <c r="G51" s="807"/>
    </row>
    <row r="52" spans="1:7" ht="12.75" customHeight="1">
      <c r="A52" s="1532"/>
      <c r="B52" s="658"/>
      <c r="C52" s="658"/>
      <c r="D52" s="658"/>
      <c r="E52" s="657"/>
      <c r="F52" s="657"/>
      <c r="G52" s="1530"/>
    </row>
    <row r="53" spans="1:7">
      <c r="A53" s="1532">
        <v>26</v>
      </c>
      <c r="B53" s="658" t="s">
        <v>710</v>
      </c>
      <c r="C53" s="658" t="s">
        <v>3165</v>
      </c>
      <c r="D53" s="658" t="s">
        <v>1144</v>
      </c>
      <c r="E53" s="657">
        <v>260</v>
      </c>
      <c r="F53" s="657">
        <f t="shared" ref="F53" si="20">E53</f>
        <v>260</v>
      </c>
      <c r="G53" s="807"/>
    </row>
    <row r="54" spans="1:7" ht="12.75" customHeight="1">
      <c r="A54" s="1532"/>
      <c r="B54" s="658"/>
      <c r="C54" s="658"/>
      <c r="D54" s="658"/>
      <c r="E54" s="657"/>
      <c r="F54" s="657"/>
      <c r="G54" s="1530"/>
    </row>
    <row r="55" spans="1:7">
      <c r="A55" s="1532">
        <v>27</v>
      </c>
      <c r="B55" s="658" t="s">
        <v>722</v>
      </c>
      <c r="C55" s="658" t="s">
        <v>3165</v>
      </c>
      <c r="D55" s="658" t="s">
        <v>1144</v>
      </c>
      <c r="E55" s="657">
        <v>200</v>
      </c>
      <c r="F55" s="657">
        <f t="shared" ref="F55" si="21">E55</f>
        <v>200</v>
      </c>
      <c r="G55" s="807"/>
    </row>
    <row r="56" spans="1:7">
      <c r="A56" s="1532"/>
      <c r="B56" s="658"/>
      <c r="C56" s="658"/>
      <c r="D56" s="658"/>
      <c r="E56" s="657"/>
      <c r="F56" s="657"/>
      <c r="G56" s="1530"/>
    </row>
    <row r="57" spans="1:7">
      <c r="A57" s="1532">
        <v>28</v>
      </c>
      <c r="B57" s="658" t="s">
        <v>711</v>
      </c>
      <c r="C57" s="658" t="s">
        <v>3165</v>
      </c>
      <c r="D57" s="658" t="s">
        <v>2892</v>
      </c>
      <c r="E57" s="657">
        <v>600</v>
      </c>
      <c r="F57" s="657">
        <f t="shared" ref="F57" si="22">E57</f>
        <v>600</v>
      </c>
      <c r="G57" s="807"/>
    </row>
    <row r="58" spans="1:7" ht="12.75" customHeight="1">
      <c r="A58" s="1532"/>
      <c r="B58" s="658"/>
      <c r="C58" s="658"/>
      <c r="D58" s="658"/>
      <c r="E58" s="657"/>
      <c r="F58" s="657"/>
      <c r="G58" s="1530"/>
    </row>
    <row r="59" spans="1:7">
      <c r="A59" s="1532">
        <v>29</v>
      </c>
      <c r="B59" s="658" t="s">
        <v>3173</v>
      </c>
      <c r="C59" s="658" t="s">
        <v>3172</v>
      </c>
      <c r="D59" s="658" t="s">
        <v>239</v>
      </c>
      <c r="E59" s="657">
        <v>1400</v>
      </c>
      <c r="F59" s="657">
        <f t="shared" ref="F59" si="23">E59</f>
        <v>1400</v>
      </c>
      <c r="G59" s="807"/>
    </row>
    <row r="60" spans="1:7" ht="12.75" customHeight="1">
      <c r="A60" s="1532"/>
      <c r="B60" s="658"/>
      <c r="C60" s="658"/>
      <c r="D60" s="658"/>
      <c r="E60" s="657"/>
      <c r="F60" s="657"/>
      <c r="G60" s="1530"/>
    </row>
    <row r="61" spans="1:7">
      <c r="A61" s="1532">
        <v>30</v>
      </c>
      <c r="B61" s="658" t="s">
        <v>716</v>
      </c>
      <c r="C61" s="658" t="s">
        <v>3167</v>
      </c>
      <c r="D61" s="658" t="s">
        <v>117</v>
      </c>
      <c r="E61" s="657">
        <v>110</v>
      </c>
      <c r="F61" s="657">
        <f t="shared" ref="F61" si="24">E61</f>
        <v>110</v>
      </c>
      <c r="G61" s="807"/>
    </row>
    <row r="62" spans="1:7" ht="12.75" customHeight="1">
      <c r="A62" s="1532"/>
      <c r="B62" s="658"/>
      <c r="C62" s="658"/>
      <c r="D62" s="658"/>
      <c r="E62" s="657"/>
      <c r="F62" s="657"/>
      <c r="G62" s="1530"/>
    </row>
    <row r="63" spans="1:7">
      <c r="A63" s="1532">
        <v>31</v>
      </c>
      <c r="B63" s="658" t="s">
        <v>717</v>
      </c>
      <c r="C63" s="658" t="s">
        <v>3167</v>
      </c>
      <c r="D63" s="658" t="s">
        <v>2376</v>
      </c>
      <c r="E63" s="657">
        <v>60</v>
      </c>
      <c r="F63" s="657">
        <f t="shared" ref="F63" si="25">E63</f>
        <v>60</v>
      </c>
      <c r="G63" s="807"/>
    </row>
    <row r="64" spans="1:7" ht="12.75" customHeight="1">
      <c r="A64" s="1532"/>
      <c r="B64" s="658"/>
      <c r="C64" s="658"/>
      <c r="D64" s="658"/>
      <c r="E64" s="657"/>
      <c r="F64" s="657"/>
      <c r="G64" s="1530"/>
    </row>
    <row r="65" spans="1:7">
      <c r="A65" s="1532">
        <v>32</v>
      </c>
      <c r="B65" s="658" t="s">
        <v>720</v>
      </c>
      <c r="C65" s="658" t="s">
        <v>3167</v>
      </c>
      <c r="D65" s="658" t="s">
        <v>2375</v>
      </c>
      <c r="E65" s="657">
        <v>100</v>
      </c>
      <c r="F65" s="657">
        <f t="shared" ref="F65" si="26">E65</f>
        <v>100</v>
      </c>
      <c r="G65" s="807"/>
    </row>
    <row r="66" spans="1:7" ht="12.75" customHeight="1">
      <c r="A66" s="1532"/>
      <c r="B66" s="658"/>
      <c r="C66" s="658"/>
      <c r="D66" s="658"/>
      <c r="E66" s="657"/>
      <c r="F66" s="657"/>
      <c r="G66" s="1530"/>
    </row>
    <row r="67" spans="1:7">
      <c r="A67" s="1532">
        <v>33</v>
      </c>
      <c r="B67" s="658" t="s">
        <v>721</v>
      </c>
      <c r="C67" s="658" t="s">
        <v>3168</v>
      </c>
      <c r="D67" s="658" t="s">
        <v>2348</v>
      </c>
      <c r="E67" s="657">
        <v>100</v>
      </c>
      <c r="F67" s="657">
        <f t="shared" ref="F67" si="27">E67</f>
        <v>100</v>
      </c>
      <c r="G67" s="807"/>
    </row>
    <row r="68" spans="1:7" ht="12.75" customHeight="1">
      <c r="A68" s="1532"/>
      <c r="B68" s="658"/>
      <c r="C68" s="658"/>
      <c r="D68" s="658"/>
      <c r="E68" s="657"/>
      <c r="F68" s="657"/>
      <c r="G68" s="1530"/>
    </row>
    <row r="69" spans="1:7">
      <c r="A69" s="1532">
        <v>34</v>
      </c>
      <c r="B69" s="658" t="s">
        <v>3182</v>
      </c>
      <c r="C69" s="658" t="s">
        <v>3167</v>
      </c>
      <c r="D69" s="658" t="s">
        <v>239</v>
      </c>
      <c r="E69" s="657">
        <v>42999</v>
      </c>
      <c r="F69" s="657">
        <v>1350</v>
      </c>
      <c r="G69" s="807">
        <v>3.1396000000000002</v>
      </c>
    </row>
    <row r="70" spans="1:7" ht="12.75" customHeight="1">
      <c r="A70" s="1532"/>
      <c r="B70" s="658"/>
      <c r="C70" s="658"/>
      <c r="D70" s="658"/>
      <c r="E70" s="657"/>
      <c r="F70" s="657"/>
      <c r="G70" s="1530"/>
    </row>
    <row r="71" spans="1:7">
      <c r="A71" s="1532">
        <v>35</v>
      </c>
      <c r="B71" s="658" t="s">
        <v>728</v>
      </c>
      <c r="C71" s="658" t="s">
        <v>3179</v>
      </c>
      <c r="D71" s="658" t="s">
        <v>2723</v>
      </c>
      <c r="E71" s="657">
        <v>500</v>
      </c>
      <c r="F71" s="657">
        <f t="shared" ref="F71" si="28">E71</f>
        <v>500</v>
      </c>
      <c r="G71" s="807"/>
    </row>
    <row r="72" spans="1:7" ht="12.75" customHeight="1">
      <c r="A72" s="1532"/>
      <c r="B72" s="658"/>
      <c r="C72" s="658"/>
      <c r="D72" s="658"/>
      <c r="E72" s="657"/>
      <c r="F72" s="657"/>
      <c r="G72" s="1530"/>
    </row>
    <row r="73" spans="1:7">
      <c r="A73" s="1532">
        <v>36</v>
      </c>
      <c r="B73" s="658" t="s">
        <v>722</v>
      </c>
      <c r="C73" s="658" t="s">
        <v>3179</v>
      </c>
      <c r="D73" s="658" t="s">
        <v>1140</v>
      </c>
      <c r="E73" s="657">
        <v>420</v>
      </c>
      <c r="F73" s="657">
        <f t="shared" ref="F73" si="29">E73</f>
        <v>420</v>
      </c>
      <c r="G73" s="807"/>
    </row>
    <row r="74" spans="1:7" ht="12.75" customHeight="1">
      <c r="A74" s="1532"/>
      <c r="B74" s="658"/>
      <c r="C74" s="658"/>
      <c r="D74" s="658"/>
      <c r="E74" s="657"/>
      <c r="F74" s="657"/>
      <c r="G74" s="1530"/>
    </row>
    <row r="75" spans="1:7">
      <c r="A75" s="1532">
        <v>37</v>
      </c>
      <c r="B75" s="658" t="s">
        <v>3185</v>
      </c>
      <c r="C75" s="658" t="s">
        <v>3184</v>
      </c>
      <c r="D75" s="658" t="s">
        <v>239</v>
      </c>
      <c r="E75" s="657">
        <v>1350</v>
      </c>
      <c r="F75" s="657">
        <v>1350</v>
      </c>
      <c r="G75" s="807"/>
    </row>
    <row r="76" spans="1:7" ht="12.75" customHeight="1">
      <c r="A76" s="1532"/>
      <c r="B76" s="658"/>
      <c r="C76" s="658"/>
      <c r="D76" s="658"/>
      <c r="E76" s="657"/>
      <c r="F76" s="657"/>
      <c r="G76" s="1530"/>
    </row>
    <row r="77" spans="1:7">
      <c r="A77" s="1532">
        <v>38</v>
      </c>
      <c r="B77" s="658" t="s">
        <v>732</v>
      </c>
      <c r="C77" s="658" t="s">
        <v>3175</v>
      </c>
      <c r="D77" s="658" t="s">
        <v>3174</v>
      </c>
      <c r="E77" s="657">
        <v>400</v>
      </c>
      <c r="F77" s="657">
        <f t="shared" ref="F77" si="30">E77</f>
        <v>400</v>
      </c>
      <c r="G77" s="807"/>
    </row>
    <row r="78" spans="1:7" ht="12.75" customHeight="1">
      <c r="A78" s="1532"/>
      <c r="B78" s="658"/>
      <c r="C78" s="658"/>
      <c r="D78" s="658"/>
      <c r="E78" s="657"/>
      <c r="F78" s="657"/>
      <c r="G78" s="1530"/>
    </row>
    <row r="79" spans="1:7">
      <c r="A79" s="1532">
        <v>39</v>
      </c>
      <c r="B79" s="658" t="s">
        <v>734</v>
      </c>
      <c r="C79" s="658" t="s">
        <v>3175</v>
      </c>
      <c r="D79" s="658" t="s">
        <v>117</v>
      </c>
      <c r="E79" s="657">
        <v>110</v>
      </c>
      <c r="F79" s="657">
        <f t="shared" ref="F79" si="31">E79</f>
        <v>110</v>
      </c>
      <c r="G79" s="807"/>
    </row>
    <row r="80" spans="1:7" ht="12.75" customHeight="1">
      <c r="A80" s="1532"/>
      <c r="B80" s="658"/>
      <c r="C80" s="658"/>
      <c r="D80" s="658"/>
      <c r="E80" s="657"/>
      <c r="F80" s="657"/>
      <c r="G80" s="1530"/>
    </row>
    <row r="81" spans="1:7">
      <c r="A81" s="1532">
        <v>40</v>
      </c>
      <c r="B81" s="658" t="s">
        <v>3183</v>
      </c>
      <c r="C81" s="658" t="s">
        <v>3168</v>
      </c>
      <c r="D81" s="658" t="s">
        <v>239</v>
      </c>
      <c r="E81" s="657">
        <v>42984</v>
      </c>
      <c r="F81" s="657">
        <v>1350</v>
      </c>
      <c r="G81" s="807">
        <v>3.1406999999999998</v>
      </c>
    </row>
    <row r="82" spans="1:7" ht="12.75" customHeight="1">
      <c r="A82" s="1532"/>
      <c r="B82" s="658"/>
      <c r="C82" s="658"/>
      <c r="D82" s="658"/>
      <c r="E82" s="657"/>
      <c r="F82" s="657"/>
      <c r="G82" s="1530"/>
    </row>
    <row r="83" spans="1:7">
      <c r="A83" s="1532">
        <v>41</v>
      </c>
      <c r="B83" s="658" t="s">
        <v>735</v>
      </c>
      <c r="C83" s="658" t="s">
        <v>3178</v>
      </c>
      <c r="D83" s="658" t="s">
        <v>3177</v>
      </c>
      <c r="E83" s="657">
        <v>550</v>
      </c>
      <c r="F83" s="657">
        <f t="shared" ref="F83" si="32">E83</f>
        <v>550</v>
      </c>
      <c r="G83" s="807"/>
    </row>
    <row r="84" spans="1:7" ht="12.75" customHeight="1">
      <c r="A84" s="1532"/>
      <c r="B84" s="658"/>
      <c r="C84" s="658"/>
      <c r="D84" s="658"/>
      <c r="E84" s="657"/>
      <c r="F84" s="657"/>
      <c r="G84" s="1530"/>
    </row>
    <row r="85" spans="1:7">
      <c r="A85" s="1532">
        <v>42</v>
      </c>
      <c r="B85" s="658" t="s">
        <v>736</v>
      </c>
      <c r="C85" s="658" t="s">
        <v>3178</v>
      </c>
      <c r="D85" s="658" t="s">
        <v>2866</v>
      </c>
      <c r="E85" s="657">
        <v>350</v>
      </c>
      <c r="F85" s="657">
        <f t="shared" ref="F85" si="33">E85</f>
        <v>350</v>
      </c>
      <c r="G85" s="807"/>
    </row>
    <row r="86" spans="1:7" ht="12.75" customHeight="1">
      <c r="A86" s="1532"/>
      <c r="B86" s="658"/>
      <c r="C86" s="658"/>
      <c r="D86" s="658"/>
      <c r="E86" s="657"/>
      <c r="F86" s="657"/>
      <c r="G86" s="1530"/>
    </row>
    <row r="87" spans="1:7">
      <c r="A87" s="1532">
        <v>43</v>
      </c>
      <c r="B87" s="658" t="s">
        <v>740</v>
      </c>
      <c r="C87" s="658" t="s">
        <v>3178</v>
      </c>
      <c r="D87" s="658" t="s">
        <v>1601</v>
      </c>
      <c r="E87" s="657">
        <v>370</v>
      </c>
      <c r="F87" s="657">
        <f t="shared" ref="F87" si="34">E87</f>
        <v>370</v>
      </c>
      <c r="G87" s="807"/>
    </row>
    <row r="88" spans="1:7" ht="12.75" customHeight="1">
      <c r="A88" s="1532"/>
      <c r="B88" s="658"/>
      <c r="C88" s="658"/>
      <c r="D88" s="658"/>
      <c r="E88" s="657"/>
      <c r="F88" s="657"/>
      <c r="G88" s="1530"/>
    </row>
    <row r="89" spans="1:7">
      <c r="A89" s="1532">
        <v>44</v>
      </c>
      <c r="B89" s="658" t="s">
        <v>3190</v>
      </c>
      <c r="C89" s="658" t="s">
        <v>3175</v>
      </c>
      <c r="D89" s="658" t="s">
        <v>239</v>
      </c>
      <c r="E89" s="657">
        <v>43928</v>
      </c>
      <c r="F89" s="657">
        <v>1350</v>
      </c>
      <c r="G89" s="807">
        <v>3.0731999999999999</v>
      </c>
    </row>
    <row r="90" spans="1:7" ht="12.75" customHeight="1">
      <c r="A90" s="1532"/>
      <c r="B90" s="658"/>
      <c r="C90" s="658"/>
      <c r="D90" s="658"/>
      <c r="E90" s="657"/>
      <c r="F90" s="657"/>
      <c r="G90" s="1530"/>
    </row>
    <row r="91" spans="1:7">
      <c r="A91" s="1532">
        <v>45</v>
      </c>
      <c r="B91" s="658" t="s">
        <v>762</v>
      </c>
      <c r="C91" s="658" t="s">
        <v>3189</v>
      </c>
      <c r="D91" s="658" t="s">
        <v>2723</v>
      </c>
      <c r="E91" s="657">
        <v>485</v>
      </c>
      <c r="F91" s="657">
        <f t="shared" ref="F91" si="35">E91</f>
        <v>485</v>
      </c>
      <c r="G91" s="807"/>
    </row>
    <row r="92" spans="1:7" ht="12.75" customHeight="1">
      <c r="A92" s="1532"/>
      <c r="B92" s="658"/>
      <c r="C92" s="658"/>
      <c r="D92" s="658"/>
      <c r="E92" s="657"/>
      <c r="F92" s="657"/>
      <c r="G92" s="1530"/>
    </row>
    <row r="93" spans="1:7">
      <c r="A93" s="1532">
        <v>46</v>
      </c>
      <c r="B93" s="658" t="s">
        <v>763</v>
      </c>
      <c r="C93" s="658" t="s">
        <v>3189</v>
      </c>
      <c r="D93" s="658" t="s">
        <v>2866</v>
      </c>
      <c r="E93" s="657">
        <v>330</v>
      </c>
      <c r="F93" s="657">
        <f t="shared" ref="F93" si="36">E93</f>
        <v>330</v>
      </c>
      <c r="G93" s="807"/>
    </row>
    <row r="94" spans="1:7" ht="12.75" customHeight="1">
      <c r="A94" s="1532"/>
      <c r="B94" s="658"/>
      <c r="C94" s="658"/>
      <c r="D94" s="658"/>
      <c r="E94" s="657"/>
      <c r="F94" s="657"/>
      <c r="G94" s="1530"/>
    </row>
    <row r="95" spans="1:7">
      <c r="A95" s="1532">
        <v>47</v>
      </c>
      <c r="B95" s="658" t="s">
        <v>772</v>
      </c>
      <c r="C95" s="658" t="s">
        <v>3189</v>
      </c>
      <c r="D95" s="658" t="s">
        <v>3186</v>
      </c>
      <c r="E95" s="657">
        <v>270</v>
      </c>
      <c r="F95" s="657">
        <f t="shared" ref="F95" si="37">E95</f>
        <v>270</v>
      </c>
      <c r="G95" s="807"/>
    </row>
    <row r="96" spans="1:7" ht="12.75" customHeight="1">
      <c r="A96" s="1532"/>
      <c r="B96" s="658"/>
      <c r="C96" s="658"/>
      <c r="D96" s="658"/>
      <c r="E96" s="657"/>
      <c r="F96" s="657"/>
      <c r="G96" s="1530"/>
    </row>
    <row r="97" spans="1:7">
      <c r="A97" s="1532">
        <v>48</v>
      </c>
      <c r="B97" s="658" t="s">
        <v>773</v>
      </c>
      <c r="C97" s="658" t="s">
        <v>3189</v>
      </c>
      <c r="D97" s="658" t="s">
        <v>2348</v>
      </c>
      <c r="E97" s="657">
        <v>100</v>
      </c>
      <c r="F97" s="657">
        <f t="shared" ref="F97" si="38">E97</f>
        <v>100</v>
      </c>
      <c r="G97" s="807"/>
    </row>
    <row r="98" spans="1:7" ht="12.75" customHeight="1">
      <c r="A98" s="1532"/>
      <c r="B98" s="658"/>
      <c r="C98" s="658"/>
      <c r="D98" s="658"/>
      <c r="E98" s="657"/>
      <c r="F98" s="657"/>
      <c r="G98" s="1530"/>
    </row>
    <row r="99" spans="1:7">
      <c r="A99" s="1532">
        <v>49</v>
      </c>
      <c r="B99" s="658" t="s">
        <v>3191</v>
      </c>
      <c r="C99" s="658" t="s">
        <v>2414</v>
      </c>
      <c r="D99" s="658" t="s">
        <v>239</v>
      </c>
      <c r="E99" s="657">
        <v>1400</v>
      </c>
      <c r="F99" s="657">
        <f t="shared" ref="F99" si="39">E99</f>
        <v>1400</v>
      </c>
      <c r="G99" s="807"/>
    </row>
    <row r="100" spans="1:7" ht="12.75" customHeight="1">
      <c r="A100" s="1532"/>
      <c r="B100" s="658"/>
      <c r="C100" s="658"/>
      <c r="D100" s="658"/>
      <c r="E100" s="657"/>
      <c r="F100" s="657"/>
      <c r="G100" s="1530"/>
    </row>
    <row r="101" spans="1:7">
      <c r="A101" s="1532">
        <v>50</v>
      </c>
      <c r="B101" s="658" t="s">
        <v>3192</v>
      </c>
      <c r="C101" s="658" t="s">
        <v>2414</v>
      </c>
      <c r="D101" s="658" t="s">
        <v>239</v>
      </c>
      <c r="E101" s="657">
        <v>44524</v>
      </c>
      <c r="F101" s="657">
        <v>1350</v>
      </c>
      <c r="G101" s="807">
        <v>3.0320999999999998</v>
      </c>
    </row>
    <row r="102" spans="1:7" ht="12.75" customHeight="1">
      <c r="A102" s="1532"/>
      <c r="B102" s="658"/>
      <c r="C102" s="658"/>
      <c r="D102" s="658"/>
      <c r="E102" s="657"/>
      <c r="F102" s="657"/>
      <c r="G102" s="1530"/>
    </row>
  </sheetData>
  <mergeCells count="351">
    <mergeCell ref="A3:A4"/>
    <mergeCell ref="B3:B4"/>
    <mergeCell ref="C3:C4"/>
    <mergeCell ref="D3:D4"/>
    <mergeCell ref="E3:E4"/>
    <mergeCell ref="F3:F4"/>
    <mergeCell ref="G3:G4"/>
    <mergeCell ref="A2:G2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93:G94"/>
    <mergeCell ref="A95:A96"/>
    <mergeCell ref="B95:B96"/>
    <mergeCell ref="C95:C96"/>
    <mergeCell ref="D95:D96"/>
    <mergeCell ref="E95:E96"/>
    <mergeCell ref="F95:F96"/>
    <mergeCell ref="G95:G96"/>
    <mergeCell ref="A93:A94"/>
    <mergeCell ref="B93:B94"/>
    <mergeCell ref="C93:C94"/>
    <mergeCell ref="D93:D94"/>
    <mergeCell ref="E93:E94"/>
    <mergeCell ref="F93:F94"/>
    <mergeCell ref="G101:G102"/>
    <mergeCell ref="A101:A102"/>
    <mergeCell ref="B101:B102"/>
    <mergeCell ref="C101:C102"/>
    <mergeCell ref="D101:D102"/>
    <mergeCell ref="E101:E102"/>
    <mergeCell ref="F101:F102"/>
    <mergeCell ref="G97:G98"/>
    <mergeCell ref="A99:A100"/>
    <mergeCell ref="B99:B100"/>
    <mergeCell ref="C99:C100"/>
    <mergeCell ref="D99:D100"/>
    <mergeCell ref="E99:E100"/>
    <mergeCell ref="F99:F100"/>
    <mergeCell ref="G99:G100"/>
    <mergeCell ref="A97:A98"/>
    <mergeCell ref="B97:B98"/>
    <mergeCell ref="C97:C98"/>
    <mergeCell ref="D97:D98"/>
    <mergeCell ref="E97:E98"/>
    <mergeCell ref="F97:F98"/>
  </mergeCells>
  <pageMargins left="1" right="1" top="1" bottom="1" header="0.5" footer="0.5"/>
  <pageSetup paperSize="9" orientation="landscape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"/>
  <sheetViews>
    <sheetView workbookViewId="0">
      <selection activeCell="E29" sqref="E29:E30"/>
    </sheetView>
  </sheetViews>
  <sheetFormatPr defaultRowHeight="12.75"/>
  <cols>
    <col min="2" max="2" width="17.42578125" customWidth="1"/>
    <col min="3" max="3" width="16.85546875" customWidth="1"/>
    <col min="4" max="4" width="25.28515625" customWidth="1"/>
    <col min="5" max="5" width="16.42578125" customWidth="1"/>
    <col min="6" max="6" width="15.5703125" customWidth="1"/>
    <col min="8" max="8" width="16.140625" customWidth="1"/>
  </cols>
  <sheetData>
    <row r="1" spans="1:8" ht="15">
      <c r="A1" s="580" t="s">
        <v>2925</v>
      </c>
      <c r="B1" s="580"/>
      <c r="C1" s="580"/>
      <c r="D1" s="580"/>
      <c r="E1" s="580"/>
      <c r="F1" s="580"/>
      <c r="G1" s="580"/>
    </row>
    <row r="2" spans="1:8" ht="15">
      <c r="A2" s="1539" t="s">
        <v>3139</v>
      </c>
      <c r="B2" s="1539"/>
      <c r="C2" s="1539"/>
      <c r="D2" s="1539"/>
      <c r="E2" s="1539"/>
      <c r="F2" s="1539"/>
      <c r="G2" s="1539"/>
    </row>
    <row r="3" spans="1:8">
      <c r="A3" s="1532">
        <v>1</v>
      </c>
      <c r="B3" s="658" t="s">
        <v>494</v>
      </c>
      <c r="C3" s="658" t="s">
        <v>3085</v>
      </c>
      <c r="D3" s="658" t="s">
        <v>2723</v>
      </c>
      <c r="E3" s="657">
        <v>5300000</v>
      </c>
      <c r="F3" s="657">
        <f t="shared" ref="F3" si="0">E3</f>
        <v>5300000</v>
      </c>
      <c r="G3" s="1537"/>
      <c r="H3" s="572">
        <f>SUM(F3:F102)</f>
        <v>312714100</v>
      </c>
    </row>
    <row r="4" spans="1:8">
      <c r="A4" s="1532"/>
      <c r="B4" s="658"/>
      <c r="C4" s="658"/>
      <c r="D4" s="658"/>
      <c r="E4" s="657"/>
      <c r="F4" s="657"/>
      <c r="G4" s="1538"/>
      <c r="H4" s="572"/>
    </row>
    <row r="5" spans="1:8">
      <c r="A5" s="1532">
        <v>2</v>
      </c>
      <c r="B5" s="658" t="s">
        <v>495</v>
      </c>
      <c r="C5" s="658" t="s">
        <v>3085</v>
      </c>
      <c r="D5" s="658" t="s">
        <v>2723</v>
      </c>
      <c r="E5" s="657">
        <v>4000000</v>
      </c>
      <c r="F5" s="657">
        <f t="shared" ref="F5" si="1">E5</f>
        <v>4000000</v>
      </c>
      <c r="G5" s="1537"/>
    </row>
    <row r="6" spans="1:8">
      <c r="A6" s="1532"/>
      <c r="B6" s="658"/>
      <c r="C6" s="658"/>
      <c r="D6" s="658"/>
      <c r="E6" s="657"/>
      <c r="F6" s="657"/>
      <c r="G6" s="1538"/>
    </row>
    <row r="7" spans="1:8" ht="12.75" customHeight="1">
      <c r="A7" s="1532">
        <v>3</v>
      </c>
      <c r="B7" s="658" t="s">
        <v>503</v>
      </c>
      <c r="C7" s="658" t="s">
        <v>3085</v>
      </c>
      <c r="D7" s="658" t="s">
        <v>3043</v>
      </c>
      <c r="E7" s="657">
        <v>2400000</v>
      </c>
      <c r="F7" s="657">
        <f t="shared" ref="F7" si="2">E7</f>
        <v>2400000</v>
      </c>
      <c r="G7" s="1537"/>
    </row>
    <row r="8" spans="1:8">
      <c r="A8" s="1532"/>
      <c r="B8" s="658"/>
      <c r="C8" s="658"/>
      <c r="D8" s="658"/>
      <c r="E8" s="657"/>
      <c r="F8" s="657"/>
      <c r="G8" s="1537"/>
    </row>
    <row r="9" spans="1:8">
      <c r="A9" s="1532">
        <v>4</v>
      </c>
      <c r="B9" s="658" t="s">
        <v>504</v>
      </c>
      <c r="C9" s="658" t="s">
        <v>3083</v>
      </c>
      <c r="D9" s="658" t="s">
        <v>2376</v>
      </c>
      <c r="E9" s="657">
        <v>615000</v>
      </c>
      <c r="F9" s="657">
        <f t="shared" ref="F9" si="3">E9</f>
        <v>615000</v>
      </c>
      <c r="G9" s="1537"/>
    </row>
    <row r="10" spans="1:8">
      <c r="A10" s="1532"/>
      <c r="B10" s="658"/>
      <c r="C10" s="658"/>
      <c r="D10" s="658"/>
      <c r="E10" s="657"/>
      <c r="F10" s="657"/>
      <c r="G10" s="1538"/>
    </row>
    <row r="11" spans="1:8">
      <c r="A11" s="1532">
        <v>5</v>
      </c>
      <c r="B11" s="658" t="s">
        <v>505</v>
      </c>
      <c r="C11" s="658" t="s">
        <v>3083</v>
      </c>
      <c r="D11" s="658" t="s">
        <v>2375</v>
      </c>
      <c r="E11" s="657">
        <v>1025000</v>
      </c>
      <c r="F11" s="657">
        <f t="shared" ref="F11" si="4">E11</f>
        <v>1025000</v>
      </c>
      <c r="G11" s="1537"/>
    </row>
    <row r="12" spans="1:8">
      <c r="A12" s="1532"/>
      <c r="B12" s="658"/>
      <c r="C12" s="658"/>
      <c r="D12" s="658"/>
      <c r="E12" s="657"/>
      <c r="F12" s="657"/>
      <c r="G12" s="1538"/>
    </row>
    <row r="13" spans="1:8">
      <c r="A13" s="1532">
        <v>6</v>
      </c>
      <c r="B13" s="658" t="s">
        <v>507</v>
      </c>
      <c r="C13" s="658" t="s">
        <v>3083</v>
      </c>
      <c r="D13" s="658" t="s">
        <v>3082</v>
      </c>
      <c r="E13" s="657">
        <v>5287000</v>
      </c>
      <c r="F13" s="657">
        <f t="shared" ref="F13" si="5">E13</f>
        <v>5287000</v>
      </c>
      <c r="G13" s="1537"/>
    </row>
    <row r="14" spans="1:8">
      <c r="A14" s="1532"/>
      <c r="B14" s="658"/>
      <c r="C14" s="658"/>
      <c r="D14" s="658"/>
      <c r="E14" s="657"/>
      <c r="F14" s="657"/>
      <c r="G14" s="1538"/>
    </row>
    <row r="15" spans="1:8">
      <c r="A15" s="1532">
        <v>7</v>
      </c>
      <c r="B15" s="658" t="s">
        <v>508</v>
      </c>
      <c r="C15" s="658" t="s">
        <v>3083</v>
      </c>
      <c r="D15" s="658" t="s">
        <v>117</v>
      </c>
      <c r="E15" s="657">
        <v>1100000</v>
      </c>
      <c r="F15" s="657">
        <f t="shared" ref="F15" si="6">E15</f>
        <v>1100000</v>
      </c>
      <c r="G15" s="1537"/>
    </row>
    <row r="16" spans="1:8">
      <c r="A16" s="1532"/>
      <c r="B16" s="658"/>
      <c r="C16" s="658"/>
      <c r="D16" s="658"/>
      <c r="E16" s="657"/>
      <c r="F16" s="657"/>
      <c r="G16" s="1538"/>
    </row>
    <row r="17" spans="1:7">
      <c r="A17" s="1532">
        <v>8</v>
      </c>
      <c r="B17" s="658" t="s">
        <v>3090</v>
      </c>
      <c r="C17" s="658" t="s">
        <v>3089</v>
      </c>
      <c r="D17" s="658" t="s">
        <v>239</v>
      </c>
      <c r="E17" s="657">
        <v>40161</v>
      </c>
      <c r="F17" s="657">
        <v>12035500</v>
      </c>
      <c r="G17" s="1537" t="s">
        <v>3141</v>
      </c>
    </row>
    <row r="18" spans="1:7">
      <c r="A18" s="1532"/>
      <c r="B18" s="658"/>
      <c r="C18" s="658"/>
      <c r="D18" s="658"/>
      <c r="E18" s="657"/>
      <c r="F18" s="657"/>
      <c r="G18" s="1538"/>
    </row>
    <row r="19" spans="1:7">
      <c r="A19" s="1532">
        <v>9</v>
      </c>
      <c r="B19" s="658" t="s">
        <v>509</v>
      </c>
      <c r="C19" s="658" t="s">
        <v>3083</v>
      </c>
      <c r="D19" s="658" t="s">
        <v>2348</v>
      </c>
      <c r="E19" s="657">
        <v>1500000</v>
      </c>
      <c r="F19" s="657">
        <f t="shared" ref="F19" si="7">E19</f>
        <v>1500000</v>
      </c>
      <c r="G19" s="1537"/>
    </row>
    <row r="20" spans="1:7">
      <c r="A20" s="1532"/>
      <c r="B20" s="658"/>
      <c r="C20" s="658"/>
      <c r="D20" s="658"/>
      <c r="E20" s="657"/>
      <c r="F20" s="657"/>
      <c r="G20" s="1538"/>
    </row>
    <row r="21" spans="1:7">
      <c r="A21" s="1532">
        <v>10</v>
      </c>
      <c r="B21" s="658" t="s">
        <v>510</v>
      </c>
      <c r="C21" s="658" t="s">
        <v>3083</v>
      </c>
      <c r="D21" s="658" t="s">
        <v>3084</v>
      </c>
      <c r="E21" s="657">
        <v>5000000</v>
      </c>
      <c r="F21" s="657">
        <f t="shared" ref="F21" si="8">E21</f>
        <v>5000000</v>
      </c>
      <c r="G21" s="1537"/>
    </row>
    <row r="22" spans="1:7">
      <c r="A22" s="1532"/>
      <c r="B22" s="658"/>
      <c r="C22" s="658"/>
      <c r="D22" s="658"/>
      <c r="E22" s="657"/>
      <c r="F22" s="657"/>
      <c r="G22" s="1538"/>
    </row>
    <row r="23" spans="1:7">
      <c r="A23" s="1532">
        <v>11</v>
      </c>
      <c r="B23" s="658" t="s">
        <v>3107</v>
      </c>
      <c r="C23" s="658" t="s">
        <v>3083</v>
      </c>
      <c r="D23" s="658" t="s">
        <v>239</v>
      </c>
      <c r="E23" s="657">
        <v>13000000</v>
      </c>
      <c r="F23" s="657">
        <f t="shared" ref="F23" si="9">E23</f>
        <v>13000000</v>
      </c>
      <c r="G23" s="1537"/>
    </row>
    <row r="24" spans="1:7">
      <c r="A24" s="1532"/>
      <c r="B24" s="658"/>
      <c r="C24" s="658"/>
      <c r="D24" s="658"/>
      <c r="E24" s="657"/>
      <c r="F24" s="657"/>
      <c r="G24" s="1538"/>
    </row>
    <row r="25" spans="1:7">
      <c r="A25" s="1532">
        <v>12</v>
      </c>
      <c r="B25" s="658" t="s">
        <v>526</v>
      </c>
      <c r="C25" s="658" t="s">
        <v>3094</v>
      </c>
      <c r="D25" s="658" t="s">
        <v>1140</v>
      </c>
      <c r="E25" s="657">
        <v>4000000</v>
      </c>
      <c r="F25" s="657">
        <f t="shared" ref="F25" si="10">E25</f>
        <v>4000000</v>
      </c>
      <c r="G25" s="1537"/>
    </row>
    <row r="26" spans="1:7">
      <c r="A26" s="1532"/>
      <c r="B26" s="658"/>
      <c r="C26" s="658"/>
      <c r="D26" s="658"/>
      <c r="E26" s="657"/>
      <c r="F26" s="657"/>
      <c r="G26" s="1538"/>
    </row>
    <row r="27" spans="1:7">
      <c r="A27" s="1532">
        <v>13</v>
      </c>
      <c r="B27" s="658" t="s">
        <v>529</v>
      </c>
      <c r="C27" s="658" t="s">
        <v>3094</v>
      </c>
      <c r="D27" s="658" t="s">
        <v>1601</v>
      </c>
      <c r="E27" s="657">
        <v>12500000</v>
      </c>
      <c r="F27" s="657">
        <f t="shared" ref="F27" si="11">E27</f>
        <v>12500000</v>
      </c>
      <c r="G27" s="1537"/>
    </row>
    <row r="28" spans="1:7">
      <c r="A28" s="1532"/>
      <c r="B28" s="658"/>
      <c r="C28" s="658"/>
      <c r="D28" s="658"/>
      <c r="E28" s="657"/>
      <c r="F28" s="657"/>
      <c r="G28" s="1538"/>
    </row>
    <row r="29" spans="1:7">
      <c r="A29" s="1532">
        <v>14</v>
      </c>
      <c r="B29" s="658" t="s">
        <v>3109</v>
      </c>
      <c r="C29" s="658" t="s">
        <v>3108</v>
      </c>
      <c r="D29" s="658" t="s">
        <v>239</v>
      </c>
      <c r="E29" s="657">
        <v>41777</v>
      </c>
      <c r="F29" s="657">
        <v>12702300</v>
      </c>
      <c r="G29" s="1537" t="s">
        <v>3142</v>
      </c>
    </row>
    <row r="30" spans="1:7">
      <c r="A30" s="1532"/>
      <c r="B30" s="658"/>
      <c r="C30" s="658"/>
      <c r="D30" s="658"/>
      <c r="E30" s="657"/>
      <c r="F30" s="657"/>
      <c r="G30" s="1538"/>
    </row>
    <row r="31" spans="1:7">
      <c r="A31" s="1532">
        <v>15</v>
      </c>
      <c r="B31" s="658" t="s">
        <v>530</v>
      </c>
      <c r="C31" s="658" t="s">
        <v>3095</v>
      </c>
      <c r="D31" s="658" t="s">
        <v>2375</v>
      </c>
      <c r="E31" s="657">
        <v>2000000</v>
      </c>
      <c r="F31" s="657">
        <f t="shared" ref="F31" si="12">E31</f>
        <v>2000000</v>
      </c>
      <c r="G31" s="1537"/>
    </row>
    <row r="32" spans="1:7">
      <c r="A32" s="1532"/>
      <c r="B32" s="658"/>
      <c r="C32" s="658"/>
      <c r="D32" s="658"/>
      <c r="E32" s="657"/>
      <c r="F32" s="657"/>
      <c r="G32" s="1538"/>
    </row>
    <row r="33" spans="1:7">
      <c r="A33" s="1532">
        <v>16</v>
      </c>
      <c r="B33" s="658" t="s">
        <v>531</v>
      </c>
      <c r="C33" s="658" t="s">
        <v>3095</v>
      </c>
      <c r="D33" s="658" t="s">
        <v>117</v>
      </c>
      <c r="E33" s="657">
        <v>1100000</v>
      </c>
      <c r="F33" s="657">
        <f t="shared" ref="F33" si="13">E33</f>
        <v>1100000</v>
      </c>
      <c r="G33" s="1540"/>
    </row>
    <row r="34" spans="1:7">
      <c r="A34" s="1532"/>
      <c r="B34" s="658"/>
      <c r="C34" s="658"/>
      <c r="D34" s="658"/>
      <c r="E34" s="657"/>
      <c r="F34" s="657"/>
      <c r="G34" s="1541"/>
    </row>
    <row r="35" spans="1:7">
      <c r="A35" s="1532">
        <v>17</v>
      </c>
      <c r="B35" s="658" t="s">
        <v>3111</v>
      </c>
      <c r="C35" s="658" t="s">
        <v>3110</v>
      </c>
      <c r="D35" s="658" t="s">
        <v>239</v>
      </c>
      <c r="E35" s="657">
        <v>39162</v>
      </c>
      <c r="F35" s="657">
        <v>11866500</v>
      </c>
      <c r="G35" s="1537" t="s">
        <v>3143</v>
      </c>
    </row>
    <row r="36" spans="1:7">
      <c r="A36" s="1532"/>
      <c r="B36" s="658"/>
      <c r="C36" s="658"/>
      <c r="D36" s="658"/>
      <c r="E36" s="657"/>
      <c r="F36" s="657"/>
      <c r="G36" s="1538"/>
    </row>
    <row r="37" spans="1:7">
      <c r="A37" s="1532">
        <v>18</v>
      </c>
      <c r="B37" s="658" t="s">
        <v>536</v>
      </c>
      <c r="C37" s="658" t="s">
        <v>3105</v>
      </c>
      <c r="D37" s="658" t="s">
        <v>3097</v>
      </c>
      <c r="E37" s="657">
        <v>4400000</v>
      </c>
      <c r="F37" s="657">
        <f t="shared" ref="F37" si="14">E37</f>
        <v>4400000</v>
      </c>
      <c r="G37" s="1537"/>
    </row>
    <row r="38" spans="1:7">
      <c r="A38" s="1532"/>
      <c r="B38" s="658"/>
      <c r="C38" s="658"/>
      <c r="D38" s="658"/>
      <c r="E38" s="657"/>
      <c r="F38" s="657"/>
      <c r="G38" s="1538"/>
    </row>
    <row r="39" spans="1:7">
      <c r="A39" s="1532">
        <v>19</v>
      </c>
      <c r="B39" s="658" t="s">
        <v>535</v>
      </c>
      <c r="C39" s="658" t="s">
        <v>3105</v>
      </c>
      <c r="D39" s="658" t="s">
        <v>1144</v>
      </c>
      <c r="E39" s="657">
        <v>2396000</v>
      </c>
      <c r="F39" s="657">
        <f t="shared" ref="F39" si="15">E39</f>
        <v>2396000</v>
      </c>
      <c r="G39" s="1537"/>
    </row>
    <row r="40" spans="1:7">
      <c r="A40" s="1532"/>
      <c r="B40" s="658"/>
      <c r="C40" s="658"/>
      <c r="D40" s="658"/>
      <c r="E40" s="657"/>
      <c r="F40" s="657"/>
      <c r="G40" s="1538"/>
    </row>
    <row r="41" spans="1:7">
      <c r="A41" s="1532">
        <v>20</v>
      </c>
      <c r="B41" s="658" t="s">
        <v>3113</v>
      </c>
      <c r="C41" s="658" t="s">
        <v>3112</v>
      </c>
      <c r="D41" s="658" t="s">
        <v>239</v>
      </c>
      <c r="E41" s="657">
        <v>40794</v>
      </c>
      <c r="F41" s="657">
        <v>12426700</v>
      </c>
      <c r="G41" s="1537" t="s">
        <v>3144</v>
      </c>
    </row>
    <row r="42" spans="1:7">
      <c r="A42" s="1532"/>
      <c r="B42" s="658"/>
      <c r="C42" s="658"/>
      <c r="D42" s="658"/>
      <c r="E42" s="657"/>
      <c r="F42" s="657"/>
      <c r="G42" s="1538"/>
    </row>
    <row r="43" spans="1:7">
      <c r="A43" s="1532">
        <v>21</v>
      </c>
      <c r="B43" s="658" t="s">
        <v>607</v>
      </c>
      <c r="C43" s="658" t="s">
        <v>3104</v>
      </c>
      <c r="D43" s="658" t="s">
        <v>2723</v>
      </c>
      <c r="E43" s="657">
        <v>4000000</v>
      </c>
      <c r="F43" s="657">
        <f t="shared" ref="F43" si="16">E43</f>
        <v>4000000</v>
      </c>
      <c r="G43" s="1537"/>
    </row>
    <row r="44" spans="1:7">
      <c r="A44" s="1532"/>
      <c r="B44" s="658"/>
      <c r="C44" s="658"/>
      <c r="D44" s="658"/>
      <c r="E44" s="657"/>
      <c r="F44" s="657"/>
      <c r="G44" s="1538"/>
    </row>
    <row r="45" spans="1:7">
      <c r="A45" s="1532">
        <v>22</v>
      </c>
      <c r="B45" s="658" t="s">
        <v>613</v>
      </c>
      <c r="C45" s="658" t="s">
        <v>3104</v>
      </c>
      <c r="D45" s="658" t="s">
        <v>3099</v>
      </c>
      <c r="E45" s="657">
        <v>4000000</v>
      </c>
      <c r="F45" s="657">
        <f t="shared" ref="F45" si="17">E45</f>
        <v>4000000</v>
      </c>
      <c r="G45" s="1537"/>
    </row>
    <row r="46" spans="1:7">
      <c r="A46" s="1532"/>
      <c r="B46" s="658"/>
      <c r="C46" s="658"/>
      <c r="D46" s="658"/>
      <c r="E46" s="657"/>
      <c r="F46" s="657"/>
      <c r="G46" s="1538"/>
    </row>
    <row r="47" spans="1:7">
      <c r="A47" s="1532">
        <v>23</v>
      </c>
      <c r="B47" s="658" t="s">
        <v>614</v>
      </c>
      <c r="C47" s="658" t="s">
        <v>3104</v>
      </c>
      <c r="D47" s="658" t="s">
        <v>3100</v>
      </c>
      <c r="E47" s="657">
        <v>3000000</v>
      </c>
      <c r="F47" s="657">
        <f t="shared" ref="F47" si="18">E47</f>
        <v>3000000</v>
      </c>
      <c r="G47" s="1537"/>
    </row>
    <row r="48" spans="1:7">
      <c r="A48" s="1532"/>
      <c r="B48" s="658"/>
      <c r="C48" s="658"/>
      <c r="D48" s="658"/>
      <c r="E48" s="657"/>
      <c r="F48" s="657"/>
      <c r="G48" s="1538"/>
    </row>
    <row r="49" spans="1:7">
      <c r="A49" s="1532">
        <v>24</v>
      </c>
      <c r="B49" s="658" t="s">
        <v>3114</v>
      </c>
      <c r="C49" s="658" t="s">
        <v>3110</v>
      </c>
      <c r="D49" s="658" t="s">
        <v>239</v>
      </c>
      <c r="E49" s="657">
        <v>38927</v>
      </c>
      <c r="F49" s="657">
        <v>11792300</v>
      </c>
      <c r="G49" s="1537" t="s">
        <v>3143</v>
      </c>
    </row>
    <row r="50" spans="1:7">
      <c r="A50" s="1532"/>
      <c r="B50" s="658"/>
      <c r="C50" s="658"/>
      <c r="D50" s="658"/>
      <c r="E50" s="657"/>
      <c r="F50" s="657"/>
      <c r="G50" s="1538"/>
    </row>
    <row r="51" spans="1:7">
      <c r="A51" s="1532">
        <v>25</v>
      </c>
      <c r="B51" s="658" t="s">
        <v>619</v>
      </c>
      <c r="C51" s="658" t="s">
        <v>3105</v>
      </c>
      <c r="D51" s="658" t="s">
        <v>3101</v>
      </c>
      <c r="E51" s="657">
        <v>4500000</v>
      </c>
      <c r="F51" s="657">
        <f t="shared" ref="F51" si="19">E51</f>
        <v>4500000</v>
      </c>
      <c r="G51" s="1540"/>
    </row>
    <row r="52" spans="1:7">
      <c r="A52" s="1532"/>
      <c r="B52" s="658"/>
      <c r="C52" s="658"/>
      <c r="D52" s="658"/>
      <c r="E52" s="657"/>
      <c r="F52" s="657"/>
      <c r="G52" s="1541"/>
    </row>
    <row r="53" spans="1:7">
      <c r="A53" s="1532">
        <v>26</v>
      </c>
      <c r="B53" s="658" t="s">
        <v>620</v>
      </c>
      <c r="C53" s="658" t="s">
        <v>3105</v>
      </c>
      <c r="D53" s="658" t="s">
        <v>3102</v>
      </c>
      <c r="E53" s="657">
        <v>3500000</v>
      </c>
      <c r="F53" s="657">
        <f t="shared" ref="F53" si="20">E53</f>
        <v>3500000</v>
      </c>
      <c r="G53" s="1537"/>
    </row>
    <row r="54" spans="1:7">
      <c r="A54" s="1532"/>
      <c r="B54" s="658"/>
      <c r="C54" s="658"/>
      <c r="D54" s="658"/>
      <c r="E54" s="657"/>
      <c r="F54" s="657"/>
      <c r="G54" s="1538"/>
    </row>
    <row r="55" spans="1:7">
      <c r="A55" s="1532">
        <v>27</v>
      </c>
      <c r="B55" s="658" t="s">
        <v>621</v>
      </c>
      <c r="C55" s="658" t="s">
        <v>3105</v>
      </c>
      <c r="D55" s="658" t="s">
        <v>1601</v>
      </c>
      <c r="E55" s="657">
        <v>2800000</v>
      </c>
      <c r="F55" s="657">
        <f t="shared" ref="F55" si="21">E55</f>
        <v>2800000</v>
      </c>
      <c r="G55" s="1537"/>
    </row>
    <row r="56" spans="1:7">
      <c r="A56" s="1532"/>
      <c r="B56" s="658"/>
      <c r="C56" s="658"/>
      <c r="D56" s="658"/>
      <c r="E56" s="657"/>
      <c r="F56" s="657"/>
      <c r="G56" s="1538"/>
    </row>
    <row r="57" spans="1:7">
      <c r="A57" s="1532">
        <v>28</v>
      </c>
      <c r="B57" s="658" t="s">
        <v>3115</v>
      </c>
      <c r="C57" s="658" t="s">
        <v>3110</v>
      </c>
      <c r="D57" s="658" t="s">
        <v>239</v>
      </c>
      <c r="E57" s="657">
        <v>39152</v>
      </c>
      <c r="F57" s="657">
        <v>11863500</v>
      </c>
      <c r="G57" s="1537" t="s">
        <v>3143</v>
      </c>
    </row>
    <row r="58" spans="1:7">
      <c r="A58" s="1532"/>
      <c r="B58" s="658"/>
      <c r="C58" s="658"/>
      <c r="D58" s="658"/>
      <c r="E58" s="657"/>
      <c r="F58" s="657"/>
      <c r="G58" s="1537"/>
    </row>
    <row r="59" spans="1:7">
      <c r="A59" s="1532">
        <v>29</v>
      </c>
      <c r="B59" s="658" t="s">
        <v>623</v>
      </c>
      <c r="C59" s="658" t="s">
        <v>3105</v>
      </c>
      <c r="D59" s="658" t="s">
        <v>3103</v>
      </c>
      <c r="E59" s="657">
        <v>4000000</v>
      </c>
      <c r="F59" s="657">
        <f t="shared" ref="F59" si="22">E59</f>
        <v>4000000</v>
      </c>
      <c r="G59" s="1537"/>
    </row>
    <row r="60" spans="1:7">
      <c r="A60" s="1532"/>
      <c r="B60" s="658"/>
      <c r="C60" s="658"/>
      <c r="D60" s="658"/>
      <c r="E60" s="657"/>
      <c r="F60" s="657"/>
      <c r="G60" s="1538"/>
    </row>
    <row r="61" spans="1:7">
      <c r="A61" s="1532">
        <v>30</v>
      </c>
      <c r="B61" s="658" t="s">
        <v>624</v>
      </c>
      <c r="C61" s="658" t="s">
        <v>3105</v>
      </c>
      <c r="D61" s="658" t="s">
        <v>117</v>
      </c>
      <c r="E61" s="657">
        <v>1100000</v>
      </c>
      <c r="F61" s="657">
        <f t="shared" ref="F61" si="23">E61</f>
        <v>1100000</v>
      </c>
      <c r="G61" s="1537"/>
    </row>
    <row r="62" spans="1:7">
      <c r="A62" s="1532"/>
      <c r="B62" s="658"/>
      <c r="C62" s="658"/>
      <c r="D62" s="658"/>
      <c r="E62" s="657"/>
      <c r="F62" s="657"/>
      <c r="G62" s="1538"/>
    </row>
    <row r="63" spans="1:7">
      <c r="A63" s="1532">
        <v>31</v>
      </c>
      <c r="B63" s="658" t="s">
        <v>631</v>
      </c>
      <c r="C63" s="658" t="s">
        <v>3105</v>
      </c>
      <c r="D63" s="658" t="s">
        <v>2375</v>
      </c>
      <c r="E63" s="657">
        <v>500000</v>
      </c>
      <c r="F63" s="657">
        <f t="shared" ref="F63" si="24">E63</f>
        <v>500000</v>
      </c>
      <c r="G63" s="1540"/>
    </row>
    <row r="64" spans="1:7">
      <c r="A64" s="1532"/>
      <c r="B64" s="658"/>
      <c r="C64" s="658"/>
      <c r="D64" s="658"/>
      <c r="E64" s="657"/>
      <c r="F64" s="657"/>
      <c r="G64" s="1541"/>
    </row>
    <row r="65" spans="1:7">
      <c r="A65" s="1532">
        <v>32</v>
      </c>
      <c r="B65" s="658" t="s">
        <v>3124</v>
      </c>
      <c r="C65" s="658" t="s">
        <v>3105</v>
      </c>
      <c r="D65" s="658" t="s">
        <v>239</v>
      </c>
      <c r="E65" s="657">
        <v>41104</v>
      </c>
      <c r="F65" s="657">
        <v>12543700</v>
      </c>
      <c r="G65" s="1537" t="s">
        <v>3145</v>
      </c>
    </row>
    <row r="66" spans="1:7">
      <c r="A66" s="1532"/>
      <c r="B66" s="658"/>
      <c r="C66" s="658"/>
      <c r="D66" s="658"/>
      <c r="E66" s="657"/>
      <c r="F66" s="657"/>
      <c r="G66" s="1538"/>
    </row>
    <row r="67" spans="1:7">
      <c r="A67" s="1532">
        <v>33</v>
      </c>
      <c r="B67" s="658" t="s">
        <v>632</v>
      </c>
      <c r="C67" s="658" t="s">
        <v>3122</v>
      </c>
      <c r="D67" s="658" t="s">
        <v>3118</v>
      </c>
      <c r="E67" s="657">
        <v>4200000</v>
      </c>
      <c r="F67" s="657">
        <f t="shared" ref="F67" si="25">E67</f>
        <v>4200000</v>
      </c>
      <c r="G67" s="1537"/>
    </row>
    <row r="68" spans="1:7">
      <c r="A68" s="1532"/>
      <c r="B68" s="658"/>
      <c r="C68" s="658"/>
      <c r="D68" s="658"/>
      <c r="E68" s="657"/>
      <c r="F68" s="657"/>
      <c r="G68" s="1538"/>
    </row>
    <row r="69" spans="1:7">
      <c r="A69" s="1532">
        <v>34</v>
      </c>
      <c r="B69" s="658" t="s">
        <v>633</v>
      </c>
      <c r="C69" s="658" t="s">
        <v>3122</v>
      </c>
      <c r="D69" s="658" t="s">
        <v>3119</v>
      </c>
      <c r="E69" s="657">
        <v>1000000</v>
      </c>
      <c r="F69" s="657">
        <f t="shared" ref="F69" si="26">E69</f>
        <v>1000000</v>
      </c>
      <c r="G69" s="1537"/>
    </row>
    <row r="70" spans="1:7">
      <c r="A70" s="1532"/>
      <c r="B70" s="658"/>
      <c r="C70" s="658"/>
      <c r="D70" s="658"/>
      <c r="E70" s="657"/>
      <c r="F70" s="657"/>
      <c r="G70" s="1538"/>
    </row>
    <row r="71" spans="1:7">
      <c r="A71" s="1532">
        <v>35</v>
      </c>
      <c r="B71" s="658" t="s">
        <v>634</v>
      </c>
      <c r="C71" s="658" t="s">
        <v>3122</v>
      </c>
      <c r="D71" s="658" t="s">
        <v>3119</v>
      </c>
      <c r="E71" s="657">
        <v>1500000</v>
      </c>
      <c r="F71" s="657">
        <f t="shared" ref="F71" si="27">E71</f>
        <v>1500000</v>
      </c>
      <c r="G71" s="1537"/>
    </row>
    <row r="72" spans="1:7">
      <c r="A72" s="1532"/>
      <c r="B72" s="658"/>
      <c r="C72" s="658"/>
      <c r="D72" s="658"/>
      <c r="E72" s="657"/>
      <c r="F72" s="657"/>
      <c r="G72" s="1538"/>
    </row>
    <row r="73" spans="1:7">
      <c r="A73" s="1532">
        <v>36</v>
      </c>
      <c r="B73" s="658" t="s">
        <v>3126</v>
      </c>
      <c r="C73" s="658" t="s">
        <v>3125</v>
      </c>
      <c r="D73" s="658" t="s">
        <v>239</v>
      </c>
      <c r="E73" s="657">
        <v>39322</v>
      </c>
      <c r="F73" s="657">
        <v>12101000</v>
      </c>
      <c r="G73" s="1537" t="s">
        <v>3146</v>
      </c>
    </row>
    <row r="74" spans="1:7">
      <c r="A74" s="1532"/>
      <c r="B74" s="658"/>
      <c r="C74" s="658"/>
      <c r="D74" s="658"/>
      <c r="E74" s="657"/>
      <c r="F74" s="657"/>
      <c r="G74" s="1538"/>
    </row>
    <row r="75" spans="1:7">
      <c r="A75" s="1532">
        <v>37</v>
      </c>
      <c r="B75" s="658" t="s">
        <v>653</v>
      </c>
      <c r="C75" s="658" t="s">
        <v>3120</v>
      </c>
      <c r="D75" s="658" t="s">
        <v>3121</v>
      </c>
      <c r="E75" s="657">
        <v>1100000</v>
      </c>
      <c r="F75" s="657">
        <f t="shared" ref="F75" si="28">E75</f>
        <v>1100000</v>
      </c>
      <c r="G75" s="1537"/>
    </row>
    <row r="76" spans="1:7">
      <c r="A76" s="1532"/>
      <c r="B76" s="658"/>
      <c r="C76" s="658"/>
      <c r="D76" s="658"/>
      <c r="E76" s="657"/>
      <c r="F76" s="657"/>
      <c r="G76" s="1538"/>
    </row>
    <row r="77" spans="1:7">
      <c r="A77" s="1532">
        <v>38</v>
      </c>
      <c r="B77" s="658" t="s">
        <v>642</v>
      </c>
      <c r="C77" s="658" t="s">
        <v>3120</v>
      </c>
      <c r="D77" s="658" t="s">
        <v>3121</v>
      </c>
      <c r="E77" s="657">
        <v>8000000</v>
      </c>
      <c r="F77" s="657">
        <f t="shared" ref="F77" si="29">E77</f>
        <v>8000000</v>
      </c>
      <c r="G77" s="1537"/>
    </row>
    <row r="78" spans="1:7">
      <c r="A78" s="1532"/>
      <c r="B78" s="658"/>
      <c r="C78" s="658"/>
      <c r="D78" s="658"/>
      <c r="E78" s="657"/>
      <c r="F78" s="657"/>
      <c r="G78" s="1538"/>
    </row>
    <row r="79" spans="1:7">
      <c r="A79" s="1532">
        <v>39</v>
      </c>
      <c r="B79" s="658" t="s">
        <v>646</v>
      </c>
      <c r="C79" s="658" t="s">
        <v>3120</v>
      </c>
      <c r="D79" s="658" t="s">
        <v>2348</v>
      </c>
      <c r="E79" s="657">
        <v>750000</v>
      </c>
      <c r="F79" s="657">
        <f t="shared" ref="F79" si="30">E79</f>
        <v>750000</v>
      </c>
      <c r="G79" s="1542"/>
    </row>
    <row r="80" spans="1:7">
      <c r="A80" s="1532"/>
      <c r="B80" s="658"/>
      <c r="C80" s="658"/>
      <c r="D80" s="658"/>
      <c r="E80" s="657"/>
      <c r="F80" s="657"/>
      <c r="G80" s="1543"/>
    </row>
    <row r="81" spans="1:7">
      <c r="A81" s="1532">
        <v>40</v>
      </c>
      <c r="B81" s="658" t="s">
        <v>3127</v>
      </c>
      <c r="C81" s="658" t="s">
        <v>3125</v>
      </c>
      <c r="D81" s="658" t="s">
        <v>239</v>
      </c>
      <c r="E81" s="657">
        <v>39322</v>
      </c>
      <c r="F81" s="657">
        <v>12101000</v>
      </c>
      <c r="G81" s="1542" t="s">
        <v>3146</v>
      </c>
    </row>
    <row r="82" spans="1:7">
      <c r="A82" s="1532"/>
      <c r="B82" s="658"/>
      <c r="C82" s="658"/>
      <c r="D82" s="658"/>
      <c r="E82" s="657"/>
      <c r="F82" s="657"/>
      <c r="G82" s="1543"/>
    </row>
    <row r="83" spans="1:7">
      <c r="A83" s="1532">
        <v>41</v>
      </c>
      <c r="B83" s="658" t="s">
        <v>3128</v>
      </c>
      <c r="C83" s="658" t="s">
        <v>3125</v>
      </c>
      <c r="D83" s="658" t="s">
        <v>239</v>
      </c>
      <c r="E83" s="657">
        <v>39322</v>
      </c>
      <c r="F83" s="657">
        <v>12101000</v>
      </c>
      <c r="G83" s="1542" t="s">
        <v>3146</v>
      </c>
    </row>
    <row r="84" spans="1:7">
      <c r="A84" s="1532"/>
      <c r="B84" s="658"/>
      <c r="C84" s="658"/>
      <c r="D84" s="658"/>
      <c r="E84" s="657"/>
      <c r="F84" s="657"/>
      <c r="G84" s="1543"/>
    </row>
    <row r="85" spans="1:7">
      <c r="A85" s="1532">
        <v>42</v>
      </c>
      <c r="B85" s="658" t="s">
        <v>648</v>
      </c>
      <c r="C85" s="658" t="s">
        <v>3123</v>
      </c>
      <c r="D85" s="658" t="s">
        <v>2409</v>
      </c>
      <c r="E85" s="657">
        <v>4500000</v>
      </c>
      <c r="F85" s="657">
        <f t="shared" ref="F85" si="31">E85</f>
        <v>4500000</v>
      </c>
      <c r="G85" s="1542"/>
    </row>
    <row r="86" spans="1:7">
      <c r="A86" s="1532"/>
      <c r="B86" s="658"/>
      <c r="C86" s="658"/>
      <c r="D86" s="658"/>
      <c r="E86" s="657"/>
      <c r="F86" s="657"/>
      <c r="G86" s="1543"/>
    </row>
    <row r="87" spans="1:7">
      <c r="A87" s="1532">
        <v>43</v>
      </c>
      <c r="B87" s="658" t="s">
        <v>650</v>
      </c>
      <c r="C87" s="658" t="s">
        <v>3123</v>
      </c>
      <c r="D87" s="658" t="s">
        <v>117</v>
      </c>
      <c r="E87" s="657">
        <v>1100000</v>
      </c>
      <c r="F87" s="657">
        <f t="shared" ref="F87" si="32">E87</f>
        <v>1100000</v>
      </c>
      <c r="G87" s="1542"/>
    </row>
    <row r="88" spans="1:7">
      <c r="A88" s="1532"/>
      <c r="B88" s="658"/>
      <c r="C88" s="658"/>
      <c r="D88" s="658"/>
      <c r="E88" s="657"/>
      <c r="F88" s="657"/>
      <c r="G88" s="1543"/>
    </row>
    <row r="89" spans="1:7">
      <c r="A89" s="1532">
        <v>44</v>
      </c>
      <c r="B89" s="658" t="s">
        <v>652</v>
      </c>
      <c r="C89" s="658" t="s">
        <v>3123</v>
      </c>
      <c r="D89" s="658" t="s">
        <v>2376</v>
      </c>
      <c r="E89" s="657">
        <v>725000</v>
      </c>
      <c r="F89" s="657">
        <f t="shared" ref="F89" si="33">E89</f>
        <v>725000</v>
      </c>
      <c r="G89" s="1542"/>
    </row>
    <row r="90" spans="1:7">
      <c r="A90" s="1532"/>
      <c r="B90" s="658"/>
      <c r="C90" s="658"/>
      <c r="D90" s="658"/>
      <c r="E90" s="657"/>
      <c r="F90" s="657"/>
      <c r="G90" s="1543"/>
    </row>
    <row r="91" spans="1:7">
      <c r="A91" s="1532">
        <v>45</v>
      </c>
      <c r="B91" s="658" t="s">
        <v>3133</v>
      </c>
      <c r="C91" s="658" t="s">
        <v>3123</v>
      </c>
      <c r="D91" s="658" t="s">
        <v>239</v>
      </c>
      <c r="E91" s="657">
        <v>43539</v>
      </c>
      <c r="F91" s="657">
        <v>13347800</v>
      </c>
      <c r="G91" s="1542" t="s">
        <v>3147</v>
      </c>
    </row>
    <row r="92" spans="1:7">
      <c r="A92" s="1532"/>
      <c r="B92" s="658"/>
      <c r="C92" s="658"/>
      <c r="D92" s="658"/>
      <c r="E92" s="657"/>
      <c r="F92" s="657"/>
      <c r="G92" s="1543"/>
    </row>
    <row r="93" spans="1:7">
      <c r="A93" s="1532">
        <v>46</v>
      </c>
      <c r="B93" s="658" t="s">
        <v>653</v>
      </c>
      <c r="C93" s="658" t="s">
        <v>3132</v>
      </c>
      <c r="D93" s="658" t="s">
        <v>2723</v>
      </c>
      <c r="E93" s="657">
        <v>8500000</v>
      </c>
      <c r="F93" s="657">
        <f t="shared" ref="F93" si="34">E93</f>
        <v>8500000</v>
      </c>
      <c r="G93" s="1542"/>
    </row>
    <row r="94" spans="1:7">
      <c r="A94" s="1532"/>
      <c r="B94" s="658"/>
      <c r="C94" s="658"/>
      <c r="D94" s="658"/>
      <c r="E94" s="657"/>
      <c r="F94" s="657"/>
      <c r="G94" s="1543"/>
    </row>
    <row r="95" spans="1:7">
      <c r="A95" s="1532">
        <v>47</v>
      </c>
      <c r="B95" s="658" t="s">
        <v>3134</v>
      </c>
      <c r="C95" s="658" t="s">
        <v>3123</v>
      </c>
      <c r="D95" s="658" t="s">
        <v>239</v>
      </c>
      <c r="E95" s="657">
        <v>43823</v>
      </c>
      <c r="F95" s="657">
        <v>13434800</v>
      </c>
      <c r="G95" s="1542" t="s">
        <v>3147</v>
      </c>
    </row>
    <row r="96" spans="1:7">
      <c r="A96" s="1532"/>
      <c r="B96" s="658"/>
      <c r="C96" s="658"/>
      <c r="D96" s="658"/>
      <c r="E96" s="657"/>
      <c r="F96" s="657"/>
      <c r="G96" s="1543"/>
    </row>
    <row r="97" spans="1:7">
      <c r="A97" s="1532">
        <v>48</v>
      </c>
      <c r="B97" s="658" t="s">
        <v>654</v>
      </c>
      <c r="C97" s="658" t="s">
        <v>3130</v>
      </c>
      <c r="D97" s="658" t="s">
        <v>3129</v>
      </c>
      <c r="E97" s="657">
        <v>13000000</v>
      </c>
      <c r="F97" s="657">
        <f t="shared" ref="F97" si="35">E97</f>
        <v>13000000</v>
      </c>
      <c r="G97" s="1542"/>
    </row>
    <row r="98" spans="1:7">
      <c r="A98" s="1532"/>
      <c r="B98" s="658"/>
      <c r="C98" s="658"/>
      <c r="D98" s="658"/>
      <c r="E98" s="657"/>
      <c r="F98" s="657"/>
      <c r="G98" s="1543"/>
    </row>
    <row r="99" spans="1:7">
      <c r="A99" s="1532">
        <v>49</v>
      </c>
      <c r="B99" s="658" t="s">
        <v>3136</v>
      </c>
      <c r="C99" s="658" t="s">
        <v>3132</v>
      </c>
      <c r="D99" s="658" t="s">
        <v>239</v>
      </c>
      <c r="E99" s="657">
        <v>13500000</v>
      </c>
      <c r="F99" s="657">
        <f t="shared" ref="F99" si="36">E99</f>
        <v>13500000</v>
      </c>
      <c r="G99" s="1542"/>
    </row>
    <row r="100" spans="1:7">
      <c r="A100" s="1532"/>
      <c r="B100" s="658"/>
      <c r="C100" s="658"/>
      <c r="D100" s="658"/>
      <c r="E100" s="657"/>
      <c r="F100" s="657"/>
      <c r="G100" s="1543"/>
    </row>
    <row r="101" spans="1:7">
      <c r="A101" s="1532">
        <v>50</v>
      </c>
      <c r="B101" s="658" t="s">
        <v>3137</v>
      </c>
      <c r="C101" s="658" t="s">
        <v>3132</v>
      </c>
      <c r="D101" s="658" t="s">
        <v>239</v>
      </c>
      <c r="E101" s="657">
        <v>13500000</v>
      </c>
      <c r="F101" s="657">
        <f t="shared" ref="F101" si="37">E101</f>
        <v>13500000</v>
      </c>
      <c r="G101" s="1542"/>
    </row>
    <row r="102" spans="1:7">
      <c r="A102" s="1532"/>
      <c r="B102" s="658"/>
      <c r="C102" s="658"/>
      <c r="D102" s="658"/>
      <c r="E102" s="657"/>
      <c r="F102" s="657"/>
      <c r="G102" s="1543"/>
    </row>
  </sheetData>
  <mergeCells count="351">
    <mergeCell ref="G85:G86"/>
    <mergeCell ref="G87:G88"/>
    <mergeCell ref="G89:G90"/>
    <mergeCell ref="G91:G92"/>
    <mergeCell ref="G93:G94"/>
    <mergeCell ref="G95:G96"/>
    <mergeCell ref="G97:G98"/>
    <mergeCell ref="G99:G100"/>
    <mergeCell ref="G101:G102"/>
    <mergeCell ref="A93:A94"/>
    <mergeCell ref="A95:A96"/>
    <mergeCell ref="A97:A98"/>
    <mergeCell ref="A99:A100"/>
    <mergeCell ref="A101:A102"/>
    <mergeCell ref="A81:A82"/>
    <mergeCell ref="A83:A84"/>
    <mergeCell ref="A85:A86"/>
    <mergeCell ref="A87:A88"/>
    <mergeCell ref="A89:A90"/>
    <mergeCell ref="A91:A92"/>
    <mergeCell ref="E99:E100"/>
    <mergeCell ref="F99:F100"/>
    <mergeCell ref="B101:B102"/>
    <mergeCell ref="C101:C102"/>
    <mergeCell ref="D101:D102"/>
    <mergeCell ref="E101:E102"/>
    <mergeCell ref="F101:F102"/>
    <mergeCell ref="E93:E94"/>
    <mergeCell ref="F93:F94"/>
    <mergeCell ref="E95:E96"/>
    <mergeCell ref="F95:F96"/>
    <mergeCell ref="E97:E98"/>
    <mergeCell ref="F97:F98"/>
    <mergeCell ref="B97:B98"/>
    <mergeCell ref="C97:C98"/>
    <mergeCell ref="D97:D98"/>
    <mergeCell ref="B99:B100"/>
    <mergeCell ref="C99:C100"/>
    <mergeCell ref="D99:D100"/>
    <mergeCell ref="B93:B94"/>
    <mergeCell ref="C93:C94"/>
    <mergeCell ref="D93:D94"/>
    <mergeCell ref="B95:B96"/>
    <mergeCell ref="C95:C96"/>
    <mergeCell ref="E87:E88"/>
    <mergeCell ref="F87:F88"/>
    <mergeCell ref="E89:E90"/>
    <mergeCell ref="F89:F90"/>
    <mergeCell ref="E91:E92"/>
    <mergeCell ref="F91:F92"/>
    <mergeCell ref="E81:E82"/>
    <mergeCell ref="F81:F82"/>
    <mergeCell ref="E83:E84"/>
    <mergeCell ref="F83:F84"/>
    <mergeCell ref="E85:E86"/>
    <mergeCell ref="F85:F86"/>
    <mergeCell ref="D95:D96"/>
    <mergeCell ref="B89:B90"/>
    <mergeCell ref="C89:C90"/>
    <mergeCell ref="D89:D90"/>
    <mergeCell ref="B91:B92"/>
    <mergeCell ref="C91:C92"/>
    <mergeCell ref="D91:D92"/>
    <mergeCell ref="B85:B86"/>
    <mergeCell ref="C85:C86"/>
    <mergeCell ref="D85:D86"/>
    <mergeCell ref="B87:B88"/>
    <mergeCell ref="C87:C88"/>
    <mergeCell ref="D87:D88"/>
    <mergeCell ref="B81:B82"/>
    <mergeCell ref="C81:C82"/>
    <mergeCell ref="D81:D82"/>
    <mergeCell ref="B83:B84"/>
    <mergeCell ref="C83:C84"/>
    <mergeCell ref="D83:D8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81:G82"/>
    <mergeCell ref="G83:G84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"/>
  <sheetViews>
    <sheetView workbookViewId="0">
      <selection sqref="A1:G80"/>
    </sheetView>
  </sheetViews>
  <sheetFormatPr defaultRowHeight="12.75"/>
  <cols>
    <col min="2" max="2" width="13.28515625" customWidth="1"/>
    <col min="4" max="4" width="30.85546875" customWidth="1"/>
    <col min="5" max="5" width="16.85546875" customWidth="1"/>
    <col min="6" max="6" width="17.140625" customWidth="1"/>
    <col min="7" max="7" width="8" customWidth="1"/>
    <col min="8" max="8" width="17.140625" customWidth="1"/>
  </cols>
  <sheetData>
    <row r="1" spans="1:8" ht="15">
      <c r="A1" s="580" t="s">
        <v>2925</v>
      </c>
      <c r="B1" s="580"/>
      <c r="C1" s="580"/>
      <c r="D1" s="580"/>
      <c r="E1" s="580"/>
      <c r="F1" s="580"/>
      <c r="G1" s="580"/>
    </row>
    <row r="2" spans="1:8" ht="15">
      <c r="A2" s="1539" t="s">
        <v>3091</v>
      </c>
      <c r="B2" s="1539"/>
      <c r="C2" s="1539"/>
      <c r="D2" s="1539"/>
      <c r="E2" s="1539"/>
      <c r="F2" s="1539"/>
      <c r="G2" s="1539"/>
      <c r="H2" s="579">
        <f>SUM(F3:F80)</f>
        <v>221765040</v>
      </c>
    </row>
    <row r="3" spans="1:8">
      <c r="A3" s="1532">
        <v>1</v>
      </c>
      <c r="B3" s="658" t="s">
        <v>371</v>
      </c>
      <c r="C3" s="658" t="s">
        <v>3036</v>
      </c>
      <c r="D3" s="658" t="s">
        <v>3025</v>
      </c>
      <c r="E3" s="657">
        <v>960700</v>
      </c>
      <c r="F3" s="657">
        <f t="shared" ref="F3" si="0">E3</f>
        <v>960700</v>
      </c>
      <c r="G3" s="1537"/>
    </row>
    <row r="4" spans="1:8">
      <c r="A4" s="1532"/>
      <c r="B4" s="658"/>
      <c r="C4" s="658"/>
      <c r="D4" s="658"/>
      <c r="E4" s="657"/>
      <c r="F4" s="657"/>
      <c r="G4" s="1538"/>
    </row>
    <row r="5" spans="1:8">
      <c r="A5" s="1532">
        <v>2</v>
      </c>
      <c r="B5" s="658" t="s">
        <v>375</v>
      </c>
      <c r="C5" s="658" t="s">
        <v>3036</v>
      </c>
      <c r="D5" s="658" t="s">
        <v>3031</v>
      </c>
      <c r="E5" s="657">
        <v>2800000</v>
      </c>
      <c r="F5" s="657">
        <f t="shared" ref="F5" si="1">E5</f>
        <v>2800000</v>
      </c>
      <c r="G5" s="1537"/>
    </row>
    <row r="6" spans="1:8">
      <c r="A6" s="1532"/>
      <c r="B6" s="658"/>
      <c r="C6" s="658"/>
      <c r="D6" s="658"/>
      <c r="E6" s="657"/>
      <c r="F6" s="657"/>
      <c r="G6" s="1538"/>
    </row>
    <row r="7" spans="1:8">
      <c r="A7" s="1532">
        <v>3</v>
      </c>
      <c r="B7" s="658" t="s">
        <v>399</v>
      </c>
      <c r="C7" s="658" t="s">
        <v>3036</v>
      </c>
      <c r="D7" s="658" t="s">
        <v>3032</v>
      </c>
      <c r="E7" s="657">
        <v>3000000</v>
      </c>
      <c r="F7" s="657">
        <f t="shared" ref="F7" si="2">E7</f>
        <v>3000000</v>
      </c>
      <c r="G7" s="1537"/>
    </row>
    <row r="8" spans="1:8">
      <c r="A8" s="1532"/>
      <c r="B8" s="658"/>
      <c r="C8" s="658"/>
      <c r="D8" s="658"/>
      <c r="E8" s="657"/>
      <c r="F8" s="657"/>
      <c r="G8" s="1537"/>
    </row>
    <row r="9" spans="1:8">
      <c r="A9" s="1532">
        <v>4</v>
      </c>
      <c r="B9" s="658" t="s">
        <v>403</v>
      </c>
      <c r="C9" s="658" t="s">
        <v>3036</v>
      </c>
      <c r="D9" s="658" t="s">
        <v>1601</v>
      </c>
      <c r="E9" s="657">
        <v>4700000</v>
      </c>
      <c r="F9" s="657">
        <f t="shared" ref="F9" si="3">E9</f>
        <v>4700000</v>
      </c>
      <c r="G9" s="1537"/>
    </row>
    <row r="10" spans="1:8">
      <c r="A10" s="1532"/>
      <c r="B10" s="658"/>
      <c r="C10" s="658"/>
      <c r="D10" s="658"/>
      <c r="E10" s="657"/>
      <c r="F10" s="657"/>
      <c r="G10" s="1538"/>
    </row>
    <row r="11" spans="1:8">
      <c r="A11" s="1532">
        <v>5</v>
      </c>
      <c r="B11" s="658" t="s">
        <v>405</v>
      </c>
      <c r="C11" s="658" t="s">
        <v>3036</v>
      </c>
      <c r="D11" s="658" t="s">
        <v>3033</v>
      </c>
      <c r="E11" s="657">
        <v>5000000</v>
      </c>
      <c r="F11" s="657">
        <f t="shared" ref="F11" si="4">E11</f>
        <v>5000000</v>
      </c>
      <c r="G11" s="1537"/>
    </row>
    <row r="12" spans="1:8">
      <c r="A12" s="1532"/>
      <c r="B12" s="658"/>
      <c r="C12" s="658"/>
      <c r="D12" s="658"/>
      <c r="E12" s="657"/>
      <c r="F12" s="657"/>
      <c r="G12" s="1538"/>
    </row>
    <row r="13" spans="1:8">
      <c r="A13" s="1532">
        <v>6</v>
      </c>
      <c r="B13" s="658" t="s">
        <v>406</v>
      </c>
      <c r="C13" s="658" t="s">
        <v>3036</v>
      </c>
      <c r="D13" s="658" t="s">
        <v>3034</v>
      </c>
      <c r="E13" s="657">
        <v>3000000</v>
      </c>
      <c r="F13" s="657">
        <f t="shared" ref="F13" si="5">E13</f>
        <v>3000000</v>
      </c>
      <c r="G13" s="1537"/>
    </row>
    <row r="14" spans="1:8">
      <c r="A14" s="1532"/>
      <c r="B14" s="658"/>
      <c r="C14" s="658"/>
      <c r="D14" s="658"/>
      <c r="E14" s="657"/>
      <c r="F14" s="657"/>
      <c r="G14" s="1538"/>
    </row>
    <row r="15" spans="1:8">
      <c r="A15" s="1532">
        <v>7</v>
      </c>
      <c r="B15" s="658" t="s">
        <v>413</v>
      </c>
      <c r="C15" s="658" t="s">
        <v>3036</v>
      </c>
      <c r="D15" s="658" t="s">
        <v>1144</v>
      </c>
      <c r="E15" s="657">
        <v>3040000</v>
      </c>
      <c r="F15" s="657">
        <f t="shared" ref="F15" si="6">E15</f>
        <v>3040000</v>
      </c>
      <c r="G15" s="1537"/>
    </row>
    <row r="16" spans="1:8">
      <c r="A16" s="1532"/>
      <c r="B16" s="658"/>
      <c r="C16" s="658"/>
      <c r="D16" s="658"/>
      <c r="E16" s="657"/>
      <c r="F16" s="657"/>
      <c r="G16" s="1538"/>
    </row>
    <row r="17" spans="1:7">
      <c r="A17" s="1532">
        <v>8</v>
      </c>
      <c r="B17" s="658" t="s">
        <v>416</v>
      </c>
      <c r="C17" s="658" t="s">
        <v>3036</v>
      </c>
      <c r="D17" s="658" t="s">
        <v>2547</v>
      </c>
      <c r="E17" s="657">
        <v>2700000</v>
      </c>
      <c r="F17" s="657">
        <f t="shared" ref="F17" si="7">E17</f>
        <v>2700000</v>
      </c>
      <c r="G17" s="1537"/>
    </row>
    <row r="18" spans="1:7">
      <c r="A18" s="1532"/>
      <c r="B18" s="658"/>
      <c r="C18" s="658"/>
      <c r="D18" s="658"/>
      <c r="E18" s="657"/>
      <c r="F18" s="657"/>
      <c r="G18" s="1538"/>
    </row>
    <row r="19" spans="1:7">
      <c r="A19" s="1532">
        <v>9</v>
      </c>
      <c r="B19" s="658" t="s">
        <v>3042</v>
      </c>
      <c r="C19" s="658" t="s">
        <v>3041</v>
      </c>
      <c r="D19" s="658" t="s">
        <v>239</v>
      </c>
      <c r="E19" s="657">
        <v>12500000</v>
      </c>
      <c r="F19" s="657">
        <f t="shared" ref="F19" si="8">E19</f>
        <v>12500000</v>
      </c>
      <c r="G19" s="1537"/>
    </row>
    <row r="20" spans="1:7">
      <c r="A20" s="1532"/>
      <c r="B20" s="658"/>
      <c r="C20" s="658"/>
      <c r="D20" s="658"/>
      <c r="E20" s="657"/>
      <c r="F20" s="657"/>
      <c r="G20" s="1538"/>
    </row>
    <row r="21" spans="1:7">
      <c r="A21" s="1532">
        <v>10</v>
      </c>
      <c r="B21" s="658" t="s">
        <v>432</v>
      </c>
      <c r="C21" s="658" t="s">
        <v>3045</v>
      </c>
      <c r="D21" s="658" t="s">
        <v>2348</v>
      </c>
      <c r="E21" s="657">
        <v>1000000</v>
      </c>
      <c r="F21" s="657">
        <f t="shared" ref="F21" si="9">E21</f>
        <v>1000000</v>
      </c>
      <c r="G21" s="1537"/>
    </row>
    <row r="22" spans="1:7">
      <c r="A22" s="1532"/>
      <c r="B22" s="658"/>
      <c r="C22" s="658"/>
      <c r="D22" s="658"/>
      <c r="E22" s="657"/>
      <c r="F22" s="657"/>
      <c r="G22" s="1538"/>
    </row>
    <row r="23" spans="1:7">
      <c r="A23" s="1532">
        <v>11</v>
      </c>
      <c r="B23" s="658" t="s">
        <v>433</v>
      </c>
      <c r="C23" s="658" t="s">
        <v>3045</v>
      </c>
      <c r="D23" s="658" t="s">
        <v>3043</v>
      </c>
      <c r="E23" s="657">
        <v>5000000</v>
      </c>
      <c r="F23" s="657">
        <f t="shared" ref="F23" si="10">E23</f>
        <v>5000000</v>
      </c>
      <c r="G23" s="1537"/>
    </row>
    <row r="24" spans="1:7">
      <c r="A24" s="1532"/>
      <c r="B24" s="658"/>
      <c r="C24" s="658"/>
      <c r="D24" s="658"/>
      <c r="E24" s="657"/>
      <c r="F24" s="657"/>
      <c r="G24" s="1538"/>
    </row>
    <row r="25" spans="1:7">
      <c r="A25" s="1532">
        <v>12</v>
      </c>
      <c r="B25" s="658" t="s">
        <v>3044</v>
      </c>
      <c r="C25" s="658" t="s">
        <v>3041</v>
      </c>
      <c r="D25" s="658" t="s">
        <v>239</v>
      </c>
      <c r="E25" s="657">
        <v>42341</v>
      </c>
      <c r="F25" s="657">
        <v>12484250</v>
      </c>
      <c r="G25" s="1537">
        <v>294.85000000000002</v>
      </c>
    </row>
    <row r="26" spans="1:7">
      <c r="A26" s="1532"/>
      <c r="B26" s="658"/>
      <c r="C26" s="658"/>
      <c r="D26" s="658"/>
      <c r="E26" s="657"/>
      <c r="F26" s="657"/>
      <c r="G26" s="1538"/>
    </row>
    <row r="27" spans="1:7">
      <c r="A27" s="1532">
        <v>13</v>
      </c>
      <c r="B27" s="658" t="s">
        <v>420</v>
      </c>
      <c r="C27" s="658" t="s">
        <v>3045</v>
      </c>
      <c r="D27" s="658" t="s">
        <v>1601</v>
      </c>
      <c r="E27" s="657">
        <v>11000000</v>
      </c>
      <c r="F27" s="657">
        <f t="shared" ref="F27" si="11">E27</f>
        <v>11000000</v>
      </c>
      <c r="G27" s="1537"/>
    </row>
    <row r="28" spans="1:7">
      <c r="A28" s="1532"/>
      <c r="B28" s="658"/>
      <c r="C28" s="658"/>
      <c r="D28" s="658"/>
      <c r="E28" s="657"/>
      <c r="F28" s="657"/>
      <c r="G28" s="1538"/>
    </row>
    <row r="29" spans="1:7">
      <c r="A29" s="1532">
        <v>14</v>
      </c>
      <c r="B29" s="658" t="s">
        <v>3060</v>
      </c>
      <c r="C29" s="658" t="s">
        <v>3059</v>
      </c>
      <c r="D29" s="658" t="s">
        <v>239</v>
      </c>
      <c r="E29" s="657">
        <v>12000000</v>
      </c>
      <c r="F29" s="657">
        <f t="shared" ref="F29" si="12">E29</f>
        <v>12000000</v>
      </c>
      <c r="G29" s="1537"/>
    </row>
    <row r="30" spans="1:7">
      <c r="A30" s="1532"/>
      <c r="B30" s="658"/>
      <c r="C30" s="658"/>
      <c r="D30" s="658"/>
      <c r="E30" s="657"/>
      <c r="F30" s="657"/>
      <c r="G30" s="1538"/>
    </row>
    <row r="31" spans="1:7">
      <c r="A31" s="1532">
        <v>15</v>
      </c>
      <c r="B31" s="658" t="s">
        <v>435</v>
      </c>
      <c r="C31" s="658" t="s">
        <v>3056</v>
      </c>
      <c r="D31" s="658" t="s">
        <v>3025</v>
      </c>
      <c r="E31" s="657">
        <v>963300</v>
      </c>
      <c r="F31" s="657">
        <f t="shared" ref="F31" si="13">E31</f>
        <v>963300</v>
      </c>
      <c r="G31" s="1537"/>
    </row>
    <row r="32" spans="1:7">
      <c r="A32" s="1532"/>
      <c r="B32" s="658"/>
      <c r="C32" s="658"/>
      <c r="D32" s="658"/>
      <c r="E32" s="657"/>
      <c r="F32" s="657"/>
      <c r="G32" s="1538"/>
    </row>
    <row r="33" spans="1:7">
      <c r="A33" s="1532">
        <v>16</v>
      </c>
      <c r="B33" s="658" t="s">
        <v>3061</v>
      </c>
      <c r="C33" s="658" t="s">
        <v>3058</v>
      </c>
      <c r="D33" s="658" t="s">
        <v>239</v>
      </c>
      <c r="E33" s="657">
        <v>40733</v>
      </c>
      <c r="F33" s="657">
        <v>11966540</v>
      </c>
      <c r="G33" s="1540">
        <v>293.77999999999997</v>
      </c>
    </row>
    <row r="34" spans="1:7">
      <c r="A34" s="1532"/>
      <c r="B34" s="658"/>
      <c r="C34" s="658"/>
      <c r="D34" s="658"/>
      <c r="E34" s="657"/>
      <c r="F34" s="657"/>
      <c r="G34" s="1541"/>
    </row>
    <row r="35" spans="1:7">
      <c r="A35" s="1532">
        <v>17</v>
      </c>
      <c r="B35" s="658" t="s">
        <v>436</v>
      </c>
      <c r="C35" s="658" t="s">
        <v>3057</v>
      </c>
      <c r="D35" s="658" t="s">
        <v>2723</v>
      </c>
      <c r="E35" s="657">
        <v>3800000</v>
      </c>
      <c r="F35" s="657">
        <f t="shared" ref="F35" si="14">E35</f>
        <v>3800000</v>
      </c>
      <c r="G35" s="1537"/>
    </row>
    <row r="36" spans="1:7">
      <c r="A36" s="1532"/>
      <c r="B36" s="658"/>
      <c r="C36" s="658"/>
      <c r="D36" s="658"/>
      <c r="E36" s="657"/>
      <c r="F36" s="657"/>
      <c r="G36" s="1538"/>
    </row>
    <row r="37" spans="1:7">
      <c r="A37" s="1532">
        <v>18</v>
      </c>
      <c r="B37" s="658" t="s">
        <v>438</v>
      </c>
      <c r="C37" s="658" t="s">
        <v>3057</v>
      </c>
      <c r="D37" s="658" t="s">
        <v>2723</v>
      </c>
      <c r="E37" s="657">
        <v>1000000</v>
      </c>
      <c r="F37" s="657">
        <f t="shared" ref="F37" si="15">E37</f>
        <v>1000000</v>
      </c>
      <c r="G37" s="1537"/>
    </row>
    <row r="38" spans="1:7">
      <c r="A38" s="1532"/>
      <c r="B38" s="658"/>
      <c r="C38" s="658"/>
      <c r="D38" s="658"/>
      <c r="E38" s="657"/>
      <c r="F38" s="657"/>
      <c r="G38" s="1538"/>
    </row>
    <row r="39" spans="1:7">
      <c r="A39" s="1532">
        <v>19</v>
      </c>
      <c r="B39" s="658" t="s">
        <v>457</v>
      </c>
      <c r="C39" s="658" t="s">
        <v>3056</v>
      </c>
      <c r="D39" s="658" t="s">
        <v>2723</v>
      </c>
      <c r="E39" s="657">
        <v>2800000</v>
      </c>
      <c r="F39" s="657">
        <f t="shared" ref="F39" si="16">E39</f>
        <v>2800000</v>
      </c>
      <c r="G39" s="1537"/>
    </row>
    <row r="40" spans="1:7">
      <c r="A40" s="1532"/>
      <c r="B40" s="658"/>
      <c r="C40" s="658"/>
      <c r="D40" s="658"/>
      <c r="E40" s="657"/>
      <c r="F40" s="657"/>
      <c r="G40" s="1538"/>
    </row>
    <row r="41" spans="1:7">
      <c r="A41" s="1532">
        <v>20</v>
      </c>
      <c r="B41" s="658" t="s">
        <v>434</v>
      </c>
      <c r="C41" s="658" t="s">
        <v>3057</v>
      </c>
      <c r="D41" s="658" t="s">
        <v>2376</v>
      </c>
      <c r="E41" s="657">
        <v>975000</v>
      </c>
      <c r="F41" s="657">
        <f t="shared" ref="F41" si="17">E41</f>
        <v>975000</v>
      </c>
      <c r="G41" s="1537"/>
    </row>
    <row r="42" spans="1:7">
      <c r="A42" s="1532"/>
      <c r="B42" s="658"/>
      <c r="C42" s="658"/>
      <c r="D42" s="658"/>
      <c r="E42" s="657"/>
      <c r="F42" s="657"/>
      <c r="G42" s="1538"/>
    </row>
    <row r="43" spans="1:7">
      <c r="A43" s="1532">
        <v>21</v>
      </c>
      <c r="B43" s="658" t="s">
        <v>3070</v>
      </c>
      <c r="C43" s="658" t="s">
        <v>3056</v>
      </c>
      <c r="D43" s="658" t="s">
        <v>239</v>
      </c>
      <c r="E43" s="657">
        <v>12000000</v>
      </c>
      <c r="F43" s="657">
        <v>12000000</v>
      </c>
      <c r="G43" s="1537"/>
    </row>
    <row r="44" spans="1:7">
      <c r="A44" s="1532"/>
      <c r="B44" s="658"/>
      <c r="C44" s="658"/>
      <c r="D44" s="658"/>
      <c r="E44" s="657"/>
      <c r="F44" s="657"/>
      <c r="G44" s="1538"/>
    </row>
    <row r="45" spans="1:7">
      <c r="A45" s="1532">
        <v>22</v>
      </c>
      <c r="B45" s="658" t="s">
        <v>460</v>
      </c>
      <c r="C45" s="658" t="s">
        <v>3067</v>
      </c>
      <c r="D45" s="658" t="s">
        <v>2723</v>
      </c>
      <c r="E45" s="657">
        <v>5000000</v>
      </c>
      <c r="F45" s="657">
        <f t="shared" ref="F45" si="18">E45</f>
        <v>5000000</v>
      </c>
      <c r="G45" s="1537"/>
    </row>
    <row r="46" spans="1:7">
      <c r="A46" s="1532"/>
      <c r="B46" s="658"/>
      <c r="C46" s="658"/>
      <c r="D46" s="658"/>
      <c r="E46" s="657"/>
      <c r="F46" s="657"/>
      <c r="G46" s="1538"/>
    </row>
    <row r="47" spans="1:7">
      <c r="A47" s="1532">
        <v>23</v>
      </c>
      <c r="B47" s="658" t="s">
        <v>465</v>
      </c>
      <c r="C47" s="658" t="s">
        <v>3066</v>
      </c>
      <c r="D47" s="658" t="s">
        <v>2547</v>
      </c>
      <c r="E47" s="657">
        <v>3000000</v>
      </c>
      <c r="F47" s="657">
        <f t="shared" ref="F47" si="19">E47</f>
        <v>3000000</v>
      </c>
      <c r="G47" s="1537"/>
    </row>
    <row r="48" spans="1:7">
      <c r="A48" s="1532"/>
      <c r="B48" s="658"/>
      <c r="C48" s="658"/>
      <c r="D48" s="658"/>
      <c r="E48" s="657"/>
      <c r="F48" s="657"/>
      <c r="G48" s="1538"/>
    </row>
    <row r="49" spans="1:7">
      <c r="A49" s="1532">
        <v>24</v>
      </c>
      <c r="B49" s="658" t="s">
        <v>466</v>
      </c>
      <c r="C49" s="658" t="s">
        <v>3066</v>
      </c>
      <c r="D49" s="658" t="s">
        <v>3063</v>
      </c>
      <c r="E49" s="657">
        <v>500000</v>
      </c>
      <c r="F49" s="657">
        <f t="shared" ref="F49" si="20">E49</f>
        <v>500000</v>
      </c>
      <c r="G49" s="1537"/>
    </row>
    <row r="50" spans="1:7">
      <c r="A50" s="1532"/>
      <c r="B50" s="658"/>
      <c r="C50" s="658"/>
      <c r="D50" s="658"/>
      <c r="E50" s="657"/>
      <c r="F50" s="657"/>
      <c r="G50" s="1538"/>
    </row>
    <row r="51" spans="1:7">
      <c r="A51" s="1532">
        <v>25</v>
      </c>
      <c r="B51" s="658" t="s">
        <v>3072</v>
      </c>
      <c r="C51" s="658" t="s">
        <v>3071</v>
      </c>
      <c r="D51" s="658" t="s">
        <v>239</v>
      </c>
      <c r="E51" s="657">
        <v>40457</v>
      </c>
      <c r="F51" s="657">
        <v>12008850</v>
      </c>
      <c r="G51" s="1540">
        <v>296.83</v>
      </c>
    </row>
    <row r="52" spans="1:7">
      <c r="A52" s="1532"/>
      <c r="B52" s="658"/>
      <c r="C52" s="658"/>
      <c r="D52" s="658"/>
      <c r="E52" s="657"/>
      <c r="F52" s="657"/>
      <c r="G52" s="1541"/>
    </row>
    <row r="53" spans="1:7">
      <c r="A53" s="1532">
        <v>26</v>
      </c>
      <c r="B53" s="658" t="s">
        <v>467</v>
      </c>
      <c r="C53" s="658" t="s">
        <v>3066</v>
      </c>
      <c r="D53" s="658" t="s">
        <v>3064</v>
      </c>
      <c r="E53" s="657">
        <v>5500000</v>
      </c>
      <c r="F53" s="657">
        <f t="shared" ref="F53" si="21">E53</f>
        <v>5500000</v>
      </c>
      <c r="G53" s="1537"/>
    </row>
    <row r="54" spans="1:7">
      <c r="A54" s="1532"/>
      <c r="B54" s="658"/>
      <c r="C54" s="658"/>
      <c r="D54" s="658"/>
      <c r="E54" s="657"/>
      <c r="F54" s="657"/>
      <c r="G54" s="1538"/>
    </row>
    <row r="55" spans="1:7">
      <c r="A55" s="1532">
        <v>27</v>
      </c>
      <c r="B55" s="658" t="s">
        <v>468</v>
      </c>
      <c r="C55" s="658" t="s">
        <v>3066</v>
      </c>
      <c r="D55" s="658" t="s">
        <v>3025</v>
      </c>
      <c r="E55" s="657">
        <v>980400</v>
      </c>
      <c r="F55" s="657">
        <f t="shared" ref="F55" si="22">E55</f>
        <v>980400</v>
      </c>
      <c r="G55" s="1537"/>
    </row>
    <row r="56" spans="1:7">
      <c r="A56" s="1532"/>
      <c r="B56" s="658"/>
      <c r="C56" s="658"/>
      <c r="D56" s="658"/>
      <c r="E56" s="657"/>
      <c r="F56" s="657"/>
      <c r="G56" s="1538"/>
    </row>
    <row r="57" spans="1:7">
      <c r="A57" s="1532">
        <v>28</v>
      </c>
      <c r="B57" s="658" t="s">
        <v>3069</v>
      </c>
      <c r="C57" s="658" t="s">
        <v>3068</v>
      </c>
      <c r="D57" s="658" t="s">
        <v>239</v>
      </c>
      <c r="E57" s="657">
        <v>12000000</v>
      </c>
      <c r="F57" s="657">
        <v>12000000</v>
      </c>
      <c r="G57" s="1537"/>
    </row>
    <row r="58" spans="1:7">
      <c r="A58" s="1532"/>
      <c r="B58" s="658"/>
      <c r="C58" s="658"/>
      <c r="D58" s="658"/>
      <c r="E58" s="657"/>
      <c r="F58" s="657"/>
      <c r="G58" s="1537"/>
    </row>
    <row r="59" spans="1:7">
      <c r="A59" s="1532">
        <v>29</v>
      </c>
      <c r="B59" s="658" t="s">
        <v>472</v>
      </c>
      <c r="C59" s="658" t="s">
        <v>3066</v>
      </c>
      <c r="D59" s="658" t="s">
        <v>1661</v>
      </c>
      <c r="E59" s="657">
        <v>4000000</v>
      </c>
      <c r="F59" s="657">
        <f t="shared" ref="F59" si="23">E59</f>
        <v>4000000</v>
      </c>
      <c r="G59" s="1537"/>
    </row>
    <row r="60" spans="1:7">
      <c r="A60" s="1532"/>
      <c r="B60" s="658"/>
      <c r="C60" s="658"/>
      <c r="D60" s="658"/>
      <c r="E60" s="657"/>
      <c r="F60" s="657"/>
      <c r="G60" s="1538"/>
    </row>
    <row r="61" spans="1:7">
      <c r="A61" s="1532">
        <v>30</v>
      </c>
      <c r="B61" s="658" t="s">
        <v>458</v>
      </c>
      <c r="C61" s="658" t="s">
        <v>3066</v>
      </c>
      <c r="D61" s="658" t="s">
        <v>1601</v>
      </c>
      <c r="E61" s="657">
        <v>8000000</v>
      </c>
      <c r="F61" s="657">
        <f t="shared" ref="F61" si="24">E61</f>
        <v>8000000</v>
      </c>
      <c r="G61" s="1537"/>
    </row>
    <row r="62" spans="1:7">
      <c r="A62" s="1532"/>
      <c r="B62" s="658"/>
      <c r="C62" s="658"/>
      <c r="D62" s="658"/>
      <c r="E62" s="657"/>
      <c r="F62" s="657"/>
      <c r="G62" s="1538"/>
    </row>
    <row r="63" spans="1:7">
      <c r="A63" s="1532">
        <v>31</v>
      </c>
      <c r="B63" s="658" t="s">
        <v>3092</v>
      </c>
      <c r="C63" s="658" t="s">
        <v>3066</v>
      </c>
      <c r="D63" s="658" t="s">
        <v>239</v>
      </c>
      <c r="E63" s="657">
        <v>42227</v>
      </c>
      <c r="F63" s="657">
        <v>12474700</v>
      </c>
      <c r="G63" s="1540">
        <v>295.42</v>
      </c>
    </row>
    <row r="64" spans="1:7">
      <c r="A64" s="1532"/>
      <c r="B64" s="658"/>
      <c r="C64" s="658"/>
      <c r="D64" s="658"/>
      <c r="E64" s="657"/>
      <c r="F64" s="657"/>
      <c r="G64" s="1541"/>
    </row>
    <row r="65" spans="1:7">
      <c r="A65" s="1532">
        <v>32</v>
      </c>
      <c r="B65" s="658" t="s">
        <v>485</v>
      </c>
      <c r="C65" s="658" t="s">
        <v>3075</v>
      </c>
      <c r="D65" s="658" t="s">
        <v>2517</v>
      </c>
      <c r="E65" s="657">
        <v>1500000</v>
      </c>
      <c r="F65" s="657">
        <f t="shared" ref="F65" si="25">E65</f>
        <v>1500000</v>
      </c>
      <c r="G65" s="1537"/>
    </row>
    <row r="66" spans="1:7">
      <c r="A66" s="1532"/>
      <c r="B66" s="658"/>
      <c r="C66" s="658"/>
      <c r="D66" s="658"/>
      <c r="E66" s="657"/>
      <c r="F66" s="657"/>
      <c r="G66" s="1538"/>
    </row>
    <row r="67" spans="1:7">
      <c r="A67" s="1532">
        <v>33</v>
      </c>
      <c r="B67" s="658" t="s">
        <v>486</v>
      </c>
      <c r="C67" s="658" t="s">
        <v>3075</v>
      </c>
      <c r="D67" s="658" t="s">
        <v>2517</v>
      </c>
      <c r="E67" s="657">
        <v>1500000</v>
      </c>
      <c r="F67" s="657">
        <f t="shared" ref="F67" si="26">E67</f>
        <v>1500000</v>
      </c>
      <c r="G67" s="1537"/>
    </row>
    <row r="68" spans="1:7">
      <c r="A68" s="1532"/>
      <c r="B68" s="658"/>
      <c r="C68" s="658"/>
      <c r="D68" s="658"/>
      <c r="E68" s="657"/>
      <c r="F68" s="657"/>
      <c r="G68" s="1538"/>
    </row>
    <row r="69" spans="1:7">
      <c r="A69" s="1532">
        <v>34</v>
      </c>
      <c r="B69" s="658" t="s">
        <v>489</v>
      </c>
      <c r="C69" s="658" t="s">
        <v>3079</v>
      </c>
      <c r="D69" s="658" t="s">
        <v>2376</v>
      </c>
      <c r="E69" s="657">
        <v>800000</v>
      </c>
      <c r="F69" s="657">
        <f t="shared" ref="F69" si="27">E69</f>
        <v>800000</v>
      </c>
      <c r="G69" s="1537"/>
    </row>
    <row r="70" spans="1:7">
      <c r="A70" s="1532"/>
      <c r="B70" s="658"/>
      <c r="C70" s="658"/>
      <c r="D70" s="658"/>
      <c r="E70" s="657"/>
      <c r="F70" s="657"/>
      <c r="G70" s="1538"/>
    </row>
    <row r="71" spans="1:7">
      <c r="A71" s="1532">
        <v>35</v>
      </c>
      <c r="B71" s="658" t="s">
        <v>3081</v>
      </c>
      <c r="C71" s="658" t="s">
        <v>3075</v>
      </c>
      <c r="D71" s="658" t="s">
        <v>239</v>
      </c>
      <c r="E71" s="657">
        <v>10100000</v>
      </c>
      <c r="F71" s="657">
        <f t="shared" ref="F71" si="28">E71</f>
        <v>10100000</v>
      </c>
      <c r="G71" s="1537"/>
    </row>
    <row r="72" spans="1:7">
      <c r="A72" s="1532"/>
      <c r="B72" s="658"/>
      <c r="C72" s="658"/>
      <c r="D72" s="658"/>
      <c r="E72" s="657"/>
      <c r="F72" s="657"/>
      <c r="G72" s="1538"/>
    </row>
    <row r="73" spans="1:7">
      <c r="A73" s="1532">
        <v>36</v>
      </c>
      <c r="B73" s="658" t="s">
        <v>490</v>
      </c>
      <c r="C73" s="658" t="s">
        <v>3080</v>
      </c>
      <c r="D73" s="658" t="s">
        <v>3025</v>
      </c>
      <c r="E73" s="657">
        <v>985600</v>
      </c>
      <c r="F73" s="657">
        <f t="shared" ref="F73" si="29">E73</f>
        <v>985600</v>
      </c>
      <c r="G73" s="1537"/>
    </row>
    <row r="74" spans="1:7">
      <c r="A74" s="1532"/>
      <c r="B74" s="658"/>
      <c r="C74" s="658"/>
      <c r="D74" s="658"/>
      <c r="E74" s="657"/>
      <c r="F74" s="657"/>
      <c r="G74" s="1538"/>
    </row>
    <row r="75" spans="1:7">
      <c r="A75" s="1532">
        <v>37</v>
      </c>
      <c r="B75" s="658" t="s">
        <v>491</v>
      </c>
      <c r="C75" s="658" t="s">
        <v>3080</v>
      </c>
      <c r="D75" s="658" t="s">
        <v>1601</v>
      </c>
      <c r="E75" s="657">
        <v>6800000</v>
      </c>
      <c r="F75" s="657">
        <f t="shared" ref="F75" si="30">E75</f>
        <v>6800000</v>
      </c>
      <c r="G75" s="1537"/>
    </row>
    <row r="76" spans="1:7">
      <c r="A76" s="1532"/>
      <c r="B76" s="658"/>
      <c r="C76" s="658"/>
      <c r="D76" s="658"/>
      <c r="E76" s="657"/>
      <c r="F76" s="657"/>
      <c r="G76" s="1538"/>
    </row>
    <row r="77" spans="1:7">
      <c r="A77" s="1532">
        <v>38</v>
      </c>
      <c r="B77" s="658" t="s">
        <v>3086</v>
      </c>
      <c r="C77" s="658" t="s">
        <v>3080</v>
      </c>
      <c r="D77" s="658" t="s">
        <v>239</v>
      </c>
      <c r="E77" s="657">
        <v>39912</v>
      </c>
      <c r="F77" s="657">
        <v>11925700</v>
      </c>
      <c r="G77" s="1537">
        <v>298.8</v>
      </c>
    </row>
    <row r="78" spans="1:7">
      <c r="A78" s="1532"/>
      <c r="B78" s="658"/>
      <c r="C78" s="658"/>
      <c r="D78" s="658"/>
      <c r="E78" s="657"/>
      <c r="F78" s="657"/>
      <c r="G78" s="1538"/>
    </row>
    <row r="79" spans="1:7">
      <c r="A79" s="1532">
        <v>39</v>
      </c>
      <c r="B79" s="658" t="s">
        <v>3088</v>
      </c>
      <c r="C79" s="658" t="s">
        <v>3087</v>
      </c>
      <c r="D79" s="658" t="s">
        <v>239</v>
      </c>
      <c r="E79" s="657">
        <v>12000000</v>
      </c>
      <c r="F79" s="657">
        <f t="shared" ref="F79" si="31">E79</f>
        <v>12000000</v>
      </c>
      <c r="G79" s="1542"/>
    </row>
    <row r="80" spans="1:7" ht="12.75" customHeight="1">
      <c r="A80" s="1532"/>
      <c r="B80" s="658"/>
      <c r="C80" s="658"/>
      <c r="D80" s="658"/>
      <c r="E80" s="657"/>
      <c r="F80" s="657"/>
      <c r="G80" s="1543"/>
    </row>
  </sheetData>
  <mergeCells count="274">
    <mergeCell ref="A2:G2"/>
    <mergeCell ref="A3:A4"/>
    <mergeCell ref="B3:B4"/>
    <mergeCell ref="C3:C4"/>
    <mergeCell ref="D3:D4"/>
    <mergeCell ref="E3:E4"/>
    <mergeCell ref="F3:F4"/>
    <mergeCell ref="G3:G4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</mergeCells>
  <pageMargins left="1" right="1" top="1" bottom="1" header="0.5" footer="0.5"/>
  <pageSetup paperSize="9" orientation="landscape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"/>
  <sheetViews>
    <sheetView workbookViewId="0">
      <selection activeCell="G101" sqref="A1:G102"/>
    </sheetView>
  </sheetViews>
  <sheetFormatPr defaultRowHeight="12.75"/>
  <cols>
    <col min="2" max="2" width="15" customWidth="1"/>
    <col min="3" max="3" width="18.42578125" customWidth="1"/>
    <col min="4" max="4" width="28.5703125" customWidth="1"/>
    <col min="5" max="5" width="18.140625" customWidth="1"/>
    <col min="6" max="6" width="17.140625" customWidth="1"/>
    <col min="7" max="7" width="14.42578125" customWidth="1"/>
    <col min="8" max="8" width="12.7109375" bestFit="1" customWidth="1"/>
  </cols>
  <sheetData>
    <row r="1" spans="1:8" ht="15">
      <c r="A1" s="575" t="s">
        <v>2925</v>
      </c>
      <c r="B1" s="575"/>
      <c r="C1" s="575"/>
      <c r="D1" s="575"/>
      <c r="E1" s="575"/>
      <c r="F1" s="575"/>
      <c r="G1" s="577">
        <f>SUM(F3:F102)</f>
        <v>289247350</v>
      </c>
    </row>
    <row r="2" spans="1:8" ht="15">
      <c r="A2" s="1536" t="s">
        <v>3055</v>
      </c>
      <c r="B2" s="1536"/>
      <c r="C2" s="1536"/>
      <c r="D2" s="1536"/>
      <c r="E2" s="1536"/>
      <c r="F2" s="1536"/>
      <c r="G2" s="1536"/>
      <c r="H2" s="572">
        <f>SUM(E3:E96)</f>
        <v>193939458</v>
      </c>
    </row>
    <row r="3" spans="1:8">
      <c r="A3" s="1532">
        <v>1</v>
      </c>
      <c r="B3" s="658" t="s">
        <v>290</v>
      </c>
      <c r="C3" s="658" t="s">
        <v>2970</v>
      </c>
      <c r="D3" s="658" t="s">
        <v>2409</v>
      </c>
      <c r="E3" s="657">
        <v>4200000</v>
      </c>
      <c r="F3" s="657">
        <f t="shared" ref="F3" si="0">E3</f>
        <v>4200000</v>
      </c>
      <c r="G3" s="1537"/>
    </row>
    <row r="4" spans="1:8">
      <c r="A4" s="1532"/>
      <c r="B4" s="658"/>
      <c r="C4" s="658"/>
      <c r="D4" s="658"/>
      <c r="E4" s="657"/>
      <c r="F4" s="657"/>
      <c r="G4" s="1538"/>
    </row>
    <row r="5" spans="1:8">
      <c r="A5" s="1532">
        <v>2</v>
      </c>
      <c r="B5" s="658" t="s">
        <v>279</v>
      </c>
      <c r="C5" s="658" t="s">
        <v>2970</v>
      </c>
      <c r="D5" s="658" t="s">
        <v>1144</v>
      </c>
      <c r="E5" s="657">
        <v>4430600</v>
      </c>
      <c r="F5" s="657">
        <f t="shared" ref="F5" si="1">E5</f>
        <v>4430600</v>
      </c>
      <c r="G5" s="1537"/>
    </row>
    <row r="6" spans="1:8">
      <c r="A6" s="1532"/>
      <c r="B6" s="658"/>
      <c r="C6" s="658"/>
      <c r="D6" s="658"/>
      <c r="E6" s="657"/>
      <c r="F6" s="657"/>
      <c r="G6" s="1538"/>
    </row>
    <row r="7" spans="1:8">
      <c r="A7" s="1532">
        <v>3</v>
      </c>
      <c r="B7" s="658" t="s">
        <v>292</v>
      </c>
      <c r="C7" s="658" t="s">
        <v>2970</v>
      </c>
      <c r="D7" s="658" t="s">
        <v>2972</v>
      </c>
      <c r="E7" s="657">
        <v>3400000</v>
      </c>
      <c r="F7" s="657">
        <f t="shared" ref="F7" si="2">E7</f>
        <v>3400000</v>
      </c>
      <c r="G7" s="1537"/>
    </row>
    <row r="8" spans="1:8">
      <c r="A8" s="1532"/>
      <c r="B8" s="658"/>
      <c r="C8" s="658"/>
      <c r="D8" s="658"/>
      <c r="E8" s="657"/>
      <c r="F8" s="657"/>
      <c r="G8" s="1537"/>
    </row>
    <row r="9" spans="1:8">
      <c r="A9" s="1532">
        <v>4</v>
      </c>
      <c r="B9" s="658" t="s">
        <v>293</v>
      </c>
      <c r="C9" s="658" t="s">
        <v>2970</v>
      </c>
      <c r="D9" s="658" t="s">
        <v>2723</v>
      </c>
      <c r="E9" s="657">
        <v>4200000</v>
      </c>
      <c r="F9" s="657">
        <f t="shared" ref="F9" si="3">E9</f>
        <v>4200000</v>
      </c>
      <c r="G9" s="1537"/>
    </row>
    <row r="10" spans="1:8">
      <c r="A10" s="1532"/>
      <c r="B10" s="658"/>
      <c r="C10" s="658"/>
      <c r="D10" s="658"/>
      <c r="E10" s="657"/>
      <c r="F10" s="657"/>
      <c r="G10" s="1538"/>
    </row>
    <row r="11" spans="1:8">
      <c r="A11" s="1532">
        <v>5</v>
      </c>
      <c r="B11" s="658" t="s">
        <v>294</v>
      </c>
      <c r="C11" s="658" t="s">
        <v>2970</v>
      </c>
      <c r="D11" s="658" t="s">
        <v>2973</v>
      </c>
      <c r="E11" s="657">
        <v>200000</v>
      </c>
      <c r="F11" s="657">
        <f t="shared" ref="F11" si="4">E11</f>
        <v>200000</v>
      </c>
      <c r="G11" s="1537"/>
    </row>
    <row r="12" spans="1:8">
      <c r="A12" s="1532"/>
      <c r="B12" s="658"/>
      <c r="C12" s="658"/>
      <c r="D12" s="658"/>
      <c r="E12" s="657"/>
      <c r="F12" s="657"/>
      <c r="G12" s="1538"/>
    </row>
    <row r="13" spans="1:8">
      <c r="A13" s="1532">
        <v>6</v>
      </c>
      <c r="B13" s="658" t="s">
        <v>295</v>
      </c>
      <c r="C13" s="658" t="s">
        <v>2970</v>
      </c>
      <c r="D13" s="658" t="s">
        <v>2973</v>
      </c>
      <c r="E13" s="657">
        <v>3800000</v>
      </c>
      <c r="F13" s="657">
        <f t="shared" ref="F13" si="5">E13</f>
        <v>3800000</v>
      </c>
      <c r="G13" s="1537"/>
    </row>
    <row r="14" spans="1:8">
      <c r="A14" s="1532"/>
      <c r="B14" s="658"/>
      <c r="C14" s="658"/>
      <c r="D14" s="658"/>
      <c r="E14" s="657"/>
      <c r="F14" s="657"/>
      <c r="G14" s="1538"/>
    </row>
    <row r="15" spans="1:8">
      <c r="A15" s="1532">
        <v>7</v>
      </c>
      <c r="B15" s="658" t="s">
        <v>296</v>
      </c>
      <c r="C15" s="658" t="s">
        <v>2975</v>
      </c>
      <c r="D15" s="658" t="s">
        <v>117</v>
      </c>
      <c r="E15" s="657">
        <v>1150000</v>
      </c>
      <c r="F15" s="657">
        <f t="shared" ref="F15" si="6">E15</f>
        <v>1150000</v>
      </c>
      <c r="G15" s="1537"/>
    </row>
    <row r="16" spans="1:8">
      <c r="A16" s="1532"/>
      <c r="B16" s="658"/>
      <c r="C16" s="658"/>
      <c r="D16" s="658"/>
      <c r="E16" s="657"/>
      <c r="F16" s="657"/>
      <c r="G16" s="1538"/>
    </row>
    <row r="17" spans="1:7">
      <c r="A17" s="1532">
        <v>8</v>
      </c>
      <c r="B17" s="658" t="s">
        <v>311</v>
      </c>
      <c r="C17" s="658" t="s">
        <v>2975</v>
      </c>
      <c r="D17" s="658" t="s">
        <v>2535</v>
      </c>
      <c r="E17" s="657">
        <v>4900000</v>
      </c>
      <c r="F17" s="657">
        <f t="shared" ref="F17" si="7">E17</f>
        <v>4900000</v>
      </c>
      <c r="G17" s="1537"/>
    </row>
    <row r="18" spans="1:7">
      <c r="A18" s="1532"/>
      <c r="B18" s="658"/>
      <c r="C18" s="658"/>
      <c r="D18" s="658"/>
      <c r="E18" s="657"/>
      <c r="F18" s="657"/>
      <c r="G18" s="1538"/>
    </row>
    <row r="19" spans="1:7">
      <c r="A19" s="1532">
        <v>9</v>
      </c>
      <c r="B19" s="658" t="s">
        <v>3002</v>
      </c>
      <c r="C19" s="658" t="s">
        <v>2975</v>
      </c>
      <c r="D19" s="658" t="s">
        <v>239</v>
      </c>
      <c r="E19" s="657">
        <v>12000000</v>
      </c>
      <c r="F19" s="657">
        <f t="shared" ref="F19" si="8">E19</f>
        <v>12000000</v>
      </c>
      <c r="G19" s="1537"/>
    </row>
    <row r="20" spans="1:7">
      <c r="A20" s="1532"/>
      <c r="B20" s="658"/>
      <c r="C20" s="658"/>
      <c r="D20" s="658"/>
      <c r="E20" s="657"/>
      <c r="F20" s="657"/>
      <c r="G20" s="1538"/>
    </row>
    <row r="21" spans="1:7">
      <c r="A21" s="1532">
        <v>10</v>
      </c>
      <c r="B21" s="658" t="s">
        <v>315</v>
      </c>
      <c r="C21" s="658" t="s">
        <v>2985</v>
      </c>
      <c r="D21" s="658" t="s">
        <v>2984</v>
      </c>
      <c r="E21" s="657">
        <v>4000000</v>
      </c>
      <c r="F21" s="657">
        <f t="shared" ref="F21" si="9">E21</f>
        <v>4000000</v>
      </c>
      <c r="G21" s="1537"/>
    </row>
    <row r="22" spans="1:7">
      <c r="A22" s="1532"/>
      <c r="B22" s="658"/>
      <c r="C22" s="658"/>
      <c r="D22" s="658"/>
      <c r="E22" s="657"/>
      <c r="F22" s="657"/>
      <c r="G22" s="1538"/>
    </row>
    <row r="23" spans="1:7">
      <c r="A23" s="1532">
        <v>11</v>
      </c>
      <c r="B23" s="658" t="s">
        <v>316</v>
      </c>
      <c r="C23" s="658" t="s">
        <v>2985</v>
      </c>
      <c r="D23" s="658" t="s">
        <v>2986</v>
      </c>
      <c r="E23" s="657">
        <v>6000000</v>
      </c>
      <c r="F23" s="657">
        <f t="shared" ref="F23" si="10">E23</f>
        <v>6000000</v>
      </c>
      <c r="G23" s="1537"/>
    </row>
    <row r="24" spans="1:7">
      <c r="A24" s="1532"/>
      <c r="B24" s="658"/>
      <c r="C24" s="658"/>
      <c r="D24" s="658"/>
      <c r="E24" s="657"/>
      <c r="F24" s="657"/>
      <c r="G24" s="1538"/>
    </row>
    <row r="25" spans="1:7">
      <c r="A25" s="1532">
        <v>12</v>
      </c>
      <c r="B25" s="658" t="s">
        <v>3004</v>
      </c>
      <c r="C25" s="658" t="s">
        <v>3047</v>
      </c>
      <c r="D25" s="658" t="s">
        <v>239</v>
      </c>
      <c r="E25" s="657">
        <v>40401</v>
      </c>
      <c r="F25" s="657">
        <v>11881900</v>
      </c>
      <c r="G25" s="1537" t="s">
        <v>3048</v>
      </c>
    </row>
    <row r="26" spans="1:7">
      <c r="A26" s="1532"/>
      <c r="B26" s="658"/>
      <c r="C26" s="658"/>
      <c r="D26" s="658"/>
      <c r="E26" s="657"/>
      <c r="F26" s="657"/>
      <c r="G26" s="1538"/>
    </row>
    <row r="27" spans="1:7">
      <c r="A27" s="1532">
        <v>13</v>
      </c>
      <c r="B27" s="658" t="s">
        <v>317</v>
      </c>
      <c r="C27" s="658" t="s">
        <v>2987</v>
      </c>
      <c r="D27" s="658" t="s">
        <v>2652</v>
      </c>
      <c r="E27" s="657">
        <v>3000000</v>
      </c>
      <c r="F27" s="657">
        <f t="shared" ref="F27" si="11">E27</f>
        <v>3000000</v>
      </c>
      <c r="G27" s="1537"/>
    </row>
    <row r="28" spans="1:7">
      <c r="A28" s="1532"/>
      <c r="B28" s="658"/>
      <c r="C28" s="658"/>
      <c r="D28" s="658"/>
      <c r="E28" s="657"/>
      <c r="F28" s="657"/>
      <c r="G28" s="1538"/>
    </row>
    <row r="29" spans="1:7">
      <c r="A29" s="1532">
        <v>14</v>
      </c>
      <c r="B29" s="658" t="s">
        <v>3006</v>
      </c>
      <c r="C29" s="658" t="s">
        <v>3006</v>
      </c>
      <c r="D29" s="658" t="s">
        <v>239</v>
      </c>
      <c r="E29" s="657">
        <v>12000000</v>
      </c>
      <c r="F29" s="657">
        <f t="shared" ref="F29" si="12">E29</f>
        <v>12000000</v>
      </c>
      <c r="G29" s="1537"/>
    </row>
    <row r="30" spans="1:7">
      <c r="A30" s="1532"/>
      <c r="B30" s="658"/>
      <c r="C30" s="658"/>
      <c r="D30" s="658"/>
      <c r="E30" s="657"/>
      <c r="F30" s="657"/>
      <c r="G30" s="1538"/>
    </row>
    <row r="31" spans="1:7">
      <c r="A31" s="1532">
        <v>15</v>
      </c>
      <c r="B31" s="658" t="s">
        <v>312</v>
      </c>
      <c r="C31" s="658" t="s">
        <v>2988</v>
      </c>
      <c r="D31" s="658" t="s">
        <v>1140</v>
      </c>
      <c r="E31" s="657">
        <v>7000000</v>
      </c>
      <c r="F31" s="657">
        <f t="shared" ref="F31" si="13">E31</f>
        <v>7000000</v>
      </c>
      <c r="G31" s="1537"/>
    </row>
    <row r="32" spans="1:7">
      <c r="A32" s="1532"/>
      <c r="B32" s="658"/>
      <c r="C32" s="658"/>
      <c r="D32" s="658"/>
      <c r="E32" s="657"/>
      <c r="F32" s="657"/>
      <c r="G32" s="1538"/>
    </row>
    <row r="33" spans="1:7">
      <c r="A33" s="1532">
        <v>16</v>
      </c>
      <c r="B33" s="658" t="s">
        <v>318</v>
      </c>
      <c r="C33" s="658" t="s">
        <v>2985</v>
      </c>
      <c r="D33" s="658" t="s">
        <v>2989</v>
      </c>
      <c r="E33" s="657">
        <v>1400000</v>
      </c>
      <c r="F33" s="657">
        <f t="shared" ref="F33" si="14">E33</f>
        <v>1400000</v>
      </c>
      <c r="G33" s="1537"/>
    </row>
    <row r="34" spans="1:7">
      <c r="A34" s="1532"/>
      <c r="B34" s="658"/>
      <c r="C34" s="658"/>
      <c r="D34" s="658"/>
      <c r="E34" s="657"/>
      <c r="F34" s="657"/>
      <c r="G34" s="1538"/>
    </row>
    <row r="35" spans="1:7">
      <c r="A35" s="1532">
        <v>17</v>
      </c>
      <c r="B35" s="658" t="s">
        <v>3007</v>
      </c>
      <c r="C35" s="658" t="s">
        <v>2985</v>
      </c>
      <c r="D35" s="658" t="s">
        <v>239</v>
      </c>
      <c r="E35" s="657">
        <v>41996</v>
      </c>
      <c r="F35" s="657">
        <v>12500000</v>
      </c>
      <c r="G35" s="1537" t="s">
        <v>3049</v>
      </c>
    </row>
    <row r="36" spans="1:7">
      <c r="A36" s="1532"/>
      <c r="B36" s="658"/>
      <c r="C36" s="658"/>
      <c r="D36" s="658"/>
      <c r="E36" s="657"/>
      <c r="F36" s="657"/>
      <c r="G36" s="1538"/>
    </row>
    <row r="37" spans="1:7">
      <c r="A37" s="1532">
        <v>18</v>
      </c>
      <c r="B37" s="658" t="s">
        <v>332</v>
      </c>
      <c r="C37" s="658" t="s">
        <v>2987</v>
      </c>
      <c r="D37" s="658" t="s">
        <v>2249</v>
      </c>
      <c r="E37" s="657">
        <v>4000000</v>
      </c>
      <c r="F37" s="657">
        <f t="shared" ref="F37" si="15">E37</f>
        <v>4000000</v>
      </c>
      <c r="G37" s="1537"/>
    </row>
    <row r="38" spans="1:7">
      <c r="A38" s="1532"/>
      <c r="B38" s="658"/>
      <c r="C38" s="658"/>
      <c r="D38" s="658"/>
      <c r="E38" s="657"/>
      <c r="F38" s="657"/>
      <c r="G38" s="1538"/>
    </row>
    <row r="39" spans="1:7">
      <c r="A39" s="1532">
        <v>19</v>
      </c>
      <c r="B39" s="658" t="s">
        <v>333</v>
      </c>
      <c r="C39" s="658" t="s">
        <v>2987</v>
      </c>
      <c r="D39" s="658" t="s">
        <v>117</v>
      </c>
      <c r="E39" s="657">
        <v>1150000</v>
      </c>
      <c r="F39" s="657">
        <f t="shared" ref="F39" si="16">E39</f>
        <v>1150000</v>
      </c>
      <c r="G39" s="1537"/>
    </row>
    <row r="40" spans="1:7">
      <c r="A40" s="1532"/>
      <c r="B40" s="658"/>
      <c r="C40" s="658"/>
      <c r="D40" s="658"/>
      <c r="E40" s="657"/>
      <c r="F40" s="657"/>
      <c r="G40" s="1538"/>
    </row>
    <row r="41" spans="1:7">
      <c r="A41" s="1532">
        <v>20</v>
      </c>
      <c r="B41" s="658" t="s">
        <v>3010</v>
      </c>
      <c r="C41" s="658" t="s">
        <v>2987</v>
      </c>
      <c r="D41" s="658" t="s">
        <v>239</v>
      </c>
      <c r="E41" s="657">
        <v>12000000</v>
      </c>
      <c r="F41" s="657">
        <f t="shared" ref="F41" si="17">E41</f>
        <v>12000000</v>
      </c>
      <c r="G41" s="1537"/>
    </row>
    <row r="42" spans="1:7">
      <c r="A42" s="1532"/>
      <c r="B42" s="658"/>
      <c r="C42" s="658"/>
      <c r="D42" s="658"/>
      <c r="E42" s="657"/>
      <c r="F42" s="657"/>
      <c r="G42" s="1538"/>
    </row>
    <row r="43" spans="1:7">
      <c r="A43" s="1532">
        <v>21</v>
      </c>
      <c r="B43" s="658" t="s">
        <v>336</v>
      </c>
      <c r="C43" s="658" t="s">
        <v>3011</v>
      </c>
      <c r="D43" s="658" t="s">
        <v>2723</v>
      </c>
      <c r="E43" s="657">
        <v>4000000</v>
      </c>
      <c r="F43" s="657">
        <f t="shared" ref="F43" si="18">E43</f>
        <v>4000000</v>
      </c>
      <c r="G43" s="1537"/>
    </row>
    <row r="44" spans="1:7">
      <c r="A44" s="1532"/>
      <c r="B44" s="658"/>
      <c r="C44" s="658"/>
      <c r="D44" s="658"/>
      <c r="E44" s="657"/>
      <c r="F44" s="657"/>
      <c r="G44" s="1538"/>
    </row>
    <row r="45" spans="1:7">
      <c r="A45" s="1532">
        <v>22</v>
      </c>
      <c r="B45" s="658" t="s">
        <v>337</v>
      </c>
      <c r="C45" s="658" t="s">
        <v>3011</v>
      </c>
      <c r="D45" s="658" t="s">
        <v>2723</v>
      </c>
      <c r="E45" s="657">
        <v>3800000</v>
      </c>
      <c r="F45" s="657">
        <f t="shared" ref="F45" si="19">E45</f>
        <v>3800000</v>
      </c>
      <c r="G45" s="1537"/>
    </row>
    <row r="46" spans="1:7">
      <c r="A46" s="1532"/>
      <c r="B46" s="658"/>
      <c r="C46" s="658"/>
      <c r="D46" s="658"/>
      <c r="E46" s="657"/>
      <c r="F46" s="657"/>
      <c r="G46" s="1538"/>
    </row>
    <row r="47" spans="1:7">
      <c r="A47" s="1532">
        <v>23</v>
      </c>
      <c r="B47" s="658" t="s">
        <v>338</v>
      </c>
      <c r="C47" s="658" t="s">
        <v>3011</v>
      </c>
      <c r="D47" s="658" t="s">
        <v>3009</v>
      </c>
      <c r="E47" s="657">
        <v>3800000</v>
      </c>
      <c r="F47" s="657">
        <f t="shared" ref="F47" si="20">E47</f>
        <v>3800000</v>
      </c>
      <c r="G47" s="1537"/>
    </row>
    <row r="48" spans="1:7">
      <c r="A48" s="1532"/>
      <c r="B48" s="658"/>
      <c r="C48" s="658"/>
      <c r="D48" s="658"/>
      <c r="E48" s="657"/>
      <c r="F48" s="657"/>
      <c r="G48" s="1538"/>
    </row>
    <row r="49" spans="1:7">
      <c r="A49" s="1532">
        <v>24</v>
      </c>
      <c r="B49" s="658" t="s">
        <v>3013</v>
      </c>
      <c r="C49" s="658" t="s">
        <v>3012</v>
      </c>
      <c r="D49" s="658" t="s">
        <v>239</v>
      </c>
      <c r="E49" s="657">
        <v>12000000</v>
      </c>
      <c r="F49" s="657">
        <f t="shared" ref="F49" si="21">E49</f>
        <v>12000000</v>
      </c>
      <c r="G49" s="1537"/>
    </row>
    <row r="50" spans="1:7">
      <c r="A50" s="1532"/>
      <c r="B50" s="658"/>
      <c r="C50" s="658"/>
      <c r="D50" s="658"/>
      <c r="E50" s="657"/>
      <c r="F50" s="657"/>
      <c r="G50" s="1538"/>
    </row>
    <row r="51" spans="1:7">
      <c r="A51" s="1532">
        <v>25</v>
      </c>
      <c r="B51" s="658" t="s">
        <v>3018</v>
      </c>
      <c r="C51" s="658" t="s">
        <v>3014</v>
      </c>
      <c r="D51" s="658" t="s">
        <v>239</v>
      </c>
      <c r="E51" s="657">
        <v>500000</v>
      </c>
      <c r="F51" s="657">
        <f t="shared" ref="F51" si="22">E51</f>
        <v>500000</v>
      </c>
      <c r="G51" s="1526"/>
    </row>
    <row r="52" spans="1:7">
      <c r="A52" s="1532"/>
      <c r="B52" s="658"/>
      <c r="C52" s="658"/>
      <c r="D52" s="658"/>
      <c r="E52" s="657"/>
      <c r="F52" s="657"/>
      <c r="G52" s="1535"/>
    </row>
    <row r="53" spans="1:7">
      <c r="A53" s="1532">
        <v>26</v>
      </c>
      <c r="B53" s="658" t="s">
        <v>335</v>
      </c>
      <c r="C53" s="658" t="s">
        <v>3014</v>
      </c>
      <c r="D53" s="658" t="s">
        <v>1601</v>
      </c>
      <c r="E53" s="657">
        <v>8400000</v>
      </c>
      <c r="F53" s="657">
        <f t="shared" ref="F53" si="23">E53</f>
        <v>8400000</v>
      </c>
      <c r="G53" s="1537"/>
    </row>
    <row r="54" spans="1:7">
      <c r="A54" s="1532"/>
      <c r="B54" s="658"/>
      <c r="C54" s="658"/>
      <c r="D54" s="658"/>
      <c r="E54" s="657"/>
      <c r="F54" s="657"/>
      <c r="G54" s="1538"/>
    </row>
    <row r="55" spans="1:7">
      <c r="A55" s="1532">
        <v>27</v>
      </c>
      <c r="B55" s="658" t="s">
        <v>348</v>
      </c>
      <c r="C55" s="658" t="s">
        <v>3014</v>
      </c>
      <c r="D55" s="658" t="s">
        <v>117</v>
      </c>
      <c r="E55" s="657">
        <v>1150000</v>
      </c>
      <c r="F55" s="657">
        <f t="shared" ref="F55" si="24">E55</f>
        <v>1150000</v>
      </c>
      <c r="G55" s="1537"/>
    </row>
    <row r="56" spans="1:7">
      <c r="A56" s="1532"/>
      <c r="B56" s="658"/>
      <c r="C56" s="658"/>
      <c r="D56" s="658"/>
      <c r="E56" s="657"/>
      <c r="F56" s="657"/>
      <c r="G56" s="1537"/>
    </row>
    <row r="57" spans="1:7">
      <c r="A57" s="1532">
        <v>28</v>
      </c>
      <c r="B57" s="658" t="s">
        <v>3016</v>
      </c>
      <c r="C57" s="658" t="s">
        <v>3012</v>
      </c>
      <c r="D57" s="658" t="s">
        <v>239</v>
      </c>
      <c r="E57" s="657">
        <v>40426</v>
      </c>
      <c r="F57" s="657">
        <v>12105600</v>
      </c>
      <c r="G57" s="1537" t="s">
        <v>3050</v>
      </c>
    </row>
    <row r="58" spans="1:7">
      <c r="A58" s="1532"/>
      <c r="B58" s="658"/>
      <c r="C58" s="658"/>
      <c r="D58" s="658"/>
      <c r="E58" s="657"/>
      <c r="F58" s="657"/>
      <c r="G58" s="1538"/>
    </row>
    <row r="59" spans="1:7">
      <c r="A59" s="1532">
        <v>29</v>
      </c>
      <c r="B59" s="658" t="s">
        <v>334</v>
      </c>
      <c r="C59" s="658" t="s">
        <v>3014</v>
      </c>
      <c r="D59" s="658" t="s">
        <v>1144</v>
      </c>
      <c r="E59" s="657">
        <v>2390000</v>
      </c>
      <c r="F59" s="657">
        <f t="shared" ref="F59" si="25">E59</f>
        <v>2390000</v>
      </c>
      <c r="G59" s="1537"/>
    </row>
    <row r="60" spans="1:7">
      <c r="A60" s="1532"/>
      <c r="B60" s="658"/>
      <c r="C60" s="658"/>
      <c r="D60" s="658"/>
      <c r="E60" s="657"/>
      <c r="F60" s="657"/>
      <c r="G60" s="1538"/>
    </row>
    <row r="61" spans="1:7">
      <c r="A61" s="1532">
        <v>30</v>
      </c>
      <c r="B61" s="658" t="s">
        <v>350</v>
      </c>
      <c r="C61" s="658" t="s">
        <v>3014</v>
      </c>
      <c r="D61" s="658" t="s">
        <v>3017</v>
      </c>
      <c r="E61" s="657">
        <v>4000000</v>
      </c>
      <c r="F61" s="657">
        <f t="shared" ref="F61" si="26">E61</f>
        <v>4000000</v>
      </c>
      <c r="G61" s="1537"/>
    </row>
    <row r="62" spans="1:7">
      <c r="A62" s="1532"/>
      <c r="B62" s="658"/>
      <c r="C62" s="658"/>
      <c r="D62" s="658"/>
      <c r="E62" s="657"/>
      <c r="F62" s="657"/>
      <c r="G62" s="1538"/>
    </row>
    <row r="63" spans="1:7">
      <c r="A63" s="1532">
        <v>31</v>
      </c>
      <c r="B63" s="658" t="s">
        <v>3026</v>
      </c>
      <c r="C63" s="658" t="s">
        <v>3014</v>
      </c>
      <c r="D63" s="658" t="s">
        <v>239</v>
      </c>
      <c r="E63" s="657">
        <v>12000000</v>
      </c>
      <c r="F63" s="657">
        <f t="shared" ref="F63" si="27">E63</f>
        <v>12000000</v>
      </c>
      <c r="G63" s="1537"/>
    </row>
    <row r="64" spans="1:7">
      <c r="A64" s="1532"/>
      <c r="B64" s="658"/>
      <c r="C64" s="658"/>
      <c r="D64" s="658"/>
      <c r="E64" s="657"/>
      <c r="F64" s="657"/>
      <c r="G64" s="1538"/>
    </row>
    <row r="65" spans="1:7">
      <c r="A65" s="1532">
        <v>32</v>
      </c>
      <c r="B65" s="658" t="s">
        <v>1310</v>
      </c>
      <c r="C65" s="658" t="s">
        <v>3024</v>
      </c>
      <c r="D65" s="658" t="s">
        <v>3019</v>
      </c>
      <c r="E65" s="657">
        <v>7600000</v>
      </c>
      <c r="F65" s="657">
        <f t="shared" ref="F65" si="28">E65</f>
        <v>7600000</v>
      </c>
      <c r="G65" s="1537"/>
    </row>
    <row r="66" spans="1:7">
      <c r="A66" s="1532"/>
      <c r="B66" s="658"/>
      <c r="C66" s="658"/>
      <c r="D66" s="658"/>
      <c r="E66" s="657"/>
      <c r="F66" s="657"/>
      <c r="G66" s="1538"/>
    </row>
    <row r="67" spans="1:7">
      <c r="A67" s="1532">
        <v>33</v>
      </c>
      <c r="B67" s="658" t="s">
        <v>359</v>
      </c>
      <c r="C67" s="658" t="s">
        <v>3024</v>
      </c>
      <c r="D67" s="658" t="s">
        <v>3020</v>
      </c>
      <c r="E67" s="657">
        <v>3000000</v>
      </c>
      <c r="F67" s="657">
        <f t="shared" ref="F67" si="29">E67</f>
        <v>3000000</v>
      </c>
      <c r="G67" s="1537"/>
    </row>
    <row r="68" spans="1:7">
      <c r="A68" s="1532"/>
      <c r="B68" s="658"/>
      <c r="C68" s="658"/>
      <c r="D68" s="658"/>
      <c r="E68" s="657"/>
      <c r="F68" s="657"/>
      <c r="G68" s="1538"/>
    </row>
    <row r="69" spans="1:7">
      <c r="A69" s="1532">
        <v>34</v>
      </c>
      <c r="B69" s="658" t="s">
        <v>3027</v>
      </c>
      <c r="C69" s="658" t="s">
        <v>3024</v>
      </c>
      <c r="D69" s="658" t="s">
        <v>239</v>
      </c>
      <c r="E69" s="657">
        <v>39788</v>
      </c>
      <c r="F69" s="657">
        <v>12032300</v>
      </c>
      <c r="G69" s="1537" t="s">
        <v>3051</v>
      </c>
    </row>
    <row r="70" spans="1:7">
      <c r="A70" s="1532"/>
      <c r="B70" s="658"/>
      <c r="C70" s="658"/>
      <c r="D70" s="658"/>
      <c r="E70" s="657"/>
      <c r="F70" s="657"/>
      <c r="G70" s="1538"/>
    </row>
    <row r="71" spans="1:7">
      <c r="A71" s="1532">
        <v>35</v>
      </c>
      <c r="B71" s="658" t="s">
        <v>358</v>
      </c>
      <c r="C71" s="658" t="s">
        <v>3023</v>
      </c>
      <c r="D71" s="658" t="s">
        <v>1140</v>
      </c>
      <c r="E71" s="657">
        <v>3000000</v>
      </c>
      <c r="F71" s="657">
        <f t="shared" ref="F71" si="30">E71</f>
        <v>3000000</v>
      </c>
      <c r="G71" s="1537"/>
    </row>
    <row r="72" spans="1:7">
      <c r="A72" s="1532"/>
      <c r="B72" s="658"/>
      <c r="C72" s="658"/>
      <c r="D72" s="658"/>
      <c r="E72" s="657"/>
      <c r="F72" s="657"/>
      <c r="G72" s="1538"/>
    </row>
    <row r="73" spans="1:7">
      <c r="A73" s="1532">
        <v>36</v>
      </c>
      <c r="B73" s="658" t="s">
        <v>360</v>
      </c>
      <c r="C73" s="658" t="s">
        <v>3023</v>
      </c>
      <c r="D73" s="658" t="s">
        <v>2723</v>
      </c>
      <c r="E73" s="657">
        <v>5500000</v>
      </c>
      <c r="F73" s="657">
        <f t="shared" ref="F73" si="31">E73</f>
        <v>5500000</v>
      </c>
      <c r="G73" s="1537"/>
    </row>
    <row r="74" spans="1:7">
      <c r="A74" s="1532"/>
      <c r="B74" s="658"/>
      <c r="C74" s="658"/>
      <c r="D74" s="658"/>
      <c r="E74" s="657"/>
      <c r="F74" s="657"/>
      <c r="G74" s="1538"/>
    </row>
    <row r="75" spans="1:7">
      <c r="A75" s="1532">
        <v>37</v>
      </c>
      <c r="B75" s="658" t="s">
        <v>361</v>
      </c>
      <c r="C75" s="658" t="s">
        <v>3022</v>
      </c>
      <c r="D75" s="658" t="s">
        <v>2376</v>
      </c>
      <c r="E75" s="657">
        <v>1400000</v>
      </c>
      <c r="F75" s="657">
        <f t="shared" ref="F75" si="32">E75</f>
        <v>1400000</v>
      </c>
      <c r="G75" s="1537"/>
    </row>
    <row r="76" spans="1:7">
      <c r="A76" s="1532"/>
      <c r="B76" s="658"/>
      <c r="C76" s="658"/>
      <c r="D76" s="658"/>
      <c r="E76" s="657"/>
      <c r="F76" s="657"/>
      <c r="G76" s="1538"/>
    </row>
    <row r="77" spans="1:7">
      <c r="A77" s="1532">
        <v>38</v>
      </c>
      <c r="B77" s="658" t="s">
        <v>363</v>
      </c>
      <c r="C77" s="658" t="s">
        <v>3022</v>
      </c>
      <c r="D77" s="658" t="s">
        <v>2375</v>
      </c>
      <c r="E77" s="657">
        <v>600000</v>
      </c>
      <c r="F77" s="657">
        <f t="shared" ref="F77" si="33">E77</f>
        <v>600000</v>
      </c>
      <c r="G77" s="1537"/>
    </row>
    <row r="78" spans="1:7">
      <c r="A78" s="1532"/>
      <c r="B78" s="658"/>
      <c r="C78" s="658"/>
      <c r="D78" s="658"/>
      <c r="E78" s="657"/>
      <c r="F78" s="657"/>
      <c r="G78" s="1538"/>
    </row>
    <row r="79" spans="1:7">
      <c r="A79" s="1532">
        <v>39</v>
      </c>
      <c r="B79" s="658" t="s">
        <v>3029</v>
      </c>
      <c r="C79" s="658" t="s">
        <v>3028</v>
      </c>
      <c r="D79" s="658" t="s">
        <v>239</v>
      </c>
      <c r="E79" s="657">
        <v>12000000</v>
      </c>
      <c r="F79" s="657">
        <f t="shared" ref="F79" si="34">E79</f>
        <v>12000000</v>
      </c>
      <c r="G79" s="1537"/>
    </row>
    <row r="80" spans="1:7">
      <c r="A80" s="1532"/>
      <c r="B80" s="658"/>
      <c r="C80" s="658"/>
      <c r="D80" s="658"/>
      <c r="E80" s="657"/>
      <c r="F80" s="657"/>
      <c r="G80" s="1538"/>
    </row>
    <row r="81" spans="1:7">
      <c r="A81" s="1532">
        <v>40</v>
      </c>
      <c r="B81" s="658" t="s">
        <v>382</v>
      </c>
      <c r="C81" s="658" t="s">
        <v>3022</v>
      </c>
      <c r="D81" s="658" t="s">
        <v>2517</v>
      </c>
      <c r="E81" s="657">
        <v>1500000</v>
      </c>
      <c r="F81" s="657">
        <f t="shared" ref="F81" si="35">E81</f>
        <v>1500000</v>
      </c>
      <c r="G81" s="1537"/>
    </row>
    <row r="82" spans="1:7">
      <c r="A82" s="1532"/>
      <c r="B82" s="658"/>
      <c r="C82" s="658"/>
      <c r="D82" s="658"/>
      <c r="E82" s="657"/>
      <c r="F82" s="657"/>
      <c r="G82" s="1538"/>
    </row>
    <row r="83" spans="1:7">
      <c r="A83" s="1532">
        <v>41</v>
      </c>
      <c r="B83" s="658" t="s">
        <v>366</v>
      </c>
      <c r="C83" s="658" t="s">
        <v>3022</v>
      </c>
      <c r="D83" s="658" t="s">
        <v>2517</v>
      </c>
      <c r="E83" s="657">
        <v>1500000</v>
      </c>
      <c r="F83" s="657">
        <f t="shared" ref="F83" si="36">E83</f>
        <v>1500000</v>
      </c>
      <c r="G83" s="1537"/>
    </row>
    <row r="84" spans="1:7">
      <c r="A84" s="1532"/>
      <c r="B84" s="658"/>
      <c r="C84" s="658"/>
      <c r="D84" s="658"/>
      <c r="E84" s="657"/>
      <c r="F84" s="657"/>
      <c r="G84" s="1538"/>
    </row>
    <row r="85" spans="1:7">
      <c r="A85" s="1532">
        <v>42</v>
      </c>
      <c r="B85" s="658" t="s">
        <v>367</v>
      </c>
      <c r="C85" s="658" t="s">
        <v>3022</v>
      </c>
      <c r="D85" s="658" t="s">
        <v>1601</v>
      </c>
      <c r="E85" s="657">
        <v>3700000</v>
      </c>
      <c r="F85" s="657">
        <f t="shared" ref="F85" si="37">E85</f>
        <v>3700000</v>
      </c>
      <c r="G85" s="1537"/>
    </row>
    <row r="86" spans="1:7">
      <c r="A86" s="1532"/>
      <c r="B86" s="658"/>
      <c r="C86" s="658"/>
      <c r="D86" s="658"/>
      <c r="E86" s="657"/>
      <c r="F86" s="657"/>
      <c r="G86" s="1538"/>
    </row>
    <row r="87" spans="1:7">
      <c r="A87" s="1532">
        <v>43</v>
      </c>
      <c r="B87" s="658" t="s">
        <v>368</v>
      </c>
      <c r="C87" s="658" t="s">
        <v>3022</v>
      </c>
      <c r="D87" s="658" t="s">
        <v>3025</v>
      </c>
      <c r="E87" s="657">
        <v>984350</v>
      </c>
      <c r="F87" s="657">
        <f t="shared" ref="F87" si="38">E87</f>
        <v>984350</v>
      </c>
      <c r="G87" s="1537"/>
    </row>
    <row r="88" spans="1:7">
      <c r="A88" s="1532"/>
      <c r="B88" s="658"/>
      <c r="C88" s="658"/>
      <c r="D88" s="658"/>
      <c r="E88" s="657"/>
      <c r="F88" s="657"/>
      <c r="G88" s="1538"/>
    </row>
    <row r="89" spans="1:7">
      <c r="A89" s="1532">
        <v>44</v>
      </c>
      <c r="B89" s="658" t="s">
        <v>3037</v>
      </c>
      <c r="C89" s="658" t="s">
        <v>3022</v>
      </c>
      <c r="D89" s="658" t="s">
        <v>239</v>
      </c>
      <c r="E89" s="657">
        <v>39910</v>
      </c>
      <c r="F89" s="657">
        <v>11881600</v>
      </c>
      <c r="G89" s="1537" t="s">
        <v>3052</v>
      </c>
    </row>
    <row r="90" spans="1:7">
      <c r="A90" s="1532"/>
      <c r="B90" s="658"/>
      <c r="C90" s="658"/>
      <c r="D90" s="658"/>
      <c r="E90" s="657"/>
      <c r="F90" s="657"/>
      <c r="G90" s="1538"/>
    </row>
    <row r="91" spans="1:7">
      <c r="A91" s="1532">
        <v>45</v>
      </c>
      <c r="B91" s="658" t="s">
        <v>3039</v>
      </c>
      <c r="C91" s="658" t="s">
        <v>3038</v>
      </c>
      <c r="D91" s="658" t="s">
        <v>239</v>
      </c>
      <c r="E91" s="657">
        <v>12000000</v>
      </c>
      <c r="F91" s="657">
        <v>12000000</v>
      </c>
      <c r="G91" s="1537"/>
    </row>
    <row r="92" spans="1:7">
      <c r="A92" s="1532"/>
      <c r="B92" s="658"/>
      <c r="C92" s="658"/>
      <c r="D92" s="658"/>
      <c r="E92" s="657"/>
      <c r="F92" s="657"/>
      <c r="G92" s="1538"/>
    </row>
    <row r="93" spans="1:7">
      <c r="A93" s="1532">
        <v>46</v>
      </c>
      <c r="B93" s="658" t="s">
        <v>3046</v>
      </c>
      <c r="C93" s="658" t="s">
        <v>3038</v>
      </c>
      <c r="D93" s="658" t="s">
        <v>239</v>
      </c>
      <c r="E93" s="657">
        <v>41987</v>
      </c>
      <c r="F93" s="657">
        <v>12403800</v>
      </c>
      <c r="G93" s="1537" t="s">
        <v>3053</v>
      </c>
    </row>
    <row r="94" spans="1:7">
      <c r="A94" s="1532"/>
      <c r="B94" s="658"/>
      <c r="C94" s="658"/>
      <c r="D94" s="658"/>
      <c r="E94" s="657"/>
      <c r="F94" s="657"/>
      <c r="G94" s="1538"/>
    </row>
    <row r="95" spans="1:7">
      <c r="A95" s="1532">
        <v>47</v>
      </c>
      <c r="B95" s="658" t="s">
        <v>418</v>
      </c>
      <c r="C95" s="658" t="s">
        <v>3040</v>
      </c>
      <c r="D95" s="658" t="s">
        <v>3035</v>
      </c>
      <c r="E95" s="657">
        <v>40000</v>
      </c>
      <c r="F95" s="657">
        <v>11837200</v>
      </c>
      <c r="G95" s="1537" t="s">
        <v>3054</v>
      </c>
    </row>
    <row r="96" spans="1:7">
      <c r="A96" s="1532"/>
      <c r="B96" s="658"/>
      <c r="C96" s="658"/>
      <c r="D96" s="658"/>
      <c r="E96" s="657"/>
      <c r="F96" s="657"/>
      <c r="G96" s="1538"/>
    </row>
    <row r="97" spans="1:7">
      <c r="A97" s="1532">
        <v>48</v>
      </c>
      <c r="B97" s="658" t="s">
        <v>1321</v>
      </c>
      <c r="C97" s="658" t="s">
        <v>3062</v>
      </c>
      <c r="D97" s="658" t="s">
        <v>2723</v>
      </c>
      <c r="E97" s="657">
        <v>3900000</v>
      </c>
      <c r="F97" s="657">
        <f t="shared" ref="F97" si="39">E97</f>
        <v>3900000</v>
      </c>
      <c r="G97" s="1537"/>
    </row>
    <row r="98" spans="1:7">
      <c r="A98" s="1532"/>
      <c r="B98" s="658"/>
      <c r="C98" s="658"/>
      <c r="D98" s="658"/>
      <c r="E98" s="657"/>
      <c r="F98" s="657"/>
      <c r="G98" s="1538"/>
    </row>
    <row r="99" spans="1:7">
      <c r="A99" s="1532">
        <v>49</v>
      </c>
      <c r="B99" s="658" t="s">
        <v>371</v>
      </c>
      <c r="C99" s="658" t="s">
        <v>3062</v>
      </c>
      <c r="D99" s="658" t="s">
        <v>3030</v>
      </c>
      <c r="E99" s="657">
        <v>3800000</v>
      </c>
      <c r="F99" s="657">
        <f t="shared" ref="F99" si="40">E99</f>
        <v>3800000</v>
      </c>
      <c r="G99" s="1537"/>
    </row>
    <row r="100" spans="1:7">
      <c r="A100" s="1532"/>
      <c r="B100" s="658"/>
      <c r="C100" s="658"/>
      <c r="D100" s="658"/>
      <c r="E100" s="657"/>
      <c r="F100" s="657"/>
      <c r="G100" s="1538"/>
    </row>
    <row r="101" spans="1:7">
      <c r="A101" s="1532">
        <v>50</v>
      </c>
      <c r="B101" s="658" t="s">
        <v>369</v>
      </c>
      <c r="C101" s="658" t="s">
        <v>3062</v>
      </c>
      <c r="D101" s="658" t="s">
        <v>2723</v>
      </c>
      <c r="E101" s="657">
        <v>3250000</v>
      </c>
      <c r="F101" s="657">
        <f t="shared" ref="F101" si="41">E101</f>
        <v>3250000</v>
      </c>
      <c r="G101" s="1537"/>
    </row>
    <row r="102" spans="1:7">
      <c r="A102" s="1532"/>
      <c r="B102" s="658"/>
      <c r="C102" s="658"/>
      <c r="D102" s="658"/>
      <c r="E102" s="657"/>
      <c r="F102" s="657"/>
      <c r="G102" s="1538"/>
    </row>
    <row r="103" spans="1:7">
      <c r="A103" s="1532">
        <v>51</v>
      </c>
      <c r="B103" s="674"/>
      <c r="C103" s="658"/>
      <c r="D103" s="690"/>
      <c r="E103" s="657"/>
      <c r="F103" s="657"/>
      <c r="G103" s="1537"/>
    </row>
    <row r="104" spans="1:7">
      <c r="A104" s="1532"/>
      <c r="B104" s="674"/>
      <c r="C104" s="658"/>
      <c r="D104" s="690"/>
      <c r="E104" s="657"/>
      <c r="F104" s="657"/>
      <c r="G104" s="1538"/>
    </row>
    <row r="105" spans="1:7">
      <c r="A105" s="1532">
        <v>52</v>
      </c>
      <c r="B105" s="674"/>
      <c r="C105" s="658"/>
      <c r="D105" s="690"/>
      <c r="E105" s="657"/>
      <c r="F105" s="657"/>
      <c r="G105" s="1537"/>
    </row>
    <row r="106" spans="1:7">
      <c r="A106" s="1532"/>
      <c r="B106" s="674"/>
      <c r="C106" s="658"/>
      <c r="D106" s="690"/>
      <c r="E106" s="657"/>
      <c r="F106" s="657"/>
      <c r="G106" s="1538"/>
    </row>
    <row r="107" spans="1:7">
      <c r="A107" s="1532">
        <v>53</v>
      </c>
      <c r="B107" s="674"/>
      <c r="C107" s="658"/>
      <c r="D107" s="690"/>
      <c r="E107" s="657"/>
      <c r="F107" s="657"/>
      <c r="G107" s="1537"/>
    </row>
    <row r="108" spans="1:7">
      <c r="A108" s="1532"/>
      <c r="B108" s="674"/>
      <c r="C108" s="658"/>
      <c r="D108" s="690"/>
      <c r="E108" s="657"/>
      <c r="F108" s="657"/>
      <c r="G108" s="1538"/>
    </row>
    <row r="109" spans="1:7">
      <c r="A109" s="1532"/>
      <c r="B109" s="674"/>
      <c r="C109" s="658"/>
      <c r="D109" s="690"/>
      <c r="E109" s="657"/>
      <c r="F109" s="657"/>
      <c r="G109" s="1537"/>
    </row>
    <row r="110" spans="1:7">
      <c r="A110" s="1532"/>
      <c r="B110" s="674"/>
      <c r="C110" s="658"/>
      <c r="D110" s="690"/>
      <c r="E110" s="657"/>
      <c r="F110" s="657"/>
      <c r="G110" s="1538"/>
    </row>
    <row r="111" spans="1:7">
      <c r="A111" s="1532"/>
      <c r="B111" s="674"/>
      <c r="C111" s="658"/>
      <c r="D111" s="690"/>
      <c r="E111" s="657"/>
      <c r="F111" s="657"/>
      <c r="G111" s="1537"/>
    </row>
    <row r="112" spans="1:7">
      <c r="A112" s="1532"/>
      <c r="B112" s="674"/>
      <c r="C112" s="658"/>
      <c r="D112" s="690"/>
      <c r="E112" s="657"/>
      <c r="F112" s="657"/>
      <c r="G112" s="1538"/>
    </row>
    <row r="113" spans="1:7">
      <c r="A113" s="1532"/>
      <c r="B113" s="674"/>
      <c r="C113" s="658"/>
      <c r="D113" s="690"/>
      <c r="E113" s="657"/>
      <c r="F113" s="657"/>
      <c r="G113" s="1537"/>
    </row>
    <row r="114" spans="1:7">
      <c r="A114" s="1532"/>
      <c r="B114" s="674"/>
      <c r="C114" s="658"/>
      <c r="D114" s="690"/>
      <c r="E114" s="657"/>
      <c r="F114" s="657"/>
      <c r="G114" s="1538"/>
    </row>
    <row r="115" spans="1:7">
      <c r="A115" s="1532"/>
      <c r="B115" s="674"/>
      <c r="C115" s="658"/>
      <c r="D115" s="690"/>
      <c r="E115" s="657"/>
      <c r="F115" s="657"/>
      <c r="G115" s="1537"/>
    </row>
    <row r="116" spans="1:7">
      <c r="A116" s="1532"/>
      <c r="B116" s="674"/>
      <c r="C116" s="658"/>
      <c r="D116" s="690"/>
      <c r="E116" s="657"/>
      <c r="F116" s="657"/>
      <c r="G116" s="1538"/>
    </row>
  </sheetData>
  <mergeCells count="400">
    <mergeCell ref="G115:G116"/>
    <mergeCell ref="A115:A116"/>
    <mergeCell ref="B115:B116"/>
    <mergeCell ref="C115:C116"/>
    <mergeCell ref="D115:D116"/>
    <mergeCell ref="E115:E116"/>
    <mergeCell ref="F115:F116"/>
    <mergeCell ref="G111:G112"/>
    <mergeCell ref="A113:A114"/>
    <mergeCell ref="B113:B114"/>
    <mergeCell ref="C113:C114"/>
    <mergeCell ref="D113:D114"/>
    <mergeCell ref="E113:E114"/>
    <mergeCell ref="F113:F114"/>
    <mergeCell ref="G113:G114"/>
    <mergeCell ref="A111:A112"/>
    <mergeCell ref="B111:B112"/>
    <mergeCell ref="C111:C112"/>
    <mergeCell ref="D111:D112"/>
    <mergeCell ref="E111:E112"/>
    <mergeCell ref="F111:F112"/>
    <mergeCell ref="G107:G108"/>
    <mergeCell ref="A109:A110"/>
    <mergeCell ref="B109:B110"/>
    <mergeCell ref="C109:C110"/>
    <mergeCell ref="D109:D110"/>
    <mergeCell ref="E109:E110"/>
    <mergeCell ref="F109:F110"/>
    <mergeCell ref="G109:G110"/>
    <mergeCell ref="A107:A108"/>
    <mergeCell ref="B107:B108"/>
    <mergeCell ref="C107:C108"/>
    <mergeCell ref="D107:D108"/>
    <mergeCell ref="E107:E108"/>
    <mergeCell ref="F107:F108"/>
    <mergeCell ref="G103:G104"/>
    <mergeCell ref="A105:A106"/>
    <mergeCell ref="B105:B106"/>
    <mergeCell ref="C105:C106"/>
    <mergeCell ref="D105:D106"/>
    <mergeCell ref="E105:E106"/>
    <mergeCell ref="F105:F106"/>
    <mergeCell ref="G105:G106"/>
    <mergeCell ref="A103:A104"/>
    <mergeCell ref="B103:B104"/>
    <mergeCell ref="C103:C104"/>
    <mergeCell ref="D103:D104"/>
    <mergeCell ref="E103:E104"/>
    <mergeCell ref="F103:F104"/>
    <mergeCell ref="G99:G100"/>
    <mergeCell ref="A101:A102"/>
    <mergeCell ref="B101:B102"/>
    <mergeCell ref="C101:C102"/>
    <mergeCell ref="D101:D102"/>
    <mergeCell ref="E101:E102"/>
    <mergeCell ref="F101:F102"/>
    <mergeCell ref="G101:G102"/>
    <mergeCell ref="A99:A100"/>
    <mergeCell ref="B99:B100"/>
    <mergeCell ref="C99:C100"/>
    <mergeCell ref="D99:D100"/>
    <mergeCell ref="E99:E100"/>
    <mergeCell ref="F99:F100"/>
    <mergeCell ref="G95:G96"/>
    <mergeCell ref="A97:A98"/>
    <mergeCell ref="B97:B98"/>
    <mergeCell ref="C97:C98"/>
    <mergeCell ref="D97:D98"/>
    <mergeCell ref="E97:E98"/>
    <mergeCell ref="F97:F98"/>
    <mergeCell ref="G97:G98"/>
    <mergeCell ref="A95:A96"/>
    <mergeCell ref="B95:B96"/>
    <mergeCell ref="C95:C96"/>
    <mergeCell ref="D95:D96"/>
    <mergeCell ref="E95:E96"/>
    <mergeCell ref="F95:F96"/>
    <mergeCell ref="G91:G92"/>
    <mergeCell ref="A93:A94"/>
    <mergeCell ref="B93:B94"/>
    <mergeCell ref="C93:C94"/>
    <mergeCell ref="D93:D94"/>
    <mergeCell ref="E93:E94"/>
    <mergeCell ref="F93:F94"/>
    <mergeCell ref="G93:G94"/>
    <mergeCell ref="A91:A92"/>
    <mergeCell ref="B91:B92"/>
    <mergeCell ref="C91:C92"/>
    <mergeCell ref="D91:D92"/>
    <mergeCell ref="E91:E92"/>
    <mergeCell ref="F91:F92"/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79:G80"/>
    <mergeCell ref="A81:A82"/>
    <mergeCell ref="B81:B82"/>
    <mergeCell ref="C81:C82"/>
    <mergeCell ref="D81:D82"/>
    <mergeCell ref="E81:E82"/>
    <mergeCell ref="F81:F82"/>
    <mergeCell ref="G81:G82"/>
    <mergeCell ref="A79:A80"/>
    <mergeCell ref="B79:B80"/>
    <mergeCell ref="C79:C80"/>
    <mergeCell ref="D79:D80"/>
    <mergeCell ref="E79:E80"/>
    <mergeCell ref="F79:F80"/>
    <mergeCell ref="G75:G76"/>
    <mergeCell ref="A77:A78"/>
    <mergeCell ref="B77:B78"/>
    <mergeCell ref="C77:C78"/>
    <mergeCell ref="D77:D78"/>
    <mergeCell ref="E77:E78"/>
    <mergeCell ref="F77:F78"/>
    <mergeCell ref="G77:G78"/>
    <mergeCell ref="A75:A76"/>
    <mergeCell ref="B75:B76"/>
    <mergeCell ref="C75:C76"/>
    <mergeCell ref="D75:D76"/>
    <mergeCell ref="E75:E76"/>
    <mergeCell ref="F75:F76"/>
    <mergeCell ref="G71:G72"/>
    <mergeCell ref="A73:A74"/>
    <mergeCell ref="B73:B74"/>
    <mergeCell ref="C73:C74"/>
    <mergeCell ref="D73:D74"/>
    <mergeCell ref="E73:E74"/>
    <mergeCell ref="F73:F74"/>
    <mergeCell ref="G73:G74"/>
    <mergeCell ref="A71:A72"/>
    <mergeCell ref="B71:B72"/>
    <mergeCell ref="C71:C72"/>
    <mergeCell ref="D71:D72"/>
    <mergeCell ref="E71:E72"/>
    <mergeCell ref="F71:F72"/>
    <mergeCell ref="G67:G68"/>
    <mergeCell ref="A69:A70"/>
    <mergeCell ref="B69:B70"/>
    <mergeCell ref="C69:C70"/>
    <mergeCell ref="D69:D70"/>
    <mergeCell ref="E69:E70"/>
    <mergeCell ref="F69:F70"/>
    <mergeCell ref="G69:G70"/>
    <mergeCell ref="A67:A68"/>
    <mergeCell ref="B67:B68"/>
    <mergeCell ref="C67:C68"/>
    <mergeCell ref="D67:D68"/>
    <mergeCell ref="E67:E68"/>
    <mergeCell ref="F67:F68"/>
    <mergeCell ref="G63:G64"/>
    <mergeCell ref="A65:A66"/>
    <mergeCell ref="B65:B66"/>
    <mergeCell ref="C65:C66"/>
    <mergeCell ref="D65:D66"/>
    <mergeCell ref="E65:E66"/>
    <mergeCell ref="F65:F66"/>
    <mergeCell ref="G65:G66"/>
    <mergeCell ref="A63:A64"/>
    <mergeCell ref="B63:B64"/>
    <mergeCell ref="C63:C64"/>
    <mergeCell ref="D63:D64"/>
    <mergeCell ref="E63:E64"/>
    <mergeCell ref="F63:F64"/>
    <mergeCell ref="G59:G60"/>
    <mergeCell ref="A61:A62"/>
    <mergeCell ref="B61:B62"/>
    <mergeCell ref="C61:C62"/>
    <mergeCell ref="D61:D62"/>
    <mergeCell ref="E61:E62"/>
    <mergeCell ref="F61:F62"/>
    <mergeCell ref="G61:G62"/>
    <mergeCell ref="A59:A60"/>
    <mergeCell ref="B59:B60"/>
    <mergeCell ref="C59:C60"/>
    <mergeCell ref="D59:D60"/>
    <mergeCell ref="E59:E60"/>
    <mergeCell ref="F59:F60"/>
    <mergeCell ref="G55:G56"/>
    <mergeCell ref="A57:A58"/>
    <mergeCell ref="B57:B58"/>
    <mergeCell ref="C57:C58"/>
    <mergeCell ref="D57:D58"/>
    <mergeCell ref="E57:E58"/>
    <mergeCell ref="F57:F58"/>
    <mergeCell ref="G57:G58"/>
    <mergeCell ref="A55:A56"/>
    <mergeCell ref="B55:B56"/>
    <mergeCell ref="C55:C56"/>
    <mergeCell ref="D55:D56"/>
    <mergeCell ref="E55:E56"/>
    <mergeCell ref="F55:F56"/>
    <mergeCell ref="G51:G52"/>
    <mergeCell ref="A53:A54"/>
    <mergeCell ref="B53:B54"/>
    <mergeCell ref="C53:C54"/>
    <mergeCell ref="D53:D54"/>
    <mergeCell ref="E53:E54"/>
    <mergeCell ref="F53:F54"/>
    <mergeCell ref="G53:G54"/>
    <mergeCell ref="A51:A52"/>
    <mergeCell ref="B51:B52"/>
    <mergeCell ref="C51:C52"/>
    <mergeCell ref="D51:D52"/>
    <mergeCell ref="E51:E52"/>
    <mergeCell ref="F51:F52"/>
    <mergeCell ref="G47:G48"/>
    <mergeCell ref="A49:A50"/>
    <mergeCell ref="B49:B50"/>
    <mergeCell ref="C49:C50"/>
    <mergeCell ref="D49:D50"/>
    <mergeCell ref="E49:E50"/>
    <mergeCell ref="F49:F50"/>
    <mergeCell ref="G49:G50"/>
    <mergeCell ref="A47:A48"/>
    <mergeCell ref="B47:B48"/>
    <mergeCell ref="C47:C48"/>
    <mergeCell ref="D47:D48"/>
    <mergeCell ref="E47:E48"/>
    <mergeCell ref="F47:F48"/>
    <mergeCell ref="G43:G44"/>
    <mergeCell ref="A45:A46"/>
    <mergeCell ref="B45:B46"/>
    <mergeCell ref="C45:C46"/>
    <mergeCell ref="D45:D46"/>
    <mergeCell ref="E45:E46"/>
    <mergeCell ref="F45:F46"/>
    <mergeCell ref="G45:G46"/>
    <mergeCell ref="A43:A44"/>
    <mergeCell ref="B43:B44"/>
    <mergeCell ref="C43:C44"/>
    <mergeCell ref="D43:D44"/>
    <mergeCell ref="E43:E44"/>
    <mergeCell ref="F43:F44"/>
    <mergeCell ref="G39:G40"/>
    <mergeCell ref="A41:A42"/>
    <mergeCell ref="B41:B42"/>
    <mergeCell ref="C41:C42"/>
    <mergeCell ref="D41:D42"/>
    <mergeCell ref="E41:E42"/>
    <mergeCell ref="F41:F42"/>
    <mergeCell ref="G41:G42"/>
    <mergeCell ref="A39:A40"/>
    <mergeCell ref="B39:B40"/>
    <mergeCell ref="C39:C40"/>
    <mergeCell ref="D39:D40"/>
    <mergeCell ref="E39:E40"/>
    <mergeCell ref="F39:F40"/>
    <mergeCell ref="G35:G36"/>
    <mergeCell ref="A37:A38"/>
    <mergeCell ref="B37:B38"/>
    <mergeCell ref="C37:C38"/>
    <mergeCell ref="D37:D38"/>
    <mergeCell ref="E37:E38"/>
    <mergeCell ref="F37:F38"/>
    <mergeCell ref="G37:G38"/>
    <mergeCell ref="A35:A36"/>
    <mergeCell ref="B35:B36"/>
    <mergeCell ref="C35:C36"/>
    <mergeCell ref="D35:D36"/>
    <mergeCell ref="E35:E36"/>
    <mergeCell ref="F35:F36"/>
    <mergeCell ref="G31:G32"/>
    <mergeCell ref="A33:A34"/>
    <mergeCell ref="B33:B34"/>
    <mergeCell ref="C33:C34"/>
    <mergeCell ref="D33:D34"/>
    <mergeCell ref="E33:E34"/>
    <mergeCell ref="F33:F34"/>
    <mergeCell ref="G33:G34"/>
    <mergeCell ref="A31:A32"/>
    <mergeCell ref="B31:B32"/>
    <mergeCell ref="C31:C32"/>
    <mergeCell ref="D31:D32"/>
    <mergeCell ref="E31:E32"/>
    <mergeCell ref="F31:F32"/>
    <mergeCell ref="G27:G28"/>
    <mergeCell ref="A29:A30"/>
    <mergeCell ref="B29:B30"/>
    <mergeCell ref="C29:C30"/>
    <mergeCell ref="D29:D30"/>
    <mergeCell ref="E29:E30"/>
    <mergeCell ref="F29:F30"/>
    <mergeCell ref="G29:G30"/>
    <mergeCell ref="A27:A28"/>
    <mergeCell ref="B27:B28"/>
    <mergeCell ref="C27:C28"/>
    <mergeCell ref="D27:D28"/>
    <mergeCell ref="E27:E28"/>
    <mergeCell ref="F27:F28"/>
    <mergeCell ref="A25:A26"/>
    <mergeCell ref="B25:B26"/>
    <mergeCell ref="C25:C26"/>
    <mergeCell ref="D25:D26"/>
    <mergeCell ref="E25:E26"/>
    <mergeCell ref="F25:F26"/>
    <mergeCell ref="G25:G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zoomScaleNormal="100" workbookViewId="0">
      <selection activeCell="F91" sqref="F91:F92"/>
    </sheetView>
  </sheetViews>
  <sheetFormatPr defaultRowHeight="12.75"/>
  <cols>
    <col min="2" max="2" width="13.28515625" customWidth="1"/>
    <col min="3" max="3" width="14.28515625" customWidth="1"/>
    <col min="4" max="4" width="24.85546875" customWidth="1"/>
    <col min="5" max="5" width="20.5703125" customWidth="1"/>
    <col min="6" max="6" width="19.85546875" customWidth="1"/>
    <col min="7" max="7" width="14.85546875" customWidth="1"/>
  </cols>
  <sheetData>
    <row r="1" spans="1:7" ht="15">
      <c r="A1" s="575" t="s">
        <v>2925</v>
      </c>
      <c r="B1" s="575"/>
      <c r="C1" s="575"/>
      <c r="D1" s="575"/>
      <c r="E1" s="575"/>
      <c r="F1" s="575"/>
      <c r="G1" s="577">
        <f>SUM(F3:F92)</f>
        <v>275447300</v>
      </c>
    </row>
    <row r="2" spans="1:7" ht="15">
      <c r="A2" s="1536" t="s">
        <v>2990</v>
      </c>
      <c r="B2" s="1536"/>
      <c r="C2" s="1536"/>
      <c r="D2" s="1536"/>
      <c r="E2" s="1536"/>
      <c r="F2" s="1536"/>
      <c r="G2" s="1536"/>
    </row>
    <row r="3" spans="1:7">
      <c r="A3" s="1532">
        <v>1</v>
      </c>
      <c r="B3" s="658" t="s">
        <v>162</v>
      </c>
      <c r="C3" s="658" t="s">
        <v>2909</v>
      </c>
      <c r="D3" s="658" t="s">
        <v>2375</v>
      </c>
      <c r="E3" s="657">
        <v>805000</v>
      </c>
      <c r="F3" s="657">
        <f t="shared" ref="F3" si="0">E3</f>
        <v>805000</v>
      </c>
      <c r="G3" s="1537"/>
    </row>
    <row r="4" spans="1:7">
      <c r="A4" s="1532"/>
      <c r="B4" s="658"/>
      <c r="C4" s="658"/>
      <c r="D4" s="658"/>
      <c r="E4" s="657"/>
      <c r="F4" s="657"/>
      <c r="G4" s="1538"/>
    </row>
    <row r="5" spans="1:7">
      <c r="A5" s="1532">
        <v>2</v>
      </c>
      <c r="B5" s="658" t="s">
        <v>165</v>
      </c>
      <c r="C5" s="658" t="s">
        <v>2918</v>
      </c>
      <c r="D5" s="658" t="s">
        <v>2915</v>
      </c>
      <c r="E5" s="657">
        <v>2500000</v>
      </c>
      <c r="F5" s="657">
        <f t="shared" ref="F5" si="1">E5</f>
        <v>2500000</v>
      </c>
      <c r="G5" s="1537"/>
    </row>
    <row r="6" spans="1:7">
      <c r="A6" s="1532"/>
      <c r="B6" s="658"/>
      <c r="C6" s="658"/>
      <c r="D6" s="658"/>
      <c r="E6" s="657"/>
      <c r="F6" s="657"/>
      <c r="G6" s="1538"/>
    </row>
    <row r="7" spans="1:7">
      <c r="A7" s="1532">
        <v>3</v>
      </c>
      <c r="B7" s="658" t="s">
        <v>166</v>
      </c>
      <c r="C7" s="658" t="s">
        <v>2918</v>
      </c>
      <c r="D7" s="658" t="s">
        <v>2916</v>
      </c>
      <c r="E7" s="657">
        <v>2700000</v>
      </c>
      <c r="F7" s="657">
        <f t="shared" ref="F7" si="2">E7</f>
        <v>2700000</v>
      </c>
      <c r="G7" s="1537"/>
    </row>
    <row r="8" spans="1:7">
      <c r="A8" s="1532"/>
      <c r="B8" s="658"/>
      <c r="C8" s="658"/>
      <c r="D8" s="658"/>
      <c r="E8" s="657"/>
      <c r="F8" s="657"/>
      <c r="G8" s="1537"/>
    </row>
    <row r="9" spans="1:7">
      <c r="A9" s="1532">
        <v>4</v>
      </c>
      <c r="B9" s="658" t="s">
        <v>183</v>
      </c>
      <c r="C9" s="658" t="s">
        <v>2918</v>
      </c>
      <c r="D9" s="658" t="s">
        <v>2917</v>
      </c>
      <c r="E9" s="657">
        <v>3500000</v>
      </c>
      <c r="F9" s="657">
        <f t="shared" ref="F9" si="3">E9</f>
        <v>3500000</v>
      </c>
      <c r="G9" s="1537"/>
    </row>
    <row r="10" spans="1:7">
      <c r="A10" s="1532"/>
      <c r="B10" s="658"/>
      <c r="C10" s="658"/>
      <c r="D10" s="658"/>
      <c r="E10" s="657"/>
      <c r="F10" s="657"/>
      <c r="G10" s="1538"/>
    </row>
    <row r="11" spans="1:7">
      <c r="A11" s="1532">
        <v>5</v>
      </c>
      <c r="B11" s="658" t="s">
        <v>188</v>
      </c>
      <c r="C11" s="658" t="s">
        <v>2918</v>
      </c>
      <c r="D11" s="658" t="s">
        <v>1601</v>
      </c>
      <c r="E11" s="657">
        <v>7900000</v>
      </c>
      <c r="F11" s="657">
        <f t="shared" ref="F11" si="4">E11</f>
        <v>7900000</v>
      </c>
      <c r="G11" s="1537"/>
    </row>
    <row r="12" spans="1:7">
      <c r="A12" s="1532"/>
      <c r="B12" s="658"/>
      <c r="C12" s="658"/>
      <c r="D12" s="658"/>
      <c r="E12" s="657"/>
      <c r="F12" s="657"/>
      <c r="G12" s="1538"/>
    </row>
    <row r="13" spans="1:7">
      <c r="A13" s="1532">
        <v>6</v>
      </c>
      <c r="B13" s="658" t="s">
        <v>190</v>
      </c>
      <c r="C13" s="658" t="s">
        <v>2918</v>
      </c>
      <c r="D13" s="658" t="s">
        <v>117</v>
      </c>
      <c r="E13" s="657">
        <v>1150000</v>
      </c>
      <c r="F13" s="657">
        <f t="shared" ref="F13" si="5">E13</f>
        <v>1150000</v>
      </c>
      <c r="G13" s="1537"/>
    </row>
    <row r="14" spans="1:7">
      <c r="A14" s="1532"/>
      <c r="B14" s="658"/>
      <c r="C14" s="658"/>
      <c r="D14" s="658"/>
      <c r="E14" s="657"/>
      <c r="F14" s="657"/>
      <c r="G14" s="1538"/>
    </row>
    <row r="15" spans="1:7">
      <c r="A15" s="1532">
        <v>7</v>
      </c>
      <c r="B15" s="658" t="s">
        <v>2923</v>
      </c>
      <c r="C15" s="658" t="s">
        <v>2909</v>
      </c>
      <c r="D15" s="658" t="s">
        <v>239</v>
      </c>
      <c r="E15" s="657">
        <v>41951</v>
      </c>
      <c r="F15" s="657">
        <v>11886000</v>
      </c>
      <c r="G15" s="1537" t="s">
        <v>2992</v>
      </c>
    </row>
    <row r="16" spans="1:7">
      <c r="A16" s="1532"/>
      <c r="B16" s="658"/>
      <c r="C16" s="658"/>
      <c r="D16" s="658"/>
      <c r="E16" s="657"/>
      <c r="F16" s="657"/>
      <c r="G16" s="1538"/>
    </row>
    <row r="17" spans="1:7">
      <c r="A17" s="1532">
        <v>8</v>
      </c>
      <c r="B17" s="658" t="s">
        <v>184</v>
      </c>
      <c r="C17" s="658" t="s">
        <v>2924</v>
      </c>
      <c r="D17" s="658" t="s">
        <v>2723</v>
      </c>
      <c r="E17" s="657">
        <v>3900000</v>
      </c>
      <c r="F17" s="657">
        <f t="shared" ref="F17" si="6">E17</f>
        <v>3900000</v>
      </c>
      <c r="G17" s="1537"/>
    </row>
    <row r="18" spans="1:7">
      <c r="A18" s="1532"/>
      <c r="B18" s="658"/>
      <c r="C18" s="658"/>
      <c r="D18" s="658"/>
      <c r="E18" s="657"/>
      <c r="F18" s="657"/>
      <c r="G18" s="1538"/>
    </row>
    <row r="19" spans="1:7">
      <c r="A19" s="1532">
        <v>9</v>
      </c>
      <c r="B19" s="658" t="s">
        <v>2933</v>
      </c>
      <c r="C19" s="658" t="s">
        <v>2924</v>
      </c>
      <c r="D19" s="658" t="s">
        <v>239</v>
      </c>
      <c r="E19" s="657">
        <v>41430</v>
      </c>
      <c r="F19" s="657">
        <v>12054100</v>
      </c>
      <c r="G19" s="1537" t="s">
        <v>2991</v>
      </c>
    </row>
    <row r="20" spans="1:7">
      <c r="A20" s="1532"/>
      <c r="B20" s="658"/>
      <c r="C20" s="658"/>
      <c r="D20" s="658"/>
      <c r="E20" s="657"/>
      <c r="F20" s="657"/>
      <c r="G20" s="1538"/>
    </row>
    <row r="21" spans="1:7">
      <c r="A21" s="1532">
        <v>10</v>
      </c>
      <c r="B21" s="658" t="s">
        <v>201</v>
      </c>
      <c r="C21" s="658" t="s">
        <v>2931</v>
      </c>
      <c r="D21" s="658" t="s">
        <v>2517</v>
      </c>
      <c r="E21" s="657">
        <v>1500000</v>
      </c>
      <c r="F21" s="657">
        <v>1500000</v>
      </c>
      <c r="G21" s="1537"/>
    </row>
    <row r="22" spans="1:7">
      <c r="A22" s="1532"/>
      <c r="B22" s="658"/>
      <c r="C22" s="658"/>
      <c r="D22" s="658"/>
      <c r="E22" s="657"/>
      <c r="F22" s="657"/>
      <c r="G22" s="1538"/>
    </row>
    <row r="23" spans="1:7">
      <c r="A23" s="1532">
        <v>11</v>
      </c>
      <c r="B23" s="658" t="s">
        <v>202</v>
      </c>
      <c r="C23" s="658" t="s">
        <v>2931</v>
      </c>
      <c r="D23" s="658" t="s">
        <v>2517</v>
      </c>
      <c r="E23" s="657">
        <v>1500000</v>
      </c>
      <c r="F23" s="657">
        <f t="shared" ref="F23" si="7">E23</f>
        <v>1500000</v>
      </c>
      <c r="G23" s="1537"/>
    </row>
    <row r="24" spans="1:7">
      <c r="A24" s="1532"/>
      <c r="B24" s="658"/>
      <c r="C24" s="658"/>
      <c r="D24" s="658"/>
      <c r="E24" s="657"/>
      <c r="F24" s="657"/>
      <c r="G24" s="1538"/>
    </row>
    <row r="25" spans="1:7">
      <c r="A25" s="1532">
        <v>12</v>
      </c>
      <c r="B25" s="658" t="s">
        <v>2932</v>
      </c>
      <c r="C25" s="658" t="s">
        <v>2924</v>
      </c>
      <c r="D25" s="658" t="s">
        <v>239</v>
      </c>
      <c r="E25" s="657">
        <v>41372</v>
      </c>
      <c r="F25" s="657">
        <v>12037200</v>
      </c>
      <c r="G25" s="1537" t="s">
        <v>2991</v>
      </c>
    </row>
    <row r="26" spans="1:7">
      <c r="A26" s="1532"/>
      <c r="B26" s="658"/>
      <c r="C26" s="658"/>
      <c r="D26" s="658"/>
      <c r="E26" s="657"/>
      <c r="F26" s="657"/>
      <c r="G26" s="1538"/>
    </row>
    <row r="27" spans="1:7">
      <c r="A27" s="1532">
        <v>13</v>
      </c>
      <c r="B27" s="658" t="s">
        <v>212</v>
      </c>
      <c r="C27" s="658" t="s">
        <v>2931</v>
      </c>
      <c r="D27" s="658" t="s">
        <v>2723</v>
      </c>
      <c r="E27" s="657">
        <v>3700000</v>
      </c>
      <c r="F27" s="657">
        <f t="shared" ref="F27" si="8">E27</f>
        <v>3700000</v>
      </c>
      <c r="G27" s="1537"/>
    </row>
    <row r="28" spans="1:7">
      <c r="A28" s="1532"/>
      <c r="B28" s="658"/>
      <c r="C28" s="658"/>
      <c r="D28" s="658"/>
      <c r="E28" s="657"/>
      <c r="F28" s="657"/>
      <c r="G28" s="1538"/>
    </row>
    <row r="29" spans="1:7">
      <c r="A29" s="1532">
        <v>14</v>
      </c>
      <c r="B29" s="658" t="s">
        <v>192</v>
      </c>
      <c r="C29" s="658" t="s">
        <v>2931</v>
      </c>
      <c r="D29" s="658" t="s">
        <v>1144</v>
      </c>
      <c r="E29" s="657">
        <v>2070000</v>
      </c>
      <c r="F29" s="657">
        <f t="shared" ref="F29" si="9">E29</f>
        <v>2070000</v>
      </c>
      <c r="G29" s="1537"/>
    </row>
    <row r="30" spans="1:7">
      <c r="A30" s="1532"/>
      <c r="B30" s="658"/>
      <c r="C30" s="658"/>
      <c r="D30" s="658"/>
      <c r="E30" s="657"/>
      <c r="F30" s="657"/>
      <c r="G30" s="1538"/>
    </row>
    <row r="31" spans="1:7">
      <c r="A31" s="1532">
        <v>15</v>
      </c>
      <c r="B31" s="658" t="s">
        <v>194</v>
      </c>
      <c r="C31" s="658" t="s">
        <v>2931</v>
      </c>
      <c r="D31" s="658" t="s">
        <v>2892</v>
      </c>
      <c r="E31" s="657">
        <v>414000</v>
      </c>
      <c r="F31" s="657">
        <f t="shared" ref="F31" si="10">E31</f>
        <v>414000</v>
      </c>
      <c r="G31" s="1537"/>
    </row>
    <row r="32" spans="1:7">
      <c r="A32" s="1532"/>
      <c r="B32" s="658"/>
      <c r="C32" s="658"/>
      <c r="D32" s="658"/>
      <c r="E32" s="657"/>
      <c r="F32" s="657"/>
      <c r="G32" s="1538"/>
    </row>
    <row r="33" spans="1:7">
      <c r="A33" s="1532">
        <v>16</v>
      </c>
      <c r="B33" s="658" t="s">
        <v>2958</v>
      </c>
      <c r="C33" s="658" t="s">
        <v>2957</v>
      </c>
      <c r="D33" s="658" t="s">
        <v>239</v>
      </c>
      <c r="E33" s="657">
        <v>40960</v>
      </c>
      <c r="F33" s="657">
        <v>12040000</v>
      </c>
      <c r="G33" s="1537" t="s">
        <v>2993</v>
      </c>
    </row>
    <row r="34" spans="1:7">
      <c r="A34" s="1532"/>
      <c r="B34" s="658"/>
      <c r="C34" s="658"/>
      <c r="D34" s="658"/>
      <c r="E34" s="657"/>
      <c r="F34" s="657"/>
      <c r="G34" s="1538"/>
    </row>
    <row r="35" spans="1:7">
      <c r="A35" s="1532">
        <v>17</v>
      </c>
      <c r="B35" s="658" t="s">
        <v>214</v>
      </c>
      <c r="C35" s="658" t="s">
        <v>2937</v>
      </c>
      <c r="D35" s="658" t="s">
        <v>1140</v>
      </c>
      <c r="E35" s="657">
        <v>3000000</v>
      </c>
      <c r="F35" s="657">
        <f t="shared" ref="F35" si="11">E35</f>
        <v>3000000</v>
      </c>
      <c r="G35" s="1537"/>
    </row>
    <row r="36" spans="1:7">
      <c r="A36" s="1532"/>
      <c r="B36" s="658"/>
      <c r="C36" s="658"/>
      <c r="D36" s="658"/>
      <c r="E36" s="657"/>
      <c r="F36" s="657"/>
      <c r="G36" s="1538"/>
    </row>
    <row r="37" spans="1:7">
      <c r="A37" s="1532">
        <v>18</v>
      </c>
      <c r="B37" s="658" t="s">
        <v>215</v>
      </c>
      <c r="C37" s="658" t="s">
        <v>2937</v>
      </c>
      <c r="D37" s="658" t="s">
        <v>2348</v>
      </c>
      <c r="E37" s="657">
        <v>1800000</v>
      </c>
      <c r="F37" s="657">
        <f t="shared" ref="F37" si="12">E37</f>
        <v>1800000</v>
      </c>
      <c r="G37" s="1537"/>
    </row>
    <row r="38" spans="1:7">
      <c r="A38" s="1532"/>
      <c r="B38" s="658"/>
      <c r="C38" s="658"/>
      <c r="D38" s="658"/>
      <c r="E38" s="657"/>
      <c r="F38" s="657"/>
      <c r="G38" s="1538"/>
    </row>
    <row r="39" spans="1:7">
      <c r="A39" s="1532">
        <v>19</v>
      </c>
      <c r="B39" s="658" t="s">
        <v>221</v>
      </c>
      <c r="C39" s="658" t="s">
        <v>2937</v>
      </c>
      <c r="D39" s="658" t="s">
        <v>1926</v>
      </c>
      <c r="E39" s="657">
        <v>5000000</v>
      </c>
      <c r="F39" s="657">
        <f t="shared" ref="F39" si="13">E39</f>
        <v>5000000</v>
      </c>
      <c r="G39" s="1537"/>
    </row>
    <row r="40" spans="1:7">
      <c r="A40" s="1532"/>
      <c r="B40" s="658"/>
      <c r="C40" s="658"/>
      <c r="D40" s="658"/>
      <c r="E40" s="657"/>
      <c r="F40" s="657"/>
      <c r="G40" s="1538"/>
    </row>
    <row r="41" spans="1:7">
      <c r="A41" s="1532">
        <v>20</v>
      </c>
      <c r="B41" s="658" t="s">
        <v>2962</v>
      </c>
      <c r="C41" s="658" t="s">
        <v>2957</v>
      </c>
      <c r="D41" s="658" t="s">
        <v>239</v>
      </c>
      <c r="E41" s="657">
        <v>40811</v>
      </c>
      <c r="F41" s="657">
        <v>11996000</v>
      </c>
      <c r="G41" s="1537" t="s">
        <v>2993</v>
      </c>
    </row>
    <row r="42" spans="1:7">
      <c r="A42" s="1532"/>
      <c r="B42" s="658"/>
      <c r="C42" s="658"/>
      <c r="D42" s="658"/>
      <c r="E42" s="657"/>
      <c r="F42" s="657"/>
      <c r="G42" s="1538"/>
    </row>
    <row r="43" spans="1:7">
      <c r="A43" s="1532">
        <v>21</v>
      </c>
      <c r="B43" s="658" t="s">
        <v>222</v>
      </c>
      <c r="C43" s="658" t="s">
        <v>2941</v>
      </c>
      <c r="D43" s="658" t="s">
        <v>1601</v>
      </c>
      <c r="E43" s="657">
        <v>9000000</v>
      </c>
      <c r="F43" s="657">
        <f t="shared" ref="F43" si="14">E43</f>
        <v>9000000</v>
      </c>
      <c r="G43" s="1537"/>
    </row>
    <row r="44" spans="1:7">
      <c r="A44" s="1532"/>
      <c r="B44" s="658"/>
      <c r="C44" s="658"/>
      <c r="D44" s="658"/>
      <c r="E44" s="657"/>
      <c r="F44" s="657"/>
      <c r="G44" s="1538"/>
    </row>
    <row r="45" spans="1:7">
      <c r="A45" s="1532">
        <v>22</v>
      </c>
      <c r="B45" s="658" t="s">
        <v>230</v>
      </c>
      <c r="C45" s="658" t="s">
        <v>2941</v>
      </c>
      <c r="D45" s="658" t="s">
        <v>2723</v>
      </c>
      <c r="E45" s="657">
        <v>3000000</v>
      </c>
      <c r="F45" s="657">
        <f t="shared" ref="F45" si="15">E45</f>
        <v>3000000</v>
      </c>
      <c r="G45" s="1537"/>
    </row>
    <row r="46" spans="1:7">
      <c r="A46" s="1532"/>
      <c r="B46" s="658"/>
      <c r="C46" s="658"/>
      <c r="D46" s="658"/>
      <c r="E46" s="657"/>
      <c r="F46" s="657"/>
      <c r="G46" s="1538"/>
    </row>
    <row r="47" spans="1:7">
      <c r="A47" s="1532">
        <v>23</v>
      </c>
      <c r="B47" s="658" t="s">
        <v>2965</v>
      </c>
      <c r="C47" s="658" t="s">
        <v>2964</v>
      </c>
      <c r="D47" s="658" t="s">
        <v>239</v>
      </c>
      <c r="E47" s="657">
        <v>42511</v>
      </c>
      <c r="F47" s="657">
        <v>12450700</v>
      </c>
      <c r="G47" s="1537" t="s">
        <v>2994</v>
      </c>
    </row>
    <row r="48" spans="1:7">
      <c r="A48" s="1532"/>
      <c r="B48" s="658"/>
      <c r="C48" s="658"/>
      <c r="D48" s="658"/>
      <c r="E48" s="657"/>
      <c r="F48" s="657"/>
      <c r="G48" s="1538"/>
    </row>
    <row r="49" spans="1:7">
      <c r="A49" s="1532">
        <v>24</v>
      </c>
      <c r="B49" s="658" t="s">
        <v>231</v>
      </c>
      <c r="C49" s="658" t="s">
        <v>2941</v>
      </c>
      <c r="D49" s="658" t="s">
        <v>117</v>
      </c>
      <c r="E49" s="657">
        <v>1150000</v>
      </c>
      <c r="F49" s="657">
        <f t="shared" ref="F49" si="16">E49</f>
        <v>1150000</v>
      </c>
      <c r="G49" s="1537"/>
    </row>
    <row r="50" spans="1:7">
      <c r="A50" s="1532"/>
      <c r="B50" s="658"/>
      <c r="C50" s="658"/>
      <c r="D50" s="658"/>
      <c r="E50" s="657"/>
      <c r="F50" s="657"/>
      <c r="G50" s="1538"/>
    </row>
    <row r="51" spans="1:7">
      <c r="A51" s="1532">
        <v>25</v>
      </c>
      <c r="B51" s="658" t="s">
        <v>232</v>
      </c>
      <c r="C51" s="658" t="s">
        <v>2943</v>
      </c>
      <c r="D51" s="658" t="s">
        <v>2942</v>
      </c>
      <c r="E51" s="657">
        <v>4700000</v>
      </c>
      <c r="F51" s="657">
        <f t="shared" ref="F51" si="17">E51</f>
        <v>4700000</v>
      </c>
      <c r="G51" s="1537"/>
    </row>
    <row r="52" spans="1:7">
      <c r="A52" s="1532"/>
      <c r="B52" s="658"/>
      <c r="C52" s="658"/>
      <c r="D52" s="658"/>
      <c r="E52" s="657"/>
      <c r="F52" s="657"/>
      <c r="G52" s="1538"/>
    </row>
    <row r="53" spans="1:7">
      <c r="A53" s="1532">
        <v>26</v>
      </c>
      <c r="B53" s="658" t="s">
        <v>233</v>
      </c>
      <c r="C53" s="658" t="s">
        <v>2944</v>
      </c>
      <c r="D53" s="658" t="s">
        <v>2935</v>
      </c>
      <c r="E53" s="657">
        <v>4000000</v>
      </c>
      <c r="F53" s="657">
        <v>2500000</v>
      </c>
      <c r="G53" s="1526" t="s">
        <v>1470</v>
      </c>
    </row>
    <row r="54" spans="1:7">
      <c r="A54" s="1532"/>
      <c r="B54" s="658"/>
      <c r="C54" s="658"/>
      <c r="D54" s="658"/>
      <c r="E54" s="657"/>
      <c r="F54" s="657"/>
      <c r="G54" s="1535"/>
    </row>
    <row r="55" spans="1:7">
      <c r="A55" s="1532">
        <v>27</v>
      </c>
      <c r="B55" s="658" t="s">
        <v>2963</v>
      </c>
      <c r="C55" s="658" t="s">
        <v>2941</v>
      </c>
      <c r="D55" s="658" t="s">
        <v>239</v>
      </c>
      <c r="E55" s="657">
        <v>41131</v>
      </c>
      <c r="F55" s="657">
        <v>12171500</v>
      </c>
      <c r="G55" s="1537" t="s">
        <v>2995</v>
      </c>
    </row>
    <row r="56" spans="1:7">
      <c r="A56" s="1532"/>
      <c r="B56" s="658"/>
      <c r="C56" s="658"/>
      <c r="D56" s="658"/>
      <c r="E56" s="657"/>
      <c r="F56" s="657"/>
      <c r="G56" s="1538"/>
    </row>
    <row r="57" spans="1:7">
      <c r="A57" s="1532">
        <v>28</v>
      </c>
      <c r="B57" s="658" t="s">
        <v>254</v>
      </c>
      <c r="C57" s="658" t="s">
        <v>2945</v>
      </c>
      <c r="D57" s="658" t="s">
        <v>2409</v>
      </c>
      <c r="E57" s="657">
        <v>4600000</v>
      </c>
      <c r="F57" s="657">
        <f t="shared" ref="F57" si="18">E57</f>
        <v>4600000</v>
      </c>
      <c r="G57" s="1537"/>
    </row>
    <row r="58" spans="1:7">
      <c r="A58" s="1532"/>
      <c r="B58" s="658"/>
      <c r="C58" s="658"/>
      <c r="D58" s="658"/>
      <c r="E58" s="657"/>
      <c r="F58" s="657"/>
      <c r="G58" s="1537"/>
    </row>
    <row r="59" spans="1:7">
      <c r="A59" s="1532">
        <v>29</v>
      </c>
      <c r="B59" s="658" t="s">
        <v>255</v>
      </c>
      <c r="C59" s="658" t="s">
        <v>2945</v>
      </c>
      <c r="D59" s="658" t="s">
        <v>2946</v>
      </c>
      <c r="E59" s="657">
        <v>5000000</v>
      </c>
      <c r="F59" s="657">
        <f t="shared" ref="F59" si="19">E59</f>
        <v>5000000</v>
      </c>
      <c r="G59" s="1537"/>
    </row>
    <row r="60" spans="1:7">
      <c r="A60" s="1532"/>
      <c r="B60" s="658"/>
      <c r="C60" s="658"/>
      <c r="D60" s="658"/>
      <c r="E60" s="657"/>
      <c r="F60" s="657"/>
      <c r="G60" s="1538"/>
    </row>
    <row r="61" spans="1:7">
      <c r="A61" s="1532">
        <v>30</v>
      </c>
      <c r="B61" s="658" t="s">
        <v>2959</v>
      </c>
      <c r="C61" s="658" t="s">
        <v>2944</v>
      </c>
      <c r="D61" s="658" t="s">
        <v>239</v>
      </c>
      <c r="E61" s="657">
        <v>40552</v>
      </c>
      <c r="F61" s="657">
        <v>11976200</v>
      </c>
      <c r="G61" s="1537" t="s">
        <v>2996</v>
      </c>
    </row>
    <row r="62" spans="1:7">
      <c r="A62" s="1532"/>
      <c r="B62" s="658"/>
      <c r="C62" s="658"/>
      <c r="D62" s="658"/>
      <c r="E62" s="657"/>
      <c r="F62" s="657"/>
      <c r="G62" s="1538"/>
    </row>
    <row r="63" spans="1:7">
      <c r="A63" s="1532">
        <v>31</v>
      </c>
      <c r="B63" s="658" t="s">
        <v>272</v>
      </c>
      <c r="C63" s="658" t="s">
        <v>2954</v>
      </c>
      <c r="D63" s="658" t="s">
        <v>2948</v>
      </c>
      <c r="E63" s="657">
        <v>5000000</v>
      </c>
      <c r="F63" s="657">
        <f t="shared" ref="F63" si="20">E63</f>
        <v>5000000</v>
      </c>
      <c r="G63" s="1537"/>
    </row>
    <row r="64" spans="1:7">
      <c r="A64" s="1532"/>
      <c r="B64" s="658"/>
      <c r="C64" s="658"/>
      <c r="D64" s="658"/>
      <c r="E64" s="657"/>
      <c r="F64" s="657"/>
      <c r="G64" s="1538"/>
    </row>
    <row r="65" spans="1:7">
      <c r="A65" s="1532">
        <v>32</v>
      </c>
      <c r="B65" s="658" t="s">
        <v>273</v>
      </c>
      <c r="C65" s="658" t="s">
        <v>2954</v>
      </c>
      <c r="D65" s="658" t="s">
        <v>2592</v>
      </c>
      <c r="E65" s="657">
        <v>5100000</v>
      </c>
      <c r="F65" s="657">
        <f t="shared" ref="F65" si="21">E65</f>
        <v>5100000</v>
      </c>
      <c r="G65" s="1537"/>
    </row>
    <row r="66" spans="1:7">
      <c r="A66" s="1532"/>
      <c r="B66" s="658"/>
      <c r="C66" s="658"/>
      <c r="D66" s="658"/>
      <c r="E66" s="657"/>
      <c r="F66" s="657"/>
      <c r="G66" s="1538"/>
    </row>
    <row r="67" spans="1:7">
      <c r="A67" s="1532">
        <v>33</v>
      </c>
      <c r="B67" s="658" t="s">
        <v>2966</v>
      </c>
      <c r="C67" s="658" t="s">
        <v>2945</v>
      </c>
      <c r="D67" s="658" t="s">
        <v>239</v>
      </c>
      <c r="E67" s="657">
        <v>40335</v>
      </c>
      <c r="F67" s="657">
        <v>12015400</v>
      </c>
      <c r="G67" s="1537" t="s">
        <v>2997</v>
      </c>
    </row>
    <row r="68" spans="1:7">
      <c r="A68" s="1532"/>
      <c r="B68" s="658"/>
      <c r="C68" s="658"/>
      <c r="D68" s="658"/>
      <c r="E68" s="657"/>
      <c r="F68" s="657"/>
      <c r="G68" s="1538"/>
    </row>
    <row r="69" spans="1:7">
      <c r="A69" s="1532">
        <v>34</v>
      </c>
      <c r="B69" s="658" t="s">
        <v>234</v>
      </c>
      <c r="C69" s="658" t="s">
        <v>2951</v>
      </c>
      <c r="D69" s="658" t="s">
        <v>2376</v>
      </c>
      <c r="E69" s="657">
        <v>735000</v>
      </c>
      <c r="F69" s="657">
        <f t="shared" ref="F69" si="22">E69</f>
        <v>735000</v>
      </c>
      <c r="G69" s="1537"/>
    </row>
    <row r="70" spans="1:7">
      <c r="A70" s="1532"/>
      <c r="B70" s="658"/>
      <c r="C70" s="658"/>
      <c r="D70" s="658"/>
      <c r="E70" s="657"/>
      <c r="F70" s="657"/>
      <c r="G70" s="1538"/>
    </row>
    <row r="71" spans="1:7">
      <c r="A71" s="1532">
        <v>35</v>
      </c>
      <c r="B71" s="658" t="s">
        <v>274</v>
      </c>
      <c r="C71" s="658" t="s">
        <v>2951</v>
      </c>
      <c r="D71" s="658" t="s">
        <v>117</v>
      </c>
      <c r="E71" s="657">
        <v>1150000</v>
      </c>
      <c r="F71" s="657">
        <f t="shared" ref="F71" si="23">E71</f>
        <v>1150000</v>
      </c>
      <c r="G71" s="1537"/>
    </row>
    <row r="72" spans="1:7">
      <c r="A72" s="1532"/>
      <c r="B72" s="658"/>
      <c r="C72" s="658"/>
      <c r="D72" s="658"/>
      <c r="E72" s="657"/>
      <c r="F72" s="657"/>
      <c r="G72" s="1538"/>
    </row>
    <row r="73" spans="1:7">
      <c r="A73" s="1532">
        <v>36</v>
      </c>
      <c r="B73" s="658" t="s">
        <v>2961</v>
      </c>
      <c r="C73" s="658" t="s">
        <v>2960</v>
      </c>
      <c r="D73" s="658" t="s">
        <v>239</v>
      </c>
      <c r="E73" s="657">
        <v>40552</v>
      </c>
      <c r="F73" s="657">
        <v>12064600</v>
      </c>
      <c r="G73" s="1537" t="s">
        <v>2998</v>
      </c>
    </row>
    <row r="74" spans="1:7">
      <c r="A74" s="1532"/>
      <c r="B74" s="658"/>
      <c r="C74" s="658"/>
      <c r="D74" s="658"/>
      <c r="E74" s="657"/>
      <c r="F74" s="657"/>
      <c r="G74" s="1538"/>
    </row>
    <row r="75" spans="1:7">
      <c r="A75" s="1532">
        <v>37</v>
      </c>
      <c r="B75" s="658" t="s">
        <v>276</v>
      </c>
      <c r="C75" s="658" t="s">
        <v>2954</v>
      </c>
      <c r="D75" s="658" t="s">
        <v>1601</v>
      </c>
      <c r="E75" s="657">
        <v>3500000</v>
      </c>
      <c r="F75" s="657">
        <f t="shared" ref="F75" si="24">E75</f>
        <v>3500000</v>
      </c>
      <c r="G75" s="1537"/>
    </row>
    <row r="76" spans="1:7">
      <c r="A76" s="1532"/>
      <c r="B76" s="658"/>
      <c r="C76" s="658"/>
      <c r="D76" s="658"/>
      <c r="E76" s="657"/>
      <c r="F76" s="657"/>
      <c r="G76" s="1538"/>
    </row>
    <row r="77" spans="1:7">
      <c r="A77" s="1532">
        <v>38</v>
      </c>
      <c r="B77" s="658" t="s">
        <v>277</v>
      </c>
      <c r="C77" s="658" t="s">
        <v>2954</v>
      </c>
      <c r="D77" s="658" t="s">
        <v>2953</v>
      </c>
      <c r="E77" s="657">
        <v>4500000</v>
      </c>
      <c r="F77" s="657">
        <f t="shared" ref="F77" si="25">E77</f>
        <v>4500000</v>
      </c>
      <c r="G77" s="1537"/>
    </row>
    <row r="78" spans="1:7">
      <c r="A78" s="1532"/>
      <c r="B78" s="658"/>
      <c r="C78" s="658"/>
      <c r="D78" s="658"/>
      <c r="E78" s="657"/>
      <c r="F78" s="657"/>
      <c r="G78" s="1538"/>
    </row>
    <row r="79" spans="1:7">
      <c r="A79" s="1532">
        <v>39</v>
      </c>
      <c r="B79" s="658" t="s">
        <v>278</v>
      </c>
      <c r="C79" s="658" t="s">
        <v>2954</v>
      </c>
      <c r="D79" s="658" t="s">
        <v>2723</v>
      </c>
      <c r="E79" s="657">
        <v>4500000</v>
      </c>
      <c r="F79" s="657">
        <f t="shared" ref="F79" si="26">E79</f>
        <v>4500000</v>
      </c>
      <c r="G79" s="1537"/>
    </row>
    <row r="80" spans="1:7">
      <c r="A80" s="1532"/>
      <c r="B80" s="658"/>
      <c r="C80" s="658"/>
      <c r="D80" s="658"/>
      <c r="E80" s="657"/>
      <c r="F80" s="657"/>
      <c r="G80" s="1538"/>
    </row>
    <row r="81" spans="1:7">
      <c r="A81" s="1532">
        <v>40</v>
      </c>
      <c r="B81" s="658" t="s">
        <v>2977</v>
      </c>
      <c r="C81" s="658" t="s">
        <v>2951</v>
      </c>
      <c r="D81" s="658" t="s">
        <v>239</v>
      </c>
      <c r="E81" s="657">
        <v>40283</v>
      </c>
      <c r="F81" s="657">
        <v>11893200</v>
      </c>
      <c r="G81" s="1537" t="s">
        <v>2999</v>
      </c>
    </row>
    <row r="82" spans="1:7">
      <c r="A82" s="1532"/>
      <c r="B82" s="658"/>
      <c r="C82" s="658"/>
      <c r="D82" s="658"/>
      <c r="E82" s="657"/>
      <c r="F82" s="657"/>
      <c r="G82" s="1538"/>
    </row>
    <row r="83" spans="1:7">
      <c r="A83" s="1532">
        <v>41</v>
      </c>
      <c r="B83" s="658" t="s">
        <v>286</v>
      </c>
      <c r="C83" s="658" t="s">
        <v>2967</v>
      </c>
      <c r="D83" s="658" t="s">
        <v>1601</v>
      </c>
      <c r="E83" s="657">
        <v>8000000</v>
      </c>
      <c r="F83" s="657">
        <f t="shared" ref="F83" si="27">E83</f>
        <v>8000000</v>
      </c>
      <c r="G83" s="1537"/>
    </row>
    <row r="84" spans="1:7">
      <c r="A84" s="1532"/>
      <c r="B84" s="658"/>
      <c r="C84" s="658"/>
      <c r="D84" s="658"/>
      <c r="E84" s="657"/>
      <c r="F84" s="657"/>
      <c r="G84" s="1538"/>
    </row>
    <row r="85" spans="1:7">
      <c r="A85" s="1532">
        <v>42</v>
      </c>
      <c r="B85" s="658" t="s">
        <v>287</v>
      </c>
      <c r="C85" s="658" t="s">
        <v>2967</v>
      </c>
      <c r="D85" s="658" t="s">
        <v>2968</v>
      </c>
      <c r="E85" s="657">
        <v>3000000</v>
      </c>
      <c r="F85" s="657">
        <f t="shared" ref="F85" si="28">E85</f>
        <v>3000000</v>
      </c>
      <c r="G85" s="1537"/>
    </row>
    <row r="86" spans="1:7">
      <c r="A86" s="1532"/>
      <c r="B86" s="658"/>
      <c r="C86" s="658"/>
      <c r="D86" s="658"/>
      <c r="E86" s="657"/>
      <c r="F86" s="657"/>
      <c r="G86" s="1538"/>
    </row>
    <row r="87" spans="1:7">
      <c r="A87" s="1532">
        <v>43</v>
      </c>
      <c r="B87" s="658" t="s">
        <v>2979</v>
      </c>
      <c r="C87" s="658" t="s">
        <v>2978</v>
      </c>
      <c r="D87" s="658" t="s">
        <v>239</v>
      </c>
      <c r="E87" s="657">
        <v>40645</v>
      </c>
      <c r="F87" s="657">
        <v>12070000</v>
      </c>
      <c r="G87" s="1537" t="s">
        <v>3000</v>
      </c>
    </row>
    <row r="88" spans="1:7">
      <c r="A88" s="1532"/>
      <c r="B88" s="658"/>
      <c r="C88" s="658"/>
      <c r="D88" s="658"/>
      <c r="E88" s="657"/>
      <c r="F88" s="657"/>
      <c r="G88" s="1538"/>
    </row>
    <row r="89" spans="1:7">
      <c r="A89" s="1532">
        <v>44</v>
      </c>
      <c r="B89" s="658" t="s">
        <v>2980</v>
      </c>
      <c r="C89" s="658" t="s">
        <v>2978</v>
      </c>
      <c r="D89" s="658" t="s">
        <v>239</v>
      </c>
      <c r="E89" s="657">
        <v>40645</v>
      </c>
      <c r="F89" s="657">
        <v>12000000</v>
      </c>
      <c r="G89" s="1537"/>
    </row>
    <row r="90" spans="1:7">
      <c r="A90" s="1532"/>
      <c r="B90" s="658"/>
      <c r="C90" s="658"/>
      <c r="D90" s="658"/>
      <c r="E90" s="657"/>
      <c r="F90" s="657"/>
      <c r="G90" s="1538"/>
    </row>
    <row r="91" spans="1:7">
      <c r="A91" s="1532">
        <v>45</v>
      </c>
      <c r="B91" s="658" t="s">
        <v>2982</v>
      </c>
      <c r="C91" s="658" t="s">
        <v>2981</v>
      </c>
      <c r="D91" s="658" t="s">
        <v>239</v>
      </c>
      <c r="E91" s="657">
        <v>40411</v>
      </c>
      <c r="F91" s="657">
        <v>11918400</v>
      </c>
      <c r="G91" s="1537" t="s">
        <v>3001</v>
      </c>
    </row>
    <row r="92" spans="1:7">
      <c r="A92" s="1532"/>
      <c r="B92" s="658"/>
      <c r="C92" s="658"/>
      <c r="D92" s="658"/>
      <c r="E92" s="657"/>
      <c r="F92" s="657"/>
      <c r="G92" s="1538"/>
    </row>
  </sheetData>
  <mergeCells count="316">
    <mergeCell ref="G89:G90"/>
    <mergeCell ref="A91:A92"/>
    <mergeCell ref="B91:B92"/>
    <mergeCell ref="C91:C92"/>
    <mergeCell ref="D91:D92"/>
    <mergeCell ref="E91:E92"/>
    <mergeCell ref="F91:F92"/>
    <mergeCell ref="G91:G92"/>
    <mergeCell ref="A89:A90"/>
    <mergeCell ref="B89:B90"/>
    <mergeCell ref="C89:C90"/>
    <mergeCell ref="D89:D90"/>
    <mergeCell ref="E89:E90"/>
    <mergeCell ref="F89:F90"/>
    <mergeCell ref="G85:G86"/>
    <mergeCell ref="A87:A88"/>
    <mergeCell ref="B87:B88"/>
    <mergeCell ref="C87:C88"/>
    <mergeCell ref="D87:D88"/>
    <mergeCell ref="E87:E88"/>
    <mergeCell ref="F87:F88"/>
    <mergeCell ref="G87:G88"/>
    <mergeCell ref="A85:A86"/>
    <mergeCell ref="B85:B86"/>
    <mergeCell ref="C85:C86"/>
    <mergeCell ref="D85:D86"/>
    <mergeCell ref="E85:E86"/>
    <mergeCell ref="F85:F86"/>
    <mergeCell ref="G81:G82"/>
    <mergeCell ref="A83:A84"/>
    <mergeCell ref="B83:B84"/>
    <mergeCell ref="C83:C84"/>
    <mergeCell ref="D83:D84"/>
    <mergeCell ref="E83:E84"/>
    <mergeCell ref="F83:F84"/>
    <mergeCell ref="G83:G84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A2:G2"/>
    <mergeCell ref="A3:A4"/>
    <mergeCell ref="B3:B4"/>
    <mergeCell ref="C3:C4"/>
    <mergeCell ref="D3:D4"/>
    <mergeCell ref="E3:E4"/>
    <mergeCell ref="F3:F4"/>
    <mergeCell ref="G3:G4"/>
    <mergeCell ref="G5:G6"/>
  </mergeCells>
  <pageMargins left="1" right="1" top="1" bottom="1" header="0.5" footer="0.5"/>
  <pageSetup paperSize="9" orientation="landscape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"/>
  <sheetViews>
    <sheetView workbookViewId="0">
      <selection activeCell="H2" sqref="H2"/>
    </sheetView>
  </sheetViews>
  <sheetFormatPr defaultRowHeight="15"/>
  <cols>
    <col min="1" max="1" width="4.85546875" style="575" customWidth="1"/>
    <col min="2" max="2" width="15.85546875" style="575" customWidth="1"/>
    <col min="3" max="3" width="14.85546875" style="575" customWidth="1"/>
    <col min="4" max="4" width="33.28515625" style="575" customWidth="1"/>
    <col min="5" max="5" width="13" style="575" customWidth="1"/>
    <col min="6" max="6" width="14.5703125" style="575" customWidth="1"/>
    <col min="7" max="7" width="9.140625" style="575"/>
    <col min="8" max="8" width="13.7109375" style="575" customWidth="1"/>
    <col min="9" max="16384" width="9.140625" style="575"/>
  </cols>
  <sheetData>
    <row r="1" spans="1:8">
      <c r="A1" s="575" t="s">
        <v>2925</v>
      </c>
    </row>
    <row r="2" spans="1:8">
      <c r="A2" s="1536" t="s">
        <v>2926</v>
      </c>
      <c r="B2" s="1536"/>
      <c r="C2" s="1536"/>
      <c r="D2" s="1536"/>
      <c r="E2" s="1536"/>
      <c r="F2" s="1536"/>
      <c r="G2" s="1536"/>
      <c r="H2" s="576">
        <f>SUM(F3:F94)</f>
        <v>368447000</v>
      </c>
    </row>
    <row r="3" spans="1:8" ht="15" customHeight="1">
      <c r="A3" s="1532">
        <v>1</v>
      </c>
      <c r="B3" s="1545" t="s">
        <v>67</v>
      </c>
      <c r="C3" s="1545" t="s">
        <v>2858</v>
      </c>
      <c r="D3" s="1545" t="s">
        <v>1601</v>
      </c>
      <c r="E3" s="1544">
        <v>3000000</v>
      </c>
      <c r="F3" s="1544">
        <f t="shared" ref="F3" si="0">E3</f>
        <v>3000000</v>
      </c>
      <c r="G3" s="1537"/>
    </row>
    <row r="4" spans="1:8" ht="15.75" customHeight="1">
      <c r="A4" s="1532"/>
      <c r="B4" s="1545"/>
      <c r="C4" s="1545"/>
      <c r="D4" s="1545"/>
      <c r="E4" s="1544"/>
      <c r="F4" s="1544"/>
      <c r="G4" s="1538"/>
    </row>
    <row r="5" spans="1:8" ht="15" customHeight="1">
      <c r="A5" s="1532">
        <v>2</v>
      </c>
      <c r="B5" s="1545" t="s">
        <v>78</v>
      </c>
      <c r="C5" s="1545" t="s">
        <v>2858</v>
      </c>
      <c r="D5" s="1545" t="s">
        <v>2376</v>
      </c>
      <c r="E5" s="1544">
        <v>660000</v>
      </c>
      <c r="F5" s="1544">
        <f t="shared" ref="F5:F7" si="1">E5</f>
        <v>660000</v>
      </c>
      <c r="G5" s="1537"/>
    </row>
    <row r="6" spans="1:8" ht="15.75" customHeight="1">
      <c r="A6" s="1532"/>
      <c r="B6" s="1545"/>
      <c r="C6" s="1545"/>
      <c r="D6" s="1545"/>
      <c r="E6" s="1544"/>
      <c r="F6" s="1544"/>
      <c r="G6" s="1538"/>
    </row>
    <row r="7" spans="1:8" ht="15" customHeight="1">
      <c r="A7" s="1532">
        <v>3</v>
      </c>
      <c r="B7" s="1545" t="s">
        <v>66</v>
      </c>
      <c r="C7" s="1545" t="s">
        <v>2858</v>
      </c>
      <c r="D7" s="1545" t="s">
        <v>2913</v>
      </c>
      <c r="E7" s="1544">
        <v>95000000</v>
      </c>
      <c r="F7" s="1544">
        <f t="shared" si="1"/>
        <v>95000000</v>
      </c>
      <c r="G7" s="1537"/>
    </row>
    <row r="8" spans="1:8" ht="15" customHeight="1">
      <c r="A8" s="1532"/>
      <c r="B8" s="1545"/>
      <c r="C8" s="1545"/>
      <c r="D8" s="1545"/>
      <c r="E8" s="1544"/>
      <c r="F8" s="1544"/>
      <c r="G8" s="1537"/>
    </row>
    <row r="9" spans="1:8" ht="15" customHeight="1">
      <c r="A9" s="1532">
        <v>4</v>
      </c>
      <c r="B9" s="1545" t="s">
        <v>76</v>
      </c>
      <c r="C9" s="1545" t="s">
        <v>2858</v>
      </c>
      <c r="D9" s="1545" t="s">
        <v>117</v>
      </c>
      <c r="E9" s="1544">
        <v>1100000</v>
      </c>
      <c r="F9" s="1544">
        <f t="shared" ref="F9" si="2">E9</f>
        <v>1100000</v>
      </c>
      <c r="G9" s="1537"/>
    </row>
    <row r="10" spans="1:8" ht="15" customHeight="1">
      <c r="A10" s="1532"/>
      <c r="B10" s="1545"/>
      <c r="C10" s="1545"/>
      <c r="D10" s="1545"/>
      <c r="E10" s="1544"/>
      <c r="F10" s="1544"/>
      <c r="G10" s="1538"/>
    </row>
    <row r="11" spans="1:8" ht="15" customHeight="1">
      <c r="A11" s="1532">
        <v>5</v>
      </c>
      <c r="B11" s="1545" t="s">
        <v>79</v>
      </c>
      <c r="C11" s="1545" t="s">
        <v>2858</v>
      </c>
      <c r="D11" s="1545" t="s">
        <v>2582</v>
      </c>
      <c r="E11" s="1544">
        <v>5000000</v>
      </c>
      <c r="F11" s="1544">
        <f t="shared" ref="F11" si="3">E11</f>
        <v>5000000</v>
      </c>
      <c r="G11" s="1537"/>
    </row>
    <row r="12" spans="1:8" ht="15" customHeight="1">
      <c r="A12" s="1532"/>
      <c r="B12" s="1545"/>
      <c r="C12" s="1545"/>
      <c r="D12" s="1545"/>
      <c r="E12" s="1544"/>
      <c r="F12" s="1544"/>
      <c r="G12" s="1538"/>
    </row>
    <row r="13" spans="1:8" ht="15" customHeight="1">
      <c r="A13" s="1532">
        <v>6</v>
      </c>
      <c r="B13" s="1545" t="s">
        <v>2878</v>
      </c>
      <c r="C13" s="1545" t="s">
        <v>2877</v>
      </c>
      <c r="D13" s="1545" t="s">
        <v>239</v>
      </c>
      <c r="E13" s="1544">
        <v>43417</v>
      </c>
      <c r="F13" s="1544">
        <v>11947500</v>
      </c>
      <c r="G13" s="1537"/>
    </row>
    <row r="14" spans="1:8" ht="15.75" customHeight="1">
      <c r="A14" s="1532"/>
      <c r="B14" s="1545"/>
      <c r="C14" s="1545"/>
      <c r="D14" s="1545"/>
      <c r="E14" s="1544"/>
      <c r="F14" s="1544"/>
      <c r="G14" s="1538"/>
    </row>
    <row r="15" spans="1:8" ht="15" customHeight="1">
      <c r="A15" s="1532">
        <v>7</v>
      </c>
      <c r="B15" s="1545" t="s">
        <v>82</v>
      </c>
      <c r="C15" s="1545" t="s">
        <v>2871</v>
      </c>
      <c r="D15" s="1545" t="s">
        <v>2866</v>
      </c>
      <c r="E15" s="1544">
        <v>5000000</v>
      </c>
      <c r="F15" s="1544">
        <f t="shared" ref="F15" si="4">E15</f>
        <v>5000000</v>
      </c>
      <c r="G15" s="1537"/>
    </row>
    <row r="16" spans="1:8" ht="15" customHeight="1">
      <c r="A16" s="1532"/>
      <c r="B16" s="1545"/>
      <c r="C16" s="1545"/>
      <c r="D16" s="1545"/>
      <c r="E16" s="1544"/>
      <c r="F16" s="1544"/>
      <c r="G16" s="1538"/>
    </row>
    <row r="17" spans="1:7" ht="15" customHeight="1">
      <c r="A17" s="1532">
        <v>8</v>
      </c>
      <c r="B17" s="1545" t="s">
        <v>2876</v>
      </c>
      <c r="C17" s="1545" t="s">
        <v>2875</v>
      </c>
      <c r="D17" s="1545" t="s">
        <v>239</v>
      </c>
      <c r="E17" s="1544">
        <v>43417</v>
      </c>
      <c r="F17" s="1544">
        <v>11990500</v>
      </c>
      <c r="G17" s="1537"/>
    </row>
    <row r="18" spans="1:7" ht="15" customHeight="1">
      <c r="A18" s="1532"/>
      <c r="B18" s="1545"/>
      <c r="C18" s="1545"/>
      <c r="D18" s="1545"/>
      <c r="E18" s="1544"/>
      <c r="F18" s="1544"/>
      <c r="G18" s="1538"/>
    </row>
    <row r="19" spans="1:7" ht="15" customHeight="1">
      <c r="A19" s="1532">
        <v>9</v>
      </c>
      <c r="B19" s="1545" t="s">
        <v>84</v>
      </c>
      <c r="C19" s="1545" t="s">
        <v>2870</v>
      </c>
      <c r="D19" s="1545" t="s">
        <v>2376</v>
      </c>
      <c r="E19" s="1544">
        <v>690000</v>
      </c>
      <c r="F19" s="1544">
        <f t="shared" ref="F19" si="5">E19</f>
        <v>690000</v>
      </c>
      <c r="G19" s="1537"/>
    </row>
    <row r="20" spans="1:7" ht="15.75" customHeight="1">
      <c r="A20" s="1532"/>
      <c r="B20" s="1545"/>
      <c r="C20" s="1545"/>
      <c r="D20" s="1545"/>
      <c r="E20" s="1544"/>
      <c r="F20" s="1544"/>
      <c r="G20" s="1538"/>
    </row>
    <row r="21" spans="1:7" ht="15" customHeight="1">
      <c r="A21" s="1532">
        <v>10</v>
      </c>
      <c r="B21" s="1545" t="s">
        <v>85</v>
      </c>
      <c r="C21" s="1545" t="s">
        <v>2870</v>
      </c>
      <c r="D21" s="1545" t="s">
        <v>2375</v>
      </c>
      <c r="E21" s="1544">
        <v>1150000</v>
      </c>
      <c r="F21" s="1544">
        <f t="shared" ref="F21" si="6">E21</f>
        <v>1150000</v>
      </c>
      <c r="G21" s="1537"/>
    </row>
    <row r="22" spans="1:7" ht="15" customHeight="1">
      <c r="A22" s="1532"/>
      <c r="B22" s="1545"/>
      <c r="C22" s="1545"/>
      <c r="D22" s="1545"/>
      <c r="E22" s="1544"/>
      <c r="F22" s="1544"/>
      <c r="G22" s="1538"/>
    </row>
    <row r="23" spans="1:7" ht="15" customHeight="1">
      <c r="A23" s="1532">
        <v>11</v>
      </c>
      <c r="B23" s="1545" t="s">
        <v>80</v>
      </c>
      <c r="C23" s="1545" t="s">
        <v>2870</v>
      </c>
      <c r="D23" s="1545" t="s">
        <v>1601</v>
      </c>
      <c r="E23" s="1544">
        <v>8700000</v>
      </c>
      <c r="F23" s="1544">
        <f t="shared" ref="F23" si="7">E23</f>
        <v>8700000</v>
      </c>
      <c r="G23" s="1537"/>
    </row>
    <row r="24" spans="1:7" ht="15" customHeight="1">
      <c r="A24" s="1532"/>
      <c r="B24" s="1545"/>
      <c r="C24" s="1545"/>
      <c r="D24" s="1545"/>
      <c r="E24" s="1544"/>
      <c r="F24" s="1544"/>
      <c r="G24" s="1538"/>
    </row>
    <row r="25" spans="1:7" ht="15" customHeight="1">
      <c r="A25" s="1532">
        <v>12</v>
      </c>
      <c r="B25" s="1545" t="s">
        <v>2874</v>
      </c>
      <c r="C25" s="1545" t="s">
        <v>2873</v>
      </c>
      <c r="D25" s="1545" t="s">
        <v>239</v>
      </c>
      <c r="E25" s="1544">
        <v>45425</v>
      </c>
      <c r="F25" s="1544">
        <v>12449600</v>
      </c>
      <c r="G25" s="1537"/>
    </row>
    <row r="26" spans="1:7" ht="15.75" customHeight="1">
      <c r="A26" s="1532"/>
      <c r="B26" s="1545"/>
      <c r="C26" s="1545"/>
      <c r="D26" s="1545"/>
      <c r="E26" s="1544"/>
      <c r="F26" s="1544"/>
      <c r="G26" s="1538"/>
    </row>
    <row r="27" spans="1:7" ht="15" customHeight="1">
      <c r="A27" s="1532">
        <v>13</v>
      </c>
      <c r="B27" s="1545" t="s">
        <v>81</v>
      </c>
      <c r="C27" s="1545" t="s">
        <v>2870</v>
      </c>
      <c r="D27" s="1545" t="s">
        <v>2723</v>
      </c>
      <c r="E27" s="1544">
        <v>4800000</v>
      </c>
      <c r="F27" s="1544">
        <f t="shared" ref="F27" si="8">E27</f>
        <v>4800000</v>
      </c>
      <c r="G27" s="1537"/>
    </row>
    <row r="28" spans="1:7" ht="15" customHeight="1">
      <c r="A28" s="1532"/>
      <c r="B28" s="1545"/>
      <c r="C28" s="1545"/>
      <c r="D28" s="1545"/>
      <c r="E28" s="1544"/>
      <c r="F28" s="1544"/>
      <c r="G28" s="1538"/>
    </row>
    <row r="29" spans="1:7" ht="15" customHeight="1">
      <c r="A29" s="1532">
        <v>14</v>
      </c>
      <c r="B29" s="1545" t="s">
        <v>159</v>
      </c>
      <c r="C29" s="1545" t="s">
        <v>2870</v>
      </c>
      <c r="D29" s="1545" t="s">
        <v>117</v>
      </c>
      <c r="E29" s="1544">
        <v>1100000</v>
      </c>
      <c r="F29" s="1544">
        <f t="shared" ref="F29" si="9">E29</f>
        <v>1100000</v>
      </c>
      <c r="G29" s="1537"/>
    </row>
    <row r="30" spans="1:7" ht="15" customHeight="1">
      <c r="A30" s="1532"/>
      <c r="B30" s="1545"/>
      <c r="C30" s="1545"/>
      <c r="D30" s="1545"/>
      <c r="E30" s="1544"/>
      <c r="F30" s="1544"/>
      <c r="G30" s="1538"/>
    </row>
    <row r="31" spans="1:7" ht="15" customHeight="1">
      <c r="A31" s="1532">
        <v>15</v>
      </c>
      <c r="B31" s="1545" t="s">
        <v>2882</v>
      </c>
      <c r="C31" s="1545" t="s">
        <v>2881</v>
      </c>
      <c r="D31" s="1545" t="s">
        <v>239</v>
      </c>
      <c r="E31" s="1544">
        <v>44582</v>
      </c>
      <c r="F31" s="1544">
        <v>12561900</v>
      </c>
      <c r="G31" s="1537"/>
    </row>
    <row r="32" spans="1:7" ht="16.5" customHeight="1">
      <c r="A32" s="1532"/>
      <c r="B32" s="1545"/>
      <c r="C32" s="1545"/>
      <c r="D32" s="1545"/>
      <c r="E32" s="1544"/>
      <c r="F32" s="1544"/>
      <c r="G32" s="1538"/>
    </row>
    <row r="33" spans="1:7" ht="23.25" customHeight="1">
      <c r="A33" s="1532">
        <v>16</v>
      </c>
      <c r="B33" s="1545" t="s">
        <v>82</v>
      </c>
      <c r="C33" s="1545" t="s">
        <v>2879</v>
      </c>
      <c r="D33" s="1545" t="s">
        <v>283</v>
      </c>
      <c r="E33" s="1544">
        <v>7000000</v>
      </c>
      <c r="F33" s="1544">
        <f t="shared" ref="F33" si="10">E33</f>
        <v>7000000</v>
      </c>
      <c r="G33" s="1537"/>
    </row>
    <row r="34" spans="1:7" ht="15" hidden="1" customHeight="1">
      <c r="A34" s="1532"/>
      <c r="B34" s="1545"/>
      <c r="C34" s="1545"/>
      <c r="D34" s="1545"/>
      <c r="E34" s="1544"/>
      <c r="F34" s="1544"/>
      <c r="G34" s="1538"/>
    </row>
    <row r="35" spans="1:7" ht="15" customHeight="1">
      <c r="A35" s="1532">
        <v>17</v>
      </c>
      <c r="B35" s="1545" t="s">
        <v>84</v>
      </c>
      <c r="C35" s="1545" t="s">
        <v>2879</v>
      </c>
      <c r="D35" s="1545" t="s">
        <v>2838</v>
      </c>
      <c r="E35" s="1544">
        <v>3000000</v>
      </c>
      <c r="F35" s="1544">
        <f t="shared" ref="F35" si="11">E35</f>
        <v>3000000</v>
      </c>
      <c r="G35" s="1537"/>
    </row>
    <row r="36" spans="1:7" ht="15" customHeight="1">
      <c r="A36" s="1532"/>
      <c r="B36" s="1545"/>
      <c r="C36" s="1545"/>
      <c r="D36" s="1545"/>
      <c r="E36" s="1544"/>
      <c r="F36" s="1544"/>
      <c r="G36" s="1538"/>
    </row>
    <row r="37" spans="1:7" ht="15" customHeight="1">
      <c r="A37" s="1532">
        <v>18</v>
      </c>
      <c r="B37" s="1545" t="s">
        <v>2890</v>
      </c>
      <c r="C37" s="1545" t="s">
        <v>2881</v>
      </c>
      <c r="D37" s="1545" t="s">
        <v>239</v>
      </c>
      <c r="E37" s="1544">
        <v>42799</v>
      </c>
      <c r="F37" s="1544">
        <v>12059500</v>
      </c>
      <c r="G37" s="1537"/>
    </row>
    <row r="38" spans="1:7" ht="15.75" customHeight="1">
      <c r="A38" s="1532"/>
      <c r="B38" s="1545"/>
      <c r="C38" s="1545"/>
      <c r="D38" s="1545"/>
      <c r="E38" s="1544"/>
      <c r="F38" s="1544"/>
      <c r="G38" s="1538"/>
    </row>
    <row r="39" spans="1:7" ht="15" customHeight="1">
      <c r="A39" s="1532">
        <v>19</v>
      </c>
      <c r="B39" s="1545" t="s">
        <v>85</v>
      </c>
      <c r="C39" s="1545" t="s">
        <v>2883</v>
      </c>
      <c r="D39" s="1545" t="s">
        <v>283</v>
      </c>
      <c r="E39" s="1544">
        <v>3700000</v>
      </c>
      <c r="F39" s="1544">
        <f t="shared" ref="F39" si="12">E39</f>
        <v>3700000</v>
      </c>
      <c r="G39" s="1537"/>
    </row>
    <row r="40" spans="1:7" ht="15" customHeight="1">
      <c r="A40" s="1532"/>
      <c r="B40" s="1545"/>
      <c r="C40" s="1545"/>
      <c r="D40" s="1545"/>
      <c r="E40" s="1544"/>
      <c r="F40" s="1544"/>
      <c r="G40" s="1538"/>
    </row>
    <row r="41" spans="1:7" ht="15" customHeight="1">
      <c r="A41" s="1532">
        <v>20</v>
      </c>
      <c r="B41" s="1545" t="s">
        <v>86</v>
      </c>
      <c r="C41" s="1545" t="s">
        <v>2884</v>
      </c>
      <c r="D41" s="1545" t="s">
        <v>2866</v>
      </c>
      <c r="E41" s="1544">
        <v>3500000</v>
      </c>
      <c r="F41" s="1544">
        <f t="shared" ref="F41" si="13">E41</f>
        <v>3500000</v>
      </c>
      <c r="G41" s="1537"/>
    </row>
    <row r="42" spans="1:7" ht="15" customHeight="1">
      <c r="A42" s="1532"/>
      <c r="B42" s="1545"/>
      <c r="C42" s="1545"/>
      <c r="D42" s="1545"/>
      <c r="E42" s="1544"/>
      <c r="F42" s="1544"/>
      <c r="G42" s="1538"/>
    </row>
    <row r="43" spans="1:7" ht="15" customHeight="1">
      <c r="A43" s="1532">
        <v>21</v>
      </c>
      <c r="B43" s="1545" t="s">
        <v>2888</v>
      </c>
      <c r="C43" s="1545" t="s">
        <v>2889</v>
      </c>
      <c r="D43" s="1545" t="s">
        <v>239</v>
      </c>
      <c r="E43" s="1544">
        <v>42799</v>
      </c>
      <c r="F43" s="1544">
        <v>11991000</v>
      </c>
      <c r="G43" s="1537"/>
    </row>
    <row r="44" spans="1:7" ht="15" customHeight="1">
      <c r="A44" s="1532"/>
      <c r="B44" s="1545"/>
      <c r="C44" s="1545"/>
      <c r="D44" s="1545"/>
      <c r="E44" s="1544"/>
      <c r="F44" s="1544"/>
      <c r="G44" s="1538"/>
    </row>
    <row r="45" spans="1:7" ht="15" customHeight="1">
      <c r="A45" s="1532">
        <v>22</v>
      </c>
      <c r="B45" s="1545" t="s">
        <v>87</v>
      </c>
      <c r="C45" s="1545" t="s">
        <v>2883</v>
      </c>
      <c r="D45" s="1545" t="s">
        <v>1144</v>
      </c>
      <c r="E45" s="1544">
        <v>3536000</v>
      </c>
      <c r="F45" s="1544">
        <f t="shared" ref="F45" si="14">E45</f>
        <v>3536000</v>
      </c>
      <c r="G45" s="1537"/>
    </row>
    <row r="46" spans="1:7" ht="15" customHeight="1">
      <c r="A46" s="1532"/>
      <c r="B46" s="1545"/>
      <c r="C46" s="1545"/>
      <c r="D46" s="1545"/>
      <c r="E46" s="1544"/>
      <c r="F46" s="1544"/>
      <c r="G46" s="1538"/>
    </row>
    <row r="47" spans="1:7" ht="15" customHeight="1">
      <c r="A47" s="1532">
        <v>23</v>
      </c>
      <c r="B47" s="1545" t="s">
        <v>95</v>
      </c>
      <c r="C47" s="1545" t="s">
        <v>2884</v>
      </c>
      <c r="D47" s="1545" t="s">
        <v>2386</v>
      </c>
      <c r="E47" s="1544">
        <v>3000000</v>
      </c>
      <c r="F47" s="1544">
        <f t="shared" ref="F47" si="15">E47</f>
        <v>3000000</v>
      </c>
      <c r="G47" s="1537"/>
    </row>
    <row r="48" spans="1:7" ht="15.75" customHeight="1">
      <c r="A48" s="1532"/>
      <c r="B48" s="1545"/>
      <c r="C48" s="1545"/>
      <c r="D48" s="1545"/>
      <c r="E48" s="1544"/>
      <c r="F48" s="1544"/>
      <c r="G48" s="1538"/>
    </row>
    <row r="49" spans="1:7" ht="15" customHeight="1">
      <c r="A49" s="1532">
        <v>24</v>
      </c>
      <c r="B49" s="1545" t="s">
        <v>2891</v>
      </c>
      <c r="C49" s="1545" t="s">
        <v>2889</v>
      </c>
      <c r="D49" s="1545" t="s">
        <v>239</v>
      </c>
      <c r="E49" s="1544">
        <v>42588</v>
      </c>
      <c r="F49" s="1544">
        <v>11931900</v>
      </c>
      <c r="G49" s="1537"/>
    </row>
    <row r="50" spans="1:7" ht="15" customHeight="1">
      <c r="A50" s="1532"/>
      <c r="B50" s="1545"/>
      <c r="C50" s="1545"/>
      <c r="D50" s="1545"/>
      <c r="E50" s="1544"/>
      <c r="F50" s="1544"/>
      <c r="G50" s="1538"/>
    </row>
    <row r="51" spans="1:7" ht="15" customHeight="1">
      <c r="A51" s="1532">
        <v>25</v>
      </c>
      <c r="B51" s="1545" t="s">
        <v>102</v>
      </c>
      <c r="C51" s="1545" t="s">
        <v>2883</v>
      </c>
      <c r="D51" s="1545" t="s">
        <v>117</v>
      </c>
      <c r="E51" s="1544">
        <v>1150000</v>
      </c>
      <c r="F51" s="1544">
        <f t="shared" ref="F51" si="16">E51</f>
        <v>1150000</v>
      </c>
      <c r="G51" s="1537"/>
    </row>
    <row r="52" spans="1:7" ht="15" customHeight="1">
      <c r="A52" s="1532"/>
      <c r="B52" s="1545"/>
      <c r="C52" s="1545"/>
      <c r="D52" s="1545"/>
      <c r="E52" s="1544"/>
      <c r="F52" s="1544"/>
      <c r="G52" s="1538"/>
    </row>
    <row r="53" spans="1:7" ht="15" customHeight="1">
      <c r="A53" s="1532">
        <v>26</v>
      </c>
      <c r="B53" s="1545" t="s">
        <v>103</v>
      </c>
      <c r="C53" s="1545" t="s">
        <v>2883</v>
      </c>
      <c r="D53" s="1545" t="s">
        <v>2222</v>
      </c>
      <c r="E53" s="1544">
        <v>3500000</v>
      </c>
      <c r="F53" s="1544">
        <f t="shared" ref="F53" si="17">E53</f>
        <v>3500000</v>
      </c>
      <c r="G53" s="1537"/>
    </row>
    <row r="54" spans="1:7" ht="15" customHeight="1">
      <c r="A54" s="1532"/>
      <c r="B54" s="1545"/>
      <c r="C54" s="1545"/>
      <c r="D54" s="1545"/>
      <c r="E54" s="1544"/>
      <c r="F54" s="1544"/>
      <c r="G54" s="1538"/>
    </row>
    <row r="55" spans="1:7" ht="15" customHeight="1">
      <c r="A55" s="1532">
        <v>27</v>
      </c>
      <c r="B55" s="1545" t="s">
        <v>2897</v>
      </c>
      <c r="C55" s="1545" t="s">
        <v>2896</v>
      </c>
      <c r="D55" s="1545" t="s">
        <v>239</v>
      </c>
      <c r="E55" s="1544">
        <v>43093</v>
      </c>
      <c r="F55" s="1544">
        <v>12123800</v>
      </c>
      <c r="G55" s="1537"/>
    </row>
    <row r="56" spans="1:7" ht="15.75" customHeight="1">
      <c r="A56" s="1532"/>
      <c r="B56" s="1545"/>
      <c r="C56" s="1545"/>
      <c r="D56" s="1545"/>
      <c r="E56" s="1544"/>
      <c r="F56" s="1544"/>
      <c r="G56" s="1538"/>
    </row>
    <row r="57" spans="1:7" ht="15" customHeight="1">
      <c r="A57" s="1532">
        <v>28</v>
      </c>
      <c r="B57" s="1545" t="s">
        <v>119</v>
      </c>
      <c r="C57" s="1545" t="s">
        <v>2893</v>
      </c>
      <c r="D57" s="1545" t="s">
        <v>1144</v>
      </c>
      <c r="E57" s="1544">
        <v>2170000</v>
      </c>
      <c r="F57" s="1544">
        <f t="shared" ref="F57" si="18">E57</f>
        <v>2170000</v>
      </c>
      <c r="G57" s="1537"/>
    </row>
    <row r="58" spans="1:7" ht="15" customHeight="1">
      <c r="A58" s="1532"/>
      <c r="B58" s="1545"/>
      <c r="C58" s="1545"/>
      <c r="D58" s="1545"/>
      <c r="E58" s="1544"/>
      <c r="F58" s="1544"/>
      <c r="G58" s="1537"/>
    </row>
    <row r="59" spans="1:7" ht="15" customHeight="1">
      <c r="A59" s="1532">
        <v>29</v>
      </c>
      <c r="B59" s="1545" t="s">
        <v>137</v>
      </c>
      <c r="C59" s="1545" t="s">
        <v>2893</v>
      </c>
      <c r="D59" s="1545" t="s">
        <v>2892</v>
      </c>
      <c r="E59" s="1544">
        <v>3255000</v>
      </c>
      <c r="F59" s="1544">
        <f t="shared" ref="F59" si="19">E59</f>
        <v>3255000</v>
      </c>
      <c r="G59" s="1537"/>
    </row>
    <row r="60" spans="1:7" ht="15" customHeight="1">
      <c r="A60" s="1532"/>
      <c r="B60" s="1545"/>
      <c r="C60" s="1545"/>
      <c r="D60" s="1545"/>
      <c r="E60" s="1544"/>
      <c r="F60" s="1544"/>
      <c r="G60" s="1538"/>
    </row>
    <row r="61" spans="1:7" ht="15" customHeight="1">
      <c r="A61" s="1532">
        <v>30</v>
      </c>
      <c r="B61" s="1545" t="s">
        <v>140</v>
      </c>
      <c r="C61" s="1545" t="s">
        <v>2893</v>
      </c>
      <c r="D61" s="1545" t="s">
        <v>1140</v>
      </c>
      <c r="E61" s="1544">
        <v>7000000</v>
      </c>
      <c r="F61" s="1544">
        <f t="shared" ref="F61" si="20">E61</f>
        <v>7000000</v>
      </c>
      <c r="G61" s="1537"/>
    </row>
    <row r="62" spans="1:7" ht="15" customHeight="1">
      <c r="A62" s="1532"/>
      <c r="B62" s="1545"/>
      <c r="C62" s="1545"/>
      <c r="D62" s="1545"/>
      <c r="E62" s="1544"/>
      <c r="F62" s="1544"/>
      <c r="G62" s="1538"/>
    </row>
    <row r="63" spans="1:7" ht="15" customHeight="1">
      <c r="A63" s="1532">
        <v>31</v>
      </c>
      <c r="B63" s="1545" t="s">
        <v>2900</v>
      </c>
      <c r="C63" s="1545" t="s">
        <v>2898</v>
      </c>
      <c r="D63" s="1545" t="s">
        <v>239</v>
      </c>
      <c r="E63" s="1544">
        <v>43197</v>
      </c>
      <c r="F63" s="1544">
        <v>12281800</v>
      </c>
      <c r="G63" s="1537"/>
    </row>
    <row r="64" spans="1:7" ht="15.75" customHeight="1">
      <c r="A64" s="1532"/>
      <c r="B64" s="1545"/>
      <c r="C64" s="1545"/>
      <c r="D64" s="1545"/>
      <c r="E64" s="1544"/>
      <c r="F64" s="1544"/>
      <c r="G64" s="1538"/>
    </row>
    <row r="65" spans="1:7" ht="15" customHeight="1">
      <c r="A65" s="1532">
        <v>32</v>
      </c>
      <c r="B65" s="1545" t="s">
        <v>141</v>
      </c>
      <c r="C65" s="1545" t="s">
        <v>2893</v>
      </c>
      <c r="D65" s="1545" t="s">
        <v>1601</v>
      </c>
      <c r="E65" s="1544">
        <v>8700000</v>
      </c>
      <c r="F65" s="1544">
        <f t="shared" ref="F65" si="21">E65</f>
        <v>8700000</v>
      </c>
      <c r="G65" s="1537"/>
    </row>
    <row r="66" spans="1:7" ht="15" customHeight="1">
      <c r="A66" s="1532"/>
      <c r="B66" s="1545"/>
      <c r="C66" s="1545"/>
      <c r="D66" s="1545"/>
      <c r="E66" s="1544"/>
      <c r="F66" s="1544"/>
      <c r="G66" s="1538"/>
    </row>
    <row r="67" spans="1:7" ht="15" customHeight="1">
      <c r="A67" s="1532">
        <v>33</v>
      </c>
      <c r="B67" s="1545" t="s">
        <v>144</v>
      </c>
      <c r="C67" s="1545" t="s">
        <v>2893</v>
      </c>
      <c r="D67" s="1545" t="s">
        <v>2376</v>
      </c>
      <c r="E67" s="1544">
        <v>920000</v>
      </c>
      <c r="F67" s="1544">
        <f t="shared" ref="F67" si="22">E67</f>
        <v>920000</v>
      </c>
      <c r="G67" s="1537"/>
    </row>
    <row r="68" spans="1:7" ht="15" customHeight="1">
      <c r="A68" s="1532"/>
      <c r="B68" s="1545"/>
      <c r="C68" s="1545"/>
      <c r="D68" s="1545"/>
      <c r="E68" s="1544"/>
      <c r="F68" s="1544"/>
      <c r="G68" s="1538"/>
    </row>
    <row r="69" spans="1:7">
      <c r="A69" s="1532">
        <v>34</v>
      </c>
      <c r="B69" s="1545" t="s">
        <v>145</v>
      </c>
      <c r="C69" s="1545" t="s">
        <v>2893</v>
      </c>
      <c r="D69" s="1545" t="s">
        <v>2375</v>
      </c>
      <c r="E69" s="1544">
        <v>1380000</v>
      </c>
      <c r="F69" s="1544">
        <f t="shared" ref="F69" si="23">E69</f>
        <v>1380000</v>
      </c>
      <c r="G69" s="1537"/>
    </row>
    <row r="70" spans="1:7">
      <c r="A70" s="1532"/>
      <c r="B70" s="1545"/>
      <c r="C70" s="1545"/>
      <c r="D70" s="1545"/>
      <c r="E70" s="1544"/>
      <c r="F70" s="1544"/>
      <c r="G70" s="1538"/>
    </row>
    <row r="71" spans="1:7">
      <c r="A71" s="1532">
        <v>35</v>
      </c>
      <c r="B71" s="1545" t="s">
        <v>2899</v>
      </c>
      <c r="C71" s="1545" t="s">
        <v>2898</v>
      </c>
      <c r="D71" s="1545" t="s">
        <v>239</v>
      </c>
      <c r="E71" s="1544">
        <v>44996</v>
      </c>
      <c r="F71" s="1544">
        <v>12793300</v>
      </c>
      <c r="G71" s="1537"/>
    </row>
    <row r="72" spans="1:7">
      <c r="A72" s="1532"/>
      <c r="B72" s="1545"/>
      <c r="C72" s="1545"/>
      <c r="D72" s="1545"/>
      <c r="E72" s="1544"/>
      <c r="F72" s="1544"/>
      <c r="G72" s="1538"/>
    </row>
    <row r="73" spans="1:7">
      <c r="A73" s="1532">
        <v>36</v>
      </c>
      <c r="B73" s="1545" t="s">
        <v>118</v>
      </c>
      <c r="C73" s="1545" t="s">
        <v>2893</v>
      </c>
      <c r="D73" s="1545" t="s">
        <v>2517</v>
      </c>
      <c r="E73" s="1544">
        <v>1000000</v>
      </c>
      <c r="F73" s="1544">
        <f t="shared" ref="F73" si="24">E73</f>
        <v>1000000</v>
      </c>
      <c r="G73" s="1537"/>
    </row>
    <row r="74" spans="1:7">
      <c r="A74" s="1532"/>
      <c r="B74" s="1545"/>
      <c r="C74" s="1545"/>
      <c r="D74" s="1545"/>
      <c r="E74" s="1544"/>
      <c r="F74" s="1544"/>
      <c r="G74" s="1538"/>
    </row>
    <row r="75" spans="1:7">
      <c r="A75" s="1532">
        <v>37</v>
      </c>
      <c r="B75" s="1545" t="s">
        <v>146</v>
      </c>
      <c r="C75" s="1545" t="s">
        <v>2893</v>
      </c>
      <c r="D75" s="1545" t="s">
        <v>2562</v>
      </c>
      <c r="E75" s="1544">
        <v>7700000</v>
      </c>
      <c r="F75" s="1544">
        <f t="shared" ref="F75" si="25">E75</f>
        <v>7700000</v>
      </c>
      <c r="G75" s="1537"/>
    </row>
    <row r="76" spans="1:7">
      <c r="A76" s="1532"/>
      <c r="B76" s="1545"/>
      <c r="C76" s="1545"/>
      <c r="D76" s="1545"/>
      <c r="E76" s="1544"/>
      <c r="F76" s="1544"/>
      <c r="G76" s="1538"/>
    </row>
    <row r="77" spans="1:7">
      <c r="A77" s="1532">
        <v>38</v>
      </c>
      <c r="B77" s="1545" t="s">
        <v>158</v>
      </c>
      <c r="C77" s="1545" t="s">
        <v>2893</v>
      </c>
      <c r="D77" s="1545" t="s">
        <v>117</v>
      </c>
      <c r="E77" s="1544">
        <v>1150000</v>
      </c>
      <c r="F77" s="1544">
        <f t="shared" ref="F77" si="26">E77</f>
        <v>1150000</v>
      </c>
      <c r="G77" s="1537"/>
    </row>
    <row r="78" spans="1:7">
      <c r="A78" s="1532"/>
      <c r="B78" s="1545"/>
      <c r="C78" s="1545"/>
      <c r="D78" s="1545"/>
      <c r="E78" s="1544"/>
      <c r="F78" s="1544"/>
      <c r="G78" s="1538"/>
    </row>
    <row r="79" spans="1:7">
      <c r="A79" s="1532">
        <v>39</v>
      </c>
      <c r="B79" s="1545" t="s">
        <v>2904</v>
      </c>
      <c r="C79" s="1545" t="s">
        <v>2903</v>
      </c>
      <c r="D79" s="1545" t="s">
        <v>239</v>
      </c>
      <c r="E79" s="1544">
        <v>41920</v>
      </c>
      <c r="F79" s="1544">
        <v>11935500</v>
      </c>
      <c r="G79" s="1537"/>
    </row>
    <row r="80" spans="1:7">
      <c r="A80" s="1532"/>
      <c r="B80" s="1545"/>
      <c r="C80" s="1545"/>
      <c r="D80" s="1545"/>
      <c r="E80" s="1544"/>
      <c r="F80" s="1544"/>
      <c r="G80" s="1538"/>
    </row>
    <row r="81" spans="1:7">
      <c r="A81" s="1532">
        <v>40</v>
      </c>
      <c r="B81" s="1545" t="s">
        <v>159</v>
      </c>
      <c r="C81" s="1545" t="s">
        <v>2906</v>
      </c>
      <c r="D81" s="1545" t="s">
        <v>2376</v>
      </c>
      <c r="E81" s="1544">
        <v>690000</v>
      </c>
      <c r="F81" s="1544">
        <f t="shared" ref="F81" si="27">E81</f>
        <v>690000</v>
      </c>
      <c r="G81" s="1537"/>
    </row>
    <row r="82" spans="1:7">
      <c r="A82" s="1532"/>
      <c r="B82" s="1545"/>
      <c r="C82" s="1545"/>
      <c r="D82" s="1545"/>
      <c r="E82" s="1544"/>
      <c r="F82" s="1544"/>
      <c r="G82" s="1538"/>
    </row>
    <row r="83" spans="1:7">
      <c r="A83" s="1532">
        <v>41</v>
      </c>
      <c r="B83" s="1545" t="s">
        <v>163</v>
      </c>
      <c r="C83" s="1545" t="s">
        <v>2906</v>
      </c>
      <c r="D83" s="1545" t="s">
        <v>2386</v>
      </c>
      <c r="E83" s="1544">
        <v>5000000</v>
      </c>
      <c r="F83" s="1544">
        <f t="shared" ref="F83" si="28">E83</f>
        <v>5000000</v>
      </c>
      <c r="G83" s="1537"/>
    </row>
    <row r="84" spans="1:7">
      <c r="A84" s="1532"/>
      <c r="B84" s="1545"/>
      <c r="C84" s="1545"/>
      <c r="D84" s="1545"/>
      <c r="E84" s="1544"/>
      <c r="F84" s="1544"/>
      <c r="G84" s="1538"/>
    </row>
    <row r="85" spans="1:7">
      <c r="A85" s="1532">
        <v>42</v>
      </c>
      <c r="B85" s="1545" t="s">
        <v>2908</v>
      </c>
      <c r="C85" s="1545" t="s">
        <v>2907</v>
      </c>
      <c r="D85" s="1545" t="s">
        <v>239</v>
      </c>
      <c r="E85" s="657">
        <v>44061</v>
      </c>
      <c r="F85" s="1544">
        <v>12492200</v>
      </c>
      <c r="G85" s="1537"/>
    </row>
    <row r="86" spans="1:7">
      <c r="A86" s="1532"/>
      <c r="B86" s="1545"/>
      <c r="C86" s="1545"/>
      <c r="D86" s="1545"/>
      <c r="E86" s="657"/>
      <c r="F86" s="1544"/>
      <c r="G86" s="1538"/>
    </row>
    <row r="87" spans="1:7">
      <c r="A87" s="1532">
        <v>43</v>
      </c>
      <c r="B87" s="1545" t="s">
        <v>23</v>
      </c>
      <c r="C87" s="1545" t="s">
        <v>2906</v>
      </c>
      <c r="D87" s="1545" t="s">
        <v>1745</v>
      </c>
      <c r="E87" s="1544">
        <v>1150000</v>
      </c>
      <c r="F87" s="1544">
        <f t="shared" ref="F87" si="29">E87</f>
        <v>1150000</v>
      </c>
      <c r="G87" s="1537"/>
    </row>
    <row r="88" spans="1:7">
      <c r="A88" s="1532"/>
      <c r="B88" s="1545"/>
      <c r="C88" s="1545"/>
      <c r="D88" s="1545"/>
      <c r="E88" s="1544"/>
      <c r="F88" s="1544"/>
      <c r="G88" s="1538"/>
    </row>
    <row r="89" spans="1:7">
      <c r="A89" s="1532">
        <v>44</v>
      </c>
      <c r="B89" s="1545" t="s">
        <v>164</v>
      </c>
      <c r="C89" s="1545" t="s">
        <v>2906</v>
      </c>
      <c r="D89" s="1545" t="s">
        <v>2910</v>
      </c>
      <c r="E89" s="1544">
        <v>4000000</v>
      </c>
      <c r="F89" s="1544">
        <f t="shared" ref="F89" si="30">E89</f>
        <v>4000000</v>
      </c>
      <c r="G89" s="1537"/>
    </row>
    <row r="90" spans="1:7">
      <c r="A90" s="1532"/>
      <c r="B90" s="1545"/>
      <c r="C90" s="1545"/>
      <c r="D90" s="1545"/>
      <c r="E90" s="1544"/>
      <c r="F90" s="1544"/>
      <c r="G90" s="1538"/>
    </row>
    <row r="91" spans="1:7">
      <c r="A91" s="1532">
        <v>45</v>
      </c>
      <c r="B91" s="658" t="s">
        <v>2914</v>
      </c>
      <c r="C91" s="658" t="s">
        <v>2906</v>
      </c>
      <c r="D91" s="658" t="s">
        <v>239</v>
      </c>
      <c r="E91" s="657">
        <v>37736</v>
      </c>
      <c r="F91" s="1544">
        <v>10794400</v>
      </c>
      <c r="G91" s="1537"/>
    </row>
    <row r="92" spans="1:7">
      <c r="A92" s="1532"/>
      <c r="B92" s="658"/>
      <c r="C92" s="658"/>
      <c r="D92" s="658"/>
      <c r="E92" s="657"/>
      <c r="F92" s="1544"/>
      <c r="G92" s="1538"/>
    </row>
    <row r="93" spans="1:7">
      <c r="A93" s="1532">
        <v>46</v>
      </c>
      <c r="B93" s="658" t="s">
        <v>2922</v>
      </c>
      <c r="C93" s="658" t="s">
        <v>2906</v>
      </c>
      <c r="D93" s="658" t="s">
        <v>239</v>
      </c>
      <c r="E93" s="657">
        <v>42325</v>
      </c>
      <c r="F93" s="1544">
        <v>12393100</v>
      </c>
      <c r="G93" s="1537"/>
    </row>
    <row r="94" spans="1:7">
      <c r="A94" s="1532"/>
      <c r="B94" s="658"/>
      <c r="C94" s="658"/>
      <c r="D94" s="658"/>
      <c r="E94" s="657"/>
      <c r="F94" s="1544"/>
      <c r="G94" s="1538"/>
    </row>
    <row r="95" spans="1:7">
      <c r="A95" s="1532"/>
    </row>
    <row r="96" spans="1:7">
      <c r="A96" s="1532"/>
    </row>
  </sheetData>
  <mergeCells count="324">
    <mergeCell ref="G87:G88"/>
    <mergeCell ref="A89:A90"/>
    <mergeCell ref="B89:B90"/>
    <mergeCell ref="C89:C90"/>
    <mergeCell ref="D89:D90"/>
    <mergeCell ref="E89:E90"/>
    <mergeCell ref="F89:F90"/>
    <mergeCell ref="G89:G90"/>
    <mergeCell ref="A87:A88"/>
    <mergeCell ref="B87:B88"/>
    <mergeCell ref="C87:C88"/>
    <mergeCell ref="D87:D88"/>
    <mergeCell ref="E87:E88"/>
    <mergeCell ref="F87:F88"/>
    <mergeCell ref="G83:G84"/>
    <mergeCell ref="A85:A86"/>
    <mergeCell ref="B85:B86"/>
    <mergeCell ref="C85:C86"/>
    <mergeCell ref="D85:D86"/>
    <mergeCell ref="E85:E86"/>
    <mergeCell ref="F85:F86"/>
    <mergeCell ref="G85:G86"/>
    <mergeCell ref="A83:A84"/>
    <mergeCell ref="B83:B84"/>
    <mergeCell ref="C83:C84"/>
    <mergeCell ref="D83:D84"/>
    <mergeCell ref="E83:E84"/>
    <mergeCell ref="F83:F84"/>
    <mergeCell ref="G81:G82"/>
    <mergeCell ref="A81:A82"/>
    <mergeCell ref="B81:B82"/>
    <mergeCell ref="C81:C82"/>
    <mergeCell ref="D81:D82"/>
    <mergeCell ref="E81:E82"/>
    <mergeCell ref="F81:F82"/>
    <mergeCell ref="G77:G78"/>
    <mergeCell ref="A79:A80"/>
    <mergeCell ref="B79:B80"/>
    <mergeCell ref="C79:C80"/>
    <mergeCell ref="D79:D80"/>
    <mergeCell ref="E79:E80"/>
    <mergeCell ref="F79:F80"/>
    <mergeCell ref="G79:G80"/>
    <mergeCell ref="A77:A78"/>
    <mergeCell ref="B77:B78"/>
    <mergeCell ref="C77:C78"/>
    <mergeCell ref="D77:D78"/>
    <mergeCell ref="E77:E78"/>
    <mergeCell ref="F77:F78"/>
    <mergeCell ref="G73:G74"/>
    <mergeCell ref="A75:A76"/>
    <mergeCell ref="B75:B76"/>
    <mergeCell ref="C75:C76"/>
    <mergeCell ref="D75:D76"/>
    <mergeCell ref="E75:E76"/>
    <mergeCell ref="F75:F76"/>
    <mergeCell ref="G75:G76"/>
    <mergeCell ref="A73:A74"/>
    <mergeCell ref="B73:B74"/>
    <mergeCell ref="C73:C74"/>
    <mergeCell ref="D73:D74"/>
    <mergeCell ref="E73:E74"/>
    <mergeCell ref="F73:F74"/>
    <mergeCell ref="G69:G70"/>
    <mergeCell ref="A71:A72"/>
    <mergeCell ref="B71:B72"/>
    <mergeCell ref="C71:C72"/>
    <mergeCell ref="D71:D72"/>
    <mergeCell ref="E71:E72"/>
    <mergeCell ref="F71:F72"/>
    <mergeCell ref="G71:G72"/>
    <mergeCell ref="A69:A70"/>
    <mergeCell ref="B69:B70"/>
    <mergeCell ref="C69:C70"/>
    <mergeCell ref="D69:D70"/>
    <mergeCell ref="E69:E70"/>
    <mergeCell ref="F69:F70"/>
    <mergeCell ref="G65:G66"/>
    <mergeCell ref="A67:A68"/>
    <mergeCell ref="B67:B68"/>
    <mergeCell ref="C67:C68"/>
    <mergeCell ref="D67:D68"/>
    <mergeCell ref="E67:E68"/>
    <mergeCell ref="F67:F68"/>
    <mergeCell ref="G67:G68"/>
    <mergeCell ref="A65:A66"/>
    <mergeCell ref="B65:B66"/>
    <mergeCell ref="C65:C66"/>
    <mergeCell ref="D65:D66"/>
    <mergeCell ref="E65:E66"/>
    <mergeCell ref="F65:F66"/>
    <mergeCell ref="G61:G62"/>
    <mergeCell ref="A63:A64"/>
    <mergeCell ref="B63:B64"/>
    <mergeCell ref="C63:C64"/>
    <mergeCell ref="D63:D64"/>
    <mergeCell ref="E63:E64"/>
    <mergeCell ref="F63:F64"/>
    <mergeCell ref="G63:G64"/>
    <mergeCell ref="A61:A62"/>
    <mergeCell ref="B61:B62"/>
    <mergeCell ref="C61:C62"/>
    <mergeCell ref="D61:D62"/>
    <mergeCell ref="E61:E62"/>
    <mergeCell ref="F61:F62"/>
    <mergeCell ref="G57:G58"/>
    <mergeCell ref="A59:A60"/>
    <mergeCell ref="B59:B60"/>
    <mergeCell ref="C59:C60"/>
    <mergeCell ref="D59:D60"/>
    <mergeCell ref="E59:E60"/>
    <mergeCell ref="F59:F60"/>
    <mergeCell ref="G59:G60"/>
    <mergeCell ref="A57:A58"/>
    <mergeCell ref="B57:B58"/>
    <mergeCell ref="C57:C58"/>
    <mergeCell ref="D57:D58"/>
    <mergeCell ref="E57:E58"/>
    <mergeCell ref="F57:F58"/>
    <mergeCell ref="G53:G54"/>
    <mergeCell ref="A55:A56"/>
    <mergeCell ref="B55:B56"/>
    <mergeCell ref="C55:C56"/>
    <mergeCell ref="D55:D56"/>
    <mergeCell ref="E55:E56"/>
    <mergeCell ref="F55:F56"/>
    <mergeCell ref="G55:G56"/>
    <mergeCell ref="A53:A54"/>
    <mergeCell ref="B53:B54"/>
    <mergeCell ref="C53:C54"/>
    <mergeCell ref="D53:D54"/>
    <mergeCell ref="E53:E54"/>
    <mergeCell ref="F53:F54"/>
    <mergeCell ref="G49:G50"/>
    <mergeCell ref="A51:A52"/>
    <mergeCell ref="B51:B52"/>
    <mergeCell ref="C51:C52"/>
    <mergeCell ref="D51:D52"/>
    <mergeCell ref="E51:E52"/>
    <mergeCell ref="F51:F52"/>
    <mergeCell ref="G51:G52"/>
    <mergeCell ref="A49:A50"/>
    <mergeCell ref="B49:B50"/>
    <mergeCell ref="C49:C50"/>
    <mergeCell ref="D49:D50"/>
    <mergeCell ref="E49:E50"/>
    <mergeCell ref="F49:F50"/>
    <mergeCell ref="G45:G46"/>
    <mergeCell ref="A47:A48"/>
    <mergeCell ref="B47:B48"/>
    <mergeCell ref="C47:C48"/>
    <mergeCell ref="D47:D48"/>
    <mergeCell ref="E47:E48"/>
    <mergeCell ref="F47:F48"/>
    <mergeCell ref="G47:G48"/>
    <mergeCell ref="A45:A46"/>
    <mergeCell ref="B45:B46"/>
    <mergeCell ref="C45:C46"/>
    <mergeCell ref="D45:D46"/>
    <mergeCell ref="E45:E46"/>
    <mergeCell ref="F45:F46"/>
    <mergeCell ref="G41:G42"/>
    <mergeCell ref="A43:A44"/>
    <mergeCell ref="B43:B44"/>
    <mergeCell ref="C43:C44"/>
    <mergeCell ref="D43:D44"/>
    <mergeCell ref="E43:E44"/>
    <mergeCell ref="F43:F44"/>
    <mergeCell ref="G43:G44"/>
    <mergeCell ref="A41:A42"/>
    <mergeCell ref="B41:B42"/>
    <mergeCell ref="C41:C42"/>
    <mergeCell ref="D41:D42"/>
    <mergeCell ref="E41:E42"/>
    <mergeCell ref="F41:F42"/>
    <mergeCell ref="G37:G38"/>
    <mergeCell ref="A39:A40"/>
    <mergeCell ref="B39:B40"/>
    <mergeCell ref="C39:C40"/>
    <mergeCell ref="D39:D40"/>
    <mergeCell ref="E39:E40"/>
    <mergeCell ref="F39:F40"/>
    <mergeCell ref="G39:G40"/>
    <mergeCell ref="A37:A38"/>
    <mergeCell ref="B37:B38"/>
    <mergeCell ref="C37:C38"/>
    <mergeCell ref="D37:D38"/>
    <mergeCell ref="E37:E38"/>
    <mergeCell ref="F37:F38"/>
    <mergeCell ref="G33:G34"/>
    <mergeCell ref="A35:A36"/>
    <mergeCell ref="B35:B36"/>
    <mergeCell ref="C35:C36"/>
    <mergeCell ref="D35:D36"/>
    <mergeCell ref="E35:E36"/>
    <mergeCell ref="F35:F36"/>
    <mergeCell ref="G35:G36"/>
    <mergeCell ref="A33:A34"/>
    <mergeCell ref="B33:B34"/>
    <mergeCell ref="C33:C34"/>
    <mergeCell ref="D33:D34"/>
    <mergeCell ref="E33:E34"/>
    <mergeCell ref="F33:F34"/>
    <mergeCell ref="G29:G30"/>
    <mergeCell ref="A31:A32"/>
    <mergeCell ref="B31:B32"/>
    <mergeCell ref="C31:C32"/>
    <mergeCell ref="D31:D32"/>
    <mergeCell ref="E31:E32"/>
    <mergeCell ref="F31:F32"/>
    <mergeCell ref="G31:G32"/>
    <mergeCell ref="A29:A30"/>
    <mergeCell ref="B29:B30"/>
    <mergeCell ref="C29:C30"/>
    <mergeCell ref="D29:D30"/>
    <mergeCell ref="E29:E30"/>
    <mergeCell ref="F29:F30"/>
    <mergeCell ref="G25:G26"/>
    <mergeCell ref="A27:A28"/>
    <mergeCell ref="B27:B28"/>
    <mergeCell ref="C27:C28"/>
    <mergeCell ref="D27:D28"/>
    <mergeCell ref="E27:E28"/>
    <mergeCell ref="F27:F28"/>
    <mergeCell ref="G27:G28"/>
    <mergeCell ref="A25:A26"/>
    <mergeCell ref="B25:B26"/>
    <mergeCell ref="C25:C26"/>
    <mergeCell ref="D25:D26"/>
    <mergeCell ref="E25:E26"/>
    <mergeCell ref="F25:F26"/>
    <mergeCell ref="G21:G22"/>
    <mergeCell ref="A23:A24"/>
    <mergeCell ref="B23:B24"/>
    <mergeCell ref="C23:C24"/>
    <mergeCell ref="D23:D24"/>
    <mergeCell ref="E23:E24"/>
    <mergeCell ref="F23:F24"/>
    <mergeCell ref="G23:G24"/>
    <mergeCell ref="A21:A22"/>
    <mergeCell ref="B21:B22"/>
    <mergeCell ref="C21:C22"/>
    <mergeCell ref="D21:D22"/>
    <mergeCell ref="E21:E22"/>
    <mergeCell ref="F21:F22"/>
    <mergeCell ref="G17:G18"/>
    <mergeCell ref="A19:A20"/>
    <mergeCell ref="B19:B20"/>
    <mergeCell ref="C19:C20"/>
    <mergeCell ref="D19:D20"/>
    <mergeCell ref="E19:E20"/>
    <mergeCell ref="F19:F20"/>
    <mergeCell ref="G19:G20"/>
    <mergeCell ref="A17:A18"/>
    <mergeCell ref="B17:B18"/>
    <mergeCell ref="C17:C18"/>
    <mergeCell ref="D17:D18"/>
    <mergeCell ref="E17:E18"/>
    <mergeCell ref="F17:F18"/>
    <mergeCell ref="G13:G14"/>
    <mergeCell ref="A15:A16"/>
    <mergeCell ref="B15:B16"/>
    <mergeCell ref="C15:C16"/>
    <mergeCell ref="D15:D16"/>
    <mergeCell ref="E15:E16"/>
    <mergeCell ref="F15:F16"/>
    <mergeCell ref="G15:G16"/>
    <mergeCell ref="A13:A14"/>
    <mergeCell ref="B13:B14"/>
    <mergeCell ref="C13:C14"/>
    <mergeCell ref="D13:D14"/>
    <mergeCell ref="E13:E14"/>
    <mergeCell ref="F13:F14"/>
    <mergeCell ref="G9:G10"/>
    <mergeCell ref="A11:A12"/>
    <mergeCell ref="B11:B12"/>
    <mergeCell ref="C11:C12"/>
    <mergeCell ref="D11:D12"/>
    <mergeCell ref="E11:E12"/>
    <mergeCell ref="F11:F12"/>
    <mergeCell ref="G11:G12"/>
    <mergeCell ref="A9:A10"/>
    <mergeCell ref="B9:B10"/>
    <mergeCell ref="C9:C10"/>
    <mergeCell ref="D9:D10"/>
    <mergeCell ref="E9:E10"/>
    <mergeCell ref="F9:F10"/>
    <mergeCell ref="A2:G2"/>
    <mergeCell ref="A3:A4"/>
    <mergeCell ref="B3:B4"/>
    <mergeCell ref="C3:C4"/>
    <mergeCell ref="D3:D4"/>
    <mergeCell ref="E3:E4"/>
    <mergeCell ref="F3:F4"/>
    <mergeCell ref="G3:G4"/>
    <mergeCell ref="A91:A92"/>
    <mergeCell ref="F91:F92"/>
    <mergeCell ref="G5:G6"/>
    <mergeCell ref="A7:A8"/>
    <mergeCell ref="B7:B8"/>
    <mergeCell ref="C7:C8"/>
    <mergeCell ref="D7:D8"/>
    <mergeCell ref="E7:E8"/>
    <mergeCell ref="F7:F8"/>
    <mergeCell ref="G7:G8"/>
    <mergeCell ref="A5:A6"/>
    <mergeCell ref="B5:B6"/>
    <mergeCell ref="C5:C6"/>
    <mergeCell ref="D5:D6"/>
    <mergeCell ref="E5:E6"/>
    <mergeCell ref="F5:F6"/>
    <mergeCell ref="F93:F94"/>
    <mergeCell ref="G91:G92"/>
    <mergeCell ref="G93:G94"/>
    <mergeCell ref="A93:A94"/>
    <mergeCell ref="A95:A96"/>
    <mergeCell ref="B91:B92"/>
    <mergeCell ref="B93:B94"/>
    <mergeCell ref="C91:C92"/>
    <mergeCell ref="C93:C94"/>
    <mergeCell ref="D91:D92"/>
    <mergeCell ref="D93:D94"/>
    <mergeCell ref="E91:E92"/>
    <mergeCell ref="E93:E94"/>
  </mergeCells>
  <pageMargins left="0.7" right="0.7" top="0.75" bottom="0.75" header="0.3" footer="0.3"/>
  <pageSetup paperSize="9" orientation="landscape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"/>
  <sheetViews>
    <sheetView workbookViewId="0">
      <selection activeCell="H3" sqref="H3"/>
    </sheetView>
  </sheetViews>
  <sheetFormatPr defaultRowHeight="15"/>
  <cols>
    <col min="1" max="1" width="5.28515625" style="575" customWidth="1"/>
    <col min="2" max="2" width="17.140625" style="575" customWidth="1"/>
    <col min="3" max="3" width="12.85546875" style="575" customWidth="1"/>
    <col min="4" max="4" width="26.5703125" style="575" customWidth="1"/>
    <col min="5" max="5" width="12.140625" style="575" customWidth="1"/>
    <col min="6" max="6" width="15.42578125" style="575" customWidth="1"/>
    <col min="7" max="7" width="9.5703125" style="575" bestFit="1" customWidth="1"/>
    <col min="8" max="8" width="12" style="575" customWidth="1"/>
    <col min="9" max="16384" width="9.140625" style="575"/>
  </cols>
  <sheetData>
    <row r="1" spans="1:8">
      <c r="A1" s="575" t="s">
        <v>2925</v>
      </c>
    </row>
    <row r="2" spans="1:8">
      <c r="A2" s="1536" t="s">
        <v>2927</v>
      </c>
      <c r="B2" s="1536"/>
      <c r="C2" s="1536"/>
      <c r="D2" s="1536"/>
      <c r="E2" s="1536"/>
      <c r="F2" s="1536"/>
      <c r="G2" s="1536"/>
      <c r="H2" s="576">
        <f>SUM(F3:F50)</f>
        <v>156743200</v>
      </c>
    </row>
    <row r="3" spans="1:8" ht="15" customHeight="1">
      <c r="A3" s="1546">
        <v>1</v>
      </c>
      <c r="B3" s="1545" t="s">
        <v>2833</v>
      </c>
      <c r="C3" s="1545" t="s">
        <v>2836</v>
      </c>
      <c r="D3" s="1545" t="s">
        <v>239</v>
      </c>
      <c r="E3" s="1544">
        <v>46998</v>
      </c>
      <c r="F3" s="1544">
        <v>11962400</v>
      </c>
      <c r="G3" s="1537"/>
    </row>
    <row r="4" spans="1:8" ht="15" customHeight="1">
      <c r="A4" s="1546"/>
      <c r="B4" s="1545"/>
      <c r="C4" s="1545"/>
      <c r="D4" s="1545"/>
      <c r="E4" s="1544"/>
      <c r="F4" s="1544"/>
      <c r="G4" s="1538"/>
    </row>
    <row r="5" spans="1:8" ht="15" customHeight="1">
      <c r="A5" s="1546">
        <v>2</v>
      </c>
      <c r="B5" s="1545" t="s">
        <v>39</v>
      </c>
      <c r="C5" s="1545" t="s">
        <v>2830</v>
      </c>
      <c r="D5" s="1545" t="s">
        <v>2829</v>
      </c>
      <c r="E5" s="1544">
        <v>3200000</v>
      </c>
      <c r="F5" s="1544">
        <f>E5</f>
        <v>3200000</v>
      </c>
      <c r="G5" s="1537"/>
    </row>
    <row r="6" spans="1:8" ht="15.75" customHeight="1" thickBot="1">
      <c r="A6" s="1546"/>
      <c r="B6" s="1545"/>
      <c r="C6" s="1545"/>
      <c r="D6" s="1545"/>
      <c r="E6" s="1544"/>
      <c r="F6" s="1544"/>
      <c r="G6" s="1558"/>
    </row>
    <row r="7" spans="1:8" ht="15" customHeight="1">
      <c r="A7" s="1546">
        <v>3</v>
      </c>
      <c r="B7" s="1545" t="s">
        <v>43</v>
      </c>
      <c r="C7" s="1545" t="s">
        <v>2830</v>
      </c>
      <c r="D7" s="1545" t="s">
        <v>2831</v>
      </c>
      <c r="E7" s="1544">
        <v>3600000</v>
      </c>
      <c r="F7" s="1544">
        <f>E7</f>
        <v>3600000</v>
      </c>
      <c r="G7" s="1565"/>
    </row>
    <row r="8" spans="1:8" ht="15.75" customHeight="1" thickBot="1">
      <c r="A8" s="1546"/>
      <c r="B8" s="1545"/>
      <c r="C8" s="1545"/>
      <c r="D8" s="1545"/>
      <c r="E8" s="1544"/>
      <c r="F8" s="1544"/>
      <c r="G8" s="1566"/>
    </row>
    <row r="9" spans="1:8" ht="15" customHeight="1">
      <c r="A9" s="1546">
        <v>4</v>
      </c>
      <c r="B9" s="1545" t="s">
        <v>2834</v>
      </c>
      <c r="C9" s="1545" t="s">
        <v>2836</v>
      </c>
      <c r="D9" s="1545" t="s">
        <v>239</v>
      </c>
      <c r="E9" s="1544">
        <v>46998</v>
      </c>
      <c r="F9" s="1544">
        <v>11962400</v>
      </c>
      <c r="G9" s="1550"/>
    </row>
    <row r="10" spans="1:8" ht="15" customHeight="1">
      <c r="A10" s="1546"/>
      <c r="B10" s="1545"/>
      <c r="C10" s="1545"/>
      <c r="D10" s="1545"/>
      <c r="E10" s="1544"/>
      <c r="F10" s="1544"/>
      <c r="G10" s="1538"/>
    </row>
    <row r="11" spans="1:8" ht="15" customHeight="1">
      <c r="A11" s="1546">
        <v>5</v>
      </c>
      <c r="B11" s="1545" t="s">
        <v>44</v>
      </c>
      <c r="C11" s="1545" t="s">
        <v>2832</v>
      </c>
      <c r="D11" s="1545" t="s">
        <v>117</v>
      </c>
      <c r="E11" s="1544">
        <v>1000000</v>
      </c>
      <c r="F11" s="1544">
        <f>E11</f>
        <v>1000000</v>
      </c>
      <c r="G11" s="1537"/>
    </row>
    <row r="12" spans="1:8" ht="15" customHeight="1">
      <c r="A12" s="1546"/>
      <c r="B12" s="1545"/>
      <c r="C12" s="1545"/>
      <c r="D12" s="1545"/>
      <c r="E12" s="1544"/>
      <c r="F12" s="1544"/>
      <c r="G12" s="1538"/>
    </row>
    <row r="13" spans="1:8" ht="15" customHeight="1">
      <c r="A13" s="1546">
        <v>6</v>
      </c>
      <c r="B13" s="1545" t="s">
        <v>2837</v>
      </c>
      <c r="C13" s="1545" t="s">
        <v>2832</v>
      </c>
      <c r="D13" s="1545" t="s">
        <v>239</v>
      </c>
      <c r="E13" s="1544">
        <v>47478</v>
      </c>
      <c r="F13" s="1544">
        <v>12295400</v>
      </c>
      <c r="G13" s="1537"/>
    </row>
    <row r="14" spans="1:8" ht="15.75" customHeight="1" thickBot="1">
      <c r="A14" s="1546"/>
      <c r="B14" s="1545"/>
      <c r="C14" s="1545"/>
      <c r="D14" s="1545"/>
      <c r="E14" s="1544"/>
      <c r="F14" s="1544"/>
      <c r="G14" s="1558"/>
    </row>
    <row r="15" spans="1:8" ht="15" customHeight="1">
      <c r="A15" s="1546">
        <v>7</v>
      </c>
      <c r="B15" s="1545" t="s">
        <v>45</v>
      </c>
      <c r="C15" s="1545" t="s">
        <v>2840</v>
      </c>
      <c r="D15" s="1545" t="s">
        <v>2838</v>
      </c>
      <c r="E15" s="1544">
        <v>2500000</v>
      </c>
      <c r="F15" s="1544">
        <f>E15</f>
        <v>2500000</v>
      </c>
      <c r="G15" s="1550"/>
    </row>
    <row r="16" spans="1:8" ht="15" customHeight="1">
      <c r="A16" s="1546"/>
      <c r="B16" s="1545"/>
      <c r="C16" s="1545"/>
      <c r="D16" s="1545"/>
      <c r="E16" s="1544"/>
      <c r="F16" s="1544"/>
      <c r="G16" s="1538"/>
    </row>
    <row r="17" spans="1:7" ht="15" customHeight="1">
      <c r="A17" s="1546">
        <v>8</v>
      </c>
      <c r="B17" s="1545" t="s">
        <v>46</v>
      </c>
      <c r="C17" s="1545" t="s">
        <v>2840</v>
      </c>
      <c r="D17" s="1545" t="s">
        <v>2772</v>
      </c>
      <c r="E17" s="1544">
        <v>2800000</v>
      </c>
      <c r="F17" s="1544">
        <f>E17</f>
        <v>2800000</v>
      </c>
      <c r="G17" s="1537"/>
    </row>
    <row r="18" spans="1:7" ht="15" customHeight="1">
      <c r="A18" s="1546"/>
      <c r="B18" s="1545"/>
      <c r="C18" s="1545"/>
      <c r="D18" s="1545"/>
      <c r="E18" s="1544"/>
      <c r="F18" s="1544"/>
      <c r="G18" s="1538"/>
    </row>
    <row r="19" spans="1:7" ht="15" customHeight="1">
      <c r="A19" s="1546">
        <v>9</v>
      </c>
      <c r="B19" s="1545" t="s">
        <v>2850</v>
      </c>
      <c r="C19" s="1545" t="s">
        <v>2846</v>
      </c>
      <c r="D19" s="1545" t="s">
        <v>239</v>
      </c>
      <c r="E19" s="1544">
        <v>49460</v>
      </c>
      <c r="F19" s="1544">
        <v>12847200</v>
      </c>
      <c r="G19" s="1537"/>
    </row>
    <row r="20" spans="1:7" ht="15.75" customHeight="1" thickBot="1">
      <c r="A20" s="1546"/>
      <c r="B20" s="1545"/>
      <c r="C20" s="1545"/>
      <c r="D20" s="1545"/>
      <c r="E20" s="1544"/>
      <c r="F20" s="1544"/>
      <c r="G20" s="1558"/>
    </row>
    <row r="21" spans="1:7" ht="15" customHeight="1">
      <c r="A21" s="1546">
        <v>10</v>
      </c>
      <c r="B21" s="1545" t="s">
        <v>51</v>
      </c>
      <c r="C21" s="1545" t="s">
        <v>2842</v>
      </c>
      <c r="D21" s="1545" t="s">
        <v>2517</v>
      </c>
      <c r="E21" s="1544">
        <v>2000000</v>
      </c>
      <c r="F21" s="1544">
        <f>E21</f>
        <v>2000000</v>
      </c>
      <c r="G21" s="1550"/>
    </row>
    <row r="22" spans="1:7" ht="15" customHeight="1">
      <c r="A22" s="1546"/>
      <c r="B22" s="1545"/>
      <c r="C22" s="1545"/>
      <c r="D22" s="1545"/>
      <c r="E22" s="1544"/>
      <c r="F22" s="1544"/>
      <c r="G22" s="1538"/>
    </row>
    <row r="23" spans="1:7" ht="15" customHeight="1">
      <c r="A23" s="1546">
        <v>11</v>
      </c>
      <c r="B23" s="1545" t="s">
        <v>2847</v>
      </c>
      <c r="C23" s="1545" t="s">
        <v>2846</v>
      </c>
      <c r="D23" s="1545" t="s">
        <v>239</v>
      </c>
      <c r="E23" s="1544">
        <v>47135</v>
      </c>
      <c r="F23" s="1544">
        <v>12243300</v>
      </c>
      <c r="G23" s="1537"/>
    </row>
    <row r="24" spans="1:7" ht="15.75" customHeight="1" thickBot="1">
      <c r="A24" s="1546"/>
      <c r="B24" s="1545"/>
      <c r="C24" s="1545"/>
      <c r="D24" s="1545"/>
      <c r="E24" s="1544"/>
      <c r="F24" s="1544"/>
      <c r="G24" s="1558"/>
    </row>
    <row r="25" spans="1:7" ht="15" customHeight="1">
      <c r="A25" s="1546">
        <v>12</v>
      </c>
      <c r="B25" s="1545" t="s">
        <v>50</v>
      </c>
      <c r="C25" s="1545" t="s">
        <v>2841</v>
      </c>
      <c r="D25" s="1545" t="s">
        <v>2839</v>
      </c>
      <c r="E25" s="1544">
        <v>7500000</v>
      </c>
      <c r="F25" s="1544">
        <f>E25</f>
        <v>7500000</v>
      </c>
      <c r="G25" s="1550"/>
    </row>
    <row r="26" spans="1:7" ht="15" customHeight="1">
      <c r="A26" s="1546"/>
      <c r="B26" s="1545"/>
      <c r="C26" s="1545"/>
      <c r="D26" s="1545"/>
      <c r="E26" s="1544"/>
      <c r="F26" s="1544"/>
      <c r="G26" s="1538"/>
    </row>
    <row r="27" spans="1:7" ht="15" customHeight="1">
      <c r="A27" s="1546">
        <v>13</v>
      </c>
      <c r="B27" s="1545" t="s">
        <v>53</v>
      </c>
      <c r="C27" s="1545" t="s">
        <v>2841</v>
      </c>
      <c r="D27" s="1545" t="s">
        <v>2556</v>
      </c>
      <c r="E27" s="1544">
        <v>4000000</v>
      </c>
      <c r="F27" s="1544">
        <f>E27</f>
        <v>4000000</v>
      </c>
      <c r="G27" s="1537"/>
    </row>
    <row r="28" spans="1:7" ht="15.75" customHeight="1" thickBot="1">
      <c r="A28" s="1546"/>
      <c r="B28" s="1545"/>
      <c r="C28" s="1545"/>
      <c r="D28" s="1545"/>
      <c r="E28" s="1544"/>
      <c r="F28" s="1544"/>
      <c r="G28" s="1558"/>
    </row>
    <row r="29" spans="1:7" ht="15" customHeight="1">
      <c r="A29" s="1546">
        <v>14</v>
      </c>
      <c r="B29" s="1545" t="s">
        <v>2849</v>
      </c>
      <c r="C29" s="1545" t="s">
        <v>2848</v>
      </c>
      <c r="D29" s="1545" t="s">
        <v>239</v>
      </c>
      <c r="E29" s="1544">
        <v>46337</v>
      </c>
      <c r="F29" s="1544">
        <v>12039700</v>
      </c>
      <c r="G29" s="1543"/>
    </row>
    <row r="30" spans="1:7" ht="15" customHeight="1">
      <c r="A30" s="1546"/>
      <c r="B30" s="1545"/>
      <c r="C30" s="1545"/>
      <c r="D30" s="1545"/>
      <c r="E30" s="1544"/>
      <c r="F30" s="1544"/>
      <c r="G30" s="1538"/>
    </row>
    <row r="31" spans="1:7" ht="15" customHeight="1">
      <c r="A31" s="1546">
        <v>15</v>
      </c>
      <c r="B31" s="1545" t="s">
        <v>54</v>
      </c>
      <c r="C31" s="1545" t="s">
        <v>2842</v>
      </c>
      <c r="D31" s="1545" t="s">
        <v>2843</v>
      </c>
      <c r="E31" s="1544">
        <v>4000000</v>
      </c>
      <c r="F31" s="1544">
        <f>E31</f>
        <v>4000000</v>
      </c>
      <c r="G31" s="1537"/>
    </row>
    <row r="32" spans="1:7" ht="15.75" customHeight="1" thickBot="1">
      <c r="A32" s="1546"/>
      <c r="B32" s="1545"/>
      <c r="C32" s="1545"/>
      <c r="D32" s="1545"/>
      <c r="E32" s="1544"/>
      <c r="F32" s="1544"/>
      <c r="G32" s="1564"/>
    </row>
    <row r="33" spans="1:7" ht="15" customHeight="1">
      <c r="A33" s="1546">
        <v>16</v>
      </c>
      <c r="B33" s="1545" t="s">
        <v>70</v>
      </c>
      <c r="C33" s="1545" t="s">
        <v>2842</v>
      </c>
      <c r="D33" s="1545" t="s">
        <v>117</v>
      </c>
      <c r="E33" s="1544">
        <v>1100000</v>
      </c>
      <c r="F33" s="1544">
        <f>E33</f>
        <v>1100000</v>
      </c>
      <c r="G33" s="1550"/>
    </row>
    <row r="34" spans="1:7" ht="15" customHeight="1" thickBot="1">
      <c r="A34" s="1546"/>
      <c r="B34" s="1545"/>
      <c r="C34" s="1545"/>
      <c r="D34" s="1545"/>
      <c r="E34" s="1544"/>
      <c r="F34" s="1544"/>
      <c r="G34" s="1538"/>
    </row>
    <row r="35" spans="1:7" ht="15" customHeight="1">
      <c r="A35" s="1546">
        <v>17</v>
      </c>
      <c r="B35" s="1562" t="s">
        <v>6</v>
      </c>
      <c r="C35" s="1562" t="s">
        <v>2840</v>
      </c>
      <c r="D35" s="1562" t="s">
        <v>2935</v>
      </c>
      <c r="E35" s="1563">
        <v>4000000</v>
      </c>
      <c r="F35" s="1563">
        <v>1800000</v>
      </c>
      <c r="G35" s="1550"/>
    </row>
    <row r="36" spans="1:7" ht="15" customHeight="1">
      <c r="A36" s="1546"/>
      <c r="B36" s="1562"/>
      <c r="C36" s="1562"/>
      <c r="D36" s="1562"/>
      <c r="E36" s="1563"/>
      <c r="F36" s="1563"/>
      <c r="G36" s="1538"/>
    </row>
    <row r="37" spans="1:7" ht="15" customHeight="1">
      <c r="A37" s="1546">
        <v>18</v>
      </c>
      <c r="B37" s="1545" t="s">
        <v>2864</v>
      </c>
      <c r="C37" s="1545" t="s">
        <v>2861</v>
      </c>
      <c r="D37" s="1545" t="s">
        <v>239</v>
      </c>
      <c r="E37" s="1544">
        <v>46111</v>
      </c>
      <c r="F37" s="1544">
        <v>12485900</v>
      </c>
      <c r="G37" s="1537"/>
    </row>
    <row r="38" spans="1:7" ht="15" customHeight="1" thickBot="1">
      <c r="A38" s="1546"/>
      <c r="B38" s="1545"/>
      <c r="C38" s="1545"/>
      <c r="D38" s="1545"/>
      <c r="E38" s="1544"/>
      <c r="F38" s="1544"/>
      <c r="G38" s="1538"/>
    </row>
    <row r="39" spans="1:7" ht="15" customHeight="1">
      <c r="A39" s="1546">
        <v>19</v>
      </c>
      <c r="B39" s="1545" t="s">
        <v>2862</v>
      </c>
      <c r="C39" s="1545" t="s">
        <v>2863</v>
      </c>
      <c r="D39" s="1545" t="s">
        <v>239</v>
      </c>
      <c r="E39" s="1544">
        <v>45802</v>
      </c>
      <c r="F39" s="1544">
        <v>12210800</v>
      </c>
      <c r="G39" s="1550"/>
    </row>
    <row r="40" spans="1:7" ht="15" customHeight="1">
      <c r="A40" s="1546"/>
      <c r="B40" s="1545"/>
      <c r="C40" s="1545"/>
      <c r="D40" s="1545"/>
      <c r="E40" s="1544"/>
      <c r="F40" s="1544"/>
      <c r="G40" s="1538"/>
    </row>
    <row r="41" spans="1:7" ht="15" customHeight="1">
      <c r="A41" s="1546">
        <v>20</v>
      </c>
      <c r="B41" s="1545" t="s">
        <v>77</v>
      </c>
      <c r="C41" s="1545" t="s">
        <v>2856</v>
      </c>
      <c r="D41" s="1545" t="s">
        <v>2723</v>
      </c>
      <c r="E41" s="1544">
        <v>4000000</v>
      </c>
      <c r="F41" s="1544">
        <f>E41</f>
        <v>4000000</v>
      </c>
      <c r="G41" s="1537"/>
    </row>
    <row r="42" spans="1:7" ht="15" customHeight="1">
      <c r="A42" s="1546"/>
      <c r="B42" s="1545"/>
      <c r="C42" s="1545"/>
      <c r="D42" s="1545"/>
      <c r="E42" s="1544"/>
      <c r="F42" s="1544"/>
      <c r="G42" s="1538"/>
    </row>
    <row r="43" spans="1:7" ht="15" customHeight="1">
      <c r="A43" s="1546">
        <v>21</v>
      </c>
      <c r="B43" s="1545" t="s">
        <v>71</v>
      </c>
      <c r="C43" s="1545" t="s">
        <v>2856</v>
      </c>
      <c r="D43" s="1545" t="s">
        <v>2853</v>
      </c>
      <c r="E43" s="1544">
        <v>3500000</v>
      </c>
      <c r="F43" s="1544">
        <f>E43</f>
        <v>3500000</v>
      </c>
      <c r="G43" s="1537"/>
    </row>
    <row r="44" spans="1:7" ht="15" customHeight="1">
      <c r="A44" s="1546"/>
      <c r="B44" s="1545"/>
      <c r="C44" s="1545"/>
      <c r="D44" s="1545"/>
      <c r="E44" s="1544"/>
      <c r="F44" s="1544"/>
      <c r="G44" s="1538"/>
    </row>
    <row r="45" spans="1:7" ht="15" customHeight="1">
      <c r="A45" s="1546">
        <v>22</v>
      </c>
      <c r="B45" s="1545" t="s">
        <v>56</v>
      </c>
      <c r="C45" s="1545" t="s">
        <v>2856</v>
      </c>
      <c r="D45" s="1545" t="s">
        <v>1601</v>
      </c>
      <c r="E45" s="1544">
        <v>2000000</v>
      </c>
      <c r="F45" s="1544">
        <f>E45</f>
        <v>2000000</v>
      </c>
      <c r="G45" s="1537"/>
    </row>
    <row r="46" spans="1:7" ht="15" customHeight="1">
      <c r="A46" s="1546"/>
      <c r="B46" s="1545"/>
      <c r="C46" s="1545"/>
      <c r="D46" s="1545"/>
      <c r="E46" s="1544"/>
      <c r="F46" s="1544"/>
      <c r="G46" s="1538"/>
    </row>
    <row r="47" spans="1:7" ht="15" customHeight="1">
      <c r="A47" s="1546">
        <v>23</v>
      </c>
      <c r="B47" s="1545" t="s">
        <v>75</v>
      </c>
      <c r="C47" s="1545" t="s">
        <v>2856</v>
      </c>
      <c r="D47" s="1545" t="s">
        <v>2838</v>
      </c>
      <c r="E47" s="1544">
        <v>3000000</v>
      </c>
      <c r="F47" s="1544">
        <f>E47</f>
        <v>3000000</v>
      </c>
      <c r="G47" s="1543"/>
    </row>
    <row r="48" spans="1:7" ht="15.75" customHeight="1" thickBot="1">
      <c r="A48" s="1546"/>
      <c r="B48" s="1545"/>
      <c r="C48" s="1545"/>
      <c r="D48" s="1545"/>
      <c r="E48" s="1544"/>
      <c r="F48" s="1544"/>
      <c r="G48" s="1558"/>
    </row>
    <row r="49" spans="1:7" ht="15" customHeight="1">
      <c r="A49" s="1546">
        <v>24</v>
      </c>
      <c r="B49" s="1545" t="s">
        <v>2860</v>
      </c>
      <c r="C49" s="1545" t="s">
        <v>2861</v>
      </c>
      <c r="D49" s="1545" t="s">
        <v>239</v>
      </c>
      <c r="E49" s="1544">
        <v>46887</v>
      </c>
      <c r="F49" s="1544">
        <v>12696100</v>
      </c>
      <c r="G49" s="1550"/>
    </row>
    <row r="50" spans="1:7" ht="15" customHeight="1" thickBot="1">
      <c r="A50" s="1546"/>
      <c r="B50" s="1545"/>
      <c r="C50" s="1545"/>
      <c r="D50" s="1545"/>
      <c r="E50" s="1544"/>
      <c r="F50" s="1544"/>
      <c r="G50" s="1538"/>
    </row>
    <row r="51" spans="1:7" ht="15" customHeight="1">
      <c r="A51" s="1546"/>
      <c r="B51" s="1551"/>
      <c r="C51" s="1553"/>
      <c r="D51" s="1554"/>
      <c r="E51" s="1547"/>
      <c r="F51" s="1547"/>
      <c r="G51" s="1550"/>
    </row>
    <row r="52" spans="1:7" ht="15" customHeight="1">
      <c r="A52" s="1546"/>
      <c r="B52" s="1552"/>
      <c r="C52" s="1545"/>
      <c r="D52" s="1555"/>
      <c r="E52" s="1548"/>
      <c r="F52" s="1549"/>
      <c r="G52" s="1538"/>
    </row>
    <row r="53" spans="1:7" ht="15" customHeight="1">
      <c r="A53" s="1546"/>
      <c r="B53" s="1552"/>
      <c r="C53" s="1545"/>
      <c r="D53" s="1555"/>
      <c r="E53" s="1548"/>
      <c r="F53" s="1548"/>
      <c r="G53" s="1537"/>
    </row>
    <row r="54" spans="1:7" ht="15" customHeight="1">
      <c r="A54" s="1546"/>
      <c r="B54" s="1552"/>
      <c r="C54" s="1545"/>
      <c r="D54" s="1555"/>
      <c r="E54" s="1548"/>
      <c r="F54" s="1549"/>
      <c r="G54" s="1538"/>
    </row>
    <row r="55" spans="1:7" ht="15" customHeight="1">
      <c r="A55" s="1546"/>
      <c r="B55" s="1552"/>
      <c r="C55" s="1545"/>
      <c r="D55" s="1555"/>
      <c r="E55" s="1548"/>
      <c r="F55" s="1548"/>
      <c r="G55" s="1537"/>
    </row>
    <row r="56" spans="1:7" ht="15" customHeight="1">
      <c r="A56" s="1546"/>
      <c r="B56" s="1552"/>
      <c r="C56" s="1545"/>
      <c r="D56" s="1555"/>
      <c r="E56" s="1548"/>
      <c r="F56" s="1549"/>
      <c r="G56" s="1538"/>
    </row>
    <row r="57" spans="1:7" ht="15" customHeight="1">
      <c r="A57" s="1546"/>
      <c r="B57" s="1552"/>
      <c r="C57" s="1545"/>
      <c r="D57" s="1555"/>
      <c r="E57" s="1548"/>
      <c r="F57" s="1548"/>
      <c r="G57" s="1537"/>
    </row>
    <row r="58" spans="1:7" ht="15.75" customHeight="1" thickBot="1">
      <c r="A58" s="1546"/>
      <c r="B58" s="1560"/>
      <c r="C58" s="1559"/>
      <c r="D58" s="1561"/>
      <c r="E58" s="1556"/>
      <c r="F58" s="1557"/>
      <c r="G58" s="1558"/>
    </row>
    <row r="59" spans="1:7" ht="15" customHeight="1">
      <c r="A59" s="1546"/>
      <c r="B59" s="1551"/>
      <c r="C59" s="1553"/>
      <c r="D59" s="1554"/>
      <c r="E59" s="1547"/>
      <c r="F59" s="1547"/>
      <c r="G59" s="1550"/>
    </row>
    <row r="60" spans="1:7" ht="15" customHeight="1">
      <c r="A60" s="1546"/>
      <c r="B60" s="1552"/>
      <c r="C60" s="1545"/>
      <c r="D60" s="1555"/>
      <c r="E60" s="1548"/>
      <c r="F60" s="1549"/>
      <c r="G60" s="1538"/>
    </row>
    <row r="61" spans="1:7" ht="15" customHeight="1">
      <c r="A61" s="1546"/>
      <c r="B61" s="1552"/>
      <c r="C61" s="1545"/>
      <c r="D61" s="1555"/>
      <c r="E61" s="1548"/>
      <c r="F61" s="1548"/>
      <c r="G61" s="1537"/>
    </row>
    <row r="62" spans="1:7" ht="15" customHeight="1">
      <c r="A62" s="1546"/>
      <c r="B62" s="1552"/>
      <c r="C62" s="1545"/>
      <c r="D62" s="1555"/>
      <c r="E62" s="1548"/>
      <c r="F62" s="1549"/>
      <c r="G62" s="1538"/>
    </row>
    <row r="63" spans="1:7" ht="15" customHeight="1">
      <c r="A63" s="1546"/>
      <c r="B63" s="1552"/>
      <c r="C63" s="1545"/>
      <c r="D63" s="1555"/>
      <c r="E63" s="1548"/>
      <c r="F63" s="1548"/>
      <c r="G63" s="1537"/>
    </row>
    <row r="64" spans="1:7" ht="15" customHeight="1">
      <c r="A64" s="1546"/>
      <c r="B64" s="1552"/>
      <c r="C64" s="1545"/>
      <c r="D64" s="1555"/>
      <c r="E64" s="1548"/>
      <c r="F64" s="1549"/>
      <c r="G64" s="1538"/>
    </row>
    <row r="65" spans="1:7" ht="15" customHeight="1">
      <c r="A65" s="1546"/>
      <c r="B65" s="1552"/>
      <c r="C65" s="1545"/>
      <c r="D65" s="1555"/>
      <c r="E65" s="1548"/>
      <c r="F65" s="1548"/>
      <c r="G65" s="1537"/>
    </row>
    <row r="66" spans="1:7" ht="15.75" customHeight="1" thickBot="1">
      <c r="A66" s="1546"/>
      <c r="B66" s="1560"/>
      <c r="C66" s="1559"/>
      <c r="D66" s="1561"/>
      <c r="E66" s="1556"/>
      <c r="F66" s="1557"/>
      <c r="G66" s="1558"/>
    </row>
    <row r="67" spans="1:7" ht="15" customHeight="1">
      <c r="A67" s="1546"/>
      <c r="B67" s="1551"/>
      <c r="C67" s="1553"/>
      <c r="D67" s="1554"/>
      <c r="E67" s="1547"/>
      <c r="F67" s="1547"/>
      <c r="G67" s="1550"/>
    </row>
    <row r="68" spans="1:7" ht="15" customHeight="1">
      <c r="A68" s="1546"/>
      <c r="B68" s="1552"/>
      <c r="C68" s="1545"/>
      <c r="D68" s="1555"/>
      <c r="E68" s="1548"/>
      <c r="F68" s="1549"/>
      <c r="G68" s="1538"/>
    </row>
    <row r="69" spans="1:7" ht="15" customHeight="1">
      <c r="A69" s="1546"/>
      <c r="B69" s="1552"/>
      <c r="C69" s="1545"/>
      <c r="D69" s="1555"/>
      <c r="E69" s="1548"/>
      <c r="F69" s="1548"/>
      <c r="G69" s="1537"/>
    </row>
    <row r="70" spans="1:7" ht="15" customHeight="1">
      <c r="A70" s="1546"/>
      <c r="B70" s="1552"/>
      <c r="C70" s="1545"/>
      <c r="D70" s="1555"/>
      <c r="E70" s="1548"/>
      <c r="F70" s="1549"/>
      <c r="G70" s="1538"/>
    </row>
    <row r="71" spans="1:7" ht="15" customHeight="1">
      <c r="A71" s="1546"/>
      <c r="B71" s="1552"/>
      <c r="C71" s="1545"/>
      <c r="D71" s="1555"/>
      <c r="E71" s="1548"/>
      <c r="F71" s="1548"/>
      <c r="G71" s="1537"/>
    </row>
    <row r="72" spans="1:7" ht="15.75" customHeight="1" thickBot="1">
      <c r="A72" s="1546"/>
      <c r="B72" s="1560"/>
      <c r="C72" s="1559"/>
      <c r="D72" s="1561"/>
      <c r="E72" s="1556"/>
      <c r="F72" s="1557"/>
      <c r="G72" s="1558"/>
    </row>
    <row r="73" spans="1:7" ht="15" customHeight="1">
      <c r="A73" s="1546"/>
      <c r="B73" s="1551"/>
      <c r="C73" s="1553"/>
      <c r="D73" s="1554"/>
      <c r="E73" s="1547"/>
      <c r="F73" s="1547"/>
      <c r="G73" s="1550"/>
    </row>
    <row r="74" spans="1:7" ht="15" customHeight="1">
      <c r="A74" s="1546"/>
      <c r="B74" s="1552"/>
      <c r="C74" s="1545"/>
      <c r="D74" s="1555"/>
      <c r="E74" s="1548"/>
      <c r="F74" s="1549"/>
      <c r="G74" s="1538"/>
    </row>
    <row r="75" spans="1:7" ht="15" customHeight="1">
      <c r="A75" s="1546"/>
      <c r="B75" s="1552"/>
      <c r="C75" s="1545"/>
      <c r="D75" s="1555"/>
      <c r="E75" s="1548"/>
      <c r="F75" s="1548"/>
      <c r="G75" s="1537"/>
    </row>
    <row r="76" spans="1:7" ht="15.75" customHeight="1" thickBot="1">
      <c r="A76" s="1546"/>
      <c r="B76" s="1560"/>
      <c r="C76" s="1559"/>
      <c r="D76" s="1561"/>
      <c r="E76" s="1556"/>
      <c r="F76" s="1557"/>
      <c r="G76" s="1558"/>
    </row>
    <row r="77" spans="1:7" ht="15" customHeight="1">
      <c r="A77" s="1546"/>
      <c r="B77" s="1551"/>
      <c r="C77" s="1553"/>
      <c r="D77" s="1554"/>
      <c r="E77" s="1547"/>
      <c r="F77" s="1547"/>
      <c r="G77" s="1550"/>
    </row>
    <row r="78" spans="1:7" ht="15" customHeight="1">
      <c r="A78" s="1546"/>
      <c r="B78" s="1552"/>
      <c r="C78" s="1545"/>
      <c r="D78" s="1555"/>
      <c r="E78" s="1548"/>
      <c r="F78" s="1549"/>
      <c r="G78" s="1538"/>
    </row>
    <row r="79" spans="1:7" ht="15" customHeight="1">
      <c r="A79" s="1546"/>
      <c r="B79" s="1552"/>
      <c r="C79" s="1545"/>
      <c r="D79" s="1555"/>
      <c r="E79" s="1548"/>
      <c r="F79" s="1548"/>
      <c r="G79" s="1537"/>
    </row>
    <row r="80" spans="1:7" ht="15.75" customHeight="1" thickBot="1">
      <c r="A80" s="1546"/>
      <c r="B80" s="1560"/>
      <c r="C80" s="1559"/>
      <c r="D80" s="1561"/>
      <c r="E80" s="1556"/>
      <c r="F80" s="1557"/>
      <c r="G80" s="1558"/>
    </row>
    <row r="81" spans="1:7" ht="15" customHeight="1">
      <c r="A81" s="1546"/>
      <c r="B81" s="1551"/>
      <c r="C81" s="1553"/>
      <c r="D81" s="1554"/>
      <c r="E81" s="1547"/>
      <c r="F81" s="1547"/>
      <c r="G81" s="1550"/>
    </row>
    <row r="82" spans="1:7" ht="15" customHeight="1" thickBot="1">
      <c r="A82" s="1546"/>
      <c r="B82" s="1552"/>
      <c r="C82" s="1545"/>
      <c r="D82" s="1555"/>
      <c r="E82" s="1548"/>
      <c r="F82" s="1549"/>
      <c r="G82" s="1538"/>
    </row>
    <row r="83" spans="1:7" ht="15" customHeight="1">
      <c r="A83" s="1546"/>
      <c r="B83" s="1551"/>
      <c r="C83" s="1553"/>
      <c r="D83" s="1554"/>
      <c r="E83" s="1547"/>
      <c r="F83" s="1547"/>
      <c r="G83" s="1550"/>
    </row>
    <row r="84" spans="1:7" ht="15" customHeight="1" thickBot="1">
      <c r="A84" s="1546"/>
      <c r="B84" s="1552"/>
      <c r="C84" s="1545"/>
      <c r="D84" s="1555"/>
      <c r="E84" s="1548"/>
      <c r="F84" s="1549"/>
      <c r="G84" s="1538"/>
    </row>
    <row r="85" spans="1:7">
      <c r="A85" s="1546"/>
      <c r="B85" s="1551"/>
      <c r="C85" s="1553"/>
      <c r="D85" s="1554"/>
      <c r="E85" s="1547"/>
      <c r="F85" s="1547"/>
      <c r="G85" s="1550"/>
    </row>
    <row r="86" spans="1:7">
      <c r="A86" s="1546"/>
      <c r="B86" s="1552"/>
      <c r="C86" s="1545"/>
      <c r="D86" s="1555"/>
      <c r="E86" s="1548"/>
      <c r="F86" s="1549"/>
      <c r="G86" s="1538"/>
    </row>
  </sheetData>
  <mergeCells count="295">
    <mergeCell ref="G5:G6"/>
    <mergeCell ref="E3:E4"/>
    <mergeCell ref="F3:F4"/>
    <mergeCell ref="G3:G4"/>
    <mergeCell ref="B5:B6"/>
    <mergeCell ref="C5:C6"/>
    <mergeCell ref="D5:D6"/>
    <mergeCell ref="A3:A4"/>
    <mergeCell ref="B3:B4"/>
    <mergeCell ref="C3:C4"/>
    <mergeCell ref="D3:D4"/>
    <mergeCell ref="E5:E6"/>
    <mergeCell ref="F5:F6"/>
    <mergeCell ref="A5:A6"/>
    <mergeCell ref="B7:B8"/>
    <mergeCell ref="C7:C8"/>
    <mergeCell ref="D7:D8"/>
    <mergeCell ref="E7:E8"/>
    <mergeCell ref="F7:F8"/>
    <mergeCell ref="G7:G8"/>
    <mergeCell ref="B9:B10"/>
    <mergeCell ref="C9:C10"/>
    <mergeCell ref="D9:D10"/>
    <mergeCell ref="E9:E10"/>
    <mergeCell ref="F9:F10"/>
    <mergeCell ref="G9:G10"/>
    <mergeCell ref="G11:G12"/>
    <mergeCell ref="B13:B14"/>
    <mergeCell ref="C13:C14"/>
    <mergeCell ref="D13:D14"/>
    <mergeCell ref="E13:E14"/>
    <mergeCell ref="B11:B12"/>
    <mergeCell ref="C11:C12"/>
    <mergeCell ref="D11:D12"/>
    <mergeCell ref="E11:E12"/>
    <mergeCell ref="F11:F12"/>
    <mergeCell ref="B17:B18"/>
    <mergeCell ref="C17:C18"/>
    <mergeCell ref="D17:D18"/>
    <mergeCell ref="F13:F14"/>
    <mergeCell ref="G13:G14"/>
    <mergeCell ref="B15:B16"/>
    <mergeCell ref="C15:C16"/>
    <mergeCell ref="D15:D16"/>
    <mergeCell ref="E17:E18"/>
    <mergeCell ref="F17:F18"/>
    <mergeCell ref="G17:G18"/>
    <mergeCell ref="E15:E16"/>
    <mergeCell ref="F15:F16"/>
    <mergeCell ref="G15:G16"/>
    <mergeCell ref="G27:G28"/>
    <mergeCell ref="B19:B20"/>
    <mergeCell ref="C19:C20"/>
    <mergeCell ref="D19:D20"/>
    <mergeCell ref="E21:E22"/>
    <mergeCell ref="F21:F22"/>
    <mergeCell ref="G21:G22"/>
    <mergeCell ref="E19:E20"/>
    <mergeCell ref="F19:F20"/>
    <mergeCell ref="G19:G20"/>
    <mergeCell ref="E23:E24"/>
    <mergeCell ref="F23:F24"/>
    <mergeCell ref="G23:G24"/>
    <mergeCell ref="B25:B26"/>
    <mergeCell ref="C25:C26"/>
    <mergeCell ref="D25:D26"/>
    <mergeCell ref="B23:B24"/>
    <mergeCell ref="C23:C24"/>
    <mergeCell ref="B21:B22"/>
    <mergeCell ref="C21:C22"/>
    <mergeCell ref="D21:D22"/>
    <mergeCell ref="D23:D24"/>
    <mergeCell ref="F33:F34"/>
    <mergeCell ref="G33:G34"/>
    <mergeCell ref="E31:E32"/>
    <mergeCell ref="F31:F32"/>
    <mergeCell ref="G31:G32"/>
    <mergeCell ref="B33:B34"/>
    <mergeCell ref="A25:A26"/>
    <mergeCell ref="E25:E26"/>
    <mergeCell ref="F25:F26"/>
    <mergeCell ref="G25:G26"/>
    <mergeCell ref="C29:C30"/>
    <mergeCell ref="D29:D30"/>
    <mergeCell ref="B27:B28"/>
    <mergeCell ref="C27:C28"/>
    <mergeCell ref="D27:D28"/>
    <mergeCell ref="A27:A28"/>
    <mergeCell ref="A29:A30"/>
    <mergeCell ref="A31:A32"/>
    <mergeCell ref="A33:A34"/>
    <mergeCell ref="E29:E30"/>
    <mergeCell ref="F29:F30"/>
    <mergeCell ref="G29:G30"/>
    <mergeCell ref="E27:E28"/>
    <mergeCell ref="F27:F28"/>
    <mergeCell ref="C33:C34"/>
    <mergeCell ref="D33:D34"/>
    <mergeCell ref="A39:A40"/>
    <mergeCell ref="A41:A42"/>
    <mergeCell ref="E41:E42"/>
    <mergeCell ref="B29:B30"/>
    <mergeCell ref="G35:G36"/>
    <mergeCell ref="B35:B36"/>
    <mergeCell ref="C35:C36"/>
    <mergeCell ref="D35:D36"/>
    <mergeCell ref="A35:A36"/>
    <mergeCell ref="E37:E38"/>
    <mergeCell ref="F37:F38"/>
    <mergeCell ref="G37:G38"/>
    <mergeCell ref="B37:B38"/>
    <mergeCell ref="C37:C38"/>
    <mergeCell ref="B31:B32"/>
    <mergeCell ref="C31:C32"/>
    <mergeCell ref="D31:D32"/>
    <mergeCell ref="A37:A38"/>
    <mergeCell ref="E35:E36"/>
    <mergeCell ref="F35:F36"/>
    <mergeCell ref="D37:D38"/>
    <mergeCell ref="E33:E34"/>
    <mergeCell ref="F41:F42"/>
    <mergeCell ref="G41:G42"/>
    <mergeCell ref="E39:E40"/>
    <mergeCell ref="F39:F40"/>
    <mergeCell ref="G39:G40"/>
    <mergeCell ref="B41:B42"/>
    <mergeCell ref="C41:C42"/>
    <mergeCell ref="A43:A44"/>
    <mergeCell ref="A45:A46"/>
    <mergeCell ref="E43:E44"/>
    <mergeCell ref="F43:F44"/>
    <mergeCell ref="G43:G44"/>
    <mergeCell ref="B43:B44"/>
    <mergeCell ref="C43:C44"/>
    <mergeCell ref="D43:D44"/>
    <mergeCell ref="D41:D42"/>
    <mergeCell ref="B39:B40"/>
    <mergeCell ref="C39:C40"/>
    <mergeCell ref="D39:D40"/>
    <mergeCell ref="E49:E50"/>
    <mergeCell ref="F49:F50"/>
    <mergeCell ref="G49:G50"/>
    <mergeCell ref="E47:E48"/>
    <mergeCell ref="F47:F48"/>
    <mergeCell ref="G47:G48"/>
    <mergeCell ref="B49:B50"/>
    <mergeCell ref="C49:C50"/>
    <mergeCell ref="G45:G46"/>
    <mergeCell ref="B45:B46"/>
    <mergeCell ref="C45:C46"/>
    <mergeCell ref="D45:D46"/>
    <mergeCell ref="B53:B54"/>
    <mergeCell ref="C53:C54"/>
    <mergeCell ref="A47:A48"/>
    <mergeCell ref="A49:A50"/>
    <mergeCell ref="E45:E46"/>
    <mergeCell ref="F45:F46"/>
    <mergeCell ref="E55:E56"/>
    <mergeCell ref="F55:F56"/>
    <mergeCell ref="G55:G56"/>
    <mergeCell ref="E53:E54"/>
    <mergeCell ref="F53:F54"/>
    <mergeCell ref="G53:G54"/>
    <mergeCell ref="E51:E52"/>
    <mergeCell ref="F51:F52"/>
    <mergeCell ref="G51:G52"/>
    <mergeCell ref="B51:B52"/>
    <mergeCell ref="C51:C52"/>
    <mergeCell ref="D51:D52"/>
    <mergeCell ref="D49:D50"/>
    <mergeCell ref="B47:B48"/>
    <mergeCell ref="C47:C48"/>
    <mergeCell ref="D47:D48"/>
    <mergeCell ref="A53:A54"/>
    <mergeCell ref="A55:A56"/>
    <mergeCell ref="A51:A52"/>
    <mergeCell ref="B55:B56"/>
    <mergeCell ref="C55:C56"/>
    <mergeCell ref="D55:D56"/>
    <mergeCell ref="E63:E64"/>
    <mergeCell ref="F63:F64"/>
    <mergeCell ref="G63:G64"/>
    <mergeCell ref="E61:E62"/>
    <mergeCell ref="F61:F62"/>
    <mergeCell ref="G61:G62"/>
    <mergeCell ref="C59:C60"/>
    <mergeCell ref="D59:D60"/>
    <mergeCell ref="B57:B58"/>
    <mergeCell ref="C57:C58"/>
    <mergeCell ref="D57:D58"/>
    <mergeCell ref="A57:A58"/>
    <mergeCell ref="A59:A60"/>
    <mergeCell ref="D53:D54"/>
    <mergeCell ref="A61:A62"/>
    <mergeCell ref="A63:A64"/>
    <mergeCell ref="E59:E60"/>
    <mergeCell ref="F59:F60"/>
    <mergeCell ref="G59:G60"/>
    <mergeCell ref="E57:E58"/>
    <mergeCell ref="F57:F58"/>
    <mergeCell ref="G57:G58"/>
    <mergeCell ref="B59:B60"/>
    <mergeCell ref="A71:A72"/>
    <mergeCell ref="E67:E68"/>
    <mergeCell ref="F67:F68"/>
    <mergeCell ref="A65:A66"/>
    <mergeCell ref="A67:A68"/>
    <mergeCell ref="E71:E72"/>
    <mergeCell ref="F71:F72"/>
    <mergeCell ref="C63:C64"/>
    <mergeCell ref="D63:D64"/>
    <mergeCell ref="B61:B62"/>
    <mergeCell ref="C61:C62"/>
    <mergeCell ref="D61:D62"/>
    <mergeCell ref="A69:A70"/>
    <mergeCell ref="B63:B64"/>
    <mergeCell ref="G67:G68"/>
    <mergeCell ref="E65:E66"/>
    <mergeCell ref="F65:F66"/>
    <mergeCell ref="G65:G66"/>
    <mergeCell ref="B67:B68"/>
    <mergeCell ref="C67:C68"/>
    <mergeCell ref="D67:D68"/>
    <mergeCell ref="A73:A74"/>
    <mergeCell ref="A75:A76"/>
    <mergeCell ref="A77:A78"/>
    <mergeCell ref="A79:A80"/>
    <mergeCell ref="E75:E76"/>
    <mergeCell ref="B65:B66"/>
    <mergeCell ref="C65:C66"/>
    <mergeCell ref="D65:D66"/>
    <mergeCell ref="G71:G72"/>
    <mergeCell ref="E69:E70"/>
    <mergeCell ref="F69:F70"/>
    <mergeCell ref="G69:G70"/>
    <mergeCell ref="B71:B72"/>
    <mergeCell ref="C71:C72"/>
    <mergeCell ref="D71:D72"/>
    <mergeCell ref="B69:B70"/>
    <mergeCell ref="C69:C70"/>
    <mergeCell ref="D69:D70"/>
    <mergeCell ref="F75:F76"/>
    <mergeCell ref="G75:G76"/>
    <mergeCell ref="E73:E74"/>
    <mergeCell ref="F73:F74"/>
    <mergeCell ref="G73:G74"/>
    <mergeCell ref="B75:B76"/>
    <mergeCell ref="C75:C76"/>
    <mergeCell ref="B79:B80"/>
    <mergeCell ref="C79:C80"/>
    <mergeCell ref="D79:D80"/>
    <mergeCell ref="B77:B78"/>
    <mergeCell ref="C77:C78"/>
    <mergeCell ref="D77:D78"/>
    <mergeCell ref="D75:D76"/>
    <mergeCell ref="B73:B74"/>
    <mergeCell ref="C73:C74"/>
    <mergeCell ref="D73:D74"/>
    <mergeCell ref="A85:A86"/>
    <mergeCell ref="B85:B86"/>
    <mergeCell ref="C85:C86"/>
    <mergeCell ref="D85:D86"/>
    <mergeCell ref="F85:F86"/>
    <mergeCell ref="E79:E80"/>
    <mergeCell ref="F79:F80"/>
    <mergeCell ref="G79:G80"/>
    <mergeCell ref="G85:G86"/>
    <mergeCell ref="F81:F82"/>
    <mergeCell ref="G81:G82"/>
    <mergeCell ref="E81:E82"/>
    <mergeCell ref="E85:E86"/>
    <mergeCell ref="A9:A10"/>
    <mergeCell ref="A7:A8"/>
    <mergeCell ref="A11:A12"/>
    <mergeCell ref="A2:G2"/>
    <mergeCell ref="E83:E84"/>
    <mergeCell ref="F83:F84"/>
    <mergeCell ref="G83:G84"/>
    <mergeCell ref="B83:B84"/>
    <mergeCell ref="C83:C84"/>
    <mergeCell ref="A13:A14"/>
    <mergeCell ref="A15:A16"/>
    <mergeCell ref="A17:A18"/>
    <mergeCell ref="A19:A20"/>
    <mergeCell ref="A21:A22"/>
    <mergeCell ref="A23:A24"/>
    <mergeCell ref="B81:B82"/>
    <mergeCell ref="C81:C82"/>
    <mergeCell ref="D81:D82"/>
    <mergeCell ref="A81:A82"/>
    <mergeCell ref="D83:D84"/>
    <mergeCell ref="A83:A84"/>
    <mergeCell ref="E77:E78"/>
    <mergeCell ref="F77:F78"/>
    <mergeCell ref="G77:G78"/>
  </mergeCells>
  <pageMargins left="1" right="1" top="1" bottom="1" header="0.5" footer="0.5"/>
  <pageSetup paperSize="9" orientation="landscape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49</vt:i4>
      </vt:variant>
      <vt:variant>
        <vt:lpstr>Именованные диапазоны</vt:lpstr>
      </vt:variant>
      <vt:variant>
        <vt:i4>2</vt:i4>
      </vt:variant>
    </vt:vector>
  </HeadingPairs>
  <TitlesOfParts>
    <vt:vector size="51" baseType="lpstr">
      <vt:lpstr>2018</vt:lpstr>
      <vt:lpstr>01мес 18</vt:lpstr>
      <vt:lpstr>янв18</vt:lpstr>
      <vt:lpstr>2017</vt:lpstr>
      <vt:lpstr>12 мес 17 </vt:lpstr>
      <vt:lpstr>дек17</vt:lpstr>
      <vt:lpstr>11 мес 17</vt:lpstr>
      <vt:lpstr>ноябр17</vt:lpstr>
      <vt:lpstr>окт17</vt:lpstr>
      <vt:lpstr>10 мес 17</vt:lpstr>
      <vt:lpstr>9мес 17</vt:lpstr>
      <vt:lpstr>сент17 </vt:lpstr>
      <vt:lpstr>8мес 17</vt:lpstr>
      <vt:lpstr>7мес17</vt:lpstr>
      <vt:lpstr>авг17</vt:lpstr>
      <vt:lpstr>июл17</vt:lpstr>
      <vt:lpstr>июн17</vt:lpstr>
      <vt:lpstr>май17</vt:lpstr>
      <vt:lpstr>апр17</vt:lpstr>
      <vt:lpstr>март17</vt:lpstr>
      <vt:lpstr>фев17</vt:lpstr>
      <vt:lpstr>2016</vt:lpstr>
      <vt:lpstr>6мес17</vt:lpstr>
      <vt:lpstr>5мес17</vt:lpstr>
      <vt:lpstr>4мес17</vt:lpstr>
      <vt:lpstr>3мес17</vt:lpstr>
      <vt:lpstr>2мес 17</vt:lpstr>
      <vt:lpstr>1мес17</vt:lpstr>
      <vt:lpstr>4кв2016г</vt:lpstr>
      <vt:lpstr>3кв2016г</vt:lpstr>
      <vt:lpstr>2015</vt:lpstr>
      <vt:lpstr>2014</vt:lpstr>
      <vt:lpstr>нтм 2013 (2)</vt:lpstr>
      <vt:lpstr>нтм (2012)</vt:lpstr>
      <vt:lpstr>янв17</vt:lpstr>
      <vt:lpstr>декабрь</vt:lpstr>
      <vt:lpstr>ноябрь</vt:lpstr>
      <vt:lpstr>октябрь</vt:lpstr>
      <vt:lpstr>сентябрь</vt:lpstr>
      <vt:lpstr>август</vt:lpstr>
      <vt:lpstr>июль</vt:lpstr>
      <vt:lpstr>июнь</vt:lpstr>
      <vt:lpstr>май</vt:lpstr>
      <vt:lpstr>апрель</vt:lpstr>
      <vt:lpstr>март</vt:lpstr>
      <vt:lpstr>февраль</vt:lpstr>
      <vt:lpstr>январь</vt:lpstr>
      <vt:lpstr>Лист2</vt:lpstr>
      <vt:lpstr>Лист3</vt:lpstr>
      <vt:lpstr>'2016'!Область_печати</vt:lpstr>
      <vt:lpstr>'2017'!Область_печати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Пользователь Windows</cp:lastModifiedBy>
  <cp:lastPrinted>2018-02-05T08:32:05Z</cp:lastPrinted>
  <dcterms:created xsi:type="dcterms:W3CDTF">1996-10-08T23:32:33Z</dcterms:created>
  <dcterms:modified xsi:type="dcterms:W3CDTF">2019-05-28T09:58:55Z</dcterms:modified>
</cp:coreProperties>
</file>