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6" windowHeight="11697" firstSheet="6" activeTab="6"/>
  </bookViews>
  <sheets>
    <sheet name="readme" sheetId="1" r:id="rId1"/>
    <sheet name="Process" sheetId="2" r:id="rId2"/>
    <sheet name="Process-Commodity" sheetId="3" r:id="rId3"/>
    <sheet name="Process-Class" sheetId="4" r:id="rId4"/>
    <sheet name="Process-Biosphere" sheetId="5" r:id="rId5"/>
    <sheet name="Process-Exclusive" sheetId="6" r:id="rId6"/>
    <sheet name="Process-Manufacturing" sheetId="7" r:id="rId7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3" l="1"/>
  <c r="D107" i="3"/>
  <c r="H6" i="3"/>
  <c r="G6" i="3"/>
  <c r="U88" i="3"/>
  <c r="U101" i="3"/>
  <c r="U99" i="3"/>
  <c r="U72" i="3"/>
  <c r="U110" i="3" l="1"/>
  <c r="H61" i="3" l="1"/>
  <c r="H62" i="3"/>
  <c r="H63" i="3"/>
  <c r="H60" i="3"/>
  <c r="G61" i="3"/>
  <c r="G62" i="3"/>
  <c r="G63" i="3"/>
  <c r="G60" i="3"/>
  <c r="I116" i="3" l="1"/>
  <c r="H116" i="3"/>
  <c r="AC77" i="3" l="1"/>
  <c r="Z27" i="3" l="1"/>
  <c r="Z36" i="3"/>
  <c r="AC111" i="3"/>
  <c r="AC110" i="3"/>
  <c r="AC113" i="3"/>
  <c r="AC112" i="3"/>
  <c r="Y111" i="3"/>
  <c r="Y110" i="3"/>
  <c r="Y113" i="3"/>
  <c r="Y112" i="3"/>
  <c r="U113" i="3"/>
  <c r="Y27" i="3"/>
  <c r="Y36" i="3"/>
  <c r="U112" i="3"/>
  <c r="U111" i="3"/>
  <c r="AC88" i="3"/>
  <c r="Y78" i="3"/>
  <c r="Y77" i="3"/>
  <c r="U79" i="3"/>
  <c r="U83" i="3"/>
  <c r="AC83" i="3"/>
  <c r="AC98" i="3"/>
  <c r="AC99" i="3" s="1"/>
  <c r="Y99" i="3"/>
  <c r="U96" i="3"/>
  <c r="Y88" i="3"/>
  <c r="Y101" i="3" s="1"/>
  <c r="AC84" i="3"/>
  <c r="AC92" i="3"/>
  <c r="AC72" i="3"/>
  <c r="AC101" i="3" l="1"/>
  <c r="AC79" i="3"/>
  <c r="Y40" i="3"/>
  <c r="Y39" i="3"/>
  <c r="Y92" i="3"/>
  <c r="Y84" i="3"/>
  <c r="Y79" i="3"/>
  <c r="Y80" i="3" s="1"/>
  <c r="Y72" i="3"/>
  <c r="U92" i="3"/>
  <c r="U84" i="3"/>
  <c r="U77" i="3"/>
  <c r="Y35" i="3"/>
  <c r="Y34" i="3"/>
  <c r="X31" i="3"/>
  <c r="AC80" i="3" l="1"/>
  <c r="U85" i="3"/>
  <c r="U90" i="3" s="1"/>
  <c r="U80" i="3"/>
  <c r="U81" i="3" s="1"/>
  <c r="U93" i="3" s="1"/>
  <c r="Y81" i="3"/>
  <c r="Y93" i="3" s="1"/>
  <c r="Y83" i="3"/>
  <c r="U78" i="3"/>
  <c r="Z63" i="3"/>
  <c r="Z62" i="3" s="1"/>
  <c r="Z60" i="3"/>
  <c r="Y63" i="3"/>
  <c r="Z61" i="3"/>
  <c r="Y61" i="3"/>
  <c r="Y62" i="3"/>
  <c r="W58" i="3"/>
  <c r="M23" i="3"/>
  <c r="N29" i="3"/>
  <c r="M29" i="3"/>
  <c r="M21" i="3"/>
  <c r="W62" i="3"/>
  <c r="T61" i="3"/>
  <c r="T62" i="3" s="1"/>
  <c r="T63" i="3" s="1"/>
  <c r="Y60" i="3"/>
  <c r="X58" i="3"/>
  <c r="X36" i="3"/>
  <c r="X35" i="3"/>
  <c r="X33" i="3"/>
  <c r="W36" i="3"/>
  <c r="W35" i="3"/>
  <c r="W34" i="3"/>
  <c r="W33" i="3"/>
  <c r="AC96" i="3" l="1"/>
  <c r="AC85" i="3"/>
  <c r="AC90" i="3" s="1"/>
  <c r="AC78" i="3"/>
  <c r="AC81" i="3"/>
  <c r="AC93" i="3" s="1"/>
  <c r="Y85" i="3"/>
  <c r="Y90" i="3" s="1"/>
  <c r="Y96" i="3"/>
  <c r="W61" i="3"/>
  <c r="W63" i="3"/>
  <c r="X62" i="3"/>
  <c r="W60" i="3"/>
  <c r="X61" i="3" l="1"/>
  <c r="X60" i="3"/>
  <c r="X63" i="3"/>
  <c r="I37" i="3" l="1"/>
  <c r="N40" i="3" s="1"/>
  <c r="L40" i="3" s="1"/>
  <c r="I40" i="3"/>
  <c r="I41" i="3" s="1"/>
  <c r="M37" i="3"/>
  <c r="N41" i="3" l="1"/>
  <c r="L41" i="3" s="1"/>
  <c r="N39" i="3"/>
  <c r="O39" i="3" l="1"/>
  <c r="L39" i="3"/>
  <c r="O40" i="3"/>
  <c r="M40" i="3" s="1"/>
  <c r="Y11" i="3"/>
  <c r="M39" i="3" l="1"/>
  <c r="O41" i="3"/>
  <c r="M41" i="3" s="1"/>
  <c r="AD32" i="3"/>
  <c r="Y33" i="3"/>
  <c r="X6" i="3"/>
  <c r="T34" i="3"/>
  <c r="T35" i="3" s="1"/>
  <c r="T36" i="3" s="1"/>
  <c r="T37" i="3" s="1"/>
  <c r="Y42" i="3" l="1"/>
  <c r="Y37" i="3"/>
  <c r="Z33" i="3"/>
  <c r="Z34" i="3" s="1"/>
  <c r="X34" i="3" s="1"/>
  <c r="Y10" i="3"/>
  <c r="Y8" i="3"/>
  <c r="W37" i="3" l="1"/>
  <c r="R39" i="3" s="1"/>
  <c r="R32" i="3" s="1"/>
  <c r="Y41" i="3"/>
  <c r="Z35" i="3"/>
  <c r="Y9" i="3"/>
  <c r="W9" i="3" s="1"/>
  <c r="R35" i="3" l="1"/>
  <c r="R33" i="3"/>
  <c r="R37" i="3"/>
  <c r="R36" i="3"/>
  <c r="R34" i="3"/>
  <c r="Z37" i="3"/>
  <c r="X37" i="3" s="1"/>
  <c r="G16" i="5"/>
  <c r="G17" i="5"/>
  <c r="G18" i="5"/>
  <c r="G19" i="5"/>
  <c r="G15" i="5"/>
  <c r="N2" i="5"/>
  <c r="P37" i="3" l="1"/>
  <c r="BE37" i="3"/>
  <c r="BC37" i="3" s="1"/>
  <c r="BD37" i="3" s="1"/>
  <c r="BE45" i="3"/>
  <c r="AT26" i="3"/>
  <c r="AU29" i="3" s="1"/>
  <c r="BE44" i="3"/>
  <c r="BF45" i="3" s="1"/>
  <c r="BE39" i="3"/>
  <c r="BC39" i="3" s="1"/>
  <c r="BD39" i="3" s="1"/>
  <c r="BE41" i="3"/>
  <c r="BC38" i="3" s="1"/>
  <c r="BD38" i="3" s="1"/>
  <c r="BE40" i="3"/>
  <c r="BC40" i="3" s="1"/>
  <c r="BD40" i="3" s="1"/>
  <c r="AZ38" i="3"/>
  <c r="AZ39" i="3" s="1"/>
  <c r="AZ40" i="3" s="1"/>
  <c r="AZ41" i="3" s="1"/>
  <c r="AU34" i="3"/>
  <c r="AU35" i="3"/>
  <c r="AU36" i="3"/>
  <c r="AW36" i="3"/>
  <c r="AW35" i="3"/>
  <c r="AW34" i="3"/>
  <c r="AW33" i="3"/>
  <c r="AU33" i="3" s="1"/>
  <c r="AR33" i="3"/>
  <c r="AR34" i="3" s="1"/>
  <c r="AR35" i="3" s="1"/>
  <c r="AR36" i="3" s="1"/>
  <c r="AL26" i="3"/>
  <c r="AO41" i="3" s="1"/>
  <c r="AT27" i="3"/>
  <c r="AU30" i="3" s="1"/>
  <c r="AT16" i="3"/>
  <c r="AX8" i="3"/>
  <c r="AX7" i="3"/>
  <c r="AO43" i="3"/>
  <c r="AO45" i="3"/>
  <c r="AM45" i="3" s="1"/>
  <c r="AN45" i="3" s="1"/>
  <c r="AO44" i="3"/>
  <c r="AM44" i="3" s="1"/>
  <c r="AN44" i="3" s="1"/>
  <c r="AO42" i="3"/>
  <c r="AM42" i="3" s="1"/>
  <c r="AN42" i="3" s="1"/>
  <c r="AL27" i="3"/>
  <c r="AM39" i="3" s="1"/>
  <c r="AJ42" i="3"/>
  <c r="AJ43" i="3" s="1"/>
  <c r="AJ44" i="3" s="1"/>
  <c r="AJ45" i="3" s="1"/>
  <c r="AM34" i="3"/>
  <c r="AN34" i="3" s="1"/>
  <c r="AO35" i="3"/>
  <c r="AM35" i="3" s="1"/>
  <c r="AN35" i="3" s="1"/>
  <c r="AO36" i="3"/>
  <c r="AM36" i="3" s="1"/>
  <c r="AN36" i="3" s="1"/>
  <c r="AO34" i="3"/>
  <c r="AO33" i="3"/>
  <c r="AM33" i="3" s="1"/>
  <c r="AN33" i="3" s="1"/>
  <c r="AP8" i="3"/>
  <c r="AP7" i="3"/>
  <c r="AL28" i="3" s="1"/>
  <c r="AJ33" i="3"/>
  <c r="AJ34" i="3" s="1"/>
  <c r="AJ35" i="3" s="1"/>
  <c r="AJ36" i="3" s="1"/>
  <c r="B19" i="3"/>
  <c r="C19" i="3"/>
  <c r="D19" i="3"/>
  <c r="E19" i="3"/>
  <c r="B20" i="3"/>
  <c r="C20" i="3"/>
  <c r="D20" i="3"/>
  <c r="E20" i="3"/>
  <c r="B21" i="3"/>
  <c r="C21" i="3"/>
  <c r="D21" i="3"/>
  <c r="E21" i="3"/>
  <c r="B22" i="3"/>
  <c r="C22" i="3"/>
  <c r="D22" i="3"/>
  <c r="E22" i="3"/>
  <c r="AE43" i="3"/>
  <c r="AF43" i="3" s="1"/>
  <c r="AG46" i="3"/>
  <c r="AE46" i="3" s="1"/>
  <c r="AF46" i="3" s="1"/>
  <c r="AG43" i="3"/>
  <c r="AD30" i="3"/>
  <c r="AD33" i="3" s="1"/>
  <c r="AD34" i="3" s="1"/>
  <c r="AD35" i="3" s="1"/>
  <c r="AD36" i="3" s="1"/>
  <c r="AG45" i="3" s="1"/>
  <c r="AD29" i="3"/>
  <c r="AG42" i="3" s="1"/>
  <c r="AE42" i="3" s="1"/>
  <c r="AF42" i="3" s="1"/>
  <c r="AD28" i="3"/>
  <c r="AD27" i="3"/>
  <c r="AD16" i="3"/>
  <c r="AB43" i="3"/>
  <c r="AB44" i="3" s="1"/>
  <c r="AB45" i="3" s="1"/>
  <c r="AB46" i="3" s="1"/>
  <c r="AV30" i="3" l="1"/>
  <c r="AW32" i="3"/>
  <c r="AU32" i="3" s="1"/>
  <c r="AD31" i="3"/>
  <c r="AG44" i="3"/>
  <c r="AE44" i="3" s="1"/>
  <c r="AF44" i="3" s="1"/>
  <c r="BC41" i="3"/>
  <c r="BD41" i="3" s="1"/>
  <c r="AM41" i="3"/>
  <c r="AN41" i="3" s="1"/>
  <c r="AM43" i="3"/>
  <c r="AN43" i="3" s="1"/>
  <c r="AM30" i="3"/>
  <c r="AM38" i="3"/>
  <c r="AN39" i="3" s="1"/>
  <c r="AM28" i="3"/>
  <c r="AN29" i="3" s="1"/>
  <c r="AO32" i="3"/>
  <c r="AM32" i="3" s="1"/>
  <c r="AN32" i="3" s="1"/>
  <c r="AE45" i="3"/>
  <c r="AF45" i="3" s="1"/>
  <c r="Z24" i="3"/>
  <c r="Z25" i="3" s="1"/>
  <c r="T25" i="3"/>
  <c r="T26" i="3" s="1"/>
  <c r="T27" i="3" s="1"/>
  <c r="Y26" i="3"/>
  <c r="W26" i="3" s="1"/>
  <c r="Y24" i="3"/>
  <c r="X22" i="3"/>
  <c r="Y25" i="3" s="1"/>
  <c r="Y19" i="3"/>
  <c r="Y18" i="3"/>
  <c r="T17" i="3"/>
  <c r="T18" i="3" s="1"/>
  <c r="T19" i="3" s="1"/>
  <c r="Y16" i="3"/>
  <c r="X14" i="3"/>
  <c r="Y17" i="3" s="1"/>
  <c r="T9" i="3"/>
  <c r="T10" i="3" s="1"/>
  <c r="T11" i="3" s="1"/>
  <c r="O5" i="3"/>
  <c r="O2" i="3"/>
  <c r="O11" i="3"/>
  <c r="O6" i="3"/>
  <c r="O7" i="3"/>
  <c r="O9" i="3"/>
  <c r="W10" i="3"/>
  <c r="J5" i="3"/>
  <c r="J11" i="3" s="1"/>
  <c r="Z8" i="3"/>
  <c r="Z11" i="3" s="1"/>
  <c r="W17" i="3" l="1"/>
  <c r="Z10" i="3"/>
  <c r="X10" i="3" s="1"/>
  <c r="X11" i="3"/>
  <c r="W19" i="3"/>
  <c r="W16" i="3"/>
  <c r="W18" i="3"/>
  <c r="W11" i="3"/>
  <c r="W24" i="3"/>
  <c r="W27" i="3"/>
  <c r="W25" i="3"/>
  <c r="W8" i="3"/>
  <c r="Z26" i="3"/>
  <c r="Z16" i="3"/>
  <c r="Z19" i="3" s="1"/>
  <c r="Z9" i="3"/>
  <c r="X9" i="3" s="1"/>
  <c r="N3" i="5"/>
  <c r="L3" i="5"/>
  <c r="L4" i="5"/>
  <c r="N4" i="5" s="1"/>
  <c r="L5" i="5"/>
  <c r="N5" i="5" s="1"/>
  <c r="L6" i="5"/>
  <c r="L7" i="5"/>
  <c r="L2" i="5"/>
  <c r="X8" i="3" l="1"/>
  <c r="X26" i="3"/>
  <c r="X24" i="3"/>
  <c r="X25" i="3"/>
  <c r="X27" i="3"/>
  <c r="Z17" i="3"/>
  <c r="Z18" i="3"/>
  <c r="X18" i="3" s="1"/>
  <c r="X19" i="3" l="1"/>
  <c r="X17" i="3"/>
  <c r="X16" i="3"/>
  <c r="J27" i="3"/>
  <c r="N27" i="3" s="1"/>
  <c r="Q21" i="3"/>
  <c r="Q20" i="3" s="1"/>
  <c r="N21" i="3"/>
  <c r="I21" i="3"/>
  <c r="J21" i="3"/>
  <c r="K21" i="3"/>
  <c r="I22" i="3"/>
  <c r="J22" i="3"/>
  <c r="I23" i="3"/>
  <c r="J23" i="3"/>
  <c r="N23" i="3" s="1"/>
  <c r="K23" i="3"/>
  <c r="I24" i="3"/>
  <c r="J24" i="3"/>
  <c r="K24" i="3"/>
  <c r="I25" i="3"/>
  <c r="K25" i="3"/>
  <c r="I26" i="3"/>
  <c r="J26" i="3"/>
  <c r="I27" i="3"/>
  <c r="K27" i="3"/>
  <c r="I28" i="3"/>
  <c r="J28" i="3"/>
  <c r="K28" i="3"/>
  <c r="I29" i="3"/>
  <c r="J29" i="3"/>
  <c r="K29" i="3"/>
  <c r="P14" i="3"/>
  <c r="O16" i="3"/>
  <c r="P16" i="3" s="1"/>
  <c r="M11" i="3"/>
  <c r="J6" i="3"/>
  <c r="J7" i="3" s="1"/>
  <c r="J9" i="3" s="1"/>
  <c r="R21" i="3" l="1"/>
  <c r="M27" i="3"/>
  <c r="J25" i="3"/>
  <c r="P3" i="3"/>
  <c r="M14" i="3"/>
  <c r="J16" i="3"/>
  <c r="M16" i="3" s="1"/>
  <c r="M3" i="3"/>
  <c r="M9" i="3"/>
  <c r="Q23" i="3" l="1"/>
  <c r="R23" i="3" s="1"/>
  <c r="P5" i="3"/>
  <c r="M5" i="3"/>
  <c r="P9" i="3" l="1"/>
  <c r="Q27" i="3"/>
  <c r="R27" i="3" s="1"/>
  <c r="P11" i="3"/>
  <c r="Q29" i="3"/>
  <c r="R29" i="3" s="1"/>
</calcChain>
</file>

<file path=xl/comments1.xml><?xml version="1.0" encoding="utf-8"?>
<comments xmlns="http://schemas.openxmlformats.org/spreadsheetml/2006/main">
  <authors>
    <author>Author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kg/h compound per kW heat; to be then multiplied by p2e = 24h, to get actual daily emissions
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simple rule: 10% at min-load
</t>
        </r>
      </text>
    </comment>
  </commentList>
</comments>
</file>

<file path=xl/sharedStrings.xml><?xml version="1.0" encoding="utf-8"?>
<sst xmlns="http://schemas.openxmlformats.org/spreadsheetml/2006/main" count="1606" uniqueCount="340">
  <si>
    <t>Contains a list of plants, in farm_ficus format</t>
  </si>
  <si>
    <t>Process</t>
  </si>
  <si>
    <t>Num</t>
  </si>
  <si>
    <t>class</t>
  </si>
  <si>
    <t>cost-inv</t>
  </si>
  <si>
    <t>cost-fix</t>
  </si>
  <si>
    <t>cost-var</t>
  </si>
  <si>
    <t>cap-installed</t>
  </si>
  <si>
    <t>cap-new-min</t>
  </si>
  <si>
    <t>cap-new-max</t>
  </si>
  <si>
    <t>partload-min</t>
  </si>
  <si>
    <t>start-up-energy</t>
  </si>
  <si>
    <t>initial-power</t>
  </si>
  <si>
    <t>depreciation</t>
  </si>
  <si>
    <t>wacc</t>
  </si>
  <si>
    <t>pyr</t>
  </si>
  <si>
    <t>ht</t>
  </si>
  <si>
    <t>hp</t>
  </si>
  <si>
    <t>pv</t>
  </si>
  <si>
    <t>PV</t>
  </si>
  <si>
    <t>el. heater</t>
  </si>
  <si>
    <t>Commodity</t>
  </si>
  <si>
    <t>Direction</t>
  </si>
  <si>
    <t>ratio</t>
  </si>
  <si>
    <t>ratio-partload</t>
  </si>
  <si>
    <t>In</t>
  </si>
  <si>
    <t>heat</t>
  </si>
  <si>
    <t>Out</t>
  </si>
  <si>
    <t>elec</t>
  </si>
  <si>
    <t>solar</t>
  </si>
  <si>
    <t>biochar</t>
  </si>
  <si>
    <t>Class</t>
  </si>
  <si>
    <t>fee</t>
  </si>
  <si>
    <t>cap-max</t>
  </si>
  <si>
    <t>energy-max</t>
  </si>
  <si>
    <t>inf</t>
  </si>
  <si>
    <t>pellets</t>
  </si>
  <si>
    <t>How to calculate ratios:</t>
  </si>
  <si>
    <t>energy eff</t>
  </si>
  <si>
    <t>kW pellets</t>
  </si>
  <si>
    <t>LHV pellets</t>
  </si>
  <si>
    <t>kWh/kg</t>
  </si>
  <si>
    <t>biochar yield</t>
  </si>
  <si>
    <t>kg/h biochar</t>
  </si>
  <si>
    <t>kg/h pellets</t>
  </si>
  <si>
    <t>kW heat output</t>
  </si>
  <si>
    <t>kW heat</t>
  </si>
  <si>
    <t>COP</t>
  </si>
  <si>
    <t>kW el</t>
  </si>
  <si>
    <t>elec drift</t>
  </si>
  <si>
    <t>kW fuel</t>
  </si>
  <si>
    <t>pyr-el</t>
  </si>
  <si>
    <t>pyrolysis plant with buffer tanks and electrical boosters</t>
  </si>
  <si>
    <t>one kW of final heat = 75% heat pyro + 25% heat el</t>
  </si>
  <si>
    <t>Linked pyr</t>
  </si>
  <si>
    <t>comb</t>
  </si>
  <si>
    <t>Biosphere_name</t>
  </si>
  <si>
    <t>Biosphere_key</t>
  </si>
  <si>
    <t>unit</t>
  </si>
  <si>
    <t>kg/h</t>
  </si>
  <si>
    <t>CO-emission</t>
  </si>
  <si>
    <t>NOx-emission (som NO2)</t>
  </si>
  <si>
    <t>TOC-emission (som kol)</t>
  </si>
  <si>
    <t>Stoftemission</t>
  </si>
  <si>
    <t>Biomass</t>
  </si>
  <si>
    <t>kg OS/h</t>
  </si>
  <si>
    <t>pyr15</t>
  </si>
  <si>
    <t>key</t>
  </si>
  <si>
    <t>('biosphere3', '349b29d1-3e58-4c66-98b9-9d1a076efd2e')</t>
  </si>
  <si>
    <t>name</t>
  </si>
  <si>
    <t>Carbon dioxide, fossil, air</t>
  </si>
  <si>
    <t>categories</t>
  </si>
  <si>
    <t>type</t>
  </si>
  <si>
    <t>Dinitrogen monoxide</t>
  </si>
  <si>
    <t>('air', 'urban air close to ground')</t>
  </si>
  <si>
    <t>emission</t>
  </si>
  <si>
    <t>kilogram</t>
  </si>
  <si>
    <t>('biosphere3', '6dc1b46f-ee89-4495-95c4-b8a637bcd6cb')</t>
  </si>
  <si>
    <t>NMVOC, non-methane volatile organic compounds, unspecified origin</t>
  </si>
  <si>
    <t>('biosphere3', '175baa64-d985-4c5e-84ef-67cc3a1cf952')</t>
  </si>
  <si>
    <t>Sulfur dioxide</t>
  </si>
  <si>
    <t>('biosphere3', '8c52f40c-69b7-4538-8923-b371523c71f5')</t>
  </si>
  <si>
    <t>Carbon monoxide, non-fossil</t>
  </si>
  <si>
    <t>('biosphere3', '9afa0173-ecbd-4f2c-9c5c-b3128a032812')</t>
  </si>
  <si>
    <t>Particulates, &lt; 2.5 um</t>
  </si>
  <si>
    <t>('biosphere3', '230d8a0a-517c-43fe-8357-1818dd12997a')</t>
  </si>
  <si>
    <t>Nitrogen oxides</t>
  </si>
  <si>
    <t>('biosphere3', 'd068f3e2-b033-417b-a359-ca4f25da9731')</t>
  </si>
  <si>
    <t>District heating</t>
  </si>
  <si>
    <t>kWh/h</t>
  </si>
  <si>
    <t>kg/h/kW heat</t>
  </si>
  <si>
    <t>Pyreg500, SBP, 2018, full load test</t>
  </si>
  <si>
    <t>VOC</t>
  </si>
  <si>
    <t>Particulates</t>
  </si>
  <si>
    <t>if it would be a biomass boiler (producing 2x more heat) (same ratio as in Process-Commodity</t>
  </si>
  <si>
    <t>Part-load factor</t>
  </si>
  <si>
    <t>higher emission</t>
  </si>
  <si>
    <t>BioMaCon</t>
  </si>
  <si>
    <t>pyrBMC60</t>
  </si>
  <si>
    <t>energy</t>
  </si>
  <si>
    <t>capacity</t>
  </si>
  <si>
    <t>LHV_fuel</t>
  </si>
  <si>
    <t>min-load</t>
  </si>
  <si>
    <t>energy-low</t>
  </si>
  <si>
    <t>kW-partload</t>
  </si>
  <si>
    <t>kW-full</t>
  </si>
  <si>
    <t>pyrBMC160</t>
  </si>
  <si>
    <t>pyrBMC250</t>
  </si>
  <si>
    <t>Data source: Pamoja report for NSR, biochar decontamination project</t>
  </si>
  <si>
    <t>Capacity</t>
  </si>
  <si>
    <t>Biomass throughput</t>
  </si>
  <si>
    <t>Biochar output</t>
  </si>
  <si>
    <t>Heat/Pyrolysis gas</t>
  </si>
  <si>
    <t>Pyrolysis oil</t>
  </si>
  <si>
    <t>Auxiliaries</t>
  </si>
  <si>
    <t>Electricity</t>
  </si>
  <si>
    <t>kW</t>
  </si>
  <si>
    <t>estimate</t>
  </si>
  <si>
    <t>Quenching water</t>
  </si>
  <si>
    <t>-</t>
  </si>
  <si>
    <t>Size</t>
  </si>
  <si>
    <t>Overall footprint</t>
  </si>
  <si>
    <t>m2</t>
  </si>
  <si>
    <t>Particle size required</t>
  </si>
  <si>
    <t>Woodchips, pellets, husk, nut shells</t>
  </si>
  <si>
    <t>Nr of references</t>
  </si>
  <si>
    <t>ca 40 systems</t>
  </si>
  <si>
    <t>Indicative CAPEX</t>
  </si>
  <si>
    <t>EUR</t>
  </si>
  <si>
    <t>t/h</t>
  </si>
  <si>
    <t>woodchips, MC &lt; 10%</t>
  </si>
  <si>
    <t>dry mass, wood</t>
  </si>
  <si>
    <t>yes</t>
  </si>
  <si>
    <t>Assumptions</t>
  </si>
  <si>
    <t>Yearly uptime</t>
  </si>
  <si>
    <t>h</t>
  </si>
  <si>
    <t>t/y</t>
  </si>
  <si>
    <t>Biomass LHV</t>
  </si>
  <si>
    <t>t dry/h</t>
  </si>
  <si>
    <t>t dry/y</t>
  </si>
  <si>
    <t>BioGreen3700</t>
  </si>
  <si>
    <t>woodchips</t>
  </si>
  <si>
    <t>oil</t>
  </si>
  <si>
    <t>Biochar ratio is given in kg/kW heat</t>
  </si>
  <si>
    <t>Biochar LHV</t>
  </si>
  <si>
    <t>Energy balance</t>
  </si>
  <si>
    <t>kWh/kg, dry</t>
  </si>
  <si>
    <t>with 5 % losses</t>
  </si>
  <si>
    <t>&gt;&gt; don't forget electricity input</t>
  </si>
  <si>
    <t>&gt;&gt; oil energy content at the pyrolysis temperature, needs to be cooled down and condensed</t>
  </si>
  <si>
    <t>Oil energy content, highT and gas phase</t>
  </si>
  <si>
    <t>with 10% for condensation and cooling</t>
  </si>
  <si>
    <t>Clean Fuels, Netherlands</t>
  </si>
  <si>
    <t>wood, MC 35%</t>
  </si>
  <si>
    <t>MC 5%</t>
  </si>
  <si>
    <t>Logs, briquettes</t>
  </si>
  <si>
    <t>10-100 systems</t>
  </si>
  <si>
    <t>Batch system in mobiles vessels</t>
  </si>
  <si>
    <t>CleanFuels</t>
  </si>
  <si>
    <t>kWh/kg dry</t>
  </si>
  <si>
    <t>Energy balance, verif</t>
  </si>
  <si>
    <t>excess</t>
  </si>
  <si>
    <t>Corrections</t>
  </si>
  <si>
    <t>Half the heat+oil</t>
  </si>
  <si>
    <t>does not match, if biomass given wet</t>
  </si>
  <si>
    <t>CleanFuels2800</t>
  </si>
  <si>
    <t>Pyreg1500, Germany</t>
  </si>
  <si>
    <t>BioGreen, France</t>
  </si>
  <si>
    <t>MC</t>
  </si>
  <si>
    <t>in</t>
  </si>
  <si>
    <t>out</t>
  </si>
  <si>
    <t>Energy balance, bis</t>
  </si>
  <si>
    <t>Pyreg1500</t>
  </si>
  <si>
    <t>Pyreg500, Germany</t>
  </si>
  <si>
    <t>Stockholm biochar project - Pyreg500</t>
  </si>
  <si>
    <t>Process data, per hour, at full capacity</t>
  </si>
  <si>
    <t>kg DS/h</t>
  </si>
  <si>
    <t>kW (LHV)</t>
  </si>
  <si>
    <t>%</t>
  </si>
  <si>
    <t>kg C/h</t>
  </si>
  <si>
    <t>INPUTS</t>
  </si>
  <si>
    <t>Combustion air</t>
  </si>
  <si>
    <t>OUTPUTS</t>
  </si>
  <si>
    <t>Biochar</t>
  </si>
  <si>
    <t>Flue gas</t>
  </si>
  <si>
    <t>Energy losses</t>
  </si>
  <si>
    <t>YIELDS</t>
  </si>
  <si>
    <t>Biochar yield</t>
  </si>
  <si>
    <t>District heating yield</t>
  </si>
  <si>
    <t>Annotations</t>
  </si>
  <si>
    <t>kg OS/h = wet</t>
  </si>
  <si>
    <t>kg DS/h = dry</t>
  </si>
  <si>
    <t>LHV = lower heating value</t>
  </si>
  <si>
    <t>kg C/h = kg of carbon from the biomass</t>
  </si>
  <si>
    <t>Moisture content is 39%</t>
  </si>
  <si>
    <t>OTHER INPUTS</t>
  </si>
  <si>
    <t>Electricity consumption</t>
  </si>
  <si>
    <t>of biomass LHV</t>
  </si>
  <si>
    <t>LPG start-up fuel</t>
  </si>
  <si>
    <t>kWh of LPG/h, assuming one start-up per week</t>
  </si>
  <si>
    <t>FLUE GAS EMISSIONS</t>
  </si>
  <si>
    <t>mg/m³ntg, at 10 vol% O2</t>
  </si>
  <si>
    <t>Pyreg500</t>
  </si>
  <si>
    <t>assumed</t>
  </si>
  <si>
    <t>BioGreen60</t>
  </si>
  <si>
    <t>min-use</t>
  </si>
  <si>
    <t>Process1</t>
  </si>
  <si>
    <t>Num1</t>
  </si>
  <si>
    <t>Process2</t>
  </si>
  <si>
    <t>Num2</t>
  </si>
  <si>
    <t>Exclusion</t>
  </si>
  <si>
    <t>loss</t>
  </si>
  <si>
    <t>Carl, 2018, yield 35%</t>
  </si>
  <si>
    <t>Carl, 2019, yield though 25%, now think 20%</t>
  </si>
  <si>
    <t>heat_gh</t>
  </si>
  <si>
    <t>heat_converter</t>
  </si>
  <si>
    <t>Energy balance of biomacon at Lindeborgs:</t>
  </si>
  <si>
    <t>What I know:</t>
  </si>
  <si>
    <t>energy balance</t>
  </si>
  <si>
    <t>efficiency</t>
  </si>
  <si>
    <t>pyrBMC60t</t>
  </si>
  <si>
    <t>heat_pyr</t>
  </si>
  <si>
    <t>heat_wst</t>
  </si>
  <si>
    <t>conv_pyr_ghg</t>
  </si>
  <si>
    <t>conv_pyr_heat</t>
  </si>
  <si>
    <t>conv_wst_ghg</t>
  </si>
  <si>
    <t>heat_ghg</t>
  </si>
  <si>
    <t>ht_pyr</t>
  </si>
  <si>
    <t>conv_ghg</t>
  </si>
  <si>
    <t>conv_pyr</t>
  </si>
  <si>
    <t>50 kW  "heat", BioMacon.com</t>
  </si>
  <si>
    <t>3 kWh/h of electricity, screws etc, Skype with Ully &gt;&gt; adjust %elec to get kW full load = to 3</t>
  </si>
  <si>
    <t>Min-load, recommended 50%, could go to 30%, below not recommended</t>
  </si>
  <si>
    <t>4,5 kg/h biochar at full capacity?</t>
  </si>
  <si>
    <t>pyrBMC50t</t>
  </si>
  <si>
    <t>pyrBMC50t_wh</t>
  </si>
  <si>
    <t>pyrBMC30t</t>
  </si>
  <si>
    <t>pyrBMC70t</t>
  </si>
  <si>
    <t>Comb</t>
  </si>
  <si>
    <t>capacity_in</t>
  </si>
  <si>
    <t>pyrBMC50t_el</t>
  </si>
  <si>
    <t>elec_boost</t>
  </si>
  <si>
    <t>process PL heat power is 33</t>
  </si>
  <si>
    <t xml:space="preserve">process heat power is more than 50! </t>
  </si>
  <si>
    <t>dry feedstock, 9% moisture, pellets</t>
  </si>
  <si>
    <t>LHV_dry</t>
  </si>
  <si>
    <t>MJ/kg</t>
  </si>
  <si>
    <t>moisture</t>
  </si>
  <si>
    <t>LVH_ar</t>
  </si>
  <si>
    <t>energy_yield</t>
  </si>
  <si>
    <t>biochar_yield</t>
  </si>
  <si>
    <t>LVH_dry</t>
  </si>
  <si>
    <t>dry_mass</t>
  </si>
  <si>
    <t>heat_output</t>
  </si>
  <si>
    <t>biomass_input</t>
  </si>
  <si>
    <t>kW, LHV dry</t>
  </si>
  <si>
    <t>kg/h dry</t>
  </si>
  <si>
    <t>kg/h ar</t>
  </si>
  <si>
    <t>water_input</t>
  </si>
  <si>
    <t>kW, LHV ar</t>
  </si>
  <si>
    <t>biochar_output</t>
  </si>
  <si>
    <t>kg/h, dry</t>
  </si>
  <si>
    <t>LHV_dry, biochar</t>
  </si>
  <si>
    <t>kWh/kg, LHV dry</t>
  </si>
  <si>
    <t>losses</t>
  </si>
  <si>
    <t>min moisture loss</t>
  </si>
  <si>
    <t>kW, if no FGC</t>
  </si>
  <si>
    <t>water_evap</t>
  </si>
  <si>
    <t>kWh/kg water</t>
  </si>
  <si>
    <t>wet feedstock, 40% moisture, wood</t>
  </si>
  <si>
    <t>losses of LHV</t>
  </si>
  <si>
    <t>HHV losses</t>
  </si>
  <si>
    <t>heat per biochar</t>
  </si>
  <si>
    <t>kWh heat / kg biochar</t>
  </si>
  <si>
    <t>wet feedstock, 40% moisture, corn-silage</t>
  </si>
  <si>
    <t>biochar C content</t>
  </si>
  <si>
    <t>biochar stability</t>
  </si>
  <si>
    <t>biochar seq</t>
  </si>
  <si>
    <t>db</t>
  </si>
  <si>
    <t>kg CO2-eq/h</t>
  </si>
  <si>
    <t>LCI</t>
  </si>
  <si>
    <t>g CO2-eq/ kg dry</t>
  </si>
  <si>
    <t>kg CO2-eq/hour, at full capac</t>
  </si>
  <si>
    <t>Net CC</t>
  </si>
  <si>
    <t>Here: alternative fate: nothing</t>
  </si>
  <si>
    <t>There: alternative fate: avoided field decay</t>
  </si>
  <si>
    <t>&lt;&lt;&lt;&lt; not consistent  &gt;&gt;&gt;&gt;</t>
  </si>
  <si>
    <t>Question:</t>
  </si>
  <si>
    <t>Least energy efficient, better climate impact…</t>
  </si>
  <si>
    <t>Highest energy efficiency, worst climate impact</t>
  </si>
  <si>
    <t>Assumption of energy efficiency based on P1-pyro model; about 10% point lower, as ODG &gt;&gt; flue gas composition effect</t>
  </si>
  <si>
    <t>Stocks available…</t>
  </si>
  <si>
    <t>unlimited</t>
  </si>
  <si>
    <t>limited</t>
  </si>
  <si>
    <t>pyrBMC50t_b2</t>
  </si>
  <si>
    <t>pyrBMC50t_b3</t>
  </si>
  <si>
    <t>pyrBMC50t_b4</t>
  </si>
  <si>
    <t>pyrBMC50t_b5</t>
  </si>
  <si>
    <t>ratios calculations, full load</t>
  </si>
  <si>
    <t>ratios calculations, part load</t>
  </si>
  <si>
    <t>take same as full load</t>
  </si>
  <si>
    <t>pyrBMC50t_b1</t>
  </si>
  <si>
    <t>ghg</t>
  </si>
  <si>
    <t>grain</t>
  </si>
  <si>
    <t>MWh</t>
  </si>
  <si>
    <t>t/MW/h</t>
  </si>
  <si>
    <t>full load</t>
  </si>
  <si>
    <t>part load</t>
  </si>
  <si>
    <t>big difference just because of load: 700 kg</t>
  </si>
  <si>
    <t>not enough to explain increase, means than pyro was turned on because of ghg</t>
  </si>
  <si>
    <t>at full load, energy efficiency of plant assumed higher, thus less biochar per unit of heat</t>
  </si>
  <si>
    <t>effect 1</t>
  </si>
  <si>
    <t>effect 2</t>
  </si>
  <si>
    <t>the additional ghg demand, on top of space heating entails both: overshoot in winter peaks &amp; prevents a stop during a hot winter week</t>
  </si>
  <si>
    <t>C1</t>
  </si>
  <si>
    <t>C2</t>
  </si>
  <si>
    <t>C3</t>
  </si>
  <si>
    <t>C4</t>
  </si>
  <si>
    <t>C5</t>
  </si>
  <si>
    <t>wood pellet</t>
  </si>
  <si>
    <t>willow SLU</t>
  </si>
  <si>
    <t>willow ecoinvent</t>
  </si>
  <si>
    <t>corn-silage waste</t>
  </si>
  <si>
    <t>gshp30</t>
  </si>
  <si>
    <t>Activity_Name</t>
  </si>
  <si>
    <t>Activity_Key</t>
  </si>
  <si>
    <t>Amount</t>
  </si>
  <si>
    <t>Comment</t>
  </si>
  <si>
    <t>('ecoinvent 3.5 cutoff', 'e16c97aa0596bc2ed3f5472fec0e43a9')</t>
  </si>
  <si>
    <t>lifetime</t>
  </si>
  <si>
    <t>furnace production, pellet, 50kW, CH</t>
  </si>
  <si>
    <t>('ecoinvent 3.5 cutoff', 'bc1ed1c554e8101a767ef6e505227a0b')</t>
  </si>
  <si>
    <t>heat pump production, brine-water, 10kW, CH</t>
  </si>
  <si>
    <t>['heat pump production, brine-water, 10kW, CH', 'borehole heat exchanger production, 150m CH']</t>
  </si>
  <si>
    <t>[ ('ecoinvent 3.5 cutoff', 'bc1ed1c554e8101a767ef6e505227a0b'), ('ecoinvent 3.5 cutoff', 'e65ea9034268ee4d2842baa289f65b7e') ]</t>
  </si>
  <si>
    <t>[3, 0.8]</t>
  </si>
  <si>
    <t>1.6</t>
  </si>
  <si>
    <t>0.6</t>
  </si>
  <si>
    <t>1.4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</si>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</sst>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0.0"/>
    <numFmt numFmtId="165" formatCode="0.000"/>
    <numFmt numFmtId="166" formatCode="0.0000E+00"/>
    <numFmt numFmtId="167" formatCode="0.0000000E+00"/>
    <numFmt numFmtId="168" formatCode="0.0%"/>
    <numFmt numFmtId="169" formatCode="0.00000"/>
    <numFmt numFmtId="170" formatCode="0.00000000"/>
    <numFmt numFmtId="171" formatCode="0.000000"/>
    <numFmt numFmtId="172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 Unicode MS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2" fontId="0" fillId="5" borderId="0" xfId="0" applyNumberFormat="1" applyFill="1"/>
    <xf numFmtId="0" fontId="0" fillId="4" borderId="0" xfId="0" applyFill="1" applyBorder="1"/>
    <xf numFmtId="2" fontId="0" fillId="5" borderId="0" xfId="0" applyNumberFormat="1" applyFill="1" applyBorder="1"/>
    <xf numFmtId="0" fontId="0" fillId="4" borderId="1" xfId="0" applyFill="1" applyBorder="1"/>
    <xf numFmtId="2" fontId="0" fillId="5" borderId="1" xfId="0" applyNumberFormat="1" applyFill="1" applyBorder="1"/>
    <xf numFmtId="0" fontId="0" fillId="4" borderId="2" xfId="0" applyFill="1" applyBorder="1"/>
    <xf numFmtId="2" fontId="0" fillId="5" borderId="2" xfId="0" applyNumberFormat="1" applyFill="1" applyBorder="1"/>
    <xf numFmtId="0" fontId="0" fillId="2" borderId="1" xfId="0" applyFill="1" applyBorder="1"/>
    <xf numFmtId="2" fontId="0" fillId="3" borderId="1" xfId="0" applyNumberFormat="1" applyFill="1" applyBorder="1"/>
    <xf numFmtId="0" fontId="0" fillId="3" borderId="1" xfId="0" applyFill="1" applyBorder="1"/>
    <xf numFmtId="2" fontId="0" fillId="0" borderId="0" xfId="0" applyNumberFormat="1"/>
    <xf numFmtId="1" fontId="0" fillId="0" borderId="0" xfId="0" applyNumberFormat="1"/>
    <xf numFmtId="0" fontId="0" fillId="6" borderId="0" xfId="0" applyFill="1"/>
    <xf numFmtId="9" fontId="0" fillId="6" borderId="0" xfId="0" applyNumberFormat="1" applyFill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6" borderId="5" xfId="0" applyFill="1" applyBorder="1"/>
    <xf numFmtId="9" fontId="0" fillId="6" borderId="0" xfId="0" applyNumberFormat="1" applyFill="1" applyBorder="1"/>
    <xf numFmtId="0" fontId="0" fillId="0" borderId="6" xfId="0" applyBorder="1"/>
    <xf numFmtId="0" fontId="0" fillId="0" borderId="5" xfId="0" applyBorder="1"/>
    <xf numFmtId="1" fontId="0" fillId="0" borderId="0" xfId="0" applyNumberFormat="1" applyBorder="1"/>
    <xf numFmtId="0" fontId="0" fillId="6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7" borderId="0" xfId="0" applyFill="1"/>
    <xf numFmtId="0" fontId="0" fillId="2" borderId="0" xfId="0" applyFill="1" applyBorder="1"/>
    <xf numFmtId="1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2" fontId="0" fillId="3" borderId="0" xfId="0" applyNumberFormat="1" applyFill="1" applyBorder="1"/>
    <xf numFmtId="0" fontId="0" fillId="3" borderId="0" xfId="0" applyFill="1" applyBorder="1"/>
    <xf numFmtId="0" fontId="0" fillId="2" borderId="0" xfId="0" applyFont="1" applyFill="1" applyAlignment="1">
      <alignment horizontal="left"/>
    </xf>
    <xf numFmtId="0" fontId="1" fillId="0" borderId="0" xfId="0" applyFont="1"/>
    <xf numFmtId="11" fontId="0" fillId="5" borderId="2" xfId="0" applyNumberFormat="1" applyFill="1" applyBorder="1"/>
    <xf numFmtId="11" fontId="0" fillId="5" borderId="0" xfId="0" applyNumberFormat="1" applyFill="1" applyBorder="1"/>
    <xf numFmtId="11" fontId="0" fillId="5" borderId="1" xfId="0" applyNumberFormat="1" applyFill="1" applyBorder="1"/>
    <xf numFmtId="165" fontId="0" fillId="0" borderId="0" xfId="0" applyNumberFormat="1"/>
    <xf numFmtId="9" fontId="0" fillId="0" borderId="0" xfId="0" applyNumberFormat="1"/>
    <xf numFmtId="167" fontId="0" fillId="5" borderId="0" xfId="0" applyNumberFormat="1" applyFill="1" applyBorder="1"/>
    <xf numFmtId="166" fontId="0" fillId="0" borderId="0" xfId="0" applyNumberFormat="1"/>
    <xf numFmtId="164" fontId="0" fillId="0" borderId="0" xfId="0" applyNumberFormat="1"/>
    <xf numFmtId="168" fontId="0" fillId="6" borderId="0" xfId="0" applyNumberFormat="1" applyFill="1"/>
    <xf numFmtId="164" fontId="0" fillId="8" borderId="0" xfId="0" applyNumberFormat="1" applyFill="1"/>
    <xf numFmtId="0" fontId="0" fillId="0" borderId="0" xfId="0" applyFill="1"/>
    <xf numFmtId="0" fontId="0" fillId="9" borderId="0" xfId="0" applyFill="1"/>
    <xf numFmtId="11" fontId="0" fillId="9" borderId="0" xfId="0" applyNumberFormat="1" applyFill="1"/>
    <xf numFmtId="0" fontId="0" fillId="9" borderId="0" xfId="0" applyFill="1" applyAlignment="1">
      <alignment horizontal="right"/>
    </xf>
    <xf numFmtId="9" fontId="0" fillId="9" borderId="0" xfId="0" applyNumberFormat="1" applyFill="1"/>
    <xf numFmtId="0" fontId="0" fillId="5" borderId="0" xfId="0" applyFill="1" applyAlignment="1">
      <alignment horizontal="right"/>
    </xf>
    <xf numFmtId="0" fontId="0" fillId="10" borderId="0" xfId="0" applyFill="1"/>
    <xf numFmtId="0" fontId="0" fillId="10" borderId="0" xfId="0" applyFill="1" applyAlignment="1">
      <alignment horizontal="right"/>
    </xf>
    <xf numFmtId="164" fontId="0" fillId="0" borderId="0" xfId="0" applyNumberFormat="1" applyFill="1"/>
    <xf numFmtId="164" fontId="0" fillId="5" borderId="0" xfId="0" applyNumberFormat="1" applyFill="1"/>
    <xf numFmtId="164" fontId="0" fillId="5" borderId="2" xfId="0" applyNumberFormat="1" applyFill="1" applyBorder="1"/>
    <xf numFmtId="164" fontId="0" fillId="5" borderId="0" xfId="0" applyNumberFormat="1" applyFill="1" applyBorder="1"/>
    <xf numFmtId="164" fontId="0" fillId="5" borderId="1" xfId="0" applyNumberFormat="1" applyFill="1" applyBorder="1"/>
    <xf numFmtId="2" fontId="0" fillId="9" borderId="0" xfId="0" applyNumberFormat="1" applyFill="1"/>
    <xf numFmtId="0" fontId="5" fillId="0" borderId="0" xfId="0" applyFont="1"/>
    <xf numFmtId="0" fontId="0" fillId="0" borderId="0" xfId="0" applyFill="1" applyBorder="1"/>
    <xf numFmtId="1" fontId="0" fillId="0" borderId="0" xfId="0" applyNumberFormat="1" applyFill="1" applyBorder="1"/>
    <xf numFmtId="1" fontId="0" fillId="0" borderId="0" xfId="0" applyNumberFormat="1" applyFill="1"/>
    <xf numFmtId="0" fontId="1" fillId="5" borderId="0" xfId="0" applyFont="1" applyFill="1"/>
    <xf numFmtId="0" fontId="0" fillId="5" borderId="0" xfId="0" applyFont="1" applyFill="1"/>
    <xf numFmtId="0" fontId="0" fillId="0" borderId="0" xfId="0" applyAlignment="1">
      <alignment horizontal="center"/>
    </xf>
    <xf numFmtId="0" fontId="1" fillId="5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9" fontId="0" fillId="2" borderId="0" xfId="1" applyFont="1" applyFill="1" applyAlignment="1">
      <alignment horizontal="center"/>
    </xf>
    <xf numFmtId="1" fontId="0" fillId="2" borderId="0" xfId="0" quotePrefix="1" applyNumberFormat="1" applyFill="1" applyAlignment="1">
      <alignment horizontal="right"/>
    </xf>
    <xf numFmtId="0" fontId="0" fillId="2" borderId="0" xfId="0" applyFill="1" applyAlignment="1">
      <alignment horizontal="right"/>
    </xf>
    <xf numFmtId="1" fontId="0" fillId="5" borderId="0" xfId="0" applyNumberFormat="1" applyFill="1" applyAlignment="1">
      <alignment horizontal="right"/>
    </xf>
    <xf numFmtId="9" fontId="0" fillId="5" borderId="0" xfId="1" applyFont="1" applyFill="1" applyAlignment="1">
      <alignment horizontal="center"/>
    </xf>
    <xf numFmtId="0" fontId="0" fillId="2" borderId="0" xfId="0" quotePrefix="1" applyFill="1" applyAlignment="1">
      <alignment horizontal="right"/>
    </xf>
    <xf numFmtId="9" fontId="0" fillId="2" borderId="0" xfId="1" applyFont="1" applyFill="1" applyAlignment="1">
      <alignment horizontal="right"/>
    </xf>
    <xf numFmtId="9" fontId="0" fillId="2" borderId="0" xfId="1" quotePrefix="1" applyFont="1" applyFill="1" applyAlignment="1">
      <alignment horizontal="right"/>
    </xf>
    <xf numFmtId="0" fontId="1" fillId="9" borderId="0" xfId="0" applyFont="1" applyFill="1"/>
    <xf numFmtId="2" fontId="0" fillId="2" borderId="0" xfId="0" applyNumberFormat="1" applyFill="1"/>
    <xf numFmtId="10" fontId="0" fillId="2" borderId="0" xfId="1" applyNumberFormat="1" applyFont="1" applyFill="1"/>
    <xf numFmtId="11" fontId="0" fillId="0" borderId="0" xfId="0" applyNumberFormat="1"/>
    <xf numFmtId="169" fontId="0" fillId="0" borderId="0" xfId="0" applyNumberFormat="1"/>
    <xf numFmtId="170" fontId="0" fillId="5" borderId="0" xfId="0" applyNumberFormat="1" applyFill="1"/>
    <xf numFmtId="170" fontId="0" fillId="5" borderId="1" xfId="0" applyNumberFormat="1" applyFill="1" applyBorder="1"/>
    <xf numFmtId="170" fontId="0" fillId="5" borderId="2" xfId="0" applyNumberFormat="1" applyFill="1" applyBorder="1"/>
    <xf numFmtId="170" fontId="0" fillId="5" borderId="0" xfId="0" applyNumberFormat="1" applyFill="1" applyBorder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2" fontId="6" fillId="5" borderId="0" xfId="0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4" borderId="0" xfId="0" applyFont="1" applyFill="1" applyBorder="1"/>
    <xf numFmtId="0" fontId="6" fillId="4" borderId="0" xfId="0" applyFont="1" applyFill="1"/>
    <xf numFmtId="168" fontId="7" fillId="6" borderId="0" xfId="0" applyNumberFormat="1" applyFont="1" applyFill="1"/>
    <xf numFmtId="9" fontId="7" fillId="0" borderId="0" xfId="0" applyNumberFormat="1" applyFont="1"/>
    <xf numFmtId="164" fontId="0" fillId="6" borderId="0" xfId="0" applyNumberFormat="1" applyFill="1"/>
    <xf numFmtId="171" fontId="0" fillId="5" borderId="0" xfId="0" applyNumberFormat="1" applyFill="1" applyBorder="1"/>
    <xf numFmtId="171" fontId="0" fillId="5" borderId="1" xfId="0" applyNumberFormat="1" applyFill="1" applyBorder="1"/>
    <xf numFmtId="0" fontId="7" fillId="0" borderId="0" xfId="0" applyFont="1"/>
    <xf numFmtId="2" fontId="0" fillId="7" borderId="0" xfId="0" applyNumberFormat="1" applyFill="1"/>
    <xf numFmtId="164" fontId="0" fillId="7" borderId="0" xfId="0" applyNumberFormat="1" applyFill="1"/>
    <xf numFmtId="9" fontId="0" fillId="7" borderId="0" xfId="0" applyNumberFormat="1" applyFill="1"/>
    <xf numFmtId="0" fontId="0" fillId="7" borderId="0" xfId="0" applyFont="1" applyFill="1"/>
    <xf numFmtId="164" fontId="0" fillId="7" borderId="0" xfId="0" applyNumberFormat="1" applyFont="1" applyFill="1"/>
    <xf numFmtId="1" fontId="0" fillId="7" borderId="0" xfId="0" applyNumberFormat="1" applyFill="1"/>
    <xf numFmtId="0" fontId="0" fillId="4" borderId="9" xfId="0" applyFill="1" applyBorder="1"/>
    <xf numFmtId="170" fontId="0" fillId="5" borderId="9" xfId="0" applyNumberFormat="1" applyFill="1" applyBorder="1"/>
    <xf numFmtId="11" fontId="0" fillId="5" borderId="9" xfId="0" applyNumberFormat="1" applyFill="1" applyBorder="1"/>
    <xf numFmtId="0" fontId="6" fillId="5" borderId="9" xfId="0" applyFont="1" applyFill="1" applyBorder="1"/>
    <xf numFmtId="0" fontId="6" fillId="5" borderId="9" xfId="0" applyFont="1" applyFill="1" applyBorder="1" applyAlignment="1">
      <alignment horizontal="center"/>
    </xf>
    <xf numFmtId="2" fontId="6" fillId="5" borderId="9" xfId="0" applyNumberFormat="1" applyFont="1" applyFill="1" applyBorder="1" applyAlignment="1">
      <alignment horizontal="center"/>
    </xf>
    <xf numFmtId="164" fontId="6" fillId="5" borderId="9" xfId="0" applyNumberFormat="1" applyFont="1" applyFill="1" applyBorder="1" applyAlignment="1">
      <alignment horizontal="center"/>
    </xf>
    <xf numFmtId="172" fontId="0" fillId="5" borderId="0" xfId="0" applyNumberFormat="1" applyFill="1"/>
    <xf numFmtId="165" fontId="0" fillId="5" borderId="0" xfId="0" applyNumberFormat="1" applyFill="1"/>
    <xf numFmtId="165" fontId="0" fillId="5" borderId="1" xfId="0" applyNumberFormat="1" applyFill="1" applyBorder="1"/>
    <xf numFmtId="0" fontId="8" fillId="0" borderId="0" xfId="0" applyFont="1" applyAlignment="1">
      <alignment vertical="center"/>
    </xf>
    <xf numFmtId="0" fontId="0" fillId="4" borderId="0" xfId="0" applyFill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9" xfId="0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4.3"/>
  <cols>
    <col min="1" max="1" width="12" customWidth="1"/>
  </cols>
  <sheetData>
    <row r="1" spans="1:1">
      <c r="A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55" zoomScaleNormal="55" workbookViewId="0">
      <selection activeCell="A2" sqref="A2:A30"/>
    </sheetView>
  </sheetViews>
  <sheetFormatPr defaultRowHeight="14.3"/>
  <cols>
    <col min="1" max="1" width="14.75" customWidth="1"/>
    <col min="2" max="2" width="8.875" customWidth="1"/>
    <col min="3" max="6" width="11.75" customWidth="1"/>
    <col min="7" max="7" width="11.625" customWidth="1"/>
    <col min="8" max="8" width="14" customWidth="1"/>
    <col min="9" max="9" width="16.875" customWidth="1"/>
    <col min="10" max="10" width="13.75" customWidth="1"/>
    <col min="11" max="11" width="14.75" customWidth="1"/>
    <col min="12" max="12" width="14.375" customWidth="1"/>
    <col min="13" max="14" width="11.75" customWidth="1"/>
  </cols>
  <sheetData>
    <row r="1" spans="1:15">
      <c r="A1" s="1" t="s">
        <v>1</v>
      </c>
      <c r="B1" s="1" t="s">
        <v>2</v>
      </c>
      <c r="C1" s="2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205</v>
      </c>
    </row>
    <row r="2" spans="1:15">
      <c r="A2" s="4" t="s">
        <v>15</v>
      </c>
      <c r="B2" s="4">
        <v>1</v>
      </c>
      <c r="C2" s="5" t="s">
        <v>16</v>
      </c>
      <c r="D2" s="6">
        <v>0</v>
      </c>
      <c r="E2" s="6">
        <v>0</v>
      </c>
      <c r="F2" s="6">
        <v>0</v>
      </c>
      <c r="G2" s="6">
        <v>31</v>
      </c>
      <c r="H2" s="6">
        <v>0</v>
      </c>
      <c r="I2" s="6">
        <v>0</v>
      </c>
      <c r="J2" s="7">
        <v>0.5</v>
      </c>
      <c r="K2" s="8">
        <v>0</v>
      </c>
      <c r="L2" s="6">
        <v>0</v>
      </c>
      <c r="M2" s="6">
        <v>0</v>
      </c>
      <c r="N2" s="6">
        <v>0</v>
      </c>
      <c r="O2" s="6">
        <v>7</v>
      </c>
    </row>
    <row r="3" spans="1:15">
      <c r="A3" s="4" t="s">
        <v>51</v>
      </c>
      <c r="B3" s="4">
        <v>1</v>
      </c>
      <c r="C3" s="5" t="s">
        <v>16</v>
      </c>
      <c r="D3" s="6">
        <v>0</v>
      </c>
      <c r="E3" s="6">
        <v>0</v>
      </c>
      <c r="F3" s="6">
        <v>0</v>
      </c>
      <c r="G3" s="6">
        <v>41</v>
      </c>
      <c r="H3" s="6">
        <v>0</v>
      </c>
      <c r="I3" s="6">
        <v>0</v>
      </c>
      <c r="J3" s="7">
        <v>0.5</v>
      </c>
      <c r="K3" s="8">
        <v>0</v>
      </c>
      <c r="L3" s="6">
        <v>0</v>
      </c>
      <c r="M3" s="6">
        <v>0</v>
      </c>
      <c r="N3" s="6">
        <v>0</v>
      </c>
      <c r="O3" s="6">
        <v>7</v>
      </c>
    </row>
    <row r="4" spans="1:15">
      <c r="A4" s="4" t="s">
        <v>20</v>
      </c>
      <c r="B4" s="4">
        <v>1</v>
      </c>
      <c r="C4" s="5" t="s">
        <v>16</v>
      </c>
      <c r="D4" s="6">
        <v>0</v>
      </c>
      <c r="E4" s="6">
        <v>0</v>
      </c>
      <c r="F4" s="6">
        <v>0</v>
      </c>
      <c r="G4" s="6">
        <v>100</v>
      </c>
      <c r="H4" s="6">
        <v>0</v>
      </c>
      <c r="I4" s="6">
        <v>0</v>
      </c>
      <c r="J4" s="7">
        <v>0</v>
      </c>
      <c r="K4" s="8">
        <v>0</v>
      </c>
      <c r="L4" s="6">
        <v>0</v>
      </c>
      <c r="M4" s="6">
        <v>0</v>
      </c>
      <c r="N4" s="6">
        <v>0</v>
      </c>
      <c r="O4" s="6">
        <v>0</v>
      </c>
    </row>
    <row r="5" spans="1:15">
      <c r="A5" s="4" t="s">
        <v>17</v>
      </c>
      <c r="B5" s="4">
        <v>1</v>
      </c>
      <c r="C5" s="5" t="s">
        <v>16</v>
      </c>
      <c r="D5" s="6">
        <v>0</v>
      </c>
      <c r="E5" s="6">
        <v>0</v>
      </c>
      <c r="F5" s="6">
        <v>0</v>
      </c>
      <c r="G5" s="6">
        <v>16</v>
      </c>
      <c r="H5" s="6">
        <v>0</v>
      </c>
      <c r="I5" s="6">
        <v>0</v>
      </c>
      <c r="J5" s="7">
        <v>0</v>
      </c>
      <c r="K5" s="8">
        <v>0</v>
      </c>
      <c r="L5" s="6">
        <v>0</v>
      </c>
      <c r="M5" s="6">
        <v>0</v>
      </c>
      <c r="N5" s="6">
        <v>0</v>
      </c>
      <c r="O5" s="6">
        <v>0</v>
      </c>
    </row>
    <row r="6" spans="1:15">
      <c r="A6" s="4" t="s">
        <v>18</v>
      </c>
      <c r="B6" s="4">
        <v>1</v>
      </c>
      <c r="C6" s="5" t="s">
        <v>19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7">
        <v>0</v>
      </c>
      <c r="K6" s="8">
        <v>0</v>
      </c>
      <c r="L6" s="6">
        <v>0</v>
      </c>
      <c r="M6" s="6">
        <v>0</v>
      </c>
      <c r="N6" s="6">
        <v>0</v>
      </c>
      <c r="O6" s="6">
        <v>0</v>
      </c>
    </row>
    <row r="7" spans="1:15">
      <c r="A7" s="4" t="s">
        <v>55</v>
      </c>
      <c r="B7" s="4">
        <v>1</v>
      </c>
      <c r="C7" s="5" t="s">
        <v>16</v>
      </c>
      <c r="D7" s="6">
        <v>0</v>
      </c>
      <c r="E7" s="6">
        <v>0</v>
      </c>
      <c r="F7" s="6">
        <v>0</v>
      </c>
      <c r="G7" s="6">
        <v>50</v>
      </c>
      <c r="H7" s="6">
        <v>0</v>
      </c>
      <c r="I7" s="6">
        <v>0</v>
      </c>
      <c r="J7" s="7">
        <v>0.5</v>
      </c>
      <c r="K7" s="8">
        <v>0</v>
      </c>
      <c r="L7" s="6">
        <v>0</v>
      </c>
      <c r="M7" s="6">
        <v>0</v>
      </c>
      <c r="N7" s="6">
        <v>0</v>
      </c>
      <c r="O7" s="6">
        <v>7</v>
      </c>
    </row>
    <row r="8" spans="1:15">
      <c r="A8" s="4" t="s">
        <v>66</v>
      </c>
      <c r="B8" s="4">
        <v>1</v>
      </c>
      <c r="C8" s="5" t="s">
        <v>16</v>
      </c>
      <c r="D8" s="6">
        <v>0</v>
      </c>
      <c r="E8" s="6">
        <v>0</v>
      </c>
      <c r="F8" s="6">
        <v>0</v>
      </c>
      <c r="G8" s="6">
        <v>15</v>
      </c>
      <c r="H8" s="6">
        <v>0</v>
      </c>
      <c r="I8" s="6">
        <v>0</v>
      </c>
      <c r="J8" s="7">
        <v>0.5</v>
      </c>
      <c r="K8" s="8">
        <v>0</v>
      </c>
      <c r="L8" s="6">
        <v>0</v>
      </c>
      <c r="M8" s="6">
        <v>0</v>
      </c>
      <c r="N8" s="6">
        <v>0</v>
      </c>
      <c r="O8" s="6">
        <v>7</v>
      </c>
    </row>
    <row r="9" spans="1:15">
      <c r="A9" s="10" t="s">
        <v>98</v>
      </c>
      <c r="B9" s="4">
        <v>1</v>
      </c>
      <c r="C9" s="5" t="s">
        <v>16</v>
      </c>
      <c r="D9" s="6">
        <v>0</v>
      </c>
      <c r="E9" s="6">
        <v>0</v>
      </c>
      <c r="F9" s="6">
        <v>0</v>
      </c>
      <c r="G9" s="6">
        <v>31</v>
      </c>
      <c r="H9" s="6">
        <v>0</v>
      </c>
      <c r="I9" s="6">
        <v>0</v>
      </c>
      <c r="J9" s="7">
        <v>0.5</v>
      </c>
      <c r="K9" s="8">
        <v>0</v>
      </c>
      <c r="L9" s="6">
        <v>0</v>
      </c>
      <c r="M9" s="6">
        <v>0</v>
      </c>
      <c r="N9" s="6">
        <v>0</v>
      </c>
      <c r="O9" s="6">
        <v>7</v>
      </c>
    </row>
    <row r="10" spans="1:15">
      <c r="A10" s="10" t="s">
        <v>106</v>
      </c>
      <c r="B10" s="4">
        <v>1</v>
      </c>
      <c r="C10" s="5" t="s">
        <v>16</v>
      </c>
      <c r="D10" s="6">
        <v>0</v>
      </c>
      <c r="E10" s="6">
        <v>0</v>
      </c>
      <c r="F10" s="6">
        <v>0</v>
      </c>
      <c r="G10" s="6">
        <v>75.199999999999989</v>
      </c>
      <c r="H10" s="6">
        <v>0</v>
      </c>
      <c r="I10" s="6">
        <v>0</v>
      </c>
      <c r="J10" s="7">
        <v>0.5</v>
      </c>
      <c r="K10" s="8">
        <v>0</v>
      </c>
      <c r="L10" s="6">
        <v>0</v>
      </c>
      <c r="M10" s="6">
        <v>0</v>
      </c>
      <c r="N10" s="6">
        <v>0</v>
      </c>
      <c r="O10" s="6">
        <v>7</v>
      </c>
    </row>
    <row r="11" spans="1:15">
      <c r="A11" s="10" t="s">
        <v>107</v>
      </c>
      <c r="B11" s="4">
        <v>1</v>
      </c>
      <c r="C11" s="5" t="s">
        <v>16</v>
      </c>
      <c r="D11" s="6">
        <v>0</v>
      </c>
      <c r="E11" s="6">
        <v>0</v>
      </c>
      <c r="F11" s="6">
        <v>0</v>
      </c>
      <c r="G11" s="6">
        <v>125</v>
      </c>
      <c r="H11" s="6">
        <v>0</v>
      </c>
      <c r="I11" s="6">
        <v>0</v>
      </c>
      <c r="J11" s="7">
        <v>0.5</v>
      </c>
      <c r="K11" s="8">
        <v>0</v>
      </c>
      <c r="L11" s="6">
        <v>0</v>
      </c>
      <c r="M11" s="6">
        <v>0</v>
      </c>
      <c r="N11" s="6">
        <v>0</v>
      </c>
      <c r="O11" s="6">
        <v>7</v>
      </c>
    </row>
    <row r="12" spans="1:15">
      <c r="A12" s="10" t="s">
        <v>140</v>
      </c>
      <c r="B12" s="4">
        <v>1</v>
      </c>
      <c r="C12" s="5" t="s">
        <v>16</v>
      </c>
      <c r="D12" s="6">
        <v>0</v>
      </c>
      <c r="E12" s="6">
        <v>0</v>
      </c>
      <c r="F12" s="6">
        <v>0</v>
      </c>
      <c r="G12" s="6">
        <v>1200</v>
      </c>
      <c r="H12" s="6">
        <v>0</v>
      </c>
      <c r="I12" s="6">
        <v>0</v>
      </c>
      <c r="J12" s="7">
        <v>0.5</v>
      </c>
      <c r="K12" s="8">
        <v>0</v>
      </c>
      <c r="L12" s="6">
        <v>0</v>
      </c>
      <c r="M12" s="6">
        <v>0</v>
      </c>
      <c r="N12" s="6">
        <v>0</v>
      </c>
      <c r="O12" s="6">
        <v>7</v>
      </c>
    </row>
    <row r="13" spans="1:15">
      <c r="A13" s="10" t="s">
        <v>165</v>
      </c>
      <c r="B13" s="4">
        <v>1</v>
      </c>
      <c r="C13" s="5" t="s">
        <v>16</v>
      </c>
      <c r="D13" s="6">
        <v>0</v>
      </c>
      <c r="E13" s="6">
        <v>0</v>
      </c>
      <c r="F13" s="6">
        <v>0</v>
      </c>
      <c r="G13" s="6">
        <v>700</v>
      </c>
      <c r="H13" s="6">
        <v>0</v>
      </c>
      <c r="I13" s="6">
        <v>0</v>
      </c>
      <c r="J13" s="7">
        <v>0.5</v>
      </c>
      <c r="K13" s="8">
        <v>0</v>
      </c>
      <c r="L13" s="6">
        <v>0</v>
      </c>
      <c r="M13" s="6">
        <v>0</v>
      </c>
      <c r="N13" s="6">
        <v>0</v>
      </c>
      <c r="O13" s="6">
        <v>7</v>
      </c>
    </row>
    <row r="14" spans="1:15">
      <c r="A14" s="10" t="s">
        <v>172</v>
      </c>
      <c r="B14" s="4">
        <v>1</v>
      </c>
      <c r="C14" s="5" t="s">
        <v>16</v>
      </c>
      <c r="D14" s="6">
        <v>0</v>
      </c>
      <c r="E14" s="6">
        <v>0</v>
      </c>
      <c r="F14" s="6">
        <v>0</v>
      </c>
      <c r="G14" s="6">
        <v>900</v>
      </c>
      <c r="H14" s="6">
        <v>0</v>
      </c>
      <c r="I14" s="6">
        <v>0</v>
      </c>
      <c r="J14" s="7">
        <v>0.5</v>
      </c>
      <c r="K14" s="8">
        <v>0</v>
      </c>
      <c r="L14" s="6">
        <v>0</v>
      </c>
      <c r="M14" s="6">
        <v>0</v>
      </c>
      <c r="N14" s="6">
        <v>0</v>
      </c>
      <c r="O14" s="6">
        <v>7</v>
      </c>
    </row>
    <row r="15" spans="1:15">
      <c r="A15" s="10" t="s">
        <v>202</v>
      </c>
      <c r="B15" s="4">
        <v>1</v>
      </c>
      <c r="C15" s="5" t="s">
        <v>16</v>
      </c>
      <c r="D15" s="6">
        <v>0</v>
      </c>
      <c r="E15" s="6">
        <v>0</v>
      </c>
      <c r="F15" s="6">
        <v>0</v>
      </c>
      <c r="G15" s="6">
        <v>148</v>
      </c>
      <c r="H15" s="6">
        <v>0</v>
      </c>
      <c r="I15" s="6">
        <v>0</v>
      </c>
      <c r="J15" s="7">
        <v>0.5</v>
      </c>
      <c r="K15" s="8">
        <v>0</v>
      </c>
      <c r="L15" s="6">
        <v>0</v>
      </c>
      <c r="M15" s="6">
        <v>0</v>
      </c>
      <c r="N15" s="6">
        <v>0</v>
      </c>
      <c r="O15" s="6">
        <v>7</v>
      </c>
    </row>
    <row r="16" spans="1:15">
      <c r="A16" s="10" t="s">
        <v>204</v>
      </c>
      <c r="B16" s="4">
        <v>1</v>
      </c>
      <c r="C16" s="5" t="s">
        <v>16</v>
      </c>
      <c r="D16" s="6">
        <v>0</v>
      </c>
      <c r="E16" s="6">
        <v>0</v>
      </c>
      <c r="F16" s="6">
        <v>0</v>
      </c>
      <c r="G16" s="6">
        <v>31</v>
      </c>
      <c r="H16" s="6">
        <v>0</v>
      </c>
      <c r="I16" s="6">
        <v>0</v>
      </c>
      <c r="J16" s="7">
        <v>0.5</v>
      </c>
      <c r="K16" s="8">
        <v>0</v>
      </c>
      <c r="L16" s="6">
        <v>0</v>
      </c>
      <c r="M16" s="6">
        <v>0</v>
      </c>
      <c r="N16" s="6">
        <v>0</v>
      </c>
      <c r="O16" s="6">
        <v>7</v>
      </c>
    </row>
    <row r="17" spans="1:15">
      <c r="A17" s="10" t="s">
        <v>235</v>
      </c>
      <c r="B17" s="4">
        <v>1</v>
      </c>
      <c r="C17" s="94" t="s">
        <v>227</v>
      </c>
      <c r="D17" s="95">
        <v>0</v>
      </c>
      <c r="E17" s="95">
        <v>0</v>
      </c>
      <c r="F17" s="95">
        <v>0</v>
      </c>
      <c r="G17" s="95">
        <v>50</v>
      </c>
      <c r="H17" s="95">
        <v>0</v>
      </c>
      <c r="I17" s="95">
        <v>0</v>
      </c>
      <c r="J17" s="96">
        <v>0.4</v>
      </c>
      <c r="K17" s="97">
        <v>0</v>
      </c>
      <c r="L17" s="95">
        <v>0</v>
      </c>
      <c r="M17" s="95">
        <v>0</v>
      </c>
      <c r="N17" s="95">
        <v>0</v>
      </c>
      <c r="O17" s="95">
        <v>7</v>
      </c>
    </row>
    <row r="18" spans="1:15">
      <c r="A18" s="98" t="s">
        <v>223</v>
      </c>
      <c r="B18" s="99">
        <v>1</v>
      </c>
      <c r="C18" s="94" t="s">
        <v>228</v>
      </c>
      <c r="D18" s="95">
        <v>0</v>
      </c>
      <c r="E18" s="95">
        <v>0</v>
      </c>
      <c r="F18" s="95">
        <v>0</v>
      </c>
      <c r="G18" s="95">
        <v>100</v>
      </c>
      <c r="H18" s="95">
        <v>0</v>
      </c>
      <c r="I18" s="95">
        <v>0</v>
      </c>
      <c r="J18" s="96">
        <v>0</v>
      </c>
      <c r="K18" s="97">
        <v>0</v>
      </c>
      <c r="L18" s="95">
        <v>0</v>
      </c>
      <c r="M18" s="95">
        <v>0</v>
      </c>
      <c r="N18" s="95">
        <v>0</v>
      </c>
      <c r="O18" s="95">
        <v>0</v>
      </c>
    </row>
    <row r="19" spans="1:15">
      <c r="A19" s="98" t="s">
        <v>224</v>
      </c>
      <c r="B19" s="99">
        <v>1</v>
      </c>
      <c r="C19" s="94" t="s">
        <v>229</v>
      </c>
      <c r="D19" s="95">
        <v>0</v>
      </c>
      <c r="E19" s="95">
        <v>0</v>
      </c>
      <c r="F19" s="95">
        <v>0</v>
      </c>
      <c r="G19" s="95">
        <v>100</v>
      </c>
      <c r="H19" s="95">
        <v>0</v>
      </c>
      <c r="I19" s="95">
        <v>0</v>
      </c>
      <c r="J19" s="96">
        <v>0</v>
      </c>
      <c r="K19" s="97">
        <v>0</v>
      </c>
      <c r="L19" s="95">
        <v>0</v>
      </c>
      <c r="M19" s="95">
        <v>0</v>
      </c>
      <c r="N19" s="95">
        <v>0</v>
      </c>
      <c r="O19" s="95">
        <v>0</v>
      </c>
    </row>
    <row r="20" spans="1:15">
      <c r="A20" s="98" t="s">
        <v>225</v>
      </c>
      <c r="B20" s="99">
        <v>1</v>
      </c>
      <c r="C20" s="94" t="s">
        <v>228</v>
      </c>
      <c r="D20" s="95">
        <v>0</v>
      </c>
      <c r="E20" s="95">
        <v>0</v>
      </c>
      <c r="F20" s="95">
        <v>0</v>
      </c>
      <c r="G20" s="95">
        <v>100</v>
      </c>
      <c r="H20" s="95">
        <v>0</v>
      </c>
      <c r="I20" s="95">
        <v>0</v>
      </c>
      <c r="J20" s="96">
        <v>0</v>
      </c>
      <c r="K20" s="97">
        <v>0</v>
      </c>
      <c r="L20" s="95">
        <v>0</v>
      </c>
      <c r="M20" s="95">
        <v>0</v>
      </c>
      <c r="N20" s="95">
        <v>0</v>
      </c>
      <c r="O20" s="95">
        <v>0</v>
      </c>
    </row>
    <row r="21" spans="1:15">
      <c r="A21" s="10" t="s">
        <v>236</v>
      </c>
      <c r="B21" s="4">
        <v>1</v>
      </c>
      <c r="C21" s="94" t="s">
        <v>16</v>
      </c>
      <c r="D21" s="95">
        <v>0</v>
      </c>
      <c r="E21" s="95">
        <v>0</v>
      </c>
      <c r="F21" s="95">
        <v>0</v>
      </c>
      <c r="G21" s="95">
        <v>30</v>
      </c>
      <c r="H21" s="95">
        <v>0</v>
      </c>
      <c r="I21" s="95">
        <v>0</v>
      </c>
      <c r="J21" s="96">
        <v>0.5</v>
      </c>
      <c r="K21" s="97">
        <v>0</v>
      </c>
      <c r="L21" s="95">
        <v>0</v>
      </c>
      <c r="M21" s="95">
        <v>0</v>
      </c>
      <c r="N21" s="95">
        <v>0</v>
      </c>
      <c r="O21" s="95">
        <v>7</v>
      </c>
    </row>
    <row r="22" spans="1:15">
      <c r="A22" s="10" t="s">
        <v>237</v>
      </c>
      <c r="B22" s="4">
        <v>1</v>
      </c>
      <c r="C22" s="94" t="s">
        <v>16</v>
      </c>
      <c r="D22" s="95">
        <v>0</v>
      </c>
      <c r="E22" s="95">
        <v>0</v>
      </c>
      <c r="F22" s="95">
        <v>0</v>
      </c>
      <c r="G22" s="95">
        <v>70</v>
      </c>
      <c r="H22" s="95">
        <v>0</v>
      </c>
      <c r="I22" s="95">
        <v>0</v>
      </c>
      <c r="J22" s="96">
        <v>0.5</v>
      </c>
      <c r="K22" s="97">
        <v>0</v>
      </c>
      <c r="L22" s="95">
        <v>0</v>
      </c>
      <c r="M22" s="95">
        <v>0</v>
      </c>
      <c r="N22" s="95">
        <v>0</v>
      </c>
      <c r="O22" s="95">
        <v>7</v>
      </c>
    </row>
    <row r="23" spans="1:15">
      <c r="A23" s="10" t="s">
        <v>234</v>
      </c>
      <c r="B23" s="4">
        <v>1</v>
      </c>
      <c r="C23" s="94" t="s">
        <v>16</v>
      </c>
      <c r="D23" s="95">
        <v>0</v>
      </c>
      <c r="E23" s="95">
        <v>0</v>
      </c>
      <c r="F23" s="95">
        <v>0</v>
      </c>
      <c r="G23" s="95">
        <v>50</v>
      </c>
      <c r="H23" s="95">
        <v>0</v>
      </c>
      <c r="I23" s="95">
        <v>0</v>
      </c>
      <c r="J23" s="96">
        <v>0.5</v>
      </c>
      <c r="K23" s="97">
        <v>0</v>
      </c>
      <c r="L23" s="95">
        <v>0</v>
      </c>
      <c r="M23" s="95">
        <v>0</v>
      </c>
      <c r="N23" s="95">
        <v>0</v>
      </c>
      <c r="O23" s="95">
        <v>7</v>
      </c>
    </row>
    <row r="24" spans="1:15" ht="14.95" thickBot="1">
      <c r="A24" s="112" t="s">
        <v>240</v>
      </c>
      <c r="B24" s="112">
        <v>1</v>
      </c>
      <c r="C24" s="115" t="s">
        <v>16</v>
      </c>
      <c r="D24" s="116">
        <v>0</v>
      </c>
      <c r="E24" s="116">
        <v>0</v>
      </c>
      <c r="F24" s="116">
        <v>0</v>
      </c>
      <c r="G24" s="116">
        <v>50</v>
      </c>
      <c r="H24" s="116">
        <v>0</v>
      </c>
      <c r="I24" s="116">
        <v>0</v>
      </c>
      <c r="J24" s="117">
        <v>0.5</v>
      </c>
      <c r="K24" s="118">
        <v>0</v>
      </c>
      <c r="L24" s="116">
        <v>0</v>
      </c>
      <c r="M24" s="116">
        <v>0</v>
      </c>
      <c r="N24" s="116">
        <v>0</v>
      </c>
      <c r="O24" s="116">
        <v>7</v>
      </c>
    </row>
    <row r="25" spans="1:15">
      <c r="A25" s="10" t="s">
        <v>301</v>
      </c>
      <c r="B25" s="4">
        <v>1</v>
      </c>
      <c r="C25" s="94" t="s">
        <v>16</v>
      </c>
      <c r="D25" s="95">
        <v>0</v>
      </c>
      <c r="E25" s="95">
        <v>0</v>
      </c>
      <c r="F25" s="95">
        <v>0</v>
      </c>
      <c r="G25" s="95">
        <v>50</v>
      </c>
      <c r="H25" s="95">
        <v>0</v>
      </c>
      <c r="I25" s="95">
        <v>0</v>
      </c>
      <c r="J25" s="96">
        <v>0.5</v>
      </c>
      <c r="K25" s="97">
        <v>0</v>
      </c>
      <c r="L25" s="95">
        <v>0</v>
      </c>
      <c r="M25" s="95">
        <v>0</v>
      </c>
      <c r="N25" s="95">
        <v>0</v>
      </c>
      <c r="O25" s="95">
        <v>7</v>
      </c>
    </row>
    <row r="26" spans="1:15">
      <c r="A26" s="10" t="s">
        <v>294</v>
      </c>
      <c r="B26" s="4">
        <v>1</v>
      </c>
      <c r="C26" s="94" t="s">
        <v>16</v>
      </c>
      <c r="D26" s="95">
        <v>0</v>
      </c>
      <c r="E26" s="95">
        <v>0</v>
      </c>
      <c r="F26" s="95">
        <v>0</v>
      </c>
      <c r="G26" s="95">
        <v>50</v>
      </c>
      <c r="H26" s="95">
        <v>0</v>
      </c>
      <c r="I26" s="95">
        <v>0</v>
      </c>
      <c r="J26" s="96">
        <v>0.5</v>
      </c>
      <c r="K26" s="97">
        <v>0</v>
      </c>
      <c r="L26" s="95">
        <v>0</v>
      </c>
      <c r="M26" s="95">
        <v>0</v>
      </c>
      <c r="N26" s="95">
        <v>0</v>
      </c>
      <c r="O26" s="95">
        <v>7</v>
      </c>
    </row>
    <row r="27" spans="1:15">
      <c r="A27" s="10" t="s">
        <v>295</v>
      </c>
      <c r="B27" s="4">
        <v>1</v>
      </c>
      <c r="C27" s="94" t="s">
        <v>16</v>
      </c>
      <c r="D27" s="95">
        <v>0</v>
      </c>
      <c r="E27" s="95">
        <v>0</v>
      </c>
      <c r="F27" s="95">
        <v>0</v>
      </c>
      <c r="G27" s="95">
        <v>50</v>
      </c>
      <c r="H27" s="95">
        <v>0</v>
      </c>
      <c r="I27" s="95">
        <v>0</v>
      </c>
      <c r="J27" s="96">
        <v>0.5</v>
      </c>
      <c r="K27" s="97">
        <v>0</v>
      </c>
      <c r="L27" s="95">
        <v>0</v>
      </c>
      <c r="M27" s="95">
        <v>0</v>
      </c>
      <c r="N27" s="95">
        <v>0</v>
      </c>
      <c r="O27" s="95">
        <v>7</v>
      </c>
    </row>
    <row r="28" spans="1:15">
      <c r="A28" s="10" t="s">
        <v>296</v>
      </c>
      <c r="B28" s="4">
        <v>1</v>
      </c>
      <c r="C28" s="94" t="s">
        <v>16</v>
      </c>
      <c r="D28" s="95">
        <v>0</v>
      </c>
      <c r="E28" s="95">
        <v>0</v>
      </c>
      <c r="F28" s="95">
        <v>0</v>
      </c>
      <c r="G28" s="95">
        <v>50</v>
      </c>
      <c r="H28" s="95">
        <v>0</v>
      </c>
      <c r="I28" s="95">
        <v>0</v>
      </c>
      <c r="J28" s="96">
        <v>0.5</v>
      </c>
      <c r="K28" s="97">
        <v>0</v>
      </c>
      <c r="L28" s="95">
        <v>0</v>
      </c>
      <c r="M28" s="95">
        <v>0</v>
      </c>
      <c r="N28" s="95">
        <v>0</v>
      </c>
      <c r="O28" s="95">
        <v>7</v>
      </c>
    </row>
    <row r="29" spans="1:15">
      <c r="A29" s="10" t="s">
        <v>297</v>
      </c>
      <c r="B29" s="4">
        <v>1</v>
      </c>
      <c r="C29" s="94" t="s">
        <v>16</v>
      </c>
      <c r="D29" s="95">
        <v>0</v>
      </c>
      <c r="E29" s="95">
        <v>0</v>
      </c>
      <c r="F29" s="95">
        <v>0</v>
      </c>
      <c r="G29" s="95">
        <v>50</v>
      </c>
      <c r="H29" s="95">
        <v>0</v>
      </c>
      <c r="I29" s="95">
        <v>0</v>
      </c>
      <c r="J29" s="96">
        <v>0.5</v>
      </c>
      <c r="K29" s="97">
        <v>0</v>
      </c>
      <c r="L29" s="95">
        <v>0</v>
      </c>
      <c r="M29" s="95">
        <v>0</v>
      </c>
      <c r="N29" s="95">
        <v>0</v>
      </c>
      <c r="O29" s="95">
        <v>7</v>
      </c>
    </row>
    <row r="30" spans="1:15">
      <c r="A30" s="122" t="s">
        <v>323</v>
      </c>
      <c r="B30" s="4">
        <v>1</v>
      </c>
      <c r="C30" s="94" t="s">
        <v>16</v>
      </c>
      <c r="D30" s="95">
        <v>0</v>
      </c>
      <c r="E30" s="95">
        <v>0</v>
      </c>
      <c r="F30" s="95">
        <v>0</v>
      </c>
      <c r="G30" s="95">
        <v>30</v>
      </c>
      <c r="H30" s="95">
        <v>0</v>
      </c>
      <c r="I30" s="95">
        <v>0</v>
      </c>
      <c r="J30" s="96">
        <v>0</v>
      </c>
      <c r="K30" s="97">
        <v>0</v>
      </c>
      <c r="L30" s="95">
        <v>0</v>
      </c>
      <c r="M30" s="95">
        <v>0</v>
      </c>
      <c r="N30" s="95">
        <v>0</v>
      </c>
      <c r="O30" s="95">
        <v>0</v>
      </c>
    </row>
  </sheetData>
  <dataValidations disablePrompts="1" count="12">
    <dataValidation showInputMessage="1" showErrorMessage="1" promptTitle="Investment Cost (€/kW)" prompt="Investment cost for new capacities_x000a_Relating to ratio = 1." sqref="D1"/>
    <dataValidation showInputMessage="1" showErrorMessage="1" promptTitle="Annual Fix Costs (€/kW/a)" prompt="Operation independent costs for existing and new capacities per kW output power._x000a_Relating to ratio = 1." sqref="E1"/>
    <dataValidation showInputMessage="1" showErrorMessage="1" promptTitle="Variable cost (€/kWh)" prompt="Variable costs per energy through process (kWh). This includes wear and tear of moving parts, operation liquids (other than fuel costs, that are included in table Commodity)._x000a_Relating to ratio = 1." sqref="F1"/>
    <dataValidation showInputMessage="1" showErrorMessage="1" promptTitle="Process Class" prompt="_x000a_Define Constraints and fees for classes in &quot;Process Class&quot; " sqref="C1"/>
    <dataValidation showInputMessage="1" showErrorMessage="1" promptTitle="Intsalled Capacity (kW)" prompt="existing capacity of process. _x000a_Relating to ratio = 1." sqref="G1"/>
    <dataValidation showInputMessage="1" showErrorMessage="1" promptTitle="Min New Capacity (kW)" prompt="minimum capacity of process that can be built._x000a_Relating to ratio = 1._x000a_Only relevant if OPTION &quot;Min-Cap&quot; is activated" sqref="H1"/>
    <dataValidation showInputMessage="1" showErrorMessage="1" promptTitle="Max New Capacity (kW)" prompt="Maximum new Capacity that can be built._x000a_Relating to ratio = 1." sqref="I1"/>
    <dataValidation showInputMessage="1" showErrorMessage="1" promptTitle="Min Partload of Process (%/100)" prompt="except when starting, output can not go lower than x% of max output._x000a_Relating to ratio = 1._x000a_IF switch-on-energy is used, value must be greater 0!_x000a_Only relevant if  OPTION &quot;Partload&quot; is activated" sqref="J1"/>
    <dataValidation showInputMessage="1" showErrorMessage="1" promptTitle="Initial Power (kW)" prompt="Initial Throughput Power of process for timestep zero._x000a_Relating to ratio = 1." sqref="L1"/>
    <dataValidation showInputMessage="1" showErrorMessage="1" promptTitle="Weighted average cost of capital" prompt="Percentage (%/100) of costs for capital after taxes. Used to calculate annuity factor for investment costs." sqref="N1"/>
    <dataValidation showInputMessage="1" showErrorMessage="1" promptTitle="Depreciation period (a)" prompt="Economic lifetime (more conservative than technical lifetime) of a process investment in years (a). Used to calculate annuity factor for investment costs." sqref="M1"/>
    <dataValidation showInputMessage="1" showErrorMessage="1" promptTitle="Start-up energy (kWh/kW_inst)" prompt="Energy consumed per installed power for every start._x000a_Relating to ratio = 1 (inputs)._x000a_Consumed Energy for inputs with ratios other than 1 depend on ratio (see process-commodity)_x000a_Only relevant if OPTION &quot;Partload&quot; is activated and &quot;partload-min&quot;&gt;0_x000a_" sqref="K1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22"/>
  <sheetViews>
    <sheetView zoomScale="70" zoomScaleNormal="70" workbookViewId="0">
      <selection activeCell="A108" sqref="A108"/>
    </sheetView>
  </sheetViews>
  <sheetFormatPr defaultRowHeight="14.3"/>
  <cols>
    <col min="1" max="1" width="16.75" customWidth="1"/>
    <col min="2" max="2" width="11.75" customWidth="1"/>
    <col min="4" max="5" width="13.375" customWidth="1"/>
    <col min="8" max="8" width="9.375" bestFit="1" customWidth="1"/>
    <col min="9" max="9" width="10.75" customWidth="1"/>
    <col min="20" max="20" width="14.25" customWidth="1"/>
    <col min="23" max="23" width="9.375" bestFit="1" customWidth="1"/>
    <col min="24" max="24" width="9.25" customWidth="1"/>
    <col min="28" max="28" width="13.75" customWidth="1"/>
    <col min="29" max="29" width="12" customWidth="1"/>
    <col min="30" max="30" width="8.25" customWidth="1"/>
    <col min="36" max="36" width="14.625" customWidth="1"/>
    <col min="37" max="37" width="11.375" customWidth="1"/>
    <col min="53" max="53" width="11.625" customWidth="1"/>
  </cols>
  <sheetData>
    <row r="1" spans="1:58">
      <c r="A1" s="16" t="s">
        <v>1</v>
      </c>
      <c r="B1" s="16" t="s">
        <v>21</v>
      </c>
      <c r="C1" s="16" t="s">
        <v>22</v>
      </c>
      <c r="D1" s="17" t="s">
        <v>23</v>
      </c>
      <c r="E1" s="18" t="s">
        <v>24</v>
      </c>
      <c r="I1" t="s">
        <v>37</v>
      </c>
    </row>
    <row r="2" spans="1:58">
      <c r="A2" s="10" t="s">
        <v>15</v>
      </c>
      <c r="B2" s="10" t="s">
        <v>36</v>
      </c>
      <c r="C2" s="10" t="s">
        <v>25</v>
      </c>
      <c r="D2" s="11">
        <v>2.2200000000000002</v>
      </c>
      <c r="E2" s="11">
        <v>2.86</v>
      </c>
      <c r="I2" t="s">
        <v>143</v>
      </c>
      <c r="M2" t="s">
        <v>23</v>
      </c>
      <c r="O2">
        <f>O3/J3</f>
        <v>0.51480051480051481</v>
      </c>
      <c r="P2" t="s">
        <v>24</v>
      </c>
    </row>
    <row r="3" spans="1:58">
      <c r="A3" s="4" t="s">
        <v>15</v>
      </c>
      <c r="B3" s="4" t="s">
        <v>30</v>
      </c>
      <c r="C3" s="4" t="s">
        <v>27</v>
      </c>
      <c r="D3" s="9">
        <v>0.14000000000000001</v>
      </c>
      <c r="E3" s="9">
        <v>0.17</v>
      </c>
      <c r="I3" t="s">
        <v>15</v>
      </c>
      <c r="J3">
        <v>31.08</v>
      </c>
      <c r="K3" t="s">
        <v>45</v>
      </c>
      <c r="M3" s="19">
        <f>J3/$J$3</f>
        <v>1</v>
      </c>
      <c r="O3">
        <v>16</v>
      </c>
      <c r="P3" s="19">
        <f>O3/$O$3</f>
        <v>1</v>
      </c>
      <c r="T3" t="s">
        <v>97</v>
      </c>
      <c r="AB3" s="43" t="s">
        <v>167</v>
      </c>
      <c r="AJ3" s="43" t="s">
        <v>152</v>
      </c>
      <c r="AR3" s="43" t="s">
        <v>166</v>
      </c>
      <c r="AZ3" s="43" t="s">
        <v>173</v>
      </c>
    </row>
    <row r="4" spans="1:58">
      <c r="A4" s="10" t="s">
        <v>15</v>
      </c>
      <c r="B4" s="10" t="s">
        <v>26</v>
      </c>
      <c r="C4" s="10" t="s">
        <v>27</v>
      </c>
      <c r="D4" s="11">
        <v>1</v>
      </c>
      <c r="E4" s="11">
        <v>1</v>
      </c>
      <c r="I4" s="21" t="s">
        <v>38</v>
      </c>
      <c r="J4" s="22">
        <v>0.45</v>
      </c>
      <c r="M4" s="19"/>
      <c r="O4" s="22">
        <v>0.35</v>
      </c>
      <c r="P4" s="19"/>
    </row>
    <row r="5" spans="1:58">
      <c r="A5" s="12" t="s">
        <v>15</v>
      </c>
      <c r="B5" s="12" t="s">
        <v>28</v>
      </c>
      <c r="C5" s="12" t="s">
        <v>25</v>
      </c>
      <c r="D5" s="13">
        <v>0.11</v>
      </c>
      <c r="E5" s="13">
        <v>0.14000000000000001</v>
      </c>
      <c r="I5" t="s">
        <v>15</v>
      </c>
      <c r="J5" s="20">
        <f>J3/J4</f>
        <v>69.066666666666663</v>
      </c>
      <c r="K5" t="s">
        <v>39</v>
      </c>
      <c r="M5" s="19">
        <f>J5/$J$3</f>
        <v>2.2222222222222223</v>
      </c>
      <c r="O5" s="20">
        <f>O3/O4</f>
        <v>45.714285714285715</v>
      </c>
      <c r="P5" s="19">
        <f>O5/$O$3</f>
        <v>2.8571428571428572</v>
      </c>
      <c r="T5" s="21" t="s">
        <v>100</v>
      </c>
      <c r="U5" s="21" t="s">
        <v>99</v>
      </c>
      <c r="V5" s="21" t="s">
        <v>30</v>
      </c>
      <c r="W5" s="21" t="s">
        <v>28</v>
      </c>
      <c r="X5" s="21" t="s">
        <v>101</v>
      </c>
      <c r="Y5" s="21" t="s">
        <v>102</v>
      </c>
      <c r="Z5" s="21" t="s">
        <v>103</v>
      </c>
      <c r="AB5" s="55" t="s">
        <v>108</v>
      </c>
      <c r="AC5" s="55"/>
      <c r="AD5" s="55"/>
      <c r="AE5" s="55"/>
      <c r="AF5" s="55"/>
      <c r="AG5" s="55"/>
      <c r="AH5" s="55"/>
      <c r="AJ5" s="55" t="s">
        <v>108</v>
      </c>
      <c r="AK5" s="55"/>
      <c r="AL5" s="55"/>
      <c r="AM5" s="55"/>
      <c r="AN5" s="55"/>
      <c r="AO5" s="55"/>
      <c r="AP5" s="55"/>
      <c r="AR5" s="55" t="s">
        <v>108</v>
      </c>
      <c r="AS5" s="55"/>
      <c r="AT5" s="55"/>
      <c r="AU5" s="55"/>
      <c r="AV5" s="55"/>
      <c r="AW5" s="55"/>
      <c r="AX5" s="55"/>
      <c r="AZ5" s="72" t="s">
        <v>174</v>
      </c>
      <c r="BA5" s="5"/>
      <c r="BB5" s="5"/>
      <c r="BC5" s="5"/>
      <c r="BD5" s="5"/>
      <c r="BE5" s="5"/>
      <c r="BF5" s="5"/>
    </row>
    <row r="6" spans="1:58">
      <c r="A6" s="14" t="s">
        <v>17</v>
      </c>
      <c r="B6" s="14" t="s">
        <v>28</v>
      </c>
      <c r="C6" s="14" t="s">
        <v>25</v>
      </c>
      <c r="D6" s="15">
        <v>0.24399999999999999</v>
      </c>
      <c r="E6" s="15">
        <v>0.28999999999999998</v>
      </c>
      <c r="G6">
        <f>1/D6</f>
        <v>4.0983606557377046</v>
      </c>
      <c r="H6">
        <f>1/E6</f>
        <v>3.4482758620689657</v>
      </c>
      <c r="I6" s="21" t="s">
        <v>40</v>
      </c>
      <c r="J6" s="21">
        <f>17.78/3.6</f>
        <v>4.9388888888888891</v>
      </c>
      <c r="K6" t="s">
        <v>41</v>
      </c>
      <c r="M6" s="19"/>
      <c r="O6" s="21">
        <f>19.5/3.6</f>
        <v>5.416666666666667</v>
      </c>
      <c r="P6" s="19"/>
      <c r="T6" s="21">
        <v>69</v>
      </c>
      <c r="U6" s="22">
        <v>0.45</v>
      </c>
      <c r="V6" s="22">
        <v>0.32</v>
      </c>
      <c r="W6" s="52">
        <v>4.3999999999999997E-2</v>
      </c>
      <c r="X6" s="21">
        <f>17.78/3.6</f>
        <v>4.9388888888888891</v>
      </c>
      <c r="Y6" s="48">
        <v>0.5</v>
      </c>
      <c r="Z6" s="48">
        <v>0.35</v>
      </c>
      <c r="AB6" s="55" t="s">
        <v>109</v>
      </c>
      <c r="AC6" s="55"/>
      <c r="AD6" s="55"/>
      <c r="AE6" s="55"/>
      <c r="AF6" s="55"/>
      <c r="AG6" s="55"/>
      <c r="AH6" s="55"/>
      <c r="AJ6" s="55" t="s">
        <v>109</v>
      </c>
      <c r="AK6" s="55"/>
      <c r="AL6" s="55"/>
      <c r="AM6" s="55"/>
      <c r="AN6" s="55"/>
      <c r="AO6" s="55"/>
      <c r="AP6" s="55"/>
      <c r="AR6" s="55" t="s">
        <v>109</v>
      </c>
      <c r="AS6" s="55"/>
      <c r="AT6" s="55"/>
      <c r="AU6" s="55"/>
      <c r="AV6" s="55"/>
      <c r="AW6" s="55"/>
      <c r="AX6" s="55"/>
      <c r="AZ6" s="73" t="s">
        <v>175</v>
      </c>
      <c r="BA6" s="5"/>
      <c r="BB6" s="5"/>
      <c r="BC6" s="5"/>
      <c r="BD6" s="5"/>
      <c r="BE6" s="5"/>
      <c r="BF6" s="5"/>
    </row>
    <row r="7" spans="1:58">
      <c r="A7" s="12" t="s">
        <v>17</v>
      </c>
      <c r="B7" s="12" t="s">
        <v>26</v>
      </c>
      <c r="C7" s="12" t="s">
        <v>27</v>
      </c>
      <c r="D7" s="13">
        <v>1</v>
      </c>
      <c r="E7" s="13">
        <v>1</v>
      </c>
      <c r="I7" t="s">
        <v>15</v>
      </c>
      <c r="J7">
        <f>J5/J6</f>
        <v>13.984251968503935</v>
      </c>
      <c r="K7" t="s">
        <v>44</v>
      </c>
      <c r="M7" s="19"/>
      <c r="O7">
        <f>O5/O6</f>
        <v>8.4395604395604398</v>
      </c>
      <c r="P7" s="19"/>
      <c r="W7" s="17" t="s">
        <v>23</v>
      </c>
      <c r="X7" s="18" t="s">
        <v>24</v>
      </c>
      <c r="Y7" t="s">
        <v>105</v>
      </c>
      <c r="Z7" t="s">
        <v>104</v>
      </c>
      <c r="AB7" s="55"/>
      <c r="AC7" s="57" t="s">
        <v>110</v>
      </c>
      <c r="AD7" s="55">
        <v>0.7</v>
      </c>
      <c r="AE7" s="55" t="s">
        <v>129</v>
      </c>
      <c r="AF7" s="55" t="s">
        <v>130</v>
      </c>
      <c r="AG7" s="55"/>
      <c r="AH7" s="55"/>
      <c r="AJ7" s="55"/>
      <c r="AK7" s="57" t="s">
        <v>110</v>
      </c>
      <c r="AL7" s="55">
        <v>500</v>
      </c>
      <c r="AM7" s="55" t="s">
        <v>59</v>
      </c>
      <c r="AN7" s="55" t="s">
        <v>153</v>
      </c>
      <c r="AO7" s="58">
        <v>0.35</v>
      </c>
      <c r="AP7" s="55">
        <f>AL7*(1-AO7)</f>
        <v>325</v>
      </c>
      <c r="AQ7" s="54"/>
      <c r="AR7" s="55"/>
      <c r="AS7" s="57" t="s">
        <v>110</v>
      </c>
      <c r="AT7" s="55">
        <v>560</v>
      </c>
      <c r="AU7" s="55" t="s">
        <v>59</v>
      </c>
      <c r="AV7" s="55" t="s">
        <v>153</v>
      </c>
      <c r="AW7" s="58">
        <v>0.12</v>
      </c>
      <c r="AX7" s="55">
        <f>AT7*(1-AW7)</f>
        <v>492.8</v>
      </c>
      <c r="BA7" s="74" t="s">
        <v>65</v>
      </c>
      <c r="BB7" s="74" t="s">
        <v>176</v>
      </c>
      <c r="BC7" s="74" t="s">
        <v>177</v>
      </c>
      <c r="BD7" s="74" t="s">
        <v>178</v>
      </c>
      <c r="BE7" s="74" t="s">
        <v>179</v>
      </c>
      <c r="BF7" s="74" t="s">
        <v>178</v>
      </c>
    </row>
    <row r="8" spans="1:58">
      <c r="A8" s="14" t="s">
        <v>18</v>
      </c>
      <c r="B8" s="14" t="s">
        <v>29</v>
      </c>
      <c r="C8" s="14" t="s">
        <v>25</v>
      </c>
      <c r="D8" s="15">
        <v>1</v>
      </c>
      <c r="E8" s="15">
        <v>1</v>
      </c>
      <c r="I8" s="21" t="s">
        <v>42</v>
      </c>
      <c r="J8" s="22">
        <v>0.32</v>
      </c>
      <c r="M8" s="19"/>
      <c r="O8" s="22">
        <v>0.32</v>
      </c>
      <c r="P8" s="19"/>
      <c r="T8" s="10" t="s">
        <v>98</v>
      </c>
      <c r="U8" s="10" t="s">
        <v>36</v>
      </c>
      <c r="V8" s="10" t="s">
        <v>25</v>
      </c>
      <c r="W8" s="51">
        <f>Y8/$Y$10</f>
        <v>2.2222222222222223</v>
      </c>
      <c r="X8" s="51">
        <f>Z8/$Z$10</f>
        <v>2.8571428571428572</v>
      </c>
      <c r="Y8" s="51">
        <f>T6</f>
        <v>69</v>
      </c>
      <c r="Z8">
        <f>Y8*Y6</f>
        <v>34.5</v>
      </c>
      <c r="AB8" s="55"/>
      <c r="AC8" s="57" t="s">
        <v>111</v>
      </c>
      <c r="AD8" s="58">
        <v>0.3</v>
      </c>
      <c r="AE8" s="55" t="s">
        <v>131</v>
      </c>
      <c r="AF8" s="55"/>
      <c r="AG8" s="55"/>
      <c r="AH8" s="55"/>
      <c r="AJ8" s="55"/>
      <c r="AK8" s="57" t="s">
        <v>111</v>
      </c>
      <c r="AL8" s="67">
        <v>200</v>
      </c>
      <c r="AM8" s="55" t="s">
        <v>59</v>
      </c>
      <c r="AN8" s="55" t="s">
        <v>154</v>
      </c>
      <c r="AO8" s="58">
        <v>0.05</v>
      </c>
      <c r="AP8" s="55">
        <f>AL8*(1-AO8)</f>
        <v>190</v>
      </c>
      <c r="AQ8" s="54"/>
      <c r="AR8" s="55"/>
      <c r="AS8" s="57" t="s">
        <v>111</v>
      </c>
      <c r="AT8" s="67">
        <v>120</v>
      </c>
      <c r="AU8" s="55" t="s">
        <v>59</v>
      </c>
      <c r="AV8" s="55" t="s">
        <v>168</v>
      </c>
      <c r="AW8" s="58">
        <v>0</v>
      </c>
      <c r="AX8" s="55">
        <f>AT8*(1-AW8)</f>
        <v>120</v>
      </c>
      <c r="AZ8" s="75" t="s">
        <v>180</v>
      </c>
      <c r="BA8" s="5"/>
      <c r="BB8" s="5"/>
      <c r="BC8" s="5"/>
      <c r="BD8" s="5"/>
      <c r="BE8" s="5"/>
      <c r="BF8" s="5"/>
    </row>
    <row r="9" spans="1:58">
      <c r="A9" s="12" t="s">
        <v>18</v>
      </c>
      <c r="B9" s="12" t="s">
        <v>28</v>
      </c>
      <c r="C9" s="12" t="s">
        <v>27</v>
      </c>
      <c r="D9" s="13">
        <v>1</v>
      </c>
      <c r="E9" s="13">
        <v>1</v>
      </c>
      <c r="I9" t="s">
        <v>15</v>
      </c>
      <c r="J9">
        <f>J7*J8</f>
        <v>4.4749606299212594</v>
      </c>
      <c r="K9" t="s">
        <v>43</v>
      </c>
      <c r="M9" s="19">
        <f>J9/$J$3</f>
        <v>0.14398200224971877</v>
      </c>
      <c r="O9">
        <f>O7*O8</f>
        <v>2.7006593406593407</v>
      </c>
      <c r="P9" s="19">
        <f>O9/$O$3</f>
        <v>0.16879120879120879</v>
      </c>
      <c r="T9" s="10" t="str">
        <f>T8</f>
        <v>pyrBMC60</v>
      </c>
      <c r="U9" s="4" t="s">
        <v>30</v>
      </c>
      <c r="V9" s="4" t="s">
        <v>27</v>
      </c>
      <c r="W9" s="47">
        <f>Y9/$Y$10</f>
        <v>0.14398200224971877</v>
      </c>
      <c r="X9" s="51">
        <f>Z9/$Z$10</f>
        <v>0.18511971717820988</v>
      </c>
      <c r="Y9" s="51">
        <f>T6/X6*V6</f>
        <v>4.470641169853768</v>
      </c>
      <c r="Z9">
        <f>Z8/X6*V6</f>
        <v>2.235320584926884</v>
      </c>
      <c r="AB9" s="55"/>
      <c r="AC9" s="57" t="s">
        <v>112</v>
      </c>
      <c r="AD9" s="55">
        <v>1200</v>
      </c>
      <c r="AE9" s="55" t="s">
        <v>116</v>
      </c>
      <c r="AF9" s="55"/>
      <c r="AG9" s="55"/>
      <c r="AH9" s="55"/>
      <c r="AJ9" s="55"/>
      <c r="AK9" s="57" t="s">
        <v>112</v>
      </c>
      <c r="AL9" s="55">
        <v>700</v>
      </c>
      <c r="AM9" s="55" t="s">
        <v>116</v>
      </c>
      <c r="AN9" s="55"/>
      <c r="AO9" s="58"/>
      <c r="AP9" s="55"/>
      <c r="AQ9" s="54"/>
      <c r="AR9" s="55"/>
      <c r="AS9" s="57" t="s">
        <v>112</v>
      </c>
      <c r="AT9" s="55">
        <v>900</v>
      </c>
      <c r="AU9" s="55" t="s">
        <v>116</v>
      </c>
      <c r="AV9" s="55"/>
      <c r="AW9" s="58"/>
      <c r="AX9" s="55"/>
      <c r="AZ9" s="76" t="s">
        <v>64</v>
      </c>
      <c r="BA9" s="38">
        <v>151.51999999999998</v>
      </c>
      <c r="BB9" s="38">
        <v>92.27567999999998</v>
      </c>
      <c r="BC9" s="38">
        <v>492.43999999999988</v>
      </c>
      <c r="BD9" s="77">
        <v>1</v>
      </c>
      <c r="BE9" s="38">
        <v>46.13783999999999</v>
      </c>
      <c r="BF9" s="77">
        <v>1</v>
      </c>
    </row>
    <row r="10" spans="1:58">
      <c r="A10" s="14" t="s">
        <v>20</v>
      </c>
      <c r="B10" s="14" t="s">
        <v>28</v>
      </c>
      <c r="C10" s="14" t="s">
        <v>25</v>
      </c>
      <c r="D10" s="15">
        <v>1</v>
      </c>
      <c r="E10" s="15">
        <v>1</v>
      </c>
      <c r="I10" s="21" t="s">
        <v>49</v>
      </c>
      <c r="J10" s="22">
        <v>0.05</v>
      </c>
      <c r="K10" t="s">
        <v>50</v>
      </c>
      <c r="O10" s="22">
        <v>0.05</v>
      </c>
      <c r="P10" s="19"/>
      <c r="T10" s="10" t="str">
        <f t="shared" ref="T10:T11" si="0">T9</f>
        <v>pyrBMC60</v>
      </c>
      <c r="U10" s="10" t="s">
        <v>26</v>
      </c>
      <c r="V10" s="10" t="s">
        <v>27</v>
      </c>
      <c r="W10" s="51">
        <f>Y10/$Y$10</f>
        <v>1</v>
      </c>
      <c r="X10" s="51">
        <f>Z10/$Z$10</f>
        <v>1</v>
      </c>
      <c r="Y10" s="53">
        <f>T6*U6</f>
        <v>31.05</v>
      </c>
      <c r="Z10">
        <f>Z8*Z6</f>
        <v>12.074999999999999</v>
      </c>
      <c r="AB10" s="55"/>
      <c r="AC10" s="57" t="s">
        <v>113</v>
      </c>
      <c r="AD10" s="55" t="s">
        <v>132</v>
      </c>
      <c r="AE10" s="55"/>
      <c r="AF10" s="55"/>
      <c r="AG10" s="55"/>
      <c r="AH10" s="55"/>
      <c r="AJ10" s="55"/>
      <c r="AK10" s="57" t="s">
        <v>113</v>
      </c>
      <c r="AL10" s="55">
        <v>150</v>
      </c>
      <c r="AM10" s="55" t="s">
        <v>116</v>
      </c>
      <c r="AN10" s="55"/>
      <c r="AO10" s="55"/>
      <c r="AP10" s="55"/>
      <c r="AQ10" s="54"/>
      <c r="AR10" s="55"/>
      <c r="AS10" s="57" t="s">
        <v>113</v>
      </c>
      <c r="AT10" s="55">
        <v>0</v>
      </c>
      <c r="AU10" s="55" t="s">
        <v>116</v>
      </c>
      <c r="AV10" s="55"/>
      <c r="AW10" s="55"/>
      <c r="AX10" s="55"/>
      <c r="AZ10" s="76" t="s">
        <v>181</v>
      </c>
      <c r="BA10" s="38">
        <v>294.99284717987661</v>
      </c>
      <c r="BB10" s="78" t="s">
        <v>119</v>
      </c>
      <c r="BC10" s="78" t="s">
        <v>119</v>
      </c>
      <c r="BD10" s="78" t="s">
        <v>119</v>
      </c>
      <c r="BE10" s="78" t="s">
        <v>119</v>
      </c>
      <c r="BF10" s="78" t="s">
        <v>119</v>
      </c>
    </row>
    <row r="11" spans="1:58">
      <c r="A11" s="12" t="s">
        <v>20</v>
      </c>
      <c r="B11" s="12" t="s">
        <v>26</v>
      </c>
      <c r="C11" s="12" t="s">
        <v>27</v>
      </c>
      <c r="D11" s="13">
        <v>1</v>
      </c>
      <c r="E11" s="13">
        <v>1</v>
      </c>
      <c r="I11" t="s">
        <v>15</v>
      </c>
      <c r="J11">
        <f>J5*J10</f>
        <v>3.4533333333333331</v>
      </c>
      <c r="K11" t="s">
        <v>48</v>
      </c>
      <c r="M11">
        <f>J11/$J$3</f>
        <v>0.1111111111111111</v>
      </c>
      <c r="O11">
        <f>O5*O10</f>
        <v>2.285714285714286</v>
      </c>
      <c r="P11" s="19">
        <f t="shared" ref="P11" si="1">O11/$O$3</f>
        <v>0.14285714285714288</v>
      </c>
      <c r="T11" s="10" t="str">
        <f t="shared" si="0"/>
        <v>pyrBMC60</v>
      </c>
      <c r="U11" s="12" t="s">
        <v>28</v>
      </c>
      <c r="V11" s="12" t="s">
        <v>25</v>
      </c>
      <c r="W11" s="19">
        <f>Y11/$Y$10</f>
        <v>9.7777777777777783E-2</v>
      </c>
      <c r="X11" s="19">
        <f>Z11/$Z$10</f>
        <v>0.12571428571428572</v>
      </c>
      <c r="Y11" s="51">
        <f>T6*W6</f>
        <v>3.036</v>
      </c>
      <c r="Z11">
        <f>Z8*W6</f>
        <v>1.518</v>
      </c>
      <c r="AB11" s="55" t="s">
        <v>114</v>
      </c>
      <c r="AC11" s="55"/>
      <c r="AD11" s="55"/>
      <c r="AE11" s="55"/>
      <c r="AF11" s="55"/>
      <c r="AG11" s="55"/>
      <c r="AH11" s="55"/>
      <c r="AJ11" s="55" t="s">
        <v>114</v>
      </c>
      <c r="AK11" s="55"/>
      <c r="AL11" s="55"/>
      <c r="AM11" s="55"/>
      <c r="AN11" s="55"/>
      <c r="AO11" s="55"/>
      <c r="AP11" s="55"/>
      <c r="AQ11" s="54"/>
      <c r="AR11" s="55" t="s">
        <v>114</v>
      </c>
      <c r="AS11" s="55"/>
      <c r="AT11" s="55"/>
      <c r="AU11" s="55"/>
      <c r="AV11" s="55"/>
      <c r="AW11" s="55"/>
      <c r="AX11" s="55"/>
      <c r="AZ11" s="79"/>
      <c r="BA11" s="79"/>
      <c r="BB11" s="38"/>
      <c r="BC11" s="79"/>
      <c r="BD11" s="77"/>
      <c r="BE11" s="38"/>
      <c r="BF11" s="79"/>
    </row>
    <row r="12" spans="1:58">
      <c r="A12" s="10" t="s">
        <v>51</v>
      </c>
      <c r="B12" s="10" t="s">
        <v>26</v>
      </c>
      <c r="C12" s="10" t="s">
        <v>27</v>
      </c>
      <c r="D12" s="11">
        <v>1</v>
      </c>
      <c r="E12" s="11">
        <v>1</v>
      </c>
      <c r="AB12" s="55"/>
      <c r="AC12" s="55" t="s">
        <v>115</v>
      </c>
      <c r="AD12" s="55">
        <v>450</v>
      </c>
      <c r="AE12" s="55" t="s">
        <v>116</v>
      </c>
      <c r="AF12" s="55" t="s">
        <v>117</v>
      </c>
      <c r="AG12" s="55"/>
      <c r="AH12" s="55"/>
      <c r="AJ12" s="55"/>
      <c r="AK12" s="55" t="s">
        <v>115</v>
      </c>
      <c r="AL12" s="55">
        <v>10</v>
      </c>
      <c r="AM12" s="55" t="s">
        <v>116</v>
      </c>
      <c r="AN12" s="55" t="s">
        <v>117</v>
      </c>
      <c r="AO12" s="55"/>
      <c r="AP12" s="55"/>
      <c r="AQ12" s="54"/>
      <c r="AR12" s="55"/>
      <c r="AS12" s="55" t="s">
        <v>115</v>
      </c>
      <c r="AT12" s="55">
        <v>20</v>
      </c>
      <c r="AU12" s="55" t="s">
        <v>116</v>
      </c>
      <c r="AV12" s="55" t="s">
        <v>117</v>
      </c>
      <c r="AW12" s="55"/>
      <c r="AX12" s="55"/>
      <c r="AZ12" s="75" t="s">
        <v>182</v>
      </c>
      <c r="BA12" s="59"/>
      <c r="BB12" s="80"/>
      <c r="BC12" s="59"/>
      <c r="BD12" s="81"/>
      <c r="BE12" s="80"/>
      <c r="BF12" s="59"/>
    </row>
    <row r="13" spans="1:58">
      <c r="A13" s="10" t="s">
        <v>51</v>
      </c>
      <c r="B13" s="10" t="s">
        <v>36</v>
      </c>
      <c r="C13" s="10" t="s">
        <v>25</v>
      </c>
      <c r="D13" s="11">
        <v>1.667</v>
      </c>
      <c r="E13" s="11">
        <v>2.14</v>
      </c>
      <c r="T13" s="21" t="s">
        <v>100</v>
      </c>
      <c r="U13" s="21" t="s">
        <v>99</v>
      </c>
      <c r="V13" s="21" t="s">
        <v>30</v>
      </c>
      <c r="W13" s="21" t="s">
        <v>28</v>
      </c>
      <c r="X13" s="21" t="s">
        <v>101</v>
      </c>
      <c r="Y13" s="21" t="s">
        <v>102</v>
      </c>
      <c r="Z13" s="21" t="s">
        <v>103</v>
      </c>
      <c r="AB13" s="55"/>
      <c r="AC13" s="55" t="s">
        <v>118</v>
      </c>
      <c r="AD13" s="55" t="s">
        <v>119</v>
      </c>
      <c r="AE13" s="55"/>
      <c r="AF13" s="55"/>
      <c r="AG13" s="55"/>
      <c r="AH13" s="55"/>
      <c r="AJ13" s="55"/>
      <c r="AK13" s="55"/>
      <c r="AL13" s="55"/>
      <c r="AM13" s="55"/>
      <c r="AN13" s="55"/>
      <c r="AO13" s="55"/>
      <c r="AP13" s="55"/>
      <c r="AQ13" s="54"/>
      <c r="AR13" s="55"/>
      <c r="AS13" s="55" t="s">
        <v>118</v>
      </c>
      <c r="AT13" s="55"/>
      <c r="AU13" s="55"/>
      <c r="AV13" s="55"/>
      <c r="AW13" s="55"/>
      <c r="AX13" s="55"/>
      <c r="AZ13" s="76" t="s">
        <v>183</v>
      </c>
      <c r="BA13" s="38">
        <v>36.05127777777777</v>
      </c>
      <c r="BB13" s="38">
        <v>27.038458333333327</v>
      </c>
      <c r="BC13" s="38">
        <v>225.32048611111108</v>
      </c>
      <c r="BD13" s="77">
        <v>0.4575592683598228</v>
      </c>
      <c r="BE13" s="38">
        <v>22.171535833333326</v>
      </c>
      <c r="BF13" s="77">
        <v>0.48054993110499605</v>
      </c>
    </row>
    <row r="14" spans="1:58">
      <c r="A14" s="10" t="s">
        <v>51</v>
      </c>
      <c r="B14" s="4" t="s">
        <v>30</v>
      </c>
      <c r="C14" s="4" t="s">
        <v>27</v>
      </c>
      <c r="D14" s="11">
        <v>0.10799</v>
      </c>
      <c r="E14" s="11">
        <v>0.125</v>
      </c>
      <c r="I14" t="s">
        <v>17</v>
      </c>
      <c r="J14">
        <v>15</v>
      </c>
      <c r="K14" t="s">
        <v>46</v>
      </c>
      <c r="M14">
        <f>J14/$J$14</f>
        <v>1</v>
      </c>
      <c r="O14">
        <v>7.5</v>
      </c>
      <c r="P14">
        <f>O14/$O$14</f>
        <v>1</v>
      </c>
      <c r="T14" s="21">
        <v>160</v>
      </c>
      <c r="U14" s="22">
        <v>0.47</v>
      </c>
      <c r="V14" s="22">
        <v>0.32</v>
      </c>
      <c r="W14" s="52">
        <v>1.9E-2</v>
      </c>
      <c r="X14" s="21">
        <f>17.78/3.6</f>
        <v>4.9388888888888891</v>
      </c>
      <c r="Y14" s="48">
        <v>0.5</v>
      </c>
      <c r="Z14" s="48">
        <v>0.38</v>
      </c>
      <c r="AB14" s="55"/>
      <c r="AC14" s="55"/>
      <c r="AD14" s="55"/>
      <c r="AE14" s="55"/>
      <c r="AF14" s="55"/>
      <c r="AG14" s="55"/>
      <c r="AH14" s="55"/>
      <c r="AJ14" s="55"/>
      <c r="AK14" s="55"/>
      <c r="AL14" s="55"/>
      <c r="AM14" s="55"/>
      <c r="AN14" s="55"/>
      <c r="AO14" s="55"/>
      <c r="AP14" s="55"/>
      <c r="AQ14" s="54"/>
      <c r="AR14" s="55"/>
      <c r="AS14" s="55"/>
      <c r="AT14" s="55"/>
      <c r="AU14" s="55"/>
      <c r="AV14" s="55"/>
      <c r="AW14" s="55"/>
      <c r="AX14" s="55"/>
      <c r="AZ14" s="76" t="s">
        <v>184</v>
      </c>
      <c r="BA14" s="38">
        <v>410.4615694020988</v>
      </c>
      <c r="BB14" s="78" t="s">
        <v>119</v>
      </c>
      <c r="BC14" s="78" t="s">
        <v>119</v>
      </c>
      <c r="BD14" s="78" t="s">
        <v>119</v>
      </c>
      <c r="BE14" s="78" t="s">
        <v>119</v>
      </c>
      <c r="BF14" s="78" t="s">
        <v>119</v>
      </c>
    </row>
    <row r="15" spans="1:58">
      <c r="A15" s="12" t="s">
        <v>51</v>
      </c>
      <c r="B15" s="12" t="s">
        <v>28</v>
      </c>
      <c r="C15" s="12" t="s">
        <v>25</v>
      </c>
      <c r="D15" s="13">
        <v>0.33</v>
      </c>
      <c r="E15" s="13">
        <v>0.35699999999999998</v>
      </c>
      <c r="I15" t="s">
        <v>47</v>
      </c>
      <c r="J15">
        <v>4.0999999999999996</v>
      </c>
      <c r="O15">
        <v>3.5</v>
      </c>
      <c r="W15" s="17" t="s">
        <v>23</v>
      </c>
      <c r="X15" s="18" t="s">
        <v>24</v>
      </c>
      <c r="Y15" t="s">
        <v>105</v>
      </c>
      <c r="Z15" t="s">
        <v>104</v>
      </c>
      <c r="AB15" s="55" t="s">
        <v>120</v>
      </c>
      <c r="AC15" s="55"/>
      <c r="AD15" s="55"/>
      <c r="AE15" s="55"/>
      <c r="AF15" s="55"/>
      <c r="AG15" s="55"/>
      <c r="AH15" s="55"/>
      <c r="AJ15" s="55" t="s">
        <v>120</v>
      </c>
      <c r="AK15" s="55"/>
      <c r="AL15" s="55"/>
      <c r="AM15" s="55"/>
      <c r="AN15" s="55"/>
      <c r="AO15" s="55"/>
      <c r="AP15" s="55"/>
      <c r="AR15" s="55" t="s">
        <v>120</v>
      </c>
      <c r="AS15" s="55"/>
      <c r="AT15" s="55"/>
      <c r="AU15" s="55"/>
      <c r="AV15" s="55"/>
      <c r="AW15" s="55"/>
      <c r="AX15" s="55"/>
      <c r="AZ15" s="76" t="s">
        <v>88</v>
      </c>
      <c r="BA15" s="82" t="s">
        <v>119</v>
      </c>
      <c r="BB15" s="78" t="s">
        <v>119</v>
      </c>
      <c r="BC15" s="38">
        <v>148.36000000000001</v>
      </c>
      <c r="BD15" s="77">
        <v>0.30127528226789058</v>
      </c>
      <c r="BE15" s="78" t="s">
        <v>119</v>
      </c>
      <c r="BF15" s="78" t="s">
        <v>119</v>
      </c>
    </row>
    <row r="16" spans="1:58">
      <c r="A16" s="10" t="s">
        <v>55</v>
      </c>
      <c r="B16" s="10" t="s">
        <v>36</v>
      </c>
      <c r="C16" s="10" t="s">
        <v>25</v>
      </c>
      <c r="D16" s="103">
        <v>1.1111111111111112</v>
      </c>
      <c r="E16" s="103">
        <v>1.2499999999999998</v>
      </c>
      <c r="F16" s="47"/>
      <c r="I16" t="s">
        <v>17</v>
      </c>
      <c r="J16">
        <f>J14/J15</f>
        <v>3.6585365853658538</v>
      </c>
      <c r="K16" t="s">
        <v>48</v>
      </c>
      <c r="M16" s="19">
        <f>J16/$J$14</f>
        <v>0.24390243902439027</v>
      </c>
      <c r="O16">
        <f>O14/O15</f>
        <v>2.1428571428571428</v>
      </c>
      <c r="P16" s="19">
        <f t="shared" ref="P16" si="2">O16/$O$14</f>
        <v>0.2857142857142857</v>
      </c>
      <c r="T16" s="10" t="s">
        <v>106</v>
      </c>
      <c r="U16" s="10" t="s">
        <v>36</v>
      </c>
      <c r="V16" s="10" t="s">
        <v>25</v>
      </c>
      <c r="W16" s="51">
        <f>Y16/$Y$18</f>
        <v>2.1276595744680855</v>
      </c>
      <c r="X16" s="51">
        <f>Z16/$Z$18</f>
        <v>2.6315789473684212</v>
      </c>
      <c r="Y16" s="51">
        <f>T14</f>
        <v>160</v>
      </c>
      <c r="Z16">
        <f>Y16*Y14</f>
        <v>80</v>
      </c>
      <c r="AB16" s="55"/>
      <c r="AC16" s="55" t="s">
        <v>121</v>
      </c>
      <c r="AD16" s="55">
        <f>14.3*8.1</f>
        <v>115.83</v>
      </c>
      <c r="AE16" s="55" t="s">
        <v>122</v>
      </c>
      <c r="AF16" s="55"/>
      <c r="AG16" s="55"/>
      <c r="AH16" s="55"/>
      <c r="AJ16" s="55"/>
      <c r="AK16" s="55" t="s">
        <v>121</v>
      </c>
      <c r="AL16" s="55">
        <v>500</v>
      </c>
      <c r="AM16" s="55" t="s">
        <v>122</v>
      </c>
      <c r="AN16" s="55"/>
      <c r="AO16" s="55"/>
      <c r="AP16" s="55"/>
      <c r="AR16" s="55"/>
      <c r="AS16" s="55" t="s">
        <v>121</v>
      </c>
      <c r="AT16" s="55">
        <f>2*5.8</f>
        <v>11.6</v>
      </c>
      <c r="AU16" s="55" t="s">
        <v>122</v>
      </c>
      <c r="AV16" s="55"/>
      <c r="AW16" s="55"/>
      <c r="AX16" s="55"/>
      <c r="AZ16" s="76" t="s">
        <v>185</v>
      </c>
      <c r="BA16" s="78" t="s">
        <v>119</v>
      </c>
      <c r="BB16" s="78" t="s">
        <v>119</v>
      </c>
      <c r="BC16" s="38">
        <v>118.75951388888882</v>
      </c>
      <c r="BD16" s="77">
        <v>0.24116544937228668</v>
      </c>
      <c r="BE16" s="38">
        <v>23.966304166666664</v>
      </c>
      <c r="BF16" s="77">
        <v>0.51945006889500389</v>
      </c>
    </row>
    <row r="17" spans="1:58">
      <c r="A17" s="10" t="s">
        <v>55</v>
      </c>
      <c r="B17" s="10" t="s">
        <v>26</v>
      </c>
      <c r="C17" s="10" t="s">
        <v>27</v>
      </c>
      <c r="D17" s="103">
        <v>1</v>
      </c>
      <c r="E17" s="103">
        <v>1</v>
      </c>
      <c r="T17" s="10" t="str">
        <f>T16</f>
        <v>pyrBMC160</v>
      </c>
      <c r="U17" s="4" t="s">
        <v>30</v>
      </c>
      <c r="V17" s="4" t="s">
        <v>27</v>
      </c>
      <c r="W17" s="51">
        <f t="shared" ref="W17:W19" si="3">Y17/$Y$18</f>
        <v>0.13785510853696478</v>
      </c>
      <c r="X17" s="51">
        <f t="shared" ref="X17:X19" si="4">Z17/$Z$18</f>
        <v>0.17050500266414065</v>
      </c>
      <c r="Y17" s="51">
        <f>T14/X14*V14</f>
        <v>10.366704161979751</v>
      </c>
      <c r="Z17">
        <f>Z16/X14*V14</f>
        <v>5.1833520809898754</v>
      </c>
      <c r="AB17" s="55" t="s">
        <v>123</v>
      </c>
      <c r="AC17" s="55"/>
      <c r="AD17" s="55"/>
      <c r="AE17" s="55"/>
      <c r="AF17" s="55"/>
      <c r="AG17" s="55"/>
      <c r="AH17" s="55"/>
      <c r="AJ17" s="55" t="s">
        <v>123</v>
      </c>
      <c r="AK17" s="55"/>
      <c r="AL17" s="55"/>
      <c r="AM17" s="55"/>
      <c r="AN17" s="55"/>
      <c r="AO17" s="55"/>
      <c r="AP17" s="55"/>
      <c r="AR17" s="55" t="s">
        <v>123</v>
      </c>
      <c r="AS17" s="55"/>
      <c r="AT17" s="55"/>
      <c r="AU17" s="55"/>
      <c r="AV17" s="55"/>
      <c r="AW17" s="55"/>
      <c r="AX17" s="55"/>
      <c r="AZ17" s="1"/>
      <c r="BA17" s="1"/>
      <c r="BB17" s="1"/>
      <c r="BC17" s="1"/>
      <c r="BD17" s="77"/>
      <c r="BE17" s="79"/>
      <c r="BF17" s="79"/>
    </row>
    <row r="18" spans="1:58">
      <c r="A18" s="12" t="s">
        <v>55</v>
      </c>
      <c r="B18" s="12" t="s">
        <v>28</v>
      </c>
      <c r="C18" s="12" t="s">
        <v>25</v>
      </c>
      <c r="D18" s="104">
        <v>3.888888888888889E-2</v>
      </c>
      <c r="E18" s="104">
        <v>4.3749999999999997E-2</v>
      </c>
      <c r="T18" s="10" t="str">
        <f t="shared" ref="T18:T19" si="5">T17</f>
        <v>pyrBMC160</v>
      </c>
      <c r="U18" s="10" t="s">
        <v>26</v>
      </c>
      <c r="V18" s="10" t="s">
        <v>27</v>
      </c>
      <c r="W18" s="51">
        <f t="shared" si="3"/>
        <v>1</v>
      </c>
      <c r="X18" s="51">
        <f t="shared" si="4"/>
        <v>1</v>
      </c>
      <c r="Y18" s="53">
        <f>T14*U14</f>
        <v>75.199999999999989</v>
      </c>
      <c r="Z18">
        <f>Z16*Z14</f>
        <v>30.4</v>
      </c>
      <c r="AB18" s="55"/>
      <c r="AC18" s="55" t="s">
        <v>124</v>
      </c>
      <c r="AD18" s="55"/>
      <c r="AE18" s="55"/>
      <c r="AF18" s="55"/>
      <c r="AG18" s="55"/>
      <c r="AH18" s="55"/>
      <c r="AJ18" s="55"/>
      <c r="AK18" s="55" t="s">
        <v>155</v>
      </c>
      <c r="AL18" s="55"/>
      <c r="AM18" s="55"/>
      <c r="AN18" s="55"/>
      <c r="AO18" s="55"/>
      <c r="AP18" s="55"/>
      <c r="AR18" s="55"/>
      <c r="AS18" s="55" t="s">
        <v>124</v>
      </c>
      <c r="AT18" s="55"/>
      <c r="AU18" s="55"/>
      <c r="AV18" s="55"/>
      <c r="AW18" s="55"/>
      <c r="AX18" s="55"/>
      <c r="AZ18" s="75" t="s">
        <v>186</v>
      </c>
      <c r="BA18" s="59"/>
      <c r="BB18" s="59"/>
      <c r="BC18" s="59"/>
      <c r="BD18" s="59"/>
      <c r="BE18" s="59"/>
      <c r="BF18" s="59"/>
    </row>
    <row r="19" spans="1:58">
      <c r="A19" s="10" t="s">
        <v>66</v>
      </c>
      <c r="B19" s="10" t="str">
        <f t="shared" ref="B19:E22" si="6">B2</f>
        <v>pellets</v>
      </c>
      <c r="C19" s="10" t="str">
        <f t="shared" si="6"/>
        <v>In</v>
      </c>
      <c r="D19" s="11">
        <f t="shared" si="6"/>
        <v>2.2200000000000002</v>
      </c>
      <c r="E19" s="11">
        <f t="shared" si="6"/>
        <v>2.86</v>
      </c>
      <c r="I19" t="s">
        <v>52</v>
      </c>
      <c r="T19" s="10" t="str">
        <f t="shared" si="5"/>
        <v>pyrBMC160</v>
      </c>
      <c r="U19" s="12" t="s">
        <v>28</v>
      </c>
      <c r="V19" s="12" t="s">
        <v>25</v>
      </c>
      <c r="W19" s="19">
        <f t="shared" si="3"/>
        <v>4.0425531914893627E-2</v>
      </c>
      <c r="X19" s="19">
        <f t="shared" si="4"/>
        <v>0.05</v>
      </c>
      <c r="Y19" s="51">
        <f>T14*W14</f>
        <v>3.04</v>
      </c>
      <c r="Z19">
        <f>Z16*W14</f>
        <v>1.52</v>
      </c>
      <c r="AB19" s="55" t="s">
        <v>125</v>
      </c>
      <c r="AC19" s="55"/>
      <c r="AD19" s="55"/>
      <c r="AE19" s="55"/>
      <c r="AF19" s="55"/>
      <c r="AG19" s="55"/>
      <c r="AH19" s="55"/>
      <c r="AJ19" s="55" t="s">
        <v>125</v>
      </c>
      <c r="AK19" s="55"/>
      <c r="AL19" s="55"/>
      <c r="AM19" s="55"/>
      <c r="AN19" s="55"/>
      <c r="AO19" s="55"/>
      <c r="AP19" s="55"/>
      <c r="AR19" s="55" t="s">
        <v>125</v>
      </c>
      <c r="AS19" s="55"/>
      <c r="AT19" s="55"/>
      <c r="AU19" s="55"/>
      <c r="AV19" s="55"/>
      <c r="AW19" s="55"/>
      <c r="AX19" s="55"/>
      <c r="AZ19" s="76" t="s">
        <v>187</v>
      </c>
      <c r="BA19" s="83">
        <v>0.23793081954710779</v>
      </c>
      <c r="BB19" s="83">
        <v>0.29301825067377812</v>
      </c>
      <c r="BC19" s="84">
        <v>0.4575592683598228</v>
      </c>
      <c r="BD19" s="79"/>
      <c r="BE19" s="79"/>
      <c r="BF19" s="79"/>
    </row>
    <row r="20" spans="1:58">
      <c r="A20" s="4" t="s">
        <v>66</v>
      </c>
      <c r="B20" s="4" t="str">
        <f t="shared" si="6"/>
        <v>biochar</v>
      </c>
      <c r="C20" s="4" t="str">
        <f t="shared" si="6"/>
        <v>Out</v>
      </c>
      <c r="D20" s="9">
        <f t="shared" si="6"/>
        <v>0.14000000000000001</v>
      </c>
      <c r="E20" s="9">
        <f t="shared" si="6"/>
        <v>0.17</v>
      </c>
      <c r="I20" t="s">
        <v>53</v>
      </c>
      <c r="Q20">
        <f>Q21/N21</f>
        <v>0.51480051480051481</v>
      </c>
      <c r="AB20" s="55"/>
      <c r="AC20" s="55" t="s">
        <v>126</v>
      </c>
      <c r="AD20" s="55"/>
      <c r="AE20" s="55"/>
      <c r="AF20" s="55"/>
      <c r="AG20" s="55"/>
      <c r="AH20" s="55"/>
      <c r="AJ20" s="55"/>
      <c r="AK20" s="55" t="s">
        <v>156</v>
      </c>
      <c r="AL20" s="55"/>
      <c r="AM20" s="55"/>
      <c r="AN20" s="55"/>
      <c r="AO20" s="55"/>
      <c r="AP20" s="55"/>
      <c r="AR20" s="55"/>
      <c r="AS20" s="55" t="s">
        <v>156</v>
      </c>
      <c r="AT20" s="55"/>
      <c r="AU20" s="55"/>
      <c r="AV20" s="55"/>
      <c r="AW20" s="55"/>
      <c r="AX20" s="55"/>
      <c r="AZ20" s="76" t="s">
        <v>188</v>
      </c>
      <c r="BA20" s="78" t="s">
        <v>119</v>
      </c>
      <c r="BB20" s="78" t="s">
        <v>119</v>
      </c>
      <c r="BC20" s="83">
        <v>0.30127528226789058</v>
      </c>
      <c r="BD20" s="79"/>
      <c r="BE20" s="1"/>
      <c r="BF20" s="1"/>
    </row>
    <row r="21" spans="1:58">
      <c r="A21" s="10" t="s">
        <v>66</v>
      </c>
      <c r="B21" s="10" t="str">
        <f t="shared" si="6"/>
        <v>heat</v>
      </c>
      <c r="C21" s="10" t="str">
        <f t="shared" si="6"/>
        <v>Out</v>
      </c>
      <c r="D21" s="11">
        <f t="shared" si="6"/>
        <v>1</v>
      </c>
      <c r="E21" s="11">
        <f t="shared" si="6"/>
        <v>1</v>
      </c>
      <c r="I21" s="24" t="str">
        <f t="shared" ref="I21:K29" si="7">I3</f>
        <v>pyr</v>
      </c>
      <c r="J21" s="25">
        <f t="shared" si="7"/>
        <v>31.08</v>
      </c>
      <c r="K21" s="26" t="str">
        <f t="shared" si="7"/>
        <v>kW heat output</v>
      </c>
      <c r="M21">
        <f>N21/$N$21</f>
        <v>1</v>
      </c>
      <c r="N21">
        <f>31.08/0.75</f>
        <v>41.44</v>
      </c>
      <c r="O21" t="s">
        <v>45</v>
      </c>
      <c r="Q21">
        <f>O3/0.75</f>
        <v>21.333333333333332</v>
      </c>
      <c r="R21">
        <f>Q21/$Q$21</f>
        <v>1</v>
      </c>
      <c r="T21" s="21" t="s">
        <v>100</v>
      </c>
      <c r="U21" s="21" t="s">
        <v>99</v>
      </c>
      <c r="V21" s="21" t="s">
        <v>30</v>
      </c>
      <c r="W21" s="21" t="s">
        <v>28</v>
      </c>
      <c r="X21" s="21" t="s">
        <v>101</v>
      </c>
      <c r="Y21" s="21" t="s">
        <v>102</v>
      </c>
      <c r="Z21" s="21" t="s">
        <v>103</v>
      </c>
      <c r="AB21" s="55" t="s">
        <v>127</v>
      </c>
      <c r="AC21" s="55"/>
      <c r="AD21" s="55"/>
      <c r="AE21" s="55"/>
      <c r="AF21" s="55"/>
      <c r="AG21" s="55"/>
      <c r="AH21" s="55"/>
      <c r="AJ21" s="55" t="s">
        <v>127</v>
      </c>
      <c r="AK21" s="55"/>
      <c r="AL21" s="55"/>
      <c r="AM21" s="55"/>
      <c r="AN21" s="55"/>
      <c r="AO21" s="55"/>
      <c r="AP21" s="55"/>
      <c r="AR21" s="55" t="s">
        <v>127</v>
      </c>
      <c r="AS21" s="55"/>
      <c r="AT21" s="55"/>
      <c r="AU21" s="55"/>
      <c r="AV21" s="55"/>
      <c r="AW21" s="55"/>
      <c r="AX21" s="55"/>
      <c r="AZ21" s="55"/>
      <c r="BA21" s="55"/>
      <c r="BB21" s="55"/>
      <c r="BC21" s="55"/>
      <c r="BD21" s="55"/>
      <c r="BE21" s="55"/>
      <c r="BF21" s="55"/>
    </row>
    <row r="22" spans="1:58">
      <c r="A22" s="12" t="s">
        <v>66</v>
      </c>
      <c r="B22" s="12" t="str">
        <f t="shared" si="6"/>
        <v>elec</v>
      </c>
      <c r="C22" s="12" t="str">
        <f t="shared" si="6"/>
        <v>In</v>
      </c>
      <c r="D22" s="13">
        <f t="shared" si="6"/>
        <v>0.11</v>
      </c>
      <c r="E22" s="13">
        <f t="shared" si="6"/>
        <v>0.14000000000000001</v>
      </c>
      <c r="I22" s="27" t="str">
        <f t="shared" si="7"/>
        <v>energy eff</v>
      </c>
      <c r="J22" s="28">
        <f t="shared" si="7"/>
        <v>0.45</v>
      </c>
      <c r="K22" s="29"/>
      <c r="T22" s="21">
        <v>250</v>
      </c>
      <c r="U22" s="22">
        <v>0.5</v>
      </c>
      <c r="V22" s="22">
        <v>0.32</v>
      </c>
      <c r="W22" s="52">
        <v>1.2E-2</v>
      </c>
      <c r="X22" s="21">
        <f>17.78/3.6</f>
        <v>4.9388888888888891</v>
      </c>
      <c r="Y22" s="48">
        <v>0.5</v>
      </c>
      <c r="Z22" s="48">
        <v>0.4</v>
      </c>
      <c r="AB22" s="55"/>
      <c r="AC22" s="56">
        <v>1300000</v>
      </c>
      <c r="AD22" s="55" t="s">
        <v>128</v>
      </c>
      <c r="AE22" s="55"/>
      <c r="AF22" s="55"/>
      <c r="AG22" s="55"/>
      <c r="AH22" s="55"/>
      <c r="AJ22" s="55"/>
      <c r="AK22" s="56">
        <v>600000</v>
      </c>
      <c r="AL22" s="55" t="s">
        <v>128</v>
      </c>
      <c r="AM22" s="55"/>
      <c r="AN22" s="55"/>
      <c r="AO22" s="55"/>
      <c r="AP22" s="55"/>
      <c r="AR22" s="55"/>
      <c r="AS22" s="56">
        <v>1000000</v>
      </c>
      <c r="AT22" s="55" t="s">
        <v>128</v>
      </c>
      <c r="AU22" s="55"/>
      <c r="AV22" s="55"/>
      <c r="AW22" s="55"/>
      <c r="AX22" s="55"/>
      <c r="AZ22" s="57" t="s">
        <v>189</v>
      </c>
      <c r="BA22" s="55" t="s">
        <v>190</v>
      </c>
      <c r="BB22" s="55"/>
      <c r="BC22" s="55"/>
      <c r="BD22" s="55"/>
      <c r="BE22" s="55"/>
      <c r="BF22" s="55"/>
    </row>
    <row r="23" spans="1:58">
      <c r="A23" s="10" t="s">
        <v>98</v>
      </c>
      <c r="B23" s="10" t="s">
        <v>36</v>
      </c>
      <c r="C23" s="10" t="s">
        <v>25</v>
      </c>
      <c r="D23" s="63">
        <v>2.2222222222222223</v>
      </c>
      <c r="E23" s="63">
        <v>2.8571428571428572</v>
      </c>
      <c r="I23" s="30" t="str">
        <f t="shared" si="7"/>
        <v>pyr</v>
      </c>
      <c r="J23" s="31">
        <f t="shared" si="7"/>
        <v>69.066666666666663</v>
      </c>
      <c r="K23" s="29" t="str">
        <f t="shared" si="7"/>
        <v>kW pellets</v>
      </c>
      <c r="M23">
        <f>N23/$N$21</f>
        <v>1.6666666666666667</v>
      </c>
      <c r="N23" s="20">
        <f>J23</f>
        <v>69.066666666666663</v>
      </c>
      <c r="O23" t="s">
        <v>39</v>
      </c>
      <c r="Q23" s="20">
        <f>O5</f>
        <v>45.714285714285715</v>
      </c>
      <c r="R23">
        <f>Q23/$Q$21</f>
        <v>2.1428571428571432</v>
      </c>
      <c r="W23" s="17" t="s">
        <v>23</v>
      </c>
      <c r="X23" s="18" t="s">
        <v>24</v>
      </c>
      <c r="Y23" t="s">
        <v>105</v>
      </c>
      <c r="Z23" t="s">
        <v>104</v>
      </c>
      <c r="AB23" s="55"/>
      <c r="AC23" s="55"/>
      <c r="AD23" s="55"/>
      <c r="AE23" s="55"/>
      <c r="AF23" s="55"/>
      <c r="AG23" s="55"/>
      <c r="AH23" s="55"/>
      <c r="AJ23" s="55" t="s">
        <v>157</v>
      </c>
      <c r="AK23" s="55"/>
      <c r="AL23" s="55"/>
      <c r="AM23" s="55"/>
      <c r="AN23" s="55"/>
      <c r="AO23" s="55"/>
      <c r="AP23" s="55"/>
      <c r="AR23" s="55"/>
      <c r="AS23" s="55"/>
      <c r="AT23" s="55"/>
      <c r="AU23" s="55"/>
      <c r="AV23" s="55"/>
      <c r="AW23" s="55"/>
      <c r="AX23" s="55"/>
      <c r="AZ23" s="55"/>
      <c r="BA23" s="55" t="s">
        <v>191</v>
      </c>
      <c r="BB23" s="55"/>
      <c r="BC23" s="55"/>
      <c r="BD23" s="55"/>
      <c r="BE23" s="55"/>
      <c r="BF23" s="55"/>
    </row>
    <row r="24" spans="1:58">
      <c r="A24" s="10" t="s">
        <v>98</v>
      </c>
      <c r="B24" s="4" t="s">
        <v>30</v>
      </c>
      <c r="C24" s="4" t="s">
        <v>27</v>
      </c>
      <c r="D24" s="63">
        <v>0.14398200224971877</v>
      </c>
      <c r="E24" s="63">
        <v>0.18511971717820988</v>
      </c>
      <c r="I24" s="27" t="str">
        <f t="shared" si="7"/>
        <v>LHV pellets</v>
      </c>
      <c r="J24" s="32">
        <f t="shared" si="7"/>
        <v>4.9388888888888891</v>
      </c>
      <c r="K24" s="29" t="str">
        <f t="shared" si="7"/>
        <v>kWh/kg</v>
      </c>
      <c r="T24" s="10" t="s">
        <v>107</v>
      </c>
      <c r="U24" s="10" t="s">
        <v>36</v>
      </c>
      <c r="V24" s="10" t="s">
        <v>25</v>
      </c>
      <c r="W24" s="51">
        <f>Y24/$Y$26</f>
        <v>2</v>
      </c>
      <c r="X24" s="51">
        <f>Z24/$Z$26</f>
        <v>2.5</v>
      </c>
      <c r="Y24" s="51">
        <f>T22</f>
        <v>250</v>
      </c>
      <c r="Z24">
        <f>Y24*Y22</f>
        <v>125</v>
      </c>
      <c r="AZ24" s="55"/>
      <c r="BA24" s="55" t="s">
        <v>192</v>
      </c>
      <c r="BB24" s="55"/>
      <c r="BC24" s="55"/>
      <c r="BD24" s="55"/>
      <c r="BE24" s="55"/>
      <c r="BF24" s="55"/>
    </row>
    <row r="25" spans="1:58">
      <c r="A25" s="10" t="s">
        <v>98</v>
      </c>
      <c r="B25" s="10" t="s">
        <v>26</v>
      </c>
      <c r="C25" s="10" t="s">
        <v>27</v>
      </c>
      <c r="D25" s="63">
        <v>1</v>
      </c>
      <c r="E25" s="63">
        <v>1</v>
      </c>
      <c r="I25" s="30" t="str">
        <f t="shared" si="7"/>
        <v>pyr</v>
      </c>
      <c r="J25" s="33">
        <f t="shared" si="7"/>
        <v>13.984251968503935</v>
      </c>
      <c r="K25" s="29" t="str">
        <f t="shared" si="7"/>
        <v>kg/h pellets</v>
      </c>
      <c r="T25" s="10" t="str">
        <f>T24</f>
        <v>pyrBMC250</v>
      </c>
      <c r="U25" s="4" t="s">
        <v>30</v>
      </c>
      <c r="V25" s="4" t="s">
        <v>27</v>
      </c>
      <c r="W25" s="51">
        <f t="shared" ref="W25:W27" si="8">Y25/$Y$26</f>
        <v>0.1295838020247469</v>
      </c>
      <c r="X25" s="51">
        <f t="shared" ref="X25:X27" si="9">Z25/$Z$26</f>
        <v>0.16197975253093361</v>
      </c>
      <c r="Y25" s="51">
        <f>T22/X22*V22</f>
        <v>16.197975253093361</v>
      </c>
      <c r="Z25">
        <f>Z24/X22*V22</f>
        <v>8.0989876265466805</v>
      </c>
      <c r="AB25" t="s">
        <v>133</v>
      </c>
      <c r="AJ25" t="s">
        <v>133</v>
      </c>
      <c r="AR25" t="s">
        <v>133</v>
      </c>
      <c r="AZ25" s="85"/>
      <c r="BA25" s="55" t="s">
        <v>193</v>
      </c>
      <c r="BB25" s="55"/>
      <c r="BC25" s="55"/>
      <c r="BD25" s="55"/>
      <c r="BE25" s="55"/>
      <c r="BF25" s="55"/>
    </row>
    <row r="26" spans="1:58">
      <c r="A26" s="10" t="s">
        <v>98</v>
      </c>
      <c r="B26" s="10" t="s">
        <v>28</v>
      </c>
      <c r="C26" s="10" t="s">
        <v>25</v>
      </c>
      <c r="D26" s="63">
        <v>9.7777777777777797E-2</v>
      </c>
      <c r="E26" s="63">
        <v>0.125714285714286</v>
      </c>
      <c r="I26" s="27" t="str">
        <f t="shared" si="7"/>
        <v>biochar yield</v>
      </c>
      <c r="J26" s="28">
        <f t="shared" si="7"/>
        <v>0.32</v>
      </c>
      <c r="K26" s="29"/>
      <c r="T26" s="10" t="str">
        <f t="shared" ref="T26:T27" si="10">T25</f>
        <v>pyrBMC250</v>
      </c>
      <c r="U26" s="10" t="s">
        <v>26</v>
      </c>
      <c r="V26" s="10" t="s">
        <v>27</v>
      </c>
      <c r="W26" s="51">
        <f t="shared" si="8"/>
        <v>1</v>
      </c>
      <c r="X26" s="51">
        <f t="shared" si="9"/>
        <v>1</v>
      </c>
      <c r="Y26" s="53">
        <f>T22*U22</f>
        <v>125</v>
      </c>
      <c r="Z26">
        <f>Z24*Z22</f>
        <v>50</v>
      </c>
      <c r="AB26" s="60"/>
      <c r="AC26" s="61" t="s">
        <v>134</v>
      </c>
      <c r="AD26" s="60">
        <v>8000</v>
      </c>
      <c r="AE26" s="60" t="s">
        <v>135</v>
      </c>
      <c r="AK26" s="39" t="s">
        <v>137</v>
      </c>
      <c r="AL26">
        <f>19/3.6</f>
        <v>5.2777777777777777</v>
      </c>
      <c r="AM26" t="s">
        <v>159</v>
      </c>
      <c r="AS26" s="39" t="s">
        <v>137</v>
      </c>
      <c r="AT26">
        <f>18/3.6</f>
        <v>5</v>
      </c>
      <c r="AU26" t="s">
        <v>159</v>
      </c>
      <c r="AZ26" s="55"/>
      <c r="BA26" s="55" t="s">
        <v>194</v>
      </c>
      <c r="BB26" s="55"/>
      <c r="BC26" s="55"/>
      <c r="BD26" s="55"/>
      <c r="BE26" s="55"/>
      <c r="BF26" s="55"/>
    </row>
    <row r="27" spans="1:58">
      <c r="A27" s="14" t="s">
        <v>106</v>
      </c>
      <c r="B27" s="14" t="s">
        <v>36</v>
      </c>
      <c r="C27" s="14" t="s">
        <v>25</v>
      </c>
      <c r="D27" s="64">
        <v>2.1276595744680855</v>
      </c>
      <c r="E27" s="64">
        <v>2.6315789473684212</v>
      </c>
      <c r="I27" s="30" t="str">
        <f t="shared" si="7"/>
        <v>pyr</v>
      </c>
      <c r="J27" s="33">
        <f t="shared" si="7"/>
        <v>4.4749606299212594</v>
      </c>
      <c r="K27" s="29" t="str">
        <f t="shared" si="7"/>
        <v>kg/h biochar</v>
      </c>
      <c r="M27">
        <f>N27/$N$21</f>
        <v>0.10798650168728909</v>
      </c>
      <c r="N27">
        <f>J27</f>
        <v>4.4749606299212594</v>
      </c>
      <c r="O27" s="29" t="s">
        <v>43</v>
      </c>
      <c r="Q27">
        <f>O9</f>
        <v>2.7006593406593407</v>
      </c>
      <c r="R27">
        <f>Q27/$Q$21</f>
        <v>0.12659340659340659</v>
      </c>
      <c r="T27" s="10" t="str">
        <f t="shared" si="10"/>
        <v>pyrBMC250</v>
      </c>
      <c r="U27" s="12" t="s">
        <v>28</v>
      </c>
      <c r="V27" s="12" t="s">
        <v>25</v>
      </c>
      <c r="W27" s="47">
        <f t="shared" si="8"/>
        <v>2.4E-2</v>
      </c>
      <c r="X27" s="47">
        <f t="shared" si="9"/>
        <v>0.03</v>
      </c>
      <c r="Y27" s="51">
        <f>T22*W22</f>
        <v>3</v>
      </c>
      <c r="Z27">
        <f>Z24*W22</f>
        <v>1.5</v>
      </c>
      <c r="AC27" s="57" t="s">
        <v>110</v>
      </c>
      <c r="AD27" s="55">
        <f>AD26*AD7</f>
        <v>5600</v>
      </c>
      <c r="AE27" t="s">
        <v>136</v>
      </c>
      <c r="AK27" t="s">
        <v>144</v>
      </c>
      <c r="AL27">
        <f>30/3.6</f>
        <v>8.3333333333333339</v>
      </c>
      <c r="AM27" t="s">
        <v>159</v>
      </c>
      <c r="AS27" s="39" t="s">
        <v>144</v>
      </c>
      <c r="AT27">
        <f>30/3.6</f>
        <v>8.3333333333333339</v>
      </c>
      <c r="AU27" t="s">
        <v>159</v>
      </c>
      <c r="AZ27" s="75" t="s">
        <v>195</v>
      </c>
      <c r="BA27" s="59"/>
      <c r="BB27" s="59"/>
      <c r="BC27" s="59"/>
      <c r="BD27" s="59"/>
      <c r="BE27" s="59"/>
      <c r="BF27" s="59"/>
    </row>
    <row r="28" spans="1:58">
      <c r="A28" s="10" t="s">
        <v>106</v>
      </c>
      <c r="B28" s="10" t="s">
        <v>30</v>
      </c>
      <c r="C28" s="10" t="s">
        <v>27</v>
      </c>
      <c r="D28" s="65">
        <v>0.13785510853696478</v>
      </c>
      <c r="E28" s="65">
        <v>0.17050500266414065</v>
      </c>
      <c r="I28" s="27" t="str">
        <f t="shared" si="7"/>
        <v>elec drift</v>
      </c>
      <c r="J28" s="28">
        <f t="shared" si="7"/>
        <v>0.05</v>
      </c>
      <c r="K28" s="29" t="str">
        <f t="shared" si="7"/>
        <v>kW fuel</v>
      </c>
      <c r="N28" s="29"/>
      <c r="AB28" s="60"/>
      <c r="AC28" s="61" t="s">
        <v>137</v>
      </c>
      <c r="AD28" s="60">
        <f>19/3.6</f>
        <v>5.2777777777777777</v>
      </c>
      <c r="AE28" s="60" t="s">
        <v>146</v>
      </c>
      <c r="AJ28" t="s">
        <v>160</v>
      </c>
      <c r="AL28">
        <f>AP7*AL26+AL12</f>
        <v>1725.2777777777778</v>
      </c>
      <c r="AM28">
        <f>AL9+AP8*AL27+AL10</f>
        <v>2433.3333333333335</v>
      </c>
      <c r="AN28" s="68" t="s">
        <v>164</v>
      </c>
      <c r="AR28" t="s">
        <v>160</v>
      </c>
      <c r="AZ28" s="79" t="s">
        <v>196</v>
      </c>
      <c r="BA28" s="86">
        <v>0.28125</v>
      </c>
      <c r="BB28" s="1" t="s">
        <v>116</v>
      </c>
      <c r="BC28" s="87">
        <v>5.7113556981561219E-4</v>
      </c>
      <c r="BD28" s="1" t="s">
        <v>197</v>
      </c>
      <c r="BE28" s="1"/>
      <c r="BF28" s="1"/>
    </row>
    <row r="29" spans="1:58">
      <c r="A29" s="10" t="s">
        <v>106</v>
      </c>
      <c r="B29" s="10" t="s">
        <v>26</v>
      </c>
      <c r="C29" s="10" t="s">
        <v>27</v>
      </c>
      <c r="D29" s="65">
        <v>1</v>
      </c>
      <c r="E29" s="65">
        <v>1</v>
      </c>
      <c r="I29" s="34" t="str">
        <f t="shared" si="7"/>
        <v>pyr</v>
      </c>
      <c r="J29" s="23">
        <f t="shared" si="7"/>
        <v>3.4533333333333331</v>
      </c>
      <c r="K29" s="35" t="str">
        <f t="shared" si="7"/>
        <v>kW el</v>
      </c>
      <c r="M29">
        <f>N29/$N$21</f>
        <v>0.33333333333333331</v>
      </c>
      <c r="N29">
        <f>J29+N21*0.25</f>
        <v>13.813333333333333</v>
      </c>
      <c r="O29" t="s">
        <v>48</v>
      </c>
      <c r="Q29">
        <f>O11+Q21*0.25</f>
        <v>7.6190476190476186</v>
      </c>
      <c r="R29">
        <f>Q29/$Q$21</f>
        <v>0.35714285714285715</v>
      </c>
      <c r="AC29" t="s">
        <v>109</v>
      </c>
      <c r="AD29" s="20">
        <f>AD7*AD28*1000</f>
        <v>3694.4444444444443</v>
      </c>
      <c r="AE29" t="s">
        <v>116</v>
      </c>
      <c r="AJ29" t="s">
        <v>162</v>
      </c>
      <c r="AN29">
        <f>AM28-AL28</f>
        <v>708.05555555555566</v>
      </c>
      <c r="AO29" t="s">
        <v>161</v>
      </c>
      <c r="AT29" t="s">
        <v>169</v>
      </c>
      <c r="AU29" s="20">
        <f>AT7*AT26+AT12</f>
        <v>2820</v>
      </c>
      <c r="AZ29" s="79" t="s">
        <v>198</v>
      </c>
      <c r="BA29" s="86">
        <v>2.8163162623539981</v>
      </c>
      <c r="BB29" s="1" t="s">
        <v>199</v>
      </c>
      <c r="BC29" s="1"/>
      <c r="BD29" s="1"/>
      <c r="BE29" s="1"/>
      <c r="BF29" s="1"/>
    </row>
    <row r="30" spans="1:58">
      <c r="A30" s="12" t="s">
        <v>106</v>
      </c>
      <c r="B30" s="12" t="s">
        <v>28</v>
      </c>
      <c r="C30" s="12" t="s">
        <v>25</v>
      </c>
      <c r="D30" s="66">
        <v>4.0425531914893627E-2</v>
      </c>
      <c r="E30" s="66">
        <v>0.05</v>
      </c>
      <c r="I30" s="36" t="s">
        <v>54</v>
      </c>
      <c r="T30" s="21" t="s">
        <v>100</v>
      </c>
      <c r="U30" s="21" t="s">
        <v>99</v>
      </c>
      <c r="V30" s="21" t="s">
        <v>30</v>
      </c>
      <c r="W30" s="21" t="s">
        <v>28</v>
      </c>
      <c r="X30" s="21" t="s">
        <v>101</v>
      </c>
      <c r="Y30" s="21" t="s">
        <v>102</v>
      </c>
      <c r="Z30" s="21" t="s">
        <v>103</v>
      </c>
      <c r="AC30" t="s">
        <v>111</v>
      </c>
      <c r="AD30">
        <f>AD7*AD8</f>
        <v>0.21</v>
      </c>
      <c r="AE30" t="s">
        <v>138</v>
      </c>
      <c r="AK30" t="s">
        <v>163</v>
      </c>
      <c r="AM30">
        <f>AL10/2+AL9/2+AP8*AL27</f>
        <v>2008.3333333333335</v>
      </c>
      <c r="AT30" t="s">
        <v>170</v>
      </c>
      <c r="AU30">
        <f>AT8*AT27+AT9</f>
        <v>1900</v>
      </c>
      <c r="AV30" s="19">
        <f>AU30/AU29</f>
        <v>0.67375886524822692</v>
      </c>
      <c r="AZ30" s="75" t="s">
        <v>200</v>
      </c>
      <c r="BA30" s="59"/>
      <c r="BB30" s="59"/>
      <c r="BC30" s="59"/>
      <c r="BD30" s="59"/>
      <c r="BE30" s="59"/>
      <c r="BF30" s="59"/>
    </row>
    <row r="31" spans="1:58">
      <c r="A31" s="10" t="s">
        <v>107</v>
      </c>
      <c r="B31" s="10" t="s">
        <v>36</v>
      </c>
      <c r="C31" s="10" t="s">
        <v>25</v>
      </c>
      <c r="D31" s="63">
        <v>2</v>
      </c>
      <c r="E31" s="63">
        <v>2.5</v>
      </c>
      <c r="T31" s="21">
        <v>90</v>
      </c>
      <c r="U31" s="22">
        <v>0.55000000000000004</v>
      </c>
      <c r="V31" s="22">
        <v>0.2</v>
      </c>
      <c r="W31" s="100">
        <v>3.3000000000000002E-2</v>
      </c>
      <c r="X31" s="21">
        <f>17.78/3.6</f>
        <v>4.9388888888888891</v>
      </c>
      <c r="Y31" s="48">
        <v>0.4</v>
      </c>
      <c r="Z31" s="101">
        <v>0.4</v>
      </c>
      <c r="AC31" t="s">
        <v>111</v>
      </c>
      <c r="AD31">
        <f>AD30*AD26</f>
        <v>1680</v>
      </c>
      <c r="AE31" t="s">
        <v>139</v>
      </c>
      <c r="AM31" s="40" t="s">
        <v>23</v>
      </c>
      <c r="AN31" s="18" t="s">
        <v>24</v>
      </c>
      <c r="AO31" t="s">
        <v>105</v>
      </c>
      <c r="AZ31" s="39" t="s">
        <v>60</v>
      </c>
      <c r="BA31">
        <v>1.2099999999999999E-3</v>
      </c>
      <c r="BB31" t="s">
        <v>59</v>
      </c>
      <c r="BC31">
        <v>4</v>
      </c>
      <c r="BD31" t="s">
        <v>201</v>
      </c>
    </row>
    <row r="32" spans="1:58">
      <c r="A32" s="10" t="s">
        <v>107</v>
      </c>
      <c r="B32" s="4" t="s">
        <v>30</v>
      </c>
      <c r="C32" s="4" t="s">
        <v>27</v>
      </c>
      <c r="D32" s="63">
        <v>0.1295838020247469</v>
      </c>
      <c r="E32" s="63">
        <v>0.16197975253093361</v>
      </c>
      <c r="R32">
        <f>R39</f>
        <v>53.43959196684731</v>
      </c>
      <c r="W32" s="17" t="s">
        <v>23</v>
      </c>
      <c r="X32" s="18" t="s">
        <v>24</v>
      </c>
      <c r="Y32" t="s">
        <v>105</v>
      </c>
      <c r="Z32" t="s">
        <v>104</v>
      </c>
      <c r="AB32" s="60"/>
      <c r="AC32" s="60" t="s">
        <v>144</v>
      </c>
      <c r="AD32" s="60">
        <f>28/3.6</f>
        <v>7.7777777777777777</v>
      </c>
      <c r="AE32" s="60" t="s">
        <v>146</v>
      </c>
      <c r="AJ32" s="14" t="s">
        <v>158</v>
      </c>
      <c r="AK32" s="14" t="s">
        <v>141</v>
      </c>
      <c r="AL32" s="14" t="s">
        <v>25</v>
      </c>
      <c r="AM32" s="15">
        <f>AO32/$AO$36</f>
        <v>4.9007936507936511</v>
      </c>
      <c r="AN32" s="15">
        <f t="shared" ref="AN32:AN36" si="11">AM32</f>
        <v>4.9007936507936511</v>
      </c>
      <c r="AO32" s="51">
        <f>AP7*AL26</f>
        <v>1715.2777777777778</v>
      </c>
      <c r="AR32" s="14" t="s">
        <v>172</v>
      </c>
      <c r="AS32" s="14" t="s">
        <v>141</v>
      </c>
      <c r="AT32" s="14" t="s">
        <v>25</v>
      </c>
      <c r="AU32" s="15">
        <f>AW32/$AW$36</f>
        <v>3.1111111111111112</v>
      </c>
      <c r="AV32" s="15">
        <v>3.2839506172839505</v>
      </c>
      <c r="AW32" s="51">
        <f>AT7*AT26</f>
        <v>2800</v>
      </c>
      <c r="AZ32" s="39" t="s">
        <v>61</v>
      </c>
      <c r="BA32">
        <v>0.11600000000000001</v>
      </c>
      <c r="BB32" t="s">
        <v>59</v>
      </c>
      <c r="BC32">
        <v>378</v>
      </c>
      <c r="BD32" t="s">
        <v>201</v>
      </c>
    </row>
    <row r="33" spans="1:58">
      <c r="A33" s="10" t="s">
        <v>107</v>
      </c>
      <c r="B33" s="10" t="s">
        <v>26</v>
      </c>
      <c r="C33" s="10" t="s">
        <v>27</v>
      </c>
      <c r="D33" s="63">
        <v>1</v>
      </c>
      <c r="E33" s="63">
        <v>1</v>
      </c>
      <c r="I33" t="s">
        <v>238</v>
      </c>
      <c r="R33">
        <f>$R$32*W33</f>
        <v>97.162894485176906</v>
      </c>
      <c r="T33" s="10" t="s">
        <v>220</v>
      </c>
      <c r="U33" s="10" t="s">
        <v>36</v>
      </c>
      <c r="V33" s="10" t="s">
        <v>25</v>
      </c>
      <c r="W33" s="89">
        <f>Y33/Y35</f>
        <v>1.8181818181818179</v>
      </c>
      <c r="X33" s="89">
        <f>Z33/Z35</f>
        <v>2.5</v>
      </c>
      <c r="Y33" s="51">
        <f>T31</f>
        <v>90</v>
      </c>
      <c r="Z33">
        <f>Y33*Y31</f>
        <v>36</v>
      </c>
      <c r="AC33" s="39" t="s">
        <v>145</v>
      </c>
      <c r="AD33">
        <f>AD28*AD7*1000+AD12-AD9-AD30*AD32*1000</f>
        <v>1311.1111111111111</v>
      </c>
      <c r="AE33" t="s">
        <v>116</v>
      </c>
      <c r="AF33" t="s">
        <v>148</v>
      </c>
      <c r="AJ33" s="10" t="str">
        <f>AJ32</f>
        <v>CleanFuels</v>
      </c>
      <c r="AK33" s="10" t="s">
        <v>28</v>
      </c>
      <c r="AL33" s="10" t="s">
        <v>25</v>
      </c>
      <c r="AM33" s="11">
        <f t="shared" ref="AM33:AM36" si="12">AO33/$AO$36</f>
        <v>2.8571428571428571E-2</v>
      </c>
      <c r="AN33" s="11">
        <f t="shared" si="11"/>
        <v>2.8571428571428571E-2</v>
      </c>
      <c r="AO33" s="51">
        <f>AL12</f>
        <v>10</v>
      </c>
      <c r="AR33" s="10" t="str">
        <f>AR32</f>
        <v>Pyreg1500</v>
      </c>
      <c r="AS33" s="10" t="s">
        <v>28</v>
      </c>
      <c r="AT33" s="10" t="s">
        <v>25</v>
      </c>
      <c r="AU33" s="11">
        <f t="shared" ref="AU33:AU36" si="13">AW33/$AW$36</f>
        <v>2.2222222222222223E-2</v>
      </c>
      <c r="AV33" s="11">
        <v>2.2222222222222223E-2</v>
      </c>
      <c r="AW33" s="51">
        <f>AT12</f>
        <v>20</v>
      </c>
      <c r="AZ33" s="39" t="s">
        <v>62</v>
      </c>
      <c r="BA33">
        <v>8.6000000000000003E-5</v>
      </c>
      <c r="BB33" t="s">
        <v>59</v>
      </c>
      <c r="BC33">
        <v>0.28000000000000003</v>
      </c>
      <c r="BD33" t="s">
        <v>201</v>
      </c>
    </row>
    <row r="34" spans="1:58">
      <c r="A34" s="10" t="s">
        <v>107</v>
      </c>
      <c r="B34" s="10" t="s">
        <v>28</v>
      </c>
      <c r="C34" s="10" t="s">
        <v>25</v>
      </c>
      <c r="D34" s="63">
        <v>2.4E-2</v>
      </c>
      <c r="E34" s="63">
        <v>0.03</v>
      </c>
      <c r="R34">
        <f t="shared" ref="R34:R36" si="14">$R$32*W34</f>
        <v>3.9346054009745433</v>
      </c>
      <c r="T34" s="10" t="str">
        <f>T33</f>
        <v>pyrBMC60t</v>
      </c>
      <c r="U34" s="4" t="s">
        <v>30</v>
      </c>
      <c r="V34" s="4" t="s">
        <v>27</v>
      </c>
      <c r="W34" s="89">
        <f>Y34/Y35</f>
        <v>7.3627160241333464E-2</v>
      </c>
      <c r="X34" s="89">
        <f>Z34/Z35</f>
        <v>0.10123734533183353</v>
      </c>
      <c r="Y34" s="51">
        <f>T31/X31*V31</f>
        <v>3.6445444319460067</v>
      </c>
      <c r="Z34">
        <f>Z33/X31*V31</f>
        <v>1.4578177727784027</v>
      </c>
      <c r="AB34" s="60"/>
      <c r="AC34" s="61" t="s">
        <v>147</v>
      </c>
      <c r="AD34" s="60">
        <f>AD33*(1-5%)</f>
        <v>1245.5555555555554</v>
      </c>
      <c r="AE34" s="60" t="s">
        <v>116</v>
      </c>
      <c r="AJ34" s="10" t="str">
        <f t="shared" ref="AJ34:AJ35" si="15">AJ33</f>
        <v>CleanFuels</v>
      </c>
      <c r="AK34" s="4" t="s">
        <v>30</v>
      </c>
      <c r="AL34" s="4" t="s">
        <v>27</v>
      </c>
      <c r="AM34" s="11">
        <f t="shared" si="12"/>
        <v>0.54285714285714282</v>
      </c>
      <c r="AN34" s="9">
        <f t="shared" si="11"/>
        <v>0.54285714285714282</v>
      </c>
      <c r="AO34" s="62">
        <f>AP8</f>
        <v>190</v>
      </c>
      <c r="AP34" t="s">
        <v>59</v>
      </c>
      <c r="AR34" s="10" t="str">
        <f t="shared" ref="AR34:AR35" si="16">AR33</f>
        <v>Pyreg1500</v>
      </c>
      <c r="AS34" s="4" t="s">
        <v>30</v>
      </c>
      <c r="AT34" s="4" t="s">
        <v>27</v>
      </c>
      <c r="AU34" s="11">
        <f t="shared" si="13"/>
        <v>0.13333333333333333</v>
      </c>
      <c r="AV34" s="9">
        <v>0.13333333333333333</v>
      </c>
      <c r="AW34" s="62">
        <f>AT8</f>
        <v>120</v>
      </c>
      <c r="AX34" t="s">
        <v>59</v>
      </c>
      <c r="AZ34" s="39" t="s">
        <v>63</v>
      </c>
      <c r="BA34">
        <v>5.6899999999999997E-3</v>
      </c>
      <c r="BB34" t="s">
        <v>59</v>
      </c>
      <c r="BC34">
        <v>18.600000000000001</v>
      </c>
      <c r="BD34" t="s">
        <v>201</v>
      </c>
    </row>
    <row r="35" spans="1:58">
      <c r="A35" s="14" t="s">
        <v>140</v>
      </c>
      <c r="B35" s="14" t="s">
        <v>141</v>
      </c>
      <c r="C35" s="14" t="s">
        <v>25</v>
      </c>
      <c r="D35" s="15">
        <v>3.0787037037037037</v>
      </c>
      <c r="E35" s="15">
        <v>3.0787037037037037</v>
      </c>
      <c r="R35">
        <f t="shared" si="14"/>
        <v>53.43959196684731</v>
      </c>
      <c r="T35" s="10" t="str">
        <f t="shared" ref="T35:T37" si="17">T34</f>
        <v>pyrBMC60t</v>
      </c>
      <c r="U35" s="10" t="s">
        <v>26</v>
      </c>
      <c r="V35" s="10" t="s">
        <v>27</v>
      </c>
      <c r="W35" s="89">
        <f>Y35/Y35</f>
        <v>1</v>
      </c>
      <c r="X35" s="89">
        <f>Z35/Z35</f>
        <v>1</v>
      </c>
      <c r="Y35" s="53">
        <f>T31*U31</f>
        <v>49.500000000000007</v>
      </c>
      <c r="Z35">
        <f>Z33*Z31</f>
        <v>14.4</v>
      </c>
      <c r="AC35" s="39" t="s">
        <v>150</v>
      </c>
      <c r="AD35">
        <f>AD34</f>
        <v>1245.5555555555554</v>
      </c>
      <c r="AE35" t="s">
        <v>116</v>
      </c>
      <c r="AF35" t="s">
        <v>149</v>
      </c>
      <c r="AJ35" s="10" t="str">
        <f t="shared" si="15"/>
        <v>CleanFuels</v>
      </c>
      <c r="AK35" s="10" t="s">
        <v>142</v>
      </c>
      <c r="AL35" s="10" t="s">
        <v>27</v>
      </c>
      <c r="AM35" s="11">
        <f t="shared" si="12"/>
        <v>0.21428571428571427</v>
      </c>
      <c r="AN35" s="11">
        <f t="shared" si="11"/>
        <v>0.21428571428571427</v>
      </c>
      <c r="AO35" s="51">
        <f>AL10/2</f>
        <v>75</v>
      </c>
      <c r="AR35" s="10" t="str">
        <f t="shared" si="16"/>
        <v>Pyreg1500</v>
      </c>
      <c r="AS35" s="10" t="s">
        <v>142</v>
      </c>
      <c r="AT35" s="10" t="s">
        <v>27</v>
      </c>
      <c r="AU35" s="11">
        <f t="shared" si="13"/>
        <v>0</v>
      </c>
      <c r="AV35" s="11">
        <v>0</v>
      </c>
      <c r="AW35" s="51">
        <f>AT10</f>
        <v>0</v>
      </c>
    </row>
    <row r="36" spans="1:58">
      <c r="A36" s="10" t="s">
        <v>140</v>
      </c>
      <c r="B36" s="10" t="s">
        <v>28</v>
      </c>
      <c r="C36" s="10" t="s">
        <v>25</v>
      </c>
      <c r="D36" s="11">
        <v>0.375</v>
      </c>
      <c r="E36" s="11">
        <v>0.375</v>
      </c>
      <c r="I36" s="21" t="s">
        <v>239</v>
      </c>
      <c r="J36" s="21" t="s">
        <v>99</v>
      </c>
      <c r="K36" s="21" t="s">
        <v>30</v>
      </c>
      <c r="L36" s="21" t="s">
        <v>28</v>
      </c>
      <c r="M36" s="21" t="s">
        <v>101</v>
      </c>
      <c r="N36" s="21" t="s">
        <v>102</v>
      </c>
      <c r="O36" s="21" t="s">
        <v>103</v>
      </c>
      <c r="R36">
        <f t="shared" si="14"/>
        <v>3.2063755180108386</v>
      </c>
      <c r="T36" s="10" t="str">
        <f t="shared" si="17"/>
        <v>pyrBMC60t</v>
      </c>
      <c r="U36" s="12" t="s">
        <v>28</v>
      </c>
      <c r="V36" s="12" t="s">
        <v>25</v>
      </c>
      <c r="W36" s="89">
        <f>Y36/Y35</f>
        <v>0.06</v>
      </c>
      <c r="X36" s="89">
        <f>Z36/Z35</f>
        <v>8.2500000000000004E-2</v>
      </c>
      <c r="Y36" s="51">
        <f>T31*W31</f>
        <v>2.97</v>
      </c>
      <c r="Z36">
        <f>Z33*W31</f>
        <v>1.1880000000000002</v>
      </c>
      <c r="AC36" s="39" t="s">
        <v>151</v>
      </c>
      <c r="AD36">
        <f>AD35*(1-10%)</f>
        <v>1121</v>
      </c>
      <c r="AE36" s="60" t="s">
        <v>116</v>
      </c>
      <c r="AJ36" s="12" t="str">
        <f>AJ35</f>
        <v>CleanFuels</v>
      </c>
      <c r="AK36" s="12" t="s">
        <v>26</v>
      </c>
      <c r="AL36" s="12" t="s">
        <v>27</v>
      </c>
      <c r="AM36" s="13">
        <f t="shared" si="12"/>
        <v>1</v>
      </c>
      <c r="AN36" s="13">
        <f t="shared" si="11"/>
        <v>1</v>
      </c>
      <c r="AO36">
        <f>AL9/2</f>
        <v>350</v>
      </c>
      <c r="AR36" s="12" t="str">
        <f>AR35</f>
        <v>Pyreg1500</v>
      </c>
      <c r="AS36" s="12" t="s">
        <v>26</v>
      </c>
      <c r="AT36" s="12" t="s">
        <v>27</v>
      </c>
      <c r="AU36" s="13">
        <f t="shared" si="13"/>
        <v>1</v>
      </c>
      <c r="AV36" s="13">
        <v>1</v>
      </c>
      <c r="AW36">
        <f>AT9</f>
        <v>900</v>
      </c>
      <c r="BC36" s="40" t="s">
        <v>23</v>
      </c>
      <c r="BD36" s="18" t="s">
        <v>24</v>
      </c>
    </row>
    <row r="37" spans="1:58">
      <c r="A37" s="4" t="s">
        <v>140</v>
      </c>
      <c r="B37" s="4" t="s">
        <v>30</v>
      </c>
      <c r="C37" s="4" t="s">
        <v>27</v>
      </c>
      <c r="D37" s="9">
        <v>0.17499999999999999</v>
      </c>
      <c r="E37" s="9">
        <v>0.17499999999999999</v>
      </c>
      <c r="I37" s="102">
        <f>50/J37</f>
        <v>55.555555555555557</v>
      </c>
      <c r="J37" s="22">
        <v>0.9</v>
      </c>
      <c r="K37" s="22">
        <v>0</v>
      </c>
      <c r="L37" s="100">
        <v>3.5000000000000003E-2</v>
      </c>
      <c r="M37" s="21">
        <f>17.78/3.6</f>
        <v>4.9388888888888891</v>
      </c>
      <c r="N37" s="48">
        <v>0.5</v>
      </c>
      <c r="O37" s="101">
        <v>0.8</v>
      </c>
      <c r="P37">
        <f>10-R37+50-R35</f>
        <v>0</v>
      </c>
      <c r="R37">
        <f>$R$32*W37</f>
        <v>6.5604080331526893</v>
      </c>
      <c r="T37" s="10" t="str">
        <f t="shared" si="17"/>
        <v>pyrBMC60t</v>
      </c>
      <c r="U37" s="10" t="s">
        <v>214</v>
      </c>
      <c r="V37" s="10" t="s">
        <v>27</v>
      </c>
      <c r="W37" s="47">
        <f>Y37/Y35</f>
        <v>0.12276306370794551</v>
      </c>
      <c r="X37" s="47">
        <f>Z37/Z35</f>
        <v>0.4988188976377953</v>
      </c>
      <c r="Y37">
        <f>(Y33-Y35-Y34*AD32)*0.5</f>
        <v>6.0767716535433038</v>
      </c>
      <c r="Z37">
        <f>(Z33-Z35-Z34*AD32)*0.7</f>
        <v>7.1829921259842529</v>
      </c>
      <c r="AZ37" s="14" t="s">
        <v>202</v>
      </c>
      <c r="BA37" s="14" t="s">
        <v>141</v>
      </c>
      <c r="BB37" s="14" t="s">
        <v>25</v>
      </c>
      <c r="BC37" s="15">
        <f>BE37/$BE$41</f>
        <v>3.3192235103801555</v>
      </c>
      <c r="BD37" s="15">
        <f t="shared" ref="BD37:BD41" si="18">BC37</f>
        <v>3.3192235103801555</v>
      </c>
      <c r="BE37" s="20">
        <f>BC9</f>
        <v>492.43999999999988</v>
      </c>
    </row>
    <row r="38" spans="1:58">
      <c r="A38" s="10" t="s">
        <v>140</v>
      </c>
      <c r="B38" s="10" t="s">
        <v>142</v>
      </c>
      <c r="C38" s="10" t="s">
        <v>27</v>
      </c>
      <c r="D38" s="11">
        <v>0.8510416666666667</v>
      </c>
      <c r="E38" s="11">
        <v>0.8510416666666667</v>
      </c>
      <c r="L38" s="17" t="s">
        <v>23</v>
      </c>
      <c r="M38" s="18" t="s">
        <v>24</v>
      </c>
      <c r="N38" t="s">
        <v>105</v>
      </c>
      <c r="O38" t="s">
        <v>104</v>
      </c>
      <c r="X38" t="s">
        <v>218</v>
      </c>
      <c r="AJ38" t="s">
        <v>171</v>
      </c>
      <c r="AL38" s="69" t="s">
        <v>169</v>
      </c>
      <c r="AM38" s="70">
        <f>AL12+AL7*AL26</f>
        <v>2648.8888888888887</v>
      </c>
      <c r="AZ38" s="10" t="str">
        <f>AZ37</f>
        <v>Pyreg500</v>
      </c>
      <c r="BA38" s="10" t="s">
        <v>28</v>
      </c>
      <c r="BB38" s="10" t="s">
        <v>25</v>
      </c>
      <c r="BC38" s="11">
        <f t="shared" ref="BC38:BC41" si="19">BE38/$BE$41</f>
        <v>3.3701806416823937E-2</v>
      </c>
      <c r="BD38" s="11">
        <f t="shared" si="18"/>
        <v>3.3701806416823937E-2</v>
      </c>
      <c r="BE38">
        <v>5</v>
      </c>
      <c r="BF38" t="s">
        <v>203</v>
      </c>
    </row>
    <row r="39" spans="1:58">
      <c r="A39" s="12" t="s">
        <v>140</v>
      </c>
      <c r="B39" s="12" t="s">
        <v>26</v>
      </c>
      <c r="C39" s="12" t="s">
        <v>27</v>
      </c>
      <c r="D39" s="13">
        <v>1</v>
      </c>
      <c r="E39" s="13">
        <v>1</v>
      </c>
      <c r="I39" s="10" t="s">
        <v>55</v>
      </c>
      <c r="J39" s="10" t="s">
        <v>36</v>
      </c>
      <c r="K39" s="10" t="s">
        <v>25</v>
      </c>
      <c r="L39" s="89">
        <f>N39/$N$40</f>
        <v>1.1111111111111112</v>
      </c>
      <c r="M39" s="89">
        <f>O39/$O$40</f>
        <v>1.2499999999999998</v>
      </c>
      <c r="N39" s="51">
        <f>I37</f>
        <v>55.555555555555557</v>
      </c>
      <c r="O39">
        <f>N39*N37</f>
        <v>27.777777777777779</v>
      </c>
      <c r="R39">
        <f>60/(1+W37)</f>
        <v>53.43959196684731</v>
      </c>
      <c r="X39" t="s">
        <v>169</v>
      </c>
      <c r="Y39" s="51">
        <f>Y33</f>
        <v>90</v>
      </c>
      <c r="AL39" s="69" t="s">
        <v>170</v>
      </c>
      <c r="AM39" s="71">
        <f>AL10+AL9+AL8*AL27</f>
        <v>2516.666666666667</v>
      </c>
      <c r="AN39" s="19">
        <f>AM39/AM38</f>
        <v>0.95008389261744985</v>
      </c>
      <c r="AZ39" s="10" t="str">
        <f t="shared" ref="AZ39:AZ40" si="20">AZ38</f>
        <v>Pyreg500</v>
      </c>
      <c r="BA39" s="4" t="s">
        <v>30</v>
      </c>
      <c r="BB39" s="4" t="s">
        <v>27</v>
      </c>
      <c r="BC39" s="11">
        <f t="shared" si="19"/>
        <v>0.18224897771187196</v>
      </c>
      <c r="BD39" s="9">
        <f t="shared" si="18"/>
        <v>0.18224897771187196</v>
      </c>
      <c r="BE39" s="20">
        <f>BB13</f>
        <v>27.038458333333327</v>
      </c>
      <c r="BF39" t="s">
        <v>59</v>
      </c>
    </row>
    <row r="40" spans="1:58">
      <c r="A40" s="14" t="s">
        <v>165</v>
      </c>
      <c r="B40" s="14" t="s">
        <v>141</v>
      </c>
      <c r="C40" s="14" t="s">
        <v>25</v>
      </c>
      <c r="D40" s="15">
        <v>3.9682539682539684</v>
      </c>
      <c r="E40" s="15">
        <v>3.9682539682539684</v>
      </c>
      <c r="I40" s="10" t="str">
        <f>I39</f>
        <v>comb</v>
      </c>
      <c r="J40" s="10" t="s">
        <v>26</v>
      </c>
      <c r="K40" s="10" t="s">
        <v>27</v>
      </c>
      <c r="L40" s="89">
        <f>N40/$N$40</f>
        <v>1</v>
      </c>
      <c r="M40" s="89">
        <f>O40/$O$40</f>
        <v>1</v>
      </c>
      <c r="N40" s="53">
        <f>I37*J37</f>
        <v>50</v>
      </c>
      <c r="O40">
        <f>O39*O37</f>
        <v>22.222222222222225</v>
      </c>
      <c r="T40" t="s">
        <v>212</v>
      </c>
      <c r="X40" t="s">
        <v>170</v>
      </c>
      <c r="Y40">
        <f>+Y35+Y34*AD32</f>
        <v>77.846456692913392</v>
      </c>
      <c r="AZ40" s="10" t="str">
        <f t="shared" si="20"/>
        <v>Pyreg500</v>
      </c>
      <c r="BA40" s="10" t="s">
        <v>142</v>
      </c>
      <c r="BB40" s="10" t="s">
        <v>27</v>
      </c>
      <c r="BC40" s="11">
        <f t="shared" si="19"/>
        <v>0</v>
      </c>
      <c r="BD40" s="11">
        <f t="shared" si="18"/>
        <v>0</v>
      </c>
      <c r="BE40">
        <f>0</f>
        <v>0</v>
      </c>
    </row>
    <row r="41" spans="1:58">
      <c r="A41" s="10" t="s">
        <v>165</v>
      </c>
      <c r="B41" s="10" t="s">
        <v>28</v>
      </c>
      <c r="C41" s="10" t="s">
        <v>25</v>
      </c>
      <c r="D41" s="11">
        <v>1.4285714285714285E-2</v>
      </c>
      <c r="E41" s="11">
        <v>1.4285714285714285E-2</v>
      </c>
      <c r="I41" s="10" t="str">
        <f>I40</f>
        <v>comb</v>
      </c>
      <c r="J41" s="12" t="s">
        <v>28</v>
      </c>
      <c r="K41" s="12" t="s">
        <v>25</v>
      </c>
      <c r="L41" s="89">
        <f>N41/$N$40</f>
        <v>3.888888888888889E-2</v>
      </c>
      <c r="M41" s="89">
        <f>O41/O40</f>
        <v>4.3749999999999997E-2</v>
      </c>
      <c r="N41" s="51">
        <f>I37*L37</f>
        <v>1.9444444444444446</v>
      </c>
      <c r="O41">
        <f>O39*L37</f>
        <v>0.97222222222222232</v>
      </c>
      <c r="T41" t="s">
        <v>213</v>
      </c>
      <c r="X41" t="s">
        <v>211</v>
      </c>
      <c r="Y41" s="51">
        <f>Y39-Y40</f>
        <v>12.153543307086608</v>
      </c>
      <c r="AE41" s="17" t="s">
        <v>23</v>
      </c>
      <c r="AF41" s="18" t="s">
        <v>24</v>
      </c>
      <c r="AG41" t="s">
        <v>105</v>
      </c>
      <c r="AH41" t="s">
        <v>104</v>
      </c>
      <c r="AJ41" s="14" t="s">
        <v>165</v>
      </c>
      <c r="AK41" s="14" t="s">
        <v>141</v>
      </c>
      <c r="AL41" s="14" t="s">
        <v>25</v>
      </c>
      <c r="AM41" s="15">
        <f>AO41/$AO$45</f>
        <v>3.7698412698412698</v>
      </c>
      <c r="AN41" s="15">
        <f t="shared" ref="AN41:AN45" si="21">AM41</f>
        <v>3.7698412698412698</v>
      </c>
      <c r="AO41" s="51">
        <f>AL7*AL26</f>
        <v>2638.8888888888887</v>
      </c>
      <c r="AZ41" s="12" t="str">
        <f>AZ40</f>
        <v>Pyreg500</v>
      </c>
      <c r="BA41" s="12" t="s">
        <v>26</v>
      </c>
      <c r="BB41" s="12" t="s">
        <v>27</v>
      </c>
      <c r="BC41" s="13">
        <f t="shared" si="19"/>
        <v>1</v>
      </c>
      <c r="BD41" s="13">
        <f t="shared" si="18"/>
        <v>1</v>
      </c>
      <c r="BE41" s="20">
        <f>BC15</f>
        <v>148.36000000000001</v>
      </c>
    </row>
    <row r="42" spans="1:58">
      <c r="A42" s="10" t="s">
        <v>165</v>
      </c>
      <c r="B42" s="4" t="s">
        <v>30</v>
      </c>
      <c r="C42" s="4" t="s">
        <v>27</v>
      </c>
      <c r="D42" s="11">
        <v>0.2857142857142857</v>
      </c>
      <c r="E42" s="9">
        <v>0.2857142857142857</v>
      </c>
      <c r="I42" s="10"/>
      <c r="J42" s="10"/>
      <c r="K42" s="10"/>
      <c r="L42" s="47"/>
      <c r="M42" s="47"/>
      <c r="X42" t="s">
        <v>219</v>
      </c>
      <c r="Y42">
        <f>Y40/Y39</f>
        <v>0.86496062992125988</v>
      </c>
      <c r="AB42" s="10" t="s">
        <v>140</v>
      </c>
      <c r="AC42" s="10" t="s">
        <v>141</v>
      </c>
      <c r="AD42" s="10" t="s">
        <v>25</v>
      </c>
      <c r="AE42" s="19">
        <f>AG42/$AG$46</f>
        <v>3.0787037037037037</v>
      </c>
      <c r="AF42" s="19">
        <f>AE42</f>
        <v>3.0787037037037037</v>
      </c>
      <c r="AG42" s="51">
        <f>AD29</f>
        <v>3694.4444444444443</v>
      </c>
      <c r="AJ42" s="10" t="str">
        <f>AJ41</f>
        <v>CleanFuels2800</v>
      </c>
      <c r="AK42" s="10" t="s">
        <v>28</v>
      </c>
      <c r="AL42" s="10" t="s">
        <v>25</v>
      </c>
      <c r="AM42" s="11">
        <f>AO42/$AO$45</f>
        <v>1.4285714285714285E-2</v>
      </c>
      <c r="AN42" s="11">
        <f t="shared" si="21"/>
        <v>1.4285714285714285E-2</v>
      </c>
      <c r="AO42" s="51">
        <f>AL12</f>
        <v>10</v>
      </c>
    </row>
    <row r="43" spans="1:58">
      <c r="A43" s="10" t="s">
        <v>165</v>
      </c>
      <c r="B43" s="10" t="s">
        <v>142</v>
      </c>
      <c r="C43" s="10" t="s">
        <v>27</v>
      </c>
      <c r="D43" s="11">
        <v>0.21428571428571427</v>
      </c>
      <c r="E43" s="11">
        <v>0.21428571428571427</v>
      </c>
      <c r="T43" s="10" t="s">
        <v>215</v>
      </c>
      <c r="U43" s="10" t="s">
        <v>26</v>
      </c>
      <c r="V43" s="10" t="s">
        <v>25</v>
      </c>
      <c r="W43">
        <v>1</v>
      </c>
      <c r="X43">
        <v>1</v>
      </c>
      <c r="AB43" s="10" t="str">
        <f>AB42</f>
        <v>BioGreen3700</v>
      </c>
      <c r="AC43" s="4" t="s">
        <v>28</v>
      </c>
      <c r="AD43" s="4" t="s">
        <v>25</v>
      </c>
      <c r="AE43" s="19">
        <f>AG43/$AG$46</f>
        <v>0.375</v>
      </c>
      <c r="AF43" s="19">
        <f t="shared" ref="AF43:AF46" si="22">AE43</f>
        <v>0.375</v>
      </c>
      <c r="AG43" s="51">
        <f>AD12</f>
        <v>450</v>
      </c>
      <c r="AJ43" s="10" t="str">
        <f t="shared" ref="AJ43:AJ44" si="23">AJ42</f>
        <v>CleanFuels2800</v>
      </c>
      <c r="AK43" s="4" t="s">
        <v>30</v>
      </c>
      <c r="AL43" s="4" t="s">
        <v>27</v>
      </c>
      <c r="AM43" s="11">
        <f>AO43/$AO$45</f>
        <v>0.2857142857142857</v>
      </c>
      <c r="AN43" s="9">
        <f t="shared" si="21"/>
        <v>0.2857142857142857</v>
      </c>
      <c r="AO43" s="62">
        <f>AL8</f>
        <v>200</v>
      </c>
      <c r="BB43" t="s">
        <v>160</v>
      </c>
    </row>
    <row r="44" spans="1:58">
      <c r="A44" s="12" t="s">
        <v>165</v>
      </c>
      <c r="B44" s="12" t="s">
        <v>26</v>
      </c>
      <c r="C44" s="12" t="s">
        <v>27</v>
      </c>
      <c r="D44" s="13">
        <v>1</v>
      </c>
      <c r="E44" s="13">
        <v>1</v>
      </c>
      <c r="T44" s="10" t="s">
        <v>215</v>
      </c>
      <c r="U44" s="10" t="s">
        <v>214</v>
      </c>
      <c r="V44" s="10" t="s">
        <v>27</v>
      </c>
      <c r="W44">
        <v>1</v>
      </c>
      <c r="X44">
        <v>1</v>
      </c>
      <c r="AB44" s="10" t="str">
        <f t="shared" ref="AB44:AB46" si="24">AB43</f>
        <v>BioGreen3700</v>
      </c>
      <c r="AC44" s="10" t="s">
        <v>30</v>
      </c>
      <c r="AD44" s="10" t="s">
        <v>27</v>
      </c>
      <c r="AE44" s="19">
        <f>AG44/$AG$46</f>
        <v>0.17499999999999999</v>
      </c>
      <c r="AF44" s="19">
        <f t="shared" si="22"/>
        <v>0.17499999999999999</v>
      </c>
      <c r="AG44" s="62">
        <f>AD30*1000</f>
        <v>210</v>
      </c>
      <c r="AH44" t="s">
        <v>59</v>
      </c>
      <c r="AJ44" s="10" t="str">
        <f t="shared" si="23"/>
        <v>CleanFuels2800</v>
      </c>
      <c r="AK44" s="10" t="s">
        <v>142</v>
      </c>
      <c r="AL44" s="10" t="s">
        <v>27</v>
      </c>
      <c r="AM44" s="11">
        <f>AO44/$AO$45</f>
        <v>0.21428571428571427</v>
      </c>
      <c r="AN44" s="11">
        <f t="shared" si="21"/>
        <v>0.21428571428571427</v>
      </c>
      <c r="AO44" s="51">
        <f>AL10</f>
        <v>150</v>
      </c>
      <c r="BD44" t="s">
        <v>169</v>
      </c>
      <c r="BE44" s="20">
        <f>BC9+BE38</f>
        <v>497.43999999999988</v>
      </c>
    </row>
    <row r="45" spans="1:58">
      <c r="A45" s="14" t="s">
        <v>172</v>
      </c>
      <c r="B45" s="14" t="s">
        <v>141</v>
      </c>
      <c r="C45" s="14" t="s">
        <v>25</v>
      </c>
      <c r="D45" s="15">
        <v>3.2839506172839505</v>
      </c>
      <c r="E45" s="15">
        <v>3.2839506172839505</v>
      </c>
      <c r="AB45" s="10" t="str">
        <f t="shared" si="24"/>
        <v>BioGreen3700</v>
      </c>
      <c r="AC45" s="10" t="s">
        <v>142</v>
      </c>
      <c r="AD45" s="10" t="s">
        <v>27</v>
      </c>
      <c r="AE45" s="19">
        <f>AG45/$AG$46</f>
        <v>0.9341666666666667</v>
      </c>
      <c r="AF45" s="19">
        <f t="shared" si="22"/>
        <v>0.9341666666666667</v>
      </c>
      <c r="AG45" s="20">
        <f>AD36</f>
        <v>1121</v>
      </c>
      <c r="AJ45" s="12" t="str">
        <f>AJ44</f>
        <v>CleanFuels2800</v>
      </c>
      <c r="AK45" s="12" t="s">
        <v>26</v>
      </c>
      <c r="AL45" s="12" t="s">
        <v>27</v>
      </c>
      <c r="AM45" s="13">
        <f>AO45/$AO$45</f>
        <v>1</v>
      </c>
      <c r="AN45" s="13">
        <f t="shared" si="21"/>
        <v>1</v>
      </c>
      <c r="AO45">
        <f>AL9</f>
        <v>700</v>
      </c>
      <c r="BD45" t="s">
        <v>170</v>
      </c>
      <c r="BE45" s="20">
        <f>BC13+BC15</f>
        <v>373.68048611111112</v>
      </c>
      <c r="BF45" s="19">
        <f>BE45/BE44</f>
        <v>0.75120715284478778</v>
      </c>
    </row>
    <row r="46" spans="1:58">
      <c r="A46" s="10" t="s">
        <v>172</v>
      </c>
      <c r="B46" s="10" t="s">
        <v>28</v>
      </c>
      <c r="C46" s="10" t="s">
        <v>25</v>
      </c>
      <c r="D46" s="11">
        <v>2.2222222222222223E-2</v>
      </c>
      <c r="E46" s="11">
        <v>2.2222222222222223E-2</v>
      </c>
      <c r="AB46" s="10" t="str">
        <f t="shared" si="24"/>
        <v>BioGreen3700</v>
      </c>
      <c r="AC46" s="12" t="s">
        <v>26</v>
      </c>
      <c r="AD46" s="12" t="s">
        <v>27</v>
      </c>
      <c r="AE46" s="19">
        <f>AG46/$AG$46</f>
        <v>1</v>
      </c>
      <c r="AF46" s="19">
        <f t="shared" si="22"/>
        <v>1</v>
      </c>
      <c r="AG46">
        <f>AD9</f>
        <v>1200</v>
      </c>
    </row>
    <row r="47" spans="1:58">
      <c r="A47" s="10" t="s">
        <v>172</v>
      </c>
      <c r="B47" s="4" t="s">
        <v>30</v>
      </c>
      <c r="C47" s="4" t="s">
        <v>27</v>
      </c>
      <c r="D47" s="11">
        <v>0.13333333333333333</v>
      </c>
      <c r="E47" s="9">
        <v>0.13333333333333333</v>
      </c>
    </row>
    <row r="48" spans="1:58">
      <c r="A48" s="10" t="s">
        <v>172</v>
      </c>
      <c r="B48" s="10" t="s">
        <v>142</v>
      </c>
      <c r="C48" s="10" t="s">
        <v>27</v>
      </c>
      <c r="D48" s="11">
        <v>0</v>
      </c>
      <c r="E48" s="11">
        <v>0</v>
      </c>
    </row>
    <row r="49" spans="1:27">
      <c r="A49" s="12" t="s">
        <v>172</v>
      </c>
      <c r="B49" s="12" t="s">
        <v>26</v>
      </c>
      <c r="C49" s="12" t="s">
        <v>27</v>
      </c>
      <c r="D49" s="13">
        <v>1</v>
      </c>
      <c r="E49" s="13">
        <v>1</v>
      </c>
      <c r="T49" t="s">
        <v>216</v>
      </c>
    </row>
    <row r="50" spans="1:27">
      <c r="A50" s="14" t="s">
        <v>202</v>
      </c>
      <c r="B50" s="14" t="s">
        <v>141</v>
      </c>
      <c r="C50" s="14" t="s">
        <v>25</v>
      </c>
      <c r="D50" s="15">
        <v>3.3192235103801555</v>
      </c>
      <c r="E50" s="15">
        <v>3.3192235103801555</v>
      </c>
      <c r="T50" t="s">
        <v>217</v>
      </c>
    </row>
    <row r="51" spans="1:27">
      <c r="A51" s="10" t="s">
        <v>202</v>
      </c>
      <c r="B51" s="10" t="s">
        <v>28</v>
      </c>
      <c r="C51" s="10" t="s">
        <v>25</v>
      </c>
      <c r="D51" s="11">
        <v>3.3701806416823937E-2</v>
      </c>
      <c r="E51" s="11">
        <v>3.3701806416823937E-2</v>
      </c>
      <c r="T51" t="s">
        <v>233</v>
      </c>
    </row>
    <row r="52" spans="1:27">
      <c r="A52" s="10" t="s">
        <v>202</v>
      </c>
      <c r="B52" s="4" t="s">
        <v>30</v>
      </c>
      <c r="C52" s="4" t="s">
        <v>27</v>
      </c>
      <c r="D52" s="11">
        <v>0.18224897771187196</v>
      </c>
      <c r="E52" s="9">
        <v>0.18224897771187196</v>
      </c>
      <c r="T52" t="s">
        <v>230</v>
      </c>
    </row>
    <row r="53" spans="1:27">
      <c r="A53" s="10" t="s">
        <v>202</v>
      </c>
      <c r="B53" s="10" t="s">
        <v>142</v>
      </c>
      <c r="C53" s="10" t="s">
        <v>27</v>
      </c>
      <c r="D53" s="11">
        <v>0</v>
      </c>
      <c r="E53" s="11">
        <v>0</v>
      </c>
      <c r="T53" t="s">
        <v>231</v>
      </c>
    </row>
    <row r="54" spans="1:27">
      <c r="A54" s="12" t="s">
        <v>202</v>
      </c>
      <c r="B54" s="12" t="s">
        <v>26</v>
      </c>
      <c r="C54" s="12" t="s">
        <v>27</v>
      </c>
      <c r="D54" s="13">
        <v>1</v>
      </c>
      <c r="E54" s="13">
        <v>1</v>
      </c>
      <c r="T54" t="s">
        <v>232</v>
      </c>
    </row>
    <row r="55" spans="1:27">
      <c r="A55" s="14" t="s">
        <v>204</v>
      </c>
      <c r="B55" s="14" t="s">
        <v>36</v>
      </c>
      <c r="C55" s="14" t="s">
        <v>25</v>
      </c>
      <c r="D55" s="15">
        <v>3.0787037037037037</v>
      </c>
      <c r="E55" s="15">
        <v>3.0787037037037037</v>
      </c>
    </row>
    <row r="56" spans="1:27">
      <c r="A56" s="10" t="s">
        <v>204</v>
      </c>
      <c r="B56" s="10" t="s">
        <v>28</v>
      </c>
      <c r="C56" s="10" t="s">
        <v>25</v>
      </c>
      <c r="D56" s="11">
        <v>0.375</v>
      </c>
      <c r="E56" s="11">
        <v>0.375</v>
      </c>
    </row>
    <row r="57" spans="1:27">
      <c r="A57" s="4" t="s">
        <v>204</v>
      </c>
      <c r="B57" s="4" t="s">
        <v>30</v>
      </c>
      <c r="C57" s="4" t="s">
        <v>27</v>
      </c>
      <c r="D57" s="9">
        <v>0.17499999999999999</v>
      </c>
      <c r="E57" s="9">
        <v>0.17499999999999999</v>
      </c>
      <c r="T57" s="21" t="s">
        <v>100</v>
      </c>
      <c r="U57" s="21" t="s">
        <v>99</v>
      </c>
      <c r="V57" s="21" t="s">
        <v>30</v>
      </c>
      <c r="W57" s="21" t="s">
        <v>28</v>
      </c>
      <c r="X57" s="21" t="s">
        <v>101</v>
      </c>
      <c r="Y57" s="21" t="s">
        <v>102</v>
      </c>
      <c r="Z57" s="21" t="s">
        <v>103</v>
      </c>
      <c r="AA57" s="21" t="s">
        <v>241</v>
      </c>
    </row>
    <row r="58" spans="1:27">
      <c r="A58" s="10" t="s">
        <v>204</v>
      </c>
      <c r="B58" s="10" t="s">
        <v>142</v>
      </c>
      <c r="C58" s="10" t="s">
        <v>27</v>
      </c>
      <c r="D58" s="11">
        <v>0.8510416666666667</v>
      </c>
      <c r="E58" s="11">
        <v>0.8510416666666667</v>
      </c>
      <c r="T58" s="21">
        <v>90.9</v>
      </c>
      <c r="U58" s="22">
        <v>0.55000000000000004</v>
      </c>
      <c r="V58" s="22">
        <v>0.2</v>
      </c>
      <c r="W58" s="100">
        <f>3.3%</f>
        <v>3.3000000000000002E-2</v>
      </c>
      <c r="X58" s="21">
        <f>17.78/3.6</f>
        <v>4.9388888888888891</v>
      </c>
      <c r="Y58" s="48">
        <v>0.5</v>
      </c>
      <c r="Z58" s="101">
        <v>0.4</v>
      </c>
      <c r="AA58" s="48">
        <v>0.25</v>
      </c>
    </row>
    <row r="59" spans="1:27">
      <c r="A59" s="12" t="s">
        <v>204</v>
      </c>
      <c r="B59" s="12" t="s">
        <v>26</v>
      </c>
      <c r="C59" s="12" t="s">
        <v>27</v>
      </c>
      <c r="D59" s="13">
        <v>1</v>
      </c>
      <c r="E59" s="13">
        <v>1</v>
      </c>
      <c r="W59" s="17" t="s">
        <v>23</v>
      </c>
      <c r="X59" s="18" t="s">
        <v>24</v>
      </c>
      <c r="Y59" t="s">
        <v>105</v>
      </c>
      <c r="Z59" t="s">
        <v>104</v>
      </c>
    </row>
    <row r="60" spans="1:27">
      <c r="A60" s="10" t="s">
        <v>234</v>
      </c>
      <c r="B60" s="10" t="s">
        <v>36</v>
      </c>
      <c r="C60" s="10" t="s">
        <v>25</v>
      </c>
      <c r="D60" s="90">
        <v>1.8181818181818179</v>
      </c>
      <c r="E60" s="90">
        <v>2.5</v>
      </c>
      <c r="G60">
        <f>50*D60</f>
        <v>90.909090909090892</v>
      </c>
      <c r="H60">
        <f>50*E60*0.4</f>
        <v>50</v>
      </c>
      <c r="T60" s="10" t="s">
        <v>240</v>
      </c>
      <c r="U60" s="10" t="s">
        <v>36</v>
      </c>
      <c r="V60" s="10" t="s">
        <v>25</v>
      </c>
      <c r="W60" s="89">
        <f>Y60/Y62</f>
        <v>1.3879250520471893</v>
      </c>
      <c r="X60" s="89">
        <f>Z60/Z62</f>
        <v>1.8761726078799248</v>
      </c>
      <c r="Y60" s="51">
        <f>T58</f>
        <v>90.9</v>
      </c>
      <c r="Z60">
        <f>Y60*Y58</f>
        <v>45.45</v>
      </c>
    </row>
    <row r="61" spans="1:27">
      <c r="A61" s="10" t="s">
        <v>234</v>
      </c>
      <c r="B61" s="4" t="s">
        <v>30</v>
      </c>
      <c r="C61" s="4" t="s">
        <v>27</v>
      </c>
      <c r="D61" s="90">
        <v>7.3627160241333464E-2</v>
      </c>
      <c r="E61" s="90">
        <v>0.10123734533183353</v>
      </c>
      <c r="G61">
        <f t="shared" ref="G61:G63" si="25">50*D61</f>
        <v>3.6813580120666733</v>
      </c>
      <c r="H61">
        <f t="shared" ref="H61:H63" si="26">50*E61*0.4</f>
        <v>2.0247469066366706</v>
      </c>
      <c r="T61" s="10" t="str">
        <f>T60</f>
        <v>pyrBMC50t_el</v>
      </c>
      <c r="U61" s="4" t="s">
        <v>30</v>
      </c>
      <c r="V61" s="4" t="s">
        <v>27</v>
      </c>
      <c r="W61" s="89">
        <f>Y61/Y62</f>
        <v>5.6203939115521732E-2</v>
      </c>
      <c r="X61" s="89">
        <f>Z61/Z62</f>
        <v>7.5975493682426648E-2</v>
      </c>
      <c r="Y61" s="51">
        <f>T58/X58*V58</f>
        <v>3.6809898762654671</v>
      </c>
      <c r="Z61">
        <f>Z60/X58*V58</f>
        <v>1.8404949381327336</v>
      </c>
    </row>
    <row r="62" spans="1:27">
      <c r="A62" s="10" t="s">
        <v>234</v>
      </c>
      <c r="B62" s="10" t="s">
        <v>26</v>
      </c>
      <c r="C62" s="10" t="s">
        <v>27</v>
      </c>
      <c r="D62" s="90">
        <v>1</v>
      </c>
      <c r="E62" s="90">
        <v>1</v>
      </c>
      <c r="G62">
        <f t="shared" si="25"/>
        <v>50</v>
      </c>
      <c r="H62">
        <f t="shared" si="26"/>
        <v>20</v>
      </c>
      <c r="T62" s="10" t="str">
        <f t="shared" ref="T62:T63" si="27">T61</f>
        <v>pyrBMC50t_el</v>
      </c>
      <c r="U62" s="10" t="s">
        <v>26</v>
      </c>
      <c r="V62" s="10" t="s">
        <v>27</v>
      </c>
      <c r="W62" s="89">
        <f>Y62/Y62</f>
        <v>1</v>
      </c>
      <c r="X62" s="89">
        <f>Z62/Z62</f>
        <v>1</v>
      </c>
      <c r="Y62" s="53">
        <f>T58*U58+Y63</f>
        <v>65.49345000000001</v>
      </c>
      <c r="Z62">
        <f>Z60*Z58+Z63</f>
        <v>24.224850000000004</v>
      </c>
    </row>
    <row r="63" spans="1:27">
      <c r="A63" s="10" t="s">
        <v>234</v>
      </c>
      <c r="B63" s="12" t="s">
        <v>28</v>
      </c>
      <c r="C63" s="12" t="s">
        <v>25</v>
      </c>
      <c r="D63" s="91">
        <v>0.06</v>
      </c>
      <c r="E63" s="91">
        <v>8.2500000000000004E-2</v>
      </c>
      <c r="G63">
        <f t="shared" si="25"/>
        <v>3</v>
      </c>
      <c r="H63">
        <f t="shared" si="26"/>
        <v>1.6500000000000001</v>
      </c>
      <c r="T63" s="10" t="str">
        <f t="shared" si="27"/>
        <v>pyrBMC50t_el</v>
      </c>
      <c r="U63" s="12" t="s">
        <v>28</v>
      </c>
      <c r="V63" s="12" t="s">
        <v>25</v>
      </c>
      <c r="W63" s="89">
        <f>Y63/Y62</f>
        <v>0.23664122137404581</v>
      </c>
      <c r="X63" s="89">
        <f>Z63/Z62</f>
        <v>0.24953095684803003</v>
      </c>
      <c r="Y63" s="51">
        <f>T58*W58+AA58*T58*U58</f>
        <v>15.498450000000002</v>
      </c>
      <c r="Z63">
        <f>Z60*W58+AA58*Z58*Z60</f>
        <v>6.0448500000000012</v>
      </c>
    </row>
    <row r="64" spans="1:27">
      <c r="A64" s="14" t="s">
        <v>235</v>
      </c>
      <c r="B64" s="14" t="s">
        <v>36</v>
      </c>
      <c r="C64" s="14" t="s">
        <v>25</v>
      </c>
      <c r="D64" s="92">
        <v>1.8181818181818179</v>
      </c>
      <c r="E64" s="92">
        <v>2.5</v>
      </c>
      <c r="T64" s="10"/>
      <c r="U64" s="10"/>
      <c r="V64" s="10"/>
      <c r="W64" s="47"/>
      <c r="X64" s="47"/>
    </row>
    <row r="65" spans="1:30">
      <c r="A65" s="10" t="s">
        <v>235</v>
      </c>
      <c r="B65" s="10" t="s">
        <v>30</v>
      </c>
      <c r="C65" s="10" t="s">
        <v>27</v>
      </c>
      <c r="D65" s="93">
        <v>7.3627160241333464E-2</v>
      </c>
      <c r="E65" s="93">
        <v>0.10123734533183353</v>
      </c>
      <c r="T65" t="s">
        <v>243</v>
      </c>
    </row>
    <row r="66" spans="1:30">
      <c r="A66" s="10" t="s">
        <v>235</v>
      </c>
      <c r="B66" s="4" t="s">
        <v>221</v>
      </c>
      <c r="C66" s="4" t="s">
        <v>27</v>
      </c>
      <c r="D66" s="90">
        <v>1</v>
      </c>
      <c r="E66" s="90">
        <v>1</v>
      </c>
      <c r="T66" t="s">
        <v>242</v>
      </c>
    </row>
    <row r="67" spans="1:30">
      <c r="A67" s="10" t="s">
        <v>235</v>
      </c>
      <c r="B67" s="10" t="s">
        <v>28</v>
      </c>
      <c r="C67" s="10" t="s">
        <v>25</v>
      </c>
      <c r="D67" s="93">
        <v>0.06</v>
      </c>
      <c r="E67" s="93">
        <v>8.2500000000000004E-2</v>
      </c>
    </row>
    <row r="68" spans="1:30">
      <c r="A68" s="12" t="s">
        <v>235</v>
      </c>
      <c r="B68" s="12" t="s">
        <v>222</v>
      </c>
      <c r="C68" s="12" t="s">
        <v>27</v>
      </c>
      <c r="D68" s="91">
        <v>0.1284764863107708</v>
      </c>
      <c r="E68" s="91">
        <v>0.25905511811023624</v>
      </c>
      <c r="T68" t="s">
        <v>290</v>
      </c>
    </row>
    <row r="69" spans="1:30">
      <c r="A69" s="10" t="s">
        <v>223</v>
      </c>
      <c r="B69" s="4" t="s">
        <v>221</v>
      </c>
      <c r="C69" s="10" t="s">
        <v>25</v>
      </c>
      <c r="D69" s="11">
        <v>1</v>
      </c>
      <c r="E69" s="11">
        <v>1</v>
      </c>
      <c r="T69" s="105" t="s">
        <v>244</v>
      </c>
      <c r="X69" s="105" t="s">
        <v>269</v>
      </c>
      <c r="AB69" s="105" t="s">
        <v>274</v>
      </c>
    </row>
    <row r="70" spans="1:30">
      <c r="A70" s="10" t="s">
        <v>223</v>
      </c>
      <c r="B70" s="4" t="s">
        <v>226</v>
      </c>
      <c r="C70" s="10" t="s">
        <v>27</v>
      </c>
      <c r="D70" s="11">
        <v>1</v>
      </c>
      <c r="E70" s="11">
        <v>1</v>
      </c>
      <c r="T70" t="s">
        <v>245</v>
      </c>
      <c r="U70">
        <v>18.14</v>
      </c>
      <c r="V70" t="s">
        <v>246</v>
      </c>
      <c r="X70" t="s">
        <v>245</v>
      </c>
      <c r="Y70">
        <v>17.600000000000001</v>
      </c>
      <c r="Z70" t="s">
        <v>246</v>
      </c>
      <c r="AB70" t="s">
        <v>245</v>
      </c>
      <c r="AC70" s="51">
        <v>17</v>
      </c>
      <c r="AD70" t="s">
        <v>246</v>
      </c>
    </row>
    <row r="71" spans="1:30">
      <c r="A71" s="10" t="s">
        <v>224</v>
      </c>
      <c r="B71" s="4" t="s">
        <v>221</v>
      </c>
      <c r="C71" s="10" t="s">
        <v>25</v>
      </c>
      <c r="D71" s="11">
        <v>1</v>
      </c>
      <c r="E71" s="11">
        <v>1</v>
      </c>
      <c r="T71" s="36" t="s">
        <v>247</v>
      </c>
      <c r="U71" s="108">
        <v>0.09</v>
      </c>
      <c r="V71" s="36"/>
      <c r="W71" s="36"/>
      <c r="X71" s="36" t="s">
        <v>247</v>
      </c>
      <c r="Y71" s="108">
        <v>0.4</v>
      </c>
      <c r="Z71" s="36"/>
      <c r="AA71" s="36"/>
      <c r="AB71" s="36" t="s">
        <v>247</v>
      </c>
      <c r="AC71" s="108">
        <v>0.4</v>
      </c>
      <c r="AD71" s="36"/>
    </row>
    <row r="72" spans="1:30">
      <c r="A72" s="10" t="s">
        <v>224</v>
      </c>
      <c r="B72" s="4" t="s">
        <v>26</v>
      </c>
      <c r="C72" s="10" t="s">
        <v>27</v>
      </c>
      <c r="D72" s="11">
        <v>1</v>
      </c>
      <c r="E72" s="11">
        <v>1</v>
      </c>
      <c r="T72" t="s">
        <v>248</v>
      </c>
      <c r="U72">
        <f>U70*(1-U71)</f>
        <v>16.507400000000001</v>
      </c>
      <c r="V72" t="s">
        <v>246</v>
      </c>
      <c r="X72" t="s">
        <v>248</v>
      </c>
      <c r="Y72">
        <f>Y70*(1-Y71)</f>
        <v>10.56</v>
      </c>
      <c r="Z72" t="s">
        <v>246</v>
      </c>
      <c r="AB72" t="s">
        <v>248</v>
      </c>
      <c r="AC72">
        <f>AC70*(1-AC71)</f>
        <v>10.199999999999999</v>
      </c>
      <c r="AD72" t="s">
        <v>246</v>
      </c>
    </row>
    <row r="73" spans="1:30">
      <c r="A73" s="10" t="s">
        <v>225</v>
      </c>
      <c r="B73" s="10" t="s">
        <v>222</v>
      </c>
      <c r="C73" s="10" t="s">
        <v>25</v>
      </c>
      <c r="D73" s="11">
        <v>1</v>
      </c>
      <c r="E73" s="11">
        <v>1</v>
      </c>
      <c r="T73" s="36" t="s">
        <v>249</v>
      </c>
      <c r="U73" s="108">
        <v>0.55000000000000004</v>
      </c>
      <c r="V73" s="36" t="s">
        <v>251</v>
      </c>
      <c r="W73" s="36"/>
      <c r="X73" s="36" t="s">
        <v>249</v>
      </c>
      <c r="Y73" s="108">
        <v>0.45</v>
      </c>
      <c r="Z73" s="36" t="s">
        <v>251</v>
      </c>
      <c r="AA73" s="36"/>
      <c r="AB73" s="36" t="s">
        <v>249</v>
      </c>
      <c r="AC73" s="108">
        <v>0.45</v>
      </c>
      <c r="AD73" s="36" t="s">
        <v>251</v>
      </c>
    </row>
    <row r="74" spans="1:30">
      <c r="A74" s="12" t="s">
        <v>225</v>
      </c>
      <c r="B74" s="12" t="s">
        <v>226</v>
      </c>
      <c r="C74" s="12" t="s">
        <v>27</v>
      </c>
      <c r="D74" s="13">
        <v>1</v>
      </c>
      <c r="E74" s="13">
        <v>1</v>
      </c>
      <c r="T74" t="s">
        <v>250</v>
      </c>
      <c r="U74" s="48">
        <v>0.2</v>
      </c>
      <c r="V74" t="s">
        <v>252</v>
      </c>
      <c r="X74" t="s">
        <v>250</v>
      </c>
      <c r="Y74" s="48">
        <v>0.2</v>
      </c>
      <c r="Z74" t="s">
        <v>252</v>
      </c>
      <c r="AB74" t="s">
        <v>250</v>
      </c>
      <c r="AC74" s="48">
        <v>0.22</v>
      </c>
      <c r="AD74" t="s">
        <v>252</v>
      </c>
    </row>
    <row r="75" spans="1:30">
      <c r="A75" s="10" t="s">
        <v>236</v>
      </c>
      <c r="B75" s="10" t="s">
        <v>36</v>
      </c>
      <c r="C75" s="10" t="s">
        <v>25</v>
      </c>
      <c r="D75" s="90">
        <v>1.8181818181818179</v>
      </c>
      <c r="E75" s="90">
        <v>2.5</v>
      </c>
    </row>
    <row r="76" spans="1:30">
      <c r="A76" s="10" t="s">
        <v>236</v>
      </c>
      <c r="B76" s="4" t="s">
        <v>30</v>
      </c>
      <c r="C76" s="4" t="s">
        <v>27</v>
      </c>
      <c r="D76" s="90">
        <v>7.3627160241333464E-2</v>
      </c>
      <c r="E76" s="90">
        <v>0.10123734533183353</v>
      </c>
      <c r="T76" t="s">
        <v>253</v>
      </c>
      <c r="U76" s="20">
        <v>50</v>
      </c>
      <c r="V76" t="s">
        <v>116</v>
      </c>
      <c r="X76" t="s">
        <v>253</v>
      </c>
      <c r="Y76" s="20">
        <v>50</v>
      </c>
      <c r="Z76" t="s">
        <v>116</v>
      </c>
      <c r="AB76" t="s">
        <v>253</v>
      </c>
      <c r="AC76" s="20">
        <v>50</v>
      </c>
      <c r="AD76" t="s">
        <v>116</v>
      </c>
    </row>
    <row r="77" spans="1:30">
      <c r="A77" s="10" t="s">
        <v>236</v>
      </c>
      <c r="B77" s="10" t="s">
        <v>26</v>
      </c>
      <c r="C77" s="10" t="s">
        <v>27</v>
      </c>
      <c r="D77" s="90">
        <v>1</v>
      </c>
      <c r="E77" s="90">
        <v>1</v>
      </c>
      <c r="T77" t="s">
        <v>254</v>
      </c>
      <c r="U77" s="20">
        <f>U76/U73</f>
        <v>90.909090909090907</v>
      </c>
      <c r="V77" t="s">
        <v>255</v>
      </c>
      <c r="X77" t="s">
        <v>254</v>
      </c>
      <c r="Y77" s="20">
        <f>Y76/Y73</f>
        <v>111.11111111111111</v>
      </c>
      <c r="Z77" t="s">
        <v>255</v>
      </c>
      <c r="AB77" t="s">
        <v>254</v>
      </c>
      <c r="AC77" s="20">
        <f>AC76/AC73</f>
        <v>111.11111111111111</v>
      </c>
      <c r="AD77" t="s">
        <v>255</v>
      </c>
    </row>
    <row r="78" spans="1:30">
      <c r="A78" s="10" t="s">
        <v>236</v>
      </c>
      <c r="B78" s="10" t="s">
        <v>28</v>
      </c>
      <c r="C78" s="10" t="s">
        <v>25</v>
      </c>
      <c r="D78" s="93">
        <v>0.06</v>
      </c>
      <c r="E78" s="93">
        <v>8.2500000000000004E-2</v>
      </c>
      <c r="T78" t="s">
        <v>254</v>
      </c>
      <c r="U78" s="20">
        <f>U80*U72/3.6</f>
        <v>90.909090909090907</v>
      </c>
      <c r="V78" t="s">
        <v>259</v>
      </c>
      <c r="X78" t="s">
        <v>254</v>
      </c>
      <c r="Y78" s="20">
        <f>Y80*Y72/3.6</f>
        <v>111.11111111111113</v>
      </c>
      <c r="Z78" t="s">
        <v>259</v>
      </c>
      <c r="AB78" t="s">
        <v>254</v>
      </c>
      <c r="AC78" s="20">
        <f>AC80*AC72/3.6</f>
        <v>111.11111111111111</v>
      </c>
      <c r="AD78" t="s">
        <v>259</v>
      </c>
    </row>
    <row r="79" spans="1:30">
      <c r="A79" s="14" t="s">
        <v>237</v>
      </c>
      <c r="B79" s="14" t="s">
        <v>36</v>
      </c>
      <c r="C79" s="14" t="s">
        <v>25</v>
      </c>
      <c r="D79" s="92">
        <v>1.8181818181818179</v>
      </c>
      <c r="E79" s="92">
        <v>2.5</v>
      </c>
      <c r="T79" s="36" t="s">
        <v>254</v>
      </c>
      <c r="U79" s="111">
        <f>U77/U70*3.6</f>
        <v>18.041495439510875</v>
      </c>
      <c r="V79" s="36" t="s">
        <v>256</v>
      </c>
      <c r="W79" s="36"/>
      <c r="X79" s="36" t="s">
        <v>254</v>
      </c>
      <c r="Y79" s="111">
        <f>Y77/Y70*3.6</f>
        <v>22.727272727272727</v>
      </c>
      <c r="Z79" s="36" t="s">
        <v>256</v>
      </c>
      <c r="AA79" s="36"/>
      <c r="AB79" s="36" t="s">
        <v>254</v>
      </c>
      <c r="AC79" s="111">
        <f>AC77/AC70*3.6</f>
        <v>23.529411764705884</v>
      </c>
      <c r="AD79" s="36" t="s">
        <v>256</v>
      </c>
    </row>
    <row r="80" spans="1:30">
      <c r="A80" s="10" t="s">
        <v>237</v>
      </c>
      <c r="B80" s="10" t="s">
        <v>30</v>
      </c>
      <c r="C80" s="10" t="s">
        <v>27</v>
      </c>
      <c r="D80" s="93">
        <v>7.3627160241333464E-2</v>
      </c>
      <c r="E80" s="93">
        <v>0.10123734533183353</v>
      </c>
      <c r="T80" t="s">
        <v>254</v>
      </c>
      <c r="U80" s="20">
        <f>U79/(1-U71)</f>
        <v>19.825819164297663</v>
      </c>
      <c r="V80" t="s">
        <v>257</v>
      </c>
      <c r="X80" t="s">
        <v>254</v>
      </c>
      <c r="Y80" s="20">
        <f>Y79/(1-Y71)</f>
        <v>37.878787878787882</v>
      </c>
      <c r="Z80" t="s">
        <v>257</v>
      </c>
      <c r="AB80" t="s">
        <v>254</v>
      </c>
      <c r="AC80" s="20">
        <f>AC79/(1-AC71)</f>
        <v>39.215686274509807</v>
      </c>
      <c r="AD80" t="s">
        <v>257</v>
      </c>
    </row>
    <row r="81" spans="1:30">
      <c r="A81" s="10" t="s">
        <v>237</v>
      </c>
      <c r="B81" s="10" t="s">
        <v>26</v>
      </c>
      <c r="C81" s="10" t="s">
        <v>27</v>
      </c>
      <c r="D81" s="93">
        <v>1</v>
      </c>
      <c r="E81" s="93">
        <v>1</v>
      </c>
      <c r="T81" s="109" t="s">
        <v>258</v>
      </c>
      <c r="U81" s="110">
        <f>U80-U79</f>
        <v>1.7843237247867876</v>
      </c>
      <c r="V81" s="109" t="s">
        <v>59</v>
      </c>
      <c r="W81" s="109"/>
      <c r="X81" s="109" t="s">
        <v>258</v>
      </c>
      <c r="Y81" s="110">
        <f>Y80-Y79</f>
        <v>15.151515151515156</v>
      </c>
      <c r="Z81" s="109" t="s">
        <v>59</v>
      </c>
      <c r="AA81" s="109"/>
      <c r="AB81" s="109" t="s">
        <v>258</v>
      </c>
      <c r="AC81" s="110">
        <f>AC80-AC79</f>
        <v>15.686274509803923</v>
      </c>
      <c r="AD81" s="109" t="s">
        <v>59</v>
      </c>
    </row>
    <row r="82" spans="1:30">
      <c r="A82" s="10" t="s">
        <v>237</v>
      </c>
      <c r="B82" s="12" t="s">
        <v>28</v>
      </c>
      <c r="C82" s="12" t="s">
        <v>25</v>
      </c>
      <c r="D82" s="91">
        <v>0.06</v>
      </c>
      <c r="E82" s="91">
        <v>8.2500000000000004E-2</v>
      </c>
    </row>
    <row r="83" spans="1:30">
      <c r="A83" s="10" t="s">
        <v>240</v>
      </c>
      <c r="B83" s="10" t="s">
        <v>36</v>
      </c>
      <c r="C83" s="10" t="s">
        <v>25</v>
      </c>
      <c r="D83" s="90">
        <v>1.3879250520471893</v>
      </c>
      <c r="E83" s="90">
        <v>1.8761726078799248</v>
      </c>
      <c r="T83" t="s">
        <v>260</v>
      </c>
      <c r="U83" s="19">
        <f>U79*U74</f>
        <v>3.608299087902175</v>
      </c>
      <c r="V83" t="s">
        <v>261</v>
      </c>
      <c r="X83" t="s">
        <v>260</v>
      </c>
      <c r="Y83" s="19">
        <f>Y79*Y74</f>
        <v>4.5454545454545459</v>
      </c>
      <c r="Z83" t="s">
        <v>261</v>
      </c>
      <c r="AB83" t="s">
        <v>260</v>
      </c>
      <c r="AC83" s="19">
        <f>AC79*AC74</f>
        <v>5.1764705882352944</v>
      </c>
      <c r="AD83" t="s">
        <v>261</v>
      </c>
    </row>
    <row r="84" spans="1:30">
      <c r="A84" s="10" t="s">
        <v>240</v>
      </c>
      <c r="B84" s="4" t="s">
        <v>30</v>
      </c>
      <c r="C84" s="4" t="s">
        <v>27</v>
      </c>
      <c r="D84" s="90">
        <v>5.6203939115521732E-2</v>
      </c>
      <c r="E84" s="90">
        <v>7.5975493682426648E-2</v>
      </c>
      <c r="T84" t="s">
        <v>262</v>
      </c>
      <c r="U84">
        <f>27/3.6</f>
        <v>7.5</v>
      </c>
      <c r="V84" t="s">
        <v>263</v>
      </c>
      <c r="X84" t="s">
        <v>262</v>
      </c>
      <c r="Y84">
        <f>27/3.6</f>
        <v>7.5</v>
      </c>
      <c r="Z84" t="s">
        <v>263</v>
      </c>
      <c r="AB84" t="s">
        <v>262</v>
      </c>
      <c r="AC84" s="51">
        <f>24/3.6</f>
        <v>6.6666666666666661</v>
      </c>
      <c r="AD84" t="s">
        <v>263</v>
      </c>
    </row>
    <row r="85" spans="1:30">
      <c r="A85" s="10" t="s">
        <v>240</v>
      </c>
      <c r="B85" s="10" t="s">
        <v>26</v>
      </c>
      <c r="C85" s="10" t="s">
        <v>27</v>
      </c>
      <c r="D85" s="90">
        <v>1</v>
      </c>
      <c r="E85" s="90">
        <v>1</v>
      </c>
      <c r="T85" t="s">
        <v>260</v>
      </c>
      <c r="U85" s="51">
        <f>U83*U84</f>
        <v>27.062243159266313</v>
      </c>
      <c r="V85" t="s">
        <v>255</v>
      </c>
      <c r="X85" t="s">
        <v>260</v>
      </c>
      <c r="Y85" s="51">
        <f>Y83*Y84</f>
        <v>34.090909090909093</v>
      </c>
      <c r="Z85" t="s">
        <v>255</v>
      </c>
      <c r="AB85" t="s">
        <v>260</v>
      </c>
      <c r="AC85" s="51">
        <f>AC83*AC84</f>
        <v>34.509803921568626</v>
      </c>
      <c r="AD85" t="s">
        <v>255</v>
      </c>
    </row>
    <row r="86" spans="1:30" ht="14.95" thickBot="1">
      <c r="A86" s="112" t="s">
        <v>240</v>
      </c>
      <c r="B86" s="112" t="s">
        <v>28</v>
      </c>
      <c r="C86" s="112" t="s">
        <v>25</v>
      </c>
      <c r="D86" s="113">
        <v>0.23664122137404581</v>
      </c>
      <c r="E86" s="113">
        <v>0.24953095684803003</v>
      </c>
      <c r="T86" t="s">
        <v>275</v>
      </c>
      <c r="U86" s="48">
        <v>0.77</v>
      </c>
      <c r="V86" t="s">
        <v>278</v>
      </c>
      <c r="Y86" s="48">
        <v>0.77</v>
      </c>
      <c r="Z86" t="s">
        <v>278</v>
      </c>
      <c r="AC86" s="48">
        <v>0.65</v>
      </c>
      <c r="AD86" t="s">
        <v>278</v>
      </c>
    </row>
    <row r="87" spans="1:30">
      <c r="A87" s="10" t="s">
        <v>301</v>
      </c>
      <c r="B87" s="10" t="s">
        <v>36</v>
      </c>
      <c r="C87" s="10" t="s">
        <v>25</v>
      </c>
      <c r="D87" s="120">
        <v>1.8181818181818181</v>
      </c>
      <c r="E87" s="120">
        <v>1.8181818181818181</v>
      </c>
      <c r="G87" t="s">
        <v>314</v>
      </c>
      <c r="S87" s="39"/>
      <c r="T87" t="s">
        <v>276</v>
      </c>
      <c r="U87" s="48">
        <v>0.89</v>
      </c>
      <c r="Y87" s="48">
        <v>0.89</v>
      </c>
      <c r="AC87" s="48">
        <v>0.89</v>
      </c>
    </row>
    <row r="88" spans="1:30">
      <c r="A88" s="10" t="s">
        <v>301</v>
      </c>
      <c r="B88" s="4" t="s">
        <v>30</v>
      </c>
      <c r="C88" s="4" t="s">
        <v>27</v>
      </c>
      <c r="D88" s="120">
        <v>7.2165981758043507E-2</v>
      </c>
      <c r="E88" s="120">
        <v>7.2165981758043507E-2</v>
      </c>
      <c r="G88" t="s">
        <v>319</v>
      </c>
      <c r="T88" s="36" t="s">
        <v>277</v>
      </c>
      <c r="U88" s="106">
        <f>U83*U86*U87*44/12</f>
        <v>9.0668136714443222</v>
      </c>
      <c r="V88" s="36" t="s">
        <v>279</v>
      </c>
      <c r="W88" s="36"/>
      <c r="X88" s="36"/>
      <c r="Y88" s="106">
        <f>Y83*Y86*Y87*44/12</f>
        <v>11.421666666666669</v>
      </c>
      <c r="Z88" s="36" t="s">
        <v>279</v>
      </c>
      <c r="AA88" s="36"/>
      <c r="AB88" s="36"/>
      <c r="AC88" s="106">
        <f>AC83*AC86*AC87*44/12</f>
        <v>10.980156862745099</v>
      </c>
      <c r="AD88" s="36" t="s">
        <v>279</v>
      </c>
    </row>
    <row r="89" spans="1:30">
      <c r="A89" s="10" t="s">
        <v>301</v>
      </c>
      <c r="B89" s="10" t="s">
        <v>26</v>
      </c>
      <c r="C89" s="10" t="s">
        <v>27</v>
      </c>
      <c r="D89" s="120">
        <v>1</v>
      </c>
      <c r="E89" s="120">
        <v>1</v>
      </c>
    </row>
    <row r="90" spans="1:30">
      <c r="A90" s="10" t="s">
        <v>301</v>
      </c>
      <c r="B90" s="12" t="s">
        <v>28</v>
      </c>
      <c r="C90" s="12" t="s">
        <v>25</v>
      </c>
      <c r="D90" s="121">
        <v>0.06</v>
      </c>
      <c r="E90" s="121">
        <v>0.06</v>
      </c>
      <c r="T90" s="36" t="s">
        <v>270</v>
      </c>
      <c r="U90" s="107">
        <f>U77-U76-U85</f>
        <v>13.846847749824594</v>
      </c>
      <c r="V90" s="36" t="s">
        <v>255</v>
      </c>
      <c r="W90" s="36"/>
      <c r="X90" s="36" t="s">
        <v>264</v>
      </c>
      <c r="Y90" s="107">
        <f>Y77-Y76-Y85</f>
        <v>27.020202020202021</v>
      </c>
      <c r="Z90" s="36" t="s">
        <v>255</v>
      </c>
      <c r="AA90" s="36"/>
      <c r="AB90" s="36" t="s">
        <v>264</v>
      </c>
      <c r="AC90" s="107">
        <f>AC77-AC76-AC85</f>
        <v>26.601307189542489</v>
      </c>
      <c r="AD90" s="36" t="s">
        <v>255</v>
      </c>
    </row>
    <row r="91" spans="1:30">
      <c r="A91" s="10" t="s">
        <v>294</v>
      </c>
      <c r="B91" s="10" t="s">
        <v>36</v>
      </c>
      <c r="C91" s="10" t="s">
        <v>25</v>
      </c>
      <c r="D91" s="120">
        <v>2.2222222222222223</v>
      </c>
      <c r="E91" s="120">
        <v>2.2222222222222223</v>
      </c>
      <c r="G91" t="s">
        <v>315</v>
      </c>
    </row>
    <row r="92" spans="1:30">
      <c r="A92" s="10" t="s">
        <v>294</v>
      </c>
      <c r="B92" s="4" t="s">
        <v>30</v>
      </c>
      <c r="C92" s="4" t="s">
        <v>27</v>
      </c>
      <c r="D92" s="120">
        <v>9.0909090909090912E-2</v>
      </c>
      <c r="E92" s="120">
        <v>9.0909090909090912E-2</v>
      </c>
      <c r="G92" t="s">
        <v>141</v>
      </c>
      <c r="T92" t="s">
        <v>267</v>
      </c>
      <c r="U92" s="19">
        <f>2.3/3.6</f>
        <v>0.63888888888888884</v>
      </c>
      <c r="V92" t="s">
        <v>268</v>
      </c>
      <c r="X92" t="s">
        <v>267</v>
      </c>
      <c r="Y92" s="19">
        <f>2.3/3.6</f>
        <v>0.63888888888888884</v>
      </c>
      <c r="Z92" t="s">
        <v>268</v>
      </c>
      <c r="AB92" t="s">
        <v>267</v>
      </c>
      <c r="AC92" s="19">
        <f>2.3/3.6</f>
        <v>0.63888888888888884</v>
      </c>
      <c r="AD92" t="s">
        <v>268</v>
      </c>
    </row>
    <row r="93" spans="1:30">
      <c r="A93" s="10" t="s">
        <v>294</v>
      </c>
      <c r="B93" s="10" t="s">
        <v>26</v>
      </c>
      <c r="C93" s="10" t="s">
        <v>27</v>
      </c>
      <c r="D93" s="120">
        <v>1</v>
      </c>
      <c r="E93" s="120">
        <v>1</v>
      </c>
      <c r="T93" t="s">
        <v>265</v>
      </c>
      <c r="U93" s="19">
        <f>U81*U92</f>
        <v>1.1399846019471143</v>
      </c>
      <c r="V93" t="s">
        <v>266</v>
      </c>
      <c r="X93" t="s">
        <v>265</v>
      </c>
      <c r="Y93" s="19">
        <f>Y81*Y92</f>
        <v>9.6801346801346817</v>
      </c>
      <c r="Z93" t="s">
        <v>266</v>
      </c>
      <c r="AB93" t="s">
        <v>265</v>
      </c>
      <c r="AC93" s="19">
        <f>AC81*AC92</f>
        <v>10.021786492374728</v>
      </c>
      <c r="AD93" t="s">
        <v>266</v>
      </c>
    </row>
    <row r="94" spans="1:30">
      <c r="A94" s="10" t="s">
        <v>294</v>
      </c>
      <c r="B94" s="12" t="s">
        <v>28</v>
      </c>
      <c r="C94" s="12" t="s">
        <v>25</v>
      </c>
      <c r="D94" s="121">
        <v>0.06</v>
      </c>
      <c r="E94" s="121">
        <v>0.06</v>
      </c>
      <c r="T94" t="s">
        <v>271</v>
      </c>
    </row>
    <row r="95" spans="1:30">
      <c r="A95" s="10" t="s">
        <v>295</v>
      </c>
      <c r="B95" s="10" t="s">
        <v>36</v>
      </c>
      <c r="C95" s="10" t="s">
        <v>25</v>
      </c>
      <c r="D95" s="120">
        <v>2.2222222222222223</v>
      </c>
      <c r="E95" s="120">
        <v>2.2222222222222223</v>
      </c>
      <c r="G95" t="s">
        <v>316</v>
      </c>
    </row>
    <row r="96" spans="1:30">
      <c r="A96" s="10" t="s">
        <v>295</v>
      </c>
      <c r="B96" s="4" t="s">
        <v>30</v>
      </c>
      <c r="C96" s="4" t="s">
        <v>27</v>
      </c>
      <c r="D96" s="120">
        <v>9.0909090909090912E-2</v>
      </c>
      <c r="E96" s="120">
        <v>9.0909090909090912E-2</v>
      </c>
      <c r="G96" t="s">
        <v>321</v>
      </c>
      <c r="T96" s="36" t="s">
        <v>272</v>
      </c>
      <c r="U96" s="107">
        <f>U76/U83</f>
        <v>13.856944444444444</v>
      </c>
      <c r="V96" s="36" t="s">
        <v>273</v>
      </c>
      <c r="W96" s="36"/>
      <c r="X96" s="36"/>
      <c r="Y96" s="107">
        <f>Y76/Y83</f>
        <v>10.999999999999998</v>
      </c>
      <c r="Z96" s="36" t="s">
        <v>273</v>
      </c>
      <c r="AA96" s="36"/>
      <c r="AB96" s="36"/>
      <c r="AC96" s="106">
        <f>AC76/AC83</f>
        <v>9.6590909090909083</v>
      </c>
      <c r="AD96" s="36" t="s">
        <v>273</v>
      </c>
    </row>
    <row r="97" spans="1:30">
      <c r="A97" s="10" t="s">
        <v>295</v>
      </c>
      <c r="B97" s="10" t="s">
        <v>26</v>
      </c>
      <c r="C97" s="10" t="s">
        <v>27</v>
      </c>
      <c r="D97" s="120">
        <v>1</v>
      </c>
      <c r="E97" s="120">
        <v>1</v>
      </c>
    </row>
    <row r="98" spans="1:30">
      <c r="A98" s="10" t="s">
        <v>295</v>
      </c>
      <c r="B98" s="12" t="s">
        <v>28</v>
      </c>
      <c r="C98" s="12" t="s">
        <v>25</v>
      </c>
      <c r="D98" s="121">
        <v>0.06</v>
      </c>
      <c r="E98" s="121">
        <v>0.06</v>
      </c>
      <c r="T98" t="s">
        <v>280</v>
      </c>
      <c r="U98">
        <v>150</v>
      </c>
      <c r="V98" t="s">
        <v>281</v>
      </c>
      <c r="Y98">
        <v>50</v>
      </c>
      <c r="Z98" t="s">
        <v>281</v>
      </c>
      <c r="AC98">
        <f>-35+10</f>
        <v>-25</v>
      </c>
      <c r="AD98" t="s">
        <v>281</v>
      </c>
    </row>
    <row r="99" spans="1:30">
      <c r="A99" s="10" t="s">
        <v>296</v>
      </c>
      <c r="B99" s="10" t="s">
        <v>36</v>
      </c>
      <c r="C99" s="10" t="s">
        <v>25</v>
      </c>
      <c r="D99" s="120">
        <v>2.2222222222222223</v>
      </c>
      <c r="E99" s="120">
        <v>2.2222222222222223</v>
      </c>
      <c r="G99" t="s">
        <v>317</v>
      </c>
      <c r="T99" t="s">
        <v>280</v>
      </c>
      <c r="U99" s="51">
        <f>U98/U70*3.6*U77/1000</f>
        <v>2.7062243159266308</v>
      </c>
      <c r="V99" t="s">
        <v>282</v>
      </c>
      <c r="Y99" s="51">
        <f>Y98/Y70*3.6*Y77/1000</f>
        <v>1.1363636363636362</v>
      </c>
      <c r="Z99" t="s">
        <v>282</v>
      </c>
      <c r="AC99" s="51">
        <f>AC98/AC70*3.6*AC77/1000</f>
        <v>-0.58823529411764719</v>
      </c>
      <c r="AD99" t="s">
        <v>282</v>
      </c>
    </row>
    <row r="100" spans="1:30">
      <c r="A100" s="10" t="s">
        <v>296</v>
      </c>
      <c r="B100" s="4" t="s">
        <v>30</v>
      </c>
      <c r="C100" s="4" t="s">
        <v>27</v>
      </c>
      <c r="D100" s="120">
        <v>9.0909090909090912E-2</v>
      </c>
      <c r="E100" s="120">
        <v>9.0909090909090912E-2</v>
      </c>
      <c r="G100" t="s">
        <v>320</v>
      </c>
    </row>
    <row r="101" spans="1:30">
      <c r="A101" s="10" t="s">
        <v>296</v>
      </c>
      <c r="B101" s="10" t="s">
        <v>26</v>
      </c>
      <c r="C101" s="10" t="s">
        <v>27</v>
      </c>
      <c r="D101" s="120">
        <v>1</v>
      </c>
      <c r="E101" s="120">
        <v>1</v>
      </c>
      <c r="T101" s="36" t="s">
        <v>283</v>
      </c>
      <c r="U101" s="106">
        <f>U99-U88</f>
        <v>-6.3605893555176909</v>
      </c>
      <c r="V101" s="36" t="s">
        <v>282</v>
      </c>
      <c r="W101" s="36"/>
      <c r="X101" s="36"/>
      <c r="Y101" s="106">
        <f>Y99-Y88</f>
        <v>-10.285303030303032</v>
      </c>
      <c r="Z101" s="36" t="s">
        <v>282</v>
      </c>
      <c r="AA101" s="36"/>
      <c r="AB101" s="36"/>
      <c r="AC101" s="106">
        <f>AC99-AC88</f>
        <v>-11.568392156862746</v>
      </c>
      <c r="AD101" s="36" t="s">
        <v>282</v>
      </c>
    </row>
    <row r="102" spans="1:30">
      <c r="A102" s="10" t="s">
        <v>296</v>
      </c>
      <c r="B102" s="12" t="s">
        <v>28</v>
      </c>
      <c r="C102" s="12" t="s">
        <v>25</v>
      </c>
      <c r="D102" s="121">
        <v>0.06</v>
      </c>
      <c r="E102" s="121">
        <v>0.06</v>
      </c>
    </row>
    <row r="103" spans="1:30">
      <c r="A103" s="10" t="s">
        <v>297</v>
      </c>
      <c r="B103" s="10" t="s">
        <v>36</v>
      </c>
      <c r="C103" s="10" t="s">
        <v>25</v>
      </c>
      <c r="D103" s="120">
        <v>2.2222222222222223</v>
      </c>
      <c r="E103" s="120">
        <v>2.2222222222222223</v>
      </c>
      <c r="G103" t="s">
        <v>318</v>
      </c>
      <c r="T103" s="105" t="s">
        <v>287</v>
      </c>
      <c r="U103" s="105" t="s">
        <v>284</v>
      </c>
      <c r="V103" s="105"/>
      <c r="W103" s="105"/>
      <c r="X103" s="105"/>
      <c r="Y103" s="105"/>
      <c r="Z103" s="105" t="s">
        <v>286</v>
      </c>
      <c r="AA103" s="105"/>
      <c r="AB103" s="105"/>
      <c r="AC103" s="105" t="s">
        <v>285</v>
      </c>
      <c r="AD103" s="105"/>
    </row>
    <row r="104" spans="1:30">
      <c r="A104" s="10" t="s">
        <v>297</v>
      </c>
      <c r="B104" s="4" t="s">
        <v>30</v>
      </c>
      <c r="C104" s="4" t="s">
        <v>27</v>
      </c>
      <c r="D104" s="120">
        <v>0.10352941176470588</v>
      </c>
      <c r="E104" s="120">
        <v>0.10352941176470588</v>
      </c>
      <c r="G104" t="s">
        <v>322</v>
      </c>
    </row>
    <row r="105" spans="1:30">
      <c r="A105" s="10" t="s">
        <v>297</v>
      </c>
      <c r="B105" s="10" t="s">
        <v>26</v>
      </c>
      <c r="C105" s="10" t="s">
        <v>27</v>
      </c>
      <c r="D105" s="120">
        <v>1</v>
      </c>
      <c r="E105" s="120">
        <v>1</v>
      </c>
      <c r="U105" t="s">
        <v>289</v>
      </c>
      <c r="AC105" t="s">
        <v>288</v>
      </c>
    </row>
    <row r="106" spans="1:30">
      <c r="A106" s="12" t="s">
        <v>297</v>
      </c>
      <c r="B106" s="12" t="s">
        <v>28</v>
      </c>
      <c r="C106" s="12" t="s">
        <v>25</v>
      </c>
      <c r="D106" s="121">
        <v>0.06</v>
      </c>
      <c r="E106" s="121">
        <v>0.06</v>
      </c>
    </row>
    <row r="107" spans="1:30">
      <c r="A107" s="122" t="s">
        <v>323</v>
      </c>
      <c r="B107" s="14" t="s">
        <v>28</v>
      </c>
      <c r="C107" s="14" t="s">
        <v>25</v>
      </c>
      <c r="D107" s="15">
        <f>1/H107</f>
        <v>0.24400000000000002</v>
      </c>
      <c r="E107" s="15">
        <f>1/I107</f>
        <v>0.28999999999999998</v>
      </c>
      <c r="G107" t="s">
        <v>47</v>
      </c>
      <c r="H107">
        <v>4.0983606557377046</v>
      </c>
      <c r="I107">
        <v>3.4482758620689657</v>
      </c>
      <c r="T107" t="s">
        <v>291</v>
      </c>
      <c r="U107" t="s">
        <v>292</v>
      </c>
      <c r="Y107" t="s">
        <v>292</v>
      </c>
      <c r="AC107" t="s">
        <v>293</v>
      </c>
    </row>
    <row r="108" spans="1:30">
      <c r="A108" s="122" t="s">
        <v>323</v>
      </c>
      <c r="B108" s="12" t="s">
        <v>26</v>
      </c>
      <c r="C108" s="12" t="s">
        <v>27</v>
      </c>
      <c r="D108" s="13">
        <v>1</v>
      </c>
      <c r="E108" s="13">
        <v>1</v>
      </c>
    </row>
    <row r="109" spans="1:30">
      <c r="T109" s="43" t="s">
        <v>298</v>
      </c>
    </row>
    <row r="110" spans="1:30">
      <c r="T110" s="10" t="s">
        <v>36</v>
      </c>
      <c r="U110">
        <f>U77/U$76</f>
        <v>1.8181818181818181</v>
      </c>
      <c r="Y110">
        <f>Y77/Y$76</f>
        <v>2.2222222222222223</v>
      </c>
      <c r="AC110">
        <f>AC77/AC$76</f>
        <v>2.2222222222222223</v>
      </c>
    </row>
    <row r="111" spans="1:30">
      <c r="H111" t="s">
        <v>306</v>
      </c>
      <c r="I111" t="s">
        <v>307</v>
      </c>
      <c r="T111" s="4" t="s">
        <v>30</v>
      </c>
      <c r="U111">
        <f>U83/U76</f>
        <v>7.2165981758043507E-2</v>
      </c>
      <c r="Y111">
        <f>Y83/Y76</f>
        <v>9.0909090909090912E-2</v>
      </c>
      <c r="AC111">
        <f>AC83/AC76</f>
        <v>0.10352941176470588</v>
      </c>
    </row>
    <row r="112" spans="1:30">
      <c r="H112" s="119">
        <v>7.3627160241333464E-2</v>
      </c>
      <c r="I112" s="119">
        <v>0.10123734533183353</v>
      </c>
      <c r="J112" t="s">
        <v>305</v>
      </c>
      <c r="T112" s="10" t="s">
        <v>26</v>
      </c>
      <c r="U112">
        <f>U76/U76</f>
        <v>1</v>
      </c>
      <c r="Y112">
        <f>Y76/Y76</f>
        <v>1</v>
      </c>
      <c r="AC112">
        <f>AC76/AC76</f>
        <v>1</v>
      </c>
    </row>
    <row r="113" spans="6:29">
      <c r="H113" t="s">
        <v>303</v>
      </c>
      <c r="I113" t="s">
        <v>302</v>
      </c>
      <c r="T113" s="12" t="s">
        <v>28</v>
      </c>
      <c r="U113">
        <f>3/U76</f>
        <v>0.06</v>
      </c>
      <c r="Y113">
        <f>3/Y76</f>
        <v>0.06</v>
      </c>
      <c r="AC113">
        <f>3/AC76</f>
        <v>0.06</v>
      </c>
    </row>
    <row r="114" spans="6:29">
      <c r="H114">
        <v>25</v>
      </c>
      <c r="I114">
        <v>25</v>
      </c>
      <c r="J114" t="s">
        <v>304</v>
      </c>
    </row>
    <row r="115" spans="6:29">
      <c r="T115" s="43" t="s">
        <v>299</v>
      </c>
    </row>
    <row r="116" spans="6:29">
      <c r="H116">
        <f>H114*H112</f>
        <v>1.8406790060333367</v>
      </c>
      <c r="I116">
        <f>I114*I112</f>
        <v>2.5309336332958381</v>
      </c>
      <c r="T116" s="10" t="s">
        <v>300</v>
      </c>
    </row>
    <row r="117" spans="6:29">
      <c r="H117" t="s">
        <v>308</v>
      </c>
    </row>
    <row r="119" spans="6:29">
      <c r="H119" t="s">
        <v>309</v>
      </c>
    </row>
    <row r="121" spans="6:29">
      <c r="F121" t="s">
        <v>311</v>
      </c>
      <c r="G121" t="s">
        <v>310</v>
      </c>
    </row>
    <row r="122" spans="6:29">
      <c r="F122" t="s">
        <v>312</v>
      </c>
      <c r="G122" t="s">
        <v>313</v>
      </c>
    </row>
  </sheetData>
  <dataValidations count="2">
    <dataValidation showInputMessage="1" showErrorMessage="1" promptTitle="Input/Output Ratio" prompt="Ratio of Throughput and production/consumption for each commodity of process._x000a_All process parameters are relating to the throughput (ratio=1)" sqref="D1 W7 W15 W23 AE41 AM31 BC36 W32 L38 W59"/>
    <dataValidation showInputMessage="1" showErrorMessage="1" promptTitle="Input/Output Ratio at partload" prompt="Ratio of Throughput and production/consumption for each commodity of process at minimal partload!_x000a_All process parameters are relating to the throughput (ratio=1)_x000a_Only relevant if  OPTION &quot;Partload&quot; is activated and &quot;partload-min&quot;&gt;0" sqref="E1 X7 X15 X23 AF41 AN31 BD36 X32 M38 X59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C12" sqref="C12"/>
    </sheetView>
  </sheetViews>
  <sheetFormatPr defaultRowHeight="14.3"/>
  <cols>
    <col min="2" max="2" width="12.625" customWidth="1"/>
  </cols>
  <sheetData>
    <row r="1" spans="1:6">
      <c r="A1" s="1" t="s">
        <v>31</v>
      </c>
      <c r="B1" s="1" t="s">
        <v>21</v>
      </c>
      <c r="C1" s="3" t="s">
        <v>22</v>
      </c>
      <c r="D1" s="3" t="s">
        <v>32</v>
      </c>
      <c r="E1" s="3" t="s">
        <v>33</v>
      </c>
      <c r="F1" s="3" t="s">
        <v>34</v>
      </c>
    </row>
    <row r="2" spans="1:6">
      <c r="A2" s="4" t="s">
        <v>16</v>
      </c>
      <c r="B2" s="4" t="s">
        <v>26</v>
      </c>
      <c r="C2" s="6" t="s">
        <v>27</v>
      </c>
      <c r="D2" s="6">
        <v>0</v>
      </c>
      <c r="E2" s="6" t="s">
        <v>35</v>
      </c>
      <c r="F2" s="6" t="s">
        <v>35</v>
      </c>
    </row>
    <row r="3" spans="1:6">
      <c r="A3" s="4" t="s">
        <v>19</v>
      </c>
      <c r="B3" s="4" t="s">
        <v>28</v>
      </c>
      <c r="C3" s="6" t="s">
        <v>27</v>
      </c>
      <c r="D3" s="6">
        <v>0</v>
      </c>
      <c r="E3" s="6" t="s">
        <v>35</v>
      </c>
      <c r="F3" s="6" t="s">
        <v>35</v>
      </c>
    </row>
    <row r="4" spans="1:6">
      <c r="A4" s="4" t="s">
        <v>227</v>
      </c>
      <c r="B4" s="4" t="s">
        <v>221</v>
      </c>
      <c r="C4" s="6" t="s">
        <v>27</v>
      </c>
      <c r="D4" s="6">
        <v>0</v>
      </c>
      <c r="E4" s="6" t="s">
        <v>35</v>
      </c>
      <c r="F4" s="6" t="s">
        <v>35</v>
      </c>
    </row>
    <row r="5" spans="1:6">
      <c r="A5" s="4" t="s">
        <v>228</v>
      </c>
      <c r="B5" s="4" t="s">
        <v>226</v>
      </c>
      <c r="C5" s="6" t="s">
        <v>27</v>
      </c>
      <c r="D5" s="6">
        <v>0</v>
      </c>
      <c r="E5" s="6" t="s">
        <v>35</v>
      </c>
      <c r="F5" s="6" t="s">
        <v>35</v>
      </c>
    </row>
    <row r="6" spans="1:6">
      <c r="A6" s="4" t="s">
        <v>229</v>
      </c>
      <c r="B6" s="4" t="s">
        <v>26</v>
      </c>
      <c r="C6" s="6" t="s">
        <v>27</v>
      </c>
      <c r="D6" s="6">
        <v>0</v>
      </c>
      <c r="E6" s="6" t="s">
        <v>35</v>
      </c>
      <c r="F6" s="6" t="s">
        <v>35</v>
      </c>
    </row>
  </sheetData>
  <dataValidations count="4">
    <dataValidation showInputMessage="1" showErrorMessage="1" promptTitle="Addtional fee (€/kWh)" prompt="Additional fee for produced/consumed energy" sqref="D1"/>
    <dataValidation showInputMessage="1" showErrorMessage="1" promptTitle="Direction of commodity in proces" prompt="In_x000a_or_x000a_Out" sqref="C1"/>
    <dataValidation showInputMessage="1" showErrorMessage="1" promptTitle="Max Capacity of class (kW)" prompt="maximum cpacity that can be installed of one class" sqref="E1"/>
    <dataValidation showInputMessage="1" showErrorMessage="1" promptTitle="max Energy (kWh/a)" prompt="Max Energy that can be consumed/produced of one class  per year" sqref="F1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1"/>
  <sheetViews>
    <sheetView zoomScale="85" zoomScaleNormal="85" workbookViewId="0">
      <selection activeCell="I13" sqref="I13"/>
    </sheetView>
  </sheetViews>
  <sheetFormatPr defaultRowHeight="14.3"/>
  <cols>
    <col min="1" max="1" width="15.25" customWidth="1"/>
    <col min="2" max="2" width="35.375" customWidth="1"/>
    <col min="3" max="3" width="21.5" customWidth="1"/>
    <col min="5" max="5" width="19.25" customWidth="1"/>
    <col min="6" max="6" width="11.25" customWidth="1"/>
    <col min="7" max="7" width="14" bestFit="1" customWidth="1"/>
    <col min="9" max="9" width="23.375" customWidth="1"/>
    <col min="10" max="10" width="11.125" customWidth="1"/>
    <col min="12" max="12" width="12.75" bestFit="1" customWidth="1"/>
    <col min="14" max="14" width="12.25" bestFit="1" customWidth="1"/>
  </cols>
  <sheetData>
    <row r="1" spans="1:22">
      <c r="A1" s="37" t="s">
        <v>1</v>
      </c>
      <c r="B1" s="37" t="s">
        <v>56</v>
      </c>
      <c r="C1" s="37" t="s">
        <v>57</v>
      </c>
      <c r="D1" s="37" t="s">
        <v>22</v>
      </c>
      <c r="E1" s="40" t="s">
        <v>23</v>
      </c>
      <c r="F1" s="41" t="s">
        <v>24</v>
      </c>
      <c r="G1" s="37"/>
      <c r="I1" s="43" t="s">
        <v>91</v>
      </c>
      <c r="L1" t="s">
        <v>90</v>
      </c>
      <c r="N1" t="s">
        <v>94</v>
      </c>
    </row>
    <row r="2" spans="1:22">
      <c r="A2" s="14" t="s">
        <v>15</v>
      </c>
      <c r="B2" s="14" t="s">
        <v>73</v>
      </c>
      <c r="C2" s="14" t="s">
        <v>77</v>
      </c>
      <c r="D2" s="14" t="s">
        <v>27</v>
      </c>
      <c r="E2" s="44">
        <v>0</v>
      </c>
      <c r="F2" s="44">
        <v>0</v>
      </c>
      <c r="I2" t="s">
        <v>60</v>
      </c>
      <c r="J2">
        <v>1.2099999999999999E-3</v>
      </c>
      <c r="K2" t="s">
        <v>59</v>
      </c>
      <c r="L2">
        <f>J2/$J$7</f>
        <v>8.1756756756756751E-6</v>
      </c>
      <c r="N2">
        <f>L2/2</f>
        <v>4.0878378378378375E-6</v>
      </c>
      <c r="R2" t="s">
        <v>69</v>
      </c>
      <c r="S2" t="s">
        <v>71</v>
      </c>
      <c r="T2" t="s">
        <v>72</v>
      </c>
      <c r="U2" t="s">
        <v>58</v>
      </c>
      <c r="V2" t="s">
        <v>67</v>
      </c>
    </row>
    <row r="3" spans="1:22">
      <c r="A3" s="10" t="s">
        <v>15</v>
      </c>
      <c r="B3" s="10" t="s">
        <v>78</v>
      </c>
      <c r="C3" s="10" t="s">
        <v>79</v>
      </c>
      <c r="D3" s="10" t="s">
        <v>27</v>
      </c>
      <c r="E3" s="49">
        <v>5.8108108108108108E-7</v>
      </c>
      <c r="F3" s="45">
        <v>6.3918918918918927E-7</v>
      </c>
      <c r="G3" s="50"/>
      <c r="I3" t="s">
        <v>61</v>
      </c>
      <c r="J3">
        <v>0.11600000000000001</v>
      </c>
      <c r="K3" t="s">
        <v>59</v>
      </c>
      <c r="L3">
        <f t="shared" ref="L3:L7" si="0">J3/$J$7</f>
        <v>7.8378378378378378E-4</v>
      </c>
      <c r="N3">
        <f t="shared" ref="N3:N5" si="1">L3/2</f>
        <v>3.9189189189189189E-4</v>
      </c>
      <c r="R3" t="s">
        <v>73</v>
      </c>
      <c r="S3" t="s">
        <v>74</v>
      </c>
      <c r="T3" t="s">
        <v>75</v>
      </c>
      <c r="U3" t="s">
        <v>76</v>
      </c>
      <c r="V3" t="s">
        <v>77</v>
      </c>
    </row>
    <row r="4" spans="1:22">
      <c r="A4" s="10" t="s">
        <v>15</v>
      </c>
      <c r="B4" s="10" t="s">
        <v>80</v>
      </c>
      <c r="C4" s="10" t="s">
        <v>81</v>
      </c>
      <c r="D4" s="10" t="s">
        <v>27</v>
      </c>
      <c r="E4" s="45">
        <v>0</v>
      </c>
      <c r="F4" s="45">
        <v>0</v>
      </c>
      <c r="I4" t="s">
        <v>62</v>
      </c>
      <c r="J4">
        <v>8.6000000000000003E-5</v>
      </c>
      <c r="K4" t="s">
        <v>59</v>
      </c>
      <c r="L4">
        <f t="shared" si="0"/>
        <v>5.8108108108108108E-7</v>
      </c>
      <c r="M4" t="s">
        <v>92</v>
      </c>
      <c r="N4">
        <f t="shared" si="1"/>
        <v>2.9054054054054054E-7</v>
      </c>
      <c r="R4" t="s">
        <v>78</v>
      </c>
      <c r="S4" t="s">
        <v>74</v>
      </c>
      <c r="T4" t="s">
        <v>75</v>
      </c>
      <c r="U4" t="s">
        <v>76</v>
      </c>
      <c r="V4" t="s">
        <v>79</v>
      </c>
    </row>
    <row r="5" spans="1:22">
      <c r="A5" s="10" t="s">
        <v>15</v>
      </c>
      <c r="B5" s="10" t="s">
        <v>82</v>
      </c>
      <c r="C5" s="10" t="s">
        <v>83</v>
      </c>
      <c r="D5" s="10" t="s">
        <v>27</v>
      </c>
      <c r="E5" s="45">
        <v>8.1756756756756751E-6</v>
      </c>
      <c r="F5" s="45">
        <v>8.9932432432432441E-6</v>
      </c>
      <c r="I5" t="s">
        <v>63</v>
      </c>
      <c r="J5">
        <v>5.6899999999999997E-3</v>
      </c>
      <c r="K5" t="s">
        <v>59</v>
      </c>
      <c r="L5">
        <f t="shared" si="0"/>
        <v>3.8445945945945945E-5</v>
      </c>
      <c r="M5" t="s">
        <v>93</v>
      </c>
      <c r="N5">
        <f t="shared" si="1"/>
        <v>1.9222972972972973E-5</v>
      </c>
      <c r="R5" t="s">
        <v>80</v>
      </c>
      <c r="S5" t="s">
        <v>74</v>
      </c>
      <c r="T5" t="s">
        <v>75</v>
      </c>
      <c r="U5" t="s">
        <v>76</v>
      </c>
      <c r="V5" t="s">
        <v>81</v>
      </c>
    </row>
    <row r="6" spans="1:22">
      <c r="A6" s="10" t="s">
        <v>15</v>
      </c>
      <c r="B6" s="10" t="s">
        <v>84</v>
      </c>
      <c r="C6" s="10" t="s">
        <v>85</v>
      </c>
      <c r="D6" s="10" t="s">
        <v>27</v>
      </c>
      <c r="E6" s="45">
        <v>3.8445945945945945E-5</v>
      </c>
      <c r="F6" s="45">
        <v>4.229054054054054E-5</v>
      </c>
      <c r="I6" s="42" t="s">
        <v>64</v>
      </c>
      <c r="J6" s="38">
        <v>151.51999999999998</v>
      </c>
      <c r="K6" t="s">
        <v>65</v>
      </c>
      <c r="L6">
        <f t="shared" si="0"/>
        <v>1.0237837837837838</v>
      </c>
      <c r="R6" t="s">
        <v>82</v>
      </c>
      <c r="S6" t="s">
        <v>74</v>
      </c>
      <c r="T6" t="s">
        <v>75</v>
      </c>
      <c r="U6" t="s">
        <v>76</v>
      </c>
      <c r="V6" t="s">
        <v>83</v>
      </c>
    </row>
    <row r="7" spans="1:22">
      <c r="A7" s="12" t="s">
        <v>15</v>
      </c>
      <c r="B7" s="12" t="s">
        <v>86</v>
      </c>
      <c r="C7" s="12" t="s">
        <v>87</v>
      </c>
      <c r="D7" s="12" t="s">
        <v>27</v>
      </c>
      <c r="E7" s="46">
        <v>7.8378378378378378E-4</v>
      </c>
      <c r="F7" s="46">
        <v>8.6216216216216226E-4</v>
      </c>
      <c r="I7" t="s">
        <v>88</v>
      </c>
      <c r="J7">
        <v>148</v>
      </c>
      <c r="K7" t="s">
        <v>89</v>
      </c>
      <c r="L7">
        <f t="shared" si="0"/>
        <v>1</v>
      </c>
      <c r="R7" t="s">
        <v>84</v>
      </c>
      <c r="S7" t="s">
        <v>74</v>
      </c>
      <c r="T7" t="s">
        <v>75</v>
      </c>
      <c r="U7" t="s">
        <v>76</v>
      </c>
      <c r="V7" t="s">
        <v>85</v>
      </c>
    </row>
    <row r="8" spans="1:22">
      <c r="A8" s="14" t="s">
        <v>55</v>
      </c>
      <c r="B8" s="14" t="s">
        <v>73</v>
      </c>
      <c r="C8" s="14" t="s">
        <v>77</v>
      </c>
      <c r="D8" s="14" t="s">
        <v>27</v>
      </c>
      <c r="E8" s="44">
        <v>0</v>
      </c>
      <c r="F8" s="45">
        <v>0</v>
      </c>
      <c r="R8" t="s">
        <v>86</v>
      </c>
      <c r="S8" t="s">
        <v>74</v>
      </c>
      <c r="T8" t="s">
        <v>75</v>
      </c>
      <c r="U8" t="s">
        <v>76</v>
      </c>
      <c r="V8" t="s">
        <v>87</v>
      </c>
    </row>
    <row r="9" spans="1:22">
      <c r="A9" s="10" t="s">
        <v>55</v>
      </c>
      <c r="B9" s="10" t="s">
        <v>78</v>
      </c>
      <c r="C9" s="10" t="s">
        <v>79</v>
      </c>
      <c r="D9" s="10" t="s">
        <v>27</v>
      </c>
      <c r="E9" s="45">
        <v>2.9054054054054054E-7</v>
      </c>
      <c r="F9" s="45">
        <v>3.1959459459459464E-7</v>
      </c>
      <c r="K9" t="s">
        <v>67</v>
      </c>
    </row>
    <row r="10" spans="1:22">
      <c r="A10" s="10" t="s">
        <v>55</v>
      </c>
      <c r="B10" s="10" t="s">
        <v>80</v>
      </c>
      <c r="C10" s="10" t="s">
        <v>81</v>
      </c>
      <c r="D10" s="10" t="s">
        <v>27</v>
      </c>
      <c r="E10" s="45">
        <v>0</v>
      </c>
      <c r="F10" s="45">
        <v>0</v>
      </c>
      <c r="J10" s="39" t="s">
        <v>70</v>
      </c>
      <c r="K10" t="s">
        <v>68</v>
      </c>
    </row>
    <row r="11" spans="1:22">
      <c r="A11" s="10" t="s">
        <v>55</v>
      </c>
      <c r="B11" s="10" t="s">
        <v>82</v>
      </c>
      <c r="C11" s="10" t="s">
        <v>83</v>
      </c>
      <c r="D11" s="10" t="s">
        <v>27</v>
      </c>
      <c r="E11" s="45">
        <v>4.0878378378378375E-6</v>
      </c>
      <c r="F11" s="45">
        <v>4.4966216216216221E-6</v>
      </c>
      <c r="R11" t="s">
        <v>95</v>
      </c>
      <c r="S11" s="48">
        <v>0.1</v>
      </c>
      <c r="T11" t="s">
        <v>96</v>
      </c>
    </row>
    <row r="12" spans="1:22">
      <c r="A12" s="10" t="s">
        <v>55</v>
      </c>
      <c r="B12" s="10" t="s">
        <v>84</v>
      </c>
      <c r="C12" s="10" t="s">
        <v>85</v>
      </c>
      <c r="D12" s="10" t="s">
        <v>27</v>
      </c>
      <c r="E12" s="45">
        <v>1.9222972972972973E-5</v>
      </c>
      <c r="F12" s="45">
        <v>2.114527027027027E-5</v>
      </c>
    </row>
    <row r="13" spans="1:22">
      <c r="A13" s="12" t="s">
        <v>55</v>
      </c>
      <c r="B13" s="12" t="s">
        <v>86</v>
      </c>
      <c r="C13" s="12" t="s">
        <v>87</v>
      </c>
      <c r="D13" s="12" t="s">
        <v>27</v>
      </c>
      <c r="E13" s="46">
        <v>3.9189189189189189E-4</v>
      </c>
      <c r="F13" s="46">
        <v>4.3108108108108113E-4</v>
      </c>
    </row>
    <row r="14" spans="1:22">
      <c r="A14" s="14" t="s">
        <v>98</v>
      </c>
      <c r="B14" s="14" t="s">
        <v>73</v>
      </c>
      <c r="C14" s="14" t="s">
        <v>77</v>
      </c>
      <c r="D14" s="14" t="s">
        <v>27</v>
      </c>
      <c r="E14" s="44">
        <v>0</v>
      </c>
      <c r="F14" s="44">
        <v>0</v>
      </c>
    </row>
    <row r="15" spans="1:22">
      <c r="A15" s="10" t="s">
        <v>98</v>
      </c>
      <c r="B15" s="10" t="s">
        <v>78</v>
      </c>
      <c r="C15" s="10" t="s">
        <v>79</v>
      </c>
      <c r="D15" s="10" t="s">
        <v>27</v>
      </c>
      <c r="E15" s="45">
        <v>5.8108108108108108E-7</v>
      </c>
      <c r="F15" s="45">
        <v>6.3918918918918927E-7</v>
      </c>
      <c r="G15" s="88">
        <f>F15-E15</f>
        <v>5.8108108108108193E-8</v>
      </c>
    </row>
    <row r="16" spans="1:22">
      <c r="A16" s="10" t="s">
        <v>98</v>
      </c>
      <c r="B16" s="10" t="s">
        <v>80</v>
      </c>
      <c r="C16" s="10" t="s">
        <v>81</v>
      </c>
      <c r="D16" s="10" t="s">
        <v>27</v>
      </c>
      <c r="E16" s="45">
        <v>0</v>
      </c>
      <c r="F16" s="45">
        <v>0</v>
      </c>
      <c r="G16" s="88">
        <f t="shared" ref="G16:G19" si="2">F16-E16</f>
        <v>0</v>
      </c>
    </row>
    <row r="17" spans="1:7">
      <c r="A17" s="10" t="s">
        <v>98</v>
      </c>
      <c r="B17" s="10" t="s">
        <v>82</v>
      </c>
      <c r="C17" s="10" t="s">
        <v>83</v>
      </c>
      <c r="D17" s="10" t="s">
        <v>27</v>
      </c>
      <c r="E17" s="45">
        <v>8.1756756756756751E-6</v>
      </c>
      <c r="F17" s="45">
        <v>8.9932432432432441E-6</v>
      </c>
      <c r="G17" s="88">
        <f t="shared" si="2"/>
        <v>8.1756756756756903E-7</v>
      </c>
    </row>
    <row r="18" spans="1:7">
      <c r="A18" s="10" t="s">
        <v>98</v>
      </c>
      <c r="B18" s="10" t="s">
        <v>84</v>
      </c>
      <c r="C18" s="10" t="s">
        <v>85</v>
      </c>
      <c r="D18" s="10" t="s">
        <v>27</v>
      </c>
      <c r="E18" s="45">
        <v>3.8445945945945945E-5</v>
      </c>
      <c r="F18" s="45">
        <v>4.229054054054054E-5</v>
      </c>
      <c r="G18" s="88">
        <f t="shared" si="2"/>
        <v>3.8445945945945952E-6</v>
      </c>
    </row>
    <row r="19" spans="1:7">
      <c r="A19" s="12" t="s">
        <v>98</v>
      </c>
      <c r="B19" s="12" t="s">
        <v>86</v>
      </c>
      <c r="C19" s="12" t="s">
        <v>87</v>
      </c>
      <c r="D19" s="12" t="s">
        <v>27</v>
      </c>
      <c r="E19" s="46">
        <v>7.8378378378378378E-4</v>
      </c>
      <c r="F19" s="46">
        <v>8.6216216216216226E-4</v>
      </c>
      <c r="G19" s="88">
        <f t="shared" si="2"/>
        <v>7.8378378378378476E-5</v>
      </c>
    </row>
    <row r="20" spans="1:7">
      <c r="A20" s="14" t="s">
        <v>106</v>
      </c>
      <c r="B20" s="14" t="s">
        <v>73</v>
      </c>
      <c r="C20" s="14" t="s">
        <v>77</v>
      </c>
      <c r="D20" s="14" t="s">
        <v>27</v>
      </c>
      <c r="E20" s="44">
        <v>0</v>
      </c>
      <c r="F20" s="44">
        <v>0</v>
      </c>
    </row>
    <row r="21" spans="1:7">
      <c r="A21" s="10" t="s">
        <v>106</v>
      </c>
      <c r="B21" s="10" t="s">
        <v>78</v>
      </c>
      <c r="C21" s="10" t="s">
        <v>79</v>
      </c>
      <c r="D21" s="10" t="s">
        <v>27</v>
      </c>
      <c r="E21" s="49">
        <v>5.8108108108108108E-7</v>
      </c>
      <c r="F21" s="45">
        <v>6.3918918918918927E-7</v>
      </c>
    </row>
    <row r="22" spans="1:7">
      <c r="A22" s="10" t="s">
        <v>106</v>
      </c>
      <c r="B22" s="10" t="s">
        <v>80</v>
      </c>
      <c r="C22" s="10" t="s">
        <v>81</v>
      </c>
      <c r="D22" s="10" t="s">
        <v>27</v>
      </c>
      <c r="E22" s="45">
        <v>0</v>
      </c>
      <c r="F22" s="45">
        <v>0</v>
      </c>
    </row>
    <row r="23" spans="1:7">
      <c r="A23" s="10" t="s">
        <v>106</v>
      </c>
      <c r="B23" s="10" t="s">
        <v>82</v>
      </c>
      <c r="C23" s="10" t="s">
        <v>83</v>
      </c>
      <c r="D23" s="10" t="s">
        <v>27</v>
      </c>
      <c r="E23" s="45">
        <v>8.1756756756756751E-6</v>
      </c>
      <c r="F23" s="45">
        <v>8.9932432432432441E-6</v>
      </c>
    </row>
    <row r="24" spans="1:7">
      <c r="A24" s="10" t="s">
        <v>106</v>
      </c>
      <c r="B24" s="10" t="s">
        <v>84</v>
      </c>
      <c r="C24" s="10" t="s">
        <v>85</v>
      </c>
      <c r="D24" s="10" t="s">
        <v>27</v>
      </c>
      <c r="E24" s="45">
        <v>3.8445945945945945E-5</v>
      </c>
      <c r="F24" s="45">
        <v>4.229054054054054E-5</v>
      </c>
    </row>
    <row r="25" spans="1:7">
      <c r="A25" s="12" t="s">
        <v>106</v>
      </c>
      <c r="B25" s="12" t="s">
        <v>86</v>
      </c>
      <c r="C25" s="12" t="s">
        <v>87</v>
      </c>
      <c r="D25" s="12" t="s">
        <v>27</v>
      </c>
      <c r="E25" s="46">
        <v>7.8378378378378378E-4</v>
      </c>
      <c r="F25" s="46">
        <v>8.6216216216216226E-4</v>
      </c>
    </row>
    <row r="26" spans="1:7">
      <c r="A26" s="14" t="s">
        <v>107</v>
      </c>
      <c r="B26" s="14" t="s">
        <v>73</v>
      </c>
      <c r="C26" s="14" t="s">
        <v>77</v>
      </c>
      <c r="D26" s="14" t="s">
        <v>27</v>
      </c>
      <c r="E26" s="44">
        <v>0</v>
      </c>
      <c r="F26" s="44">
        <v>0</v>
      </c>
    </row>
    <row r="27" spans="1:7">
      <c r="A27" s="10" t="s">
        <v>107</v>
      </c>
      <c r="B27" s="10" t="s">
        <v>78</v>
      </c>
      <c r="C27" s="10" t="s">
        <v>79</v>
      </c>
      <c r="D27" s="10" t="s">
        <v>27</v>
      </c>
      <c r="E27" s="49">
        <v>5.8108108108108108E-7</v>
      </c>
      <c r="F27" s="45">
        <v>6.3918918918918927E-7</v>
      </c>
    </row>
    <row r="28" spans="1:7">
      <c r="A28" s="10" t="s">
        <v>107</v>
      </c>
      <c r="B28" s="10" t="s">
        <v>80</v>
      </c>
      <c r="C28" s="10" t="s">
        <v>81</v>
      </c>
      <c r="D28" s="10" t="s">
        <v>27</v>
      </c>
      <c r="E28" s="45">
        <v>0</v>
      </c>
      <c r="F28" s="45">
        <v>0</v>
      </c>
    </row>
    <row r="29" spans="1:7">
      <c r="A29" s="10" t="s">
        <v>107</v>
      </c>
      <c r="B29" s="10" t="s">
        <v>82</v>
      </c>
      <c r="C29" s="10" t="s">
        <v>83</v>
      </c>
      <c r="D29" s="10" t="s">
        <v>27</v>
      </c>
      <c r="E29" s="45">
        <v>8.1756756756756751E-6</v>
      </c>
      <c r="F29" s="45">
        <v>8.9932432432432441E-6</v>
      </c>
    </row>
    <row r="30" spans="1:7">
      <c r="A30" s="10" t="s">
        <v>107</v>
      </c>
      <c r="B30" s="10" t="s">
        <v>84</v>
      </c>
      <c r="C30" s="10" t="s">
        <v>85</v>
      </c>
      <c r="D30" s="10" t="s">
        <v>27</v>
      </c>
      <c r="E30" s="45">
        <v>3.8445945945945945E-5</v>
      </c>
      <c r="F30" s="45">
        <v>4.229054054054054E-5</v>
      </c>
    </row>
    <row r="31" spans="1:7">
      <c r="A31" s="12" t="s">
        <v>107</v>
      </c>
      <c r="B31" s="12" t="s">
        <v>86</v>
      </c>
      <c r="C31" s="12" t="s">
        <v>87</v>
      </c>
      <c r="D31" s="12" t="s">
        <v>27</v>
      </c>
      <c r="E31" s="46">
        <v>7.8378378378378378E-4</v>
      </c>
      <c r="F31" s="46">
        <v>8.6216216216216226E-4</v>
      </c>
    </row>
    <row r="32" spans="1:7">
      <c r="A32" s="14" t="s">
        <v>204</v>
      </c>
      <c r="B32" s="14" t="s">
        <v>73</v>
      </c>
      <c r="C32" s="14" t="s">
        <v>77</v>
      </c>
      <c r="D32" s="14" t="s">
        <v>27</v>
      </c>
      <c r="E32" s="44">
        <v>0</v>
      </c>
      <c r="F32" s="44">
        <v>0</v>
      </c>
    </row>
    <row r="33" spans="1:6">
      <c r="A33" s="10" t="s">
        <v>204</v>
      </c>
      <c r="B33" s="10" t="s">
        <v>78</v>
      </c>
      <c r="C33" s="10" t="s">
        <v>79</v>
      </c>
      <c r="D33" s="10" t="s">
        <v>27</v>
      </c>
      <c r="E33" s="49">
        <v>5.8108108108108108E-7</v>
      </c>
      <c r="F33" s="45">
        <v>6.3918918918918927E-7</v>
      </c>
    </row>
    <row r="34" spans="1:6">
      <c r="A34" s="10" t="s">
        <v>204</v>
      </c>
      <c r="B34" s="10" t="s">
        <v>80</v>
      </c>
      <c r="C34" s="10" t="s">
        <v>81</v>
      </c>
      <c r="D34" s="10" t="s">
        <v>27</v>
      </c>
      <c r="E34" s="45">
        <v>0</v>
      </c>
      <c r="F34" s="45">
        <v>0</v>
      </c>
    </row>
    <row r="35" spans="1:6">
      <c r="A35" s="10" t="s">
        <v>204</v>
      </c>
      <c r="B35" s="10" t="s">
        <v>82</v>
      </c>
      <c r="C35" s="10" t="s">
        <v>83</v>
      </c>
      <c r="D35" s="10" t="s">
        <v>27</v>
      </c>
      <c r="E35" s="45">
        <v>8.1756756756756751E-6</v>
      </c>
      <c r="F35" s="45">
        <v>8.9932432432432441E-6</v>
      </c>
    </row>
    <row r="36" spans="1:6">
      <c r="A36" s="10" t="s">
        <v>204</v>
      </c>
      <c r="B36" s="10" t="s">
        <v>84</v>
      </c>
      <c r="C36" s="10" t="s">
        <v>85</v>
      </c>
      <c r="D36" s="10" t="s">
        <v>27</v>
      </c>
      <c r="E36" s="45">
        <v>3.8445945945945945E-5</v>
      </c>
      <c r="F36" s="45">
        <v>4.229054054054054E-5</v>
      </c>
    </row>
    <row r="37" spans="1:6">
      <c r="A37" s="12" t="s">
        <v>204</v>
      </c>
      <c r="B37" s="12" t="s">
        <v>86</v>
      </c>
      <c r="C37" s="12" t="s">
        <v>87</v>
      </c>
      <c r="D37" s="12" t="s">
        <v>27</v>
      </c>
      <c r="E37" s="46">
        <v>7.8378378378378378E-4</v>
      </c>
      <c r="F37" s="46">
        <v>8.6216216216216226E-4</v>
      </c>
    </row>
    <row r="38" spans="1:6">
      <c r="A38" s="14" t="s">
        <v>234</v>
      </c>
      <c r="B38" s="14" t="s">
        <v>73</v>
      </c>
      <c r="C38" s="14" t="s">
        <v>77</v>
      </c>
      <c r="D38" s="14" t="s">
        <v>27</v>
      </c>
      <c r="E38" s="44">
        <v>0</v>
      </c>
      <c r="F38" s="44">
        <v>0</v>
      </c>
    </row>
    <row r="39" spans="1:6">
      <c r="A39" s="10" t="s">
        <v>234</v>
      </c>
      <c r="B39" s="10" t="s">
        <v>78</v>
      </c>
      <c r="C39" s="10" t="s">
        <v>79</v>
      </c>
      <c r="D39" s="10" t="s">
        <v>27</v>
      </c>
      <c r="E39" s="45">
        <v>5.8108108108108108E-7</v>
      </c>
      <c r="F39" s="45">
        <v>6.3918918918918927E-7</v>
      </c>
    </row>
    <row r="40" spans="1:6">
      <c r="A40" s="10" t="s">
        <v>234</v>
      </c>
      <c r="B40" s="10" t="s">
        <v>80</v>
      </c>
      <c r="C40" s="10" t="s">
        <v>81</v>
      </c>
      <c r="D40" s="10" t="s">
        <v>27</v>
      </c>
      <c r="E40" s="45">
        <v>0</v>
      </c>
      <c r="F40" s="45">
        <v>0</v>
      </c>
    </row>
    <row r="41" spans="1:6">
      <c r="A41" s="10" t="s">
        <v>234</v>
      </c>
      <c r="B41" s="10" t="s">
        <v>82</v>
      </c>
      <c r="C41" s="10" t="s">
        <v>83</v>
      </c>
      <c r="D41" s="10" t="s">
        <v>27</v>
      </c>
      <c r="E41" s="45">
        <v>8.1756756756756751E-6</v>
      </c>
      <c r="F41" s="45">
        <v>8.9932432432432441E-6</v>
      </c>
    </row>
    <row r="42" spans="1:6">
      <c r="A42" s="10" t="s">
        <v>234</v>
      </c>
      <c r="B42" s="10" t="s">
        <v>84</v>
      </c>
      <c r="C42" s="10" t="s">
        <v>85</v>
      </c>
      <c r="D42" s="10" t="s">
        <v>27</v>
      </c>
      <c r="E42" s="45">
        <v>3.8445945945945945E-5</v>
      </c>
      <c r="F42" s="45">
        <v>4.229054054054054E-5</v>
      </c>
    </row>
    <row r="43" spans="1:6">
      <c r="A43" s="12" t="s">
        <v>234</v>
      </c>
      <c r="B43" s="12" t="s">
        <v>86</v>
      </c>
      <c r="C43" s="12" t="s">
        <v>87</v>
      </c>
      <c r="D43" s="12" t="s">
        <v>27</v>
      </c>
      <c r="E43" s="46">
        <v>7.8378378378378378E-4</v>
      </c>
      <c r="F43" s="46">
        <v>8.6216216216216226E-4</v>
      </c>
    </row>
    <row r="44" spans="1:6">
      <c r="A44" s="14" t="s">
        <v>236</v>
      </c>
      <c r="B44" s="14" t="s">
        <v>73</v>
      </c>
      <c r="C44" s="14" t="s">
        <v>77</v>
      </c>
      <c r="D44" s="14" t="s">
        <v>27</v>
      </c>
      <c r="E44" s="44">
        <v>0</v>
      </c>
      <c r="F44" s="44">
        <v>0</v>
      </c>
    </row>
    <row r="45" spans="1:6">
      <c r="A45" s="10" t="s">
        <v>236</v>
      </c>
      <c r="B45" s="10" t="s">
        <v>78</v>
      </c>
      <c r="C45" s="10" t="s">
        <v>79</v>
      </c>
      <c r="D45" s="10" t="s">
        <v>27</v>
      </c>
      <c r="E45" s="45">
        <v>5.8108108108108108E-7</v>
      </c>
      <c r="F45" s="45">
        <v>6.3918918918918927E-7</v>
      </c>
    </row>
    <row r="46" spans="1:6">
      <c r="A46" s="10" t="s">
        <v>236</v>
      </c>
      <c r="B46" s="10" t="s">
        <v>80</v>
      </c>
      <c r="C46" s="10" t="s">
        <v>81</v>
      </c>
      <c r="D46" s="10" t="s">
        <v>27</v>
      </c>
      <c r="E46" s="45">
        <v>0</v>
      </c>
      <c r="F46" s="45">
        <v>0</v>
      </c>
    </row>
    <row r="47" spans="1:6">
      <c r="A47" s="10" t="s">
        <v>236</v>
      </c>
      <c r="B47" s="10" t="s">
        <v>82</v>
      </c>
      <c r="C47" s="10" t="s">
        <v>83</v>
      </c>
      <c r="D47" s="10" t="s">
        <v>27</v>
      </c>
      <c r="E47" s="45">
        <v>8.1756756756756751E-6</v>
      </c>
      <c r="F47" s="45">
        <v>8.9932432432432441E-6</v>
      </c>
    </row>
    <row r="48" spans="1:6">
      <c r="A48" s="10" t="s">
        <v>236</v>
      </c>
      <c r="B48" s="10" t="s">
        <v>84</v>
      </c>
      <c r="C48" s="10" t="s">
        <v>85</v>
      </c>
      <c r="D48" s="10" t="s">
        <v>27</v>
      </c>
      <c r="E48" s="45">
        <v>3.8445945945945945E-5</v>
      </c>
      <c r="F48" s="45">
        <v>4.229054054054054E-5</v>
      </c>
    </row>
    <row r="49" spans="1:6">
      <c r="A49" s="12" t="s">
        <v>236</v>
      </c>
      <c r="B49" s="12" t="s">
        <v>86</v>
      </c>
      <c r="C49" s="12" t="s">
        <v>87</v>
      </c>
      <c r="D49" s="12" t="s">
        <v>27</v>
      </c>
      <c r="E49" s="46">
        <v>7.8378378378378378E-4</v>
      </c>
      <c r="F49" s="46">
        <v>8.6216216216216226E-4</v>
      </c>
    </row>
    <row r="50" spans="1:6">
      <c r="A50" s="14" t="s">
        <v>237</v>
      </c>
      <c r="B50" s="14" t="s">
        <v>73</v>
      </c>
      <c r="C50" s="14" t="s">
        <v>77</v>
      </c>
      <c r="D50" s="14" t="s">
        <v>27</v>
      </c>
      <c r="E50" s="44">
        <v>0</v>
      </c>
      <c r="F50" s="44">
        <v>0</v>
      </c>
    </row>
    <row r="51" spans="1:6">
      <c r="A51" s="14" t="s">
        <v>237</v>
      </c>
      <c r="B51" s="10" t="s">
        <v>78</v>
      </c>
      <c r="C51" s="10" t="s">
        <v>79</v>
      </c>
      <c r="D51" s="10" t="s">
        <v>27</v>
      </c>
      <c r="E51" s="45">
        <v>5.8108108108108108E-7</v>
      </c>
      <c r="F51" s="45">
        <v>6.3918918918918927E-7</v>
      </c>
    </row>
    <row r="52" spans="1:6">
      <c r="A52" s="14" t="s">
        <v>237</v>
      </c>
      <c r="B52" s="10" t="s">
        <v>80</v>
      </c>
      <c r="C52" s="10" t="s">
        <v>81</v>
      </c>
      <c r="D52" s="10" t="s">
        <v>27</v>
      </c>
      <c r="E52" s="45">
        <v>0</v>
      </c>
      <c r="F52" s="45">
        <v>0</v>
      </c>
    </row>
    <row r="53" spans="1:6">
      <c r="A53" s="10" t="s">
        <v>237</v>
      </c>
      <c r="B53" s="10" t="s">
        <v>82</v>
      </c>
      <c r="C53" s="10" t="s">
        <v>83</v>
      </c>
      <c r="D53" s="10" t="s">
        <v>27</v>
      </c>
      <c r="E53" s="45">
        <v>8.1756756756756751E-6</v>
      </c>
      <c r="F53" s="45">
        <v>8.9932432432432441E-6</v>
      </c>
    </row>
    <row r="54" spans="1:6">
      <c r="A54" s="10" t="s">
        <v>237</v>
      </c>
      <c r="B54" s="10" t="s">
        <v>84</v>
      </c>
      <c r="C54" s="10" t="s">
        <v>85</v>
      </c>
      <c r="D54" s="10" t="s">
        <v>27</v>
      </c>
      <c r="E54" s="45">
        <v>3.8445945945945945E-5</v>
      </c>
      <c r="F54" s="45">
        <v>4.229054054054054E-5</v>
      </c>
    </row>
    <row r="55" spans="1:6">
      <c r="A55" s="10" t="s">
        <v>237</v>
      </c>
      <c r="B55" s="10" t="s">
        <v>86</v>
      </c>
      <c r="C55" s="10" t="s">
        <v>87</v>
      </c>
      <c r="D55" s="10" t="s">
        <v>27</v>
      </c>
      <c r="E55" s="45">
        <v>7.8378378378378378E-4</v>
      </c>
      <c r="F55" s="45">
        <v>8.6216216216216226E-4</v>
      </c>
    </row>
    <row r="56" spans="1:6">
      <c r="A56" s="14" t="s">
        <v>240</v>
      </c>
      <c r="B56" s="14" t="s">
        <v>73</v>
      </c>
      <c r="C56" s="14" t="s">
        <v>77</v>
      </c>
      <c r="D56" s="14" t="s">
        <v>27</v>
      </c>
      <c r="E56" s="44">
        <v>0</v>
      </c>
      <c r="F56" s="44">
        <v>0</v>
      </c>
    </row>
    <row r="57" spans="1:6">
      <c r="A57" s="10" t="s">
        <v>240</v>
      </c>
      <c r="B57" s="10" t="s">
        <v>78</v>
      </c>
      <c r="C57" s="10" t="s">
        <v>79</v>
      </c>
      <c r="D57" s="10" t="s">
        <v>27</v>
      </c>
      <c r="E57" s="45">
        <v>5.8108108108108108E-7</v>
      </c>
      <c r="F57" s="45">
        <v>6.3918918918918927E-7</v>
      </c>
    </row>
    <row r="58" spans="1:6">
      <c r="A58" s="10" t="s">
        <v>240</v>
      </c>
      <c r="B58" s="10" t="s">
        <v>80</v>
      </c>
      <c r="C58" s="10" t="s">
        <v>81</v>
      </c>
      <c r="D58" s="10" t="s">
        <v>27</v>
      </c>
      <c r="E58" s="45">
        <v>0</v>
      </c>
      <c r="F58" s="45">
        <v>0</v>
      </c>
    </row>
    <row r="59" spans="1:6">
      <c r="A59" s="10" t="s">
        <v>240</v>
      </c>
      <c r="B59" s="10" t="s">
        <v>82</v>
      </c>
      <c r="C59" s="10" t="s">
        <v>83</v>
      </c>
      <c r="D59" s="10" t="s">
        <v>27</v>
      </c>
      <c r="E59" s="45">
        <v>8.1756756756756751E-6</v>
      </c>
      <c r="F59" s="45">
        <v>8.9932432432432441E-6</v>
      </c>
    </row>
    <row r="60" spans="1:6">
      <c r="A60" s="10" t="s">
        <v>240</v>
      </c>
      <c r="B60" s="10" t="s">
        <v>84</v>
      </c>
      <c r="C60" s="10" t="s">
        <v>85</v>
      </c>
      <c r="D60" s="10" t="s">
        <v>27</v>
      </c>
      <c r="E60" s="45">
        <v>3.8445945945945945E-5</v>
      </c>
      <c r="F60" s="45">
        <v>4.229054054054054E-5</v>
      </c>
    </row>
    <row r="61" spans="1:6" ht="14.95" thickBot="1">
      <c r="A61" s="112" t="s">
        <v>240</v>
      </c>
      <c r="B61" s="112" t="s">
        <v>86</v>
      </c>
      <c r="C61" s="112" t="s">
        <v>87</v>
      </c>
      <c r="D61" s="112" t="s">
        <v>27</v>
      </c>
      <c r="E61" s="114">
        <v>7.8378378378378378E-4</v>
      </c>
      <c r="F61" s="114">
        <v>8.6216216216216226E-4</v>
      </c>
    </row>
    <row r="62" spans="1:6">
      <c r="A62" s="10" t="s">
        <v>294</v>
      </c>
      <c r="B62" s="10" t="s">
        <v>73</v>
      </c>
      <c r="C62" s="10" t="s">
        <v>77</v>
      </c>
      <c r="D62" s="10" t="s">
        <v>27</v>
      </c>
      <c r="E62" s="45">
        <v>0</v>
      </c>
      <c r="F62" s="45">
        <v>0</v>
      </c>
    </row>
    <row r="63" spans="1:6">
      <c r="A63" s="10" t="s">
        <v>294</v>
      </c>
      <c r="B63" s="10" t="s">
        <v>78</v>
      </c>
      <c r="C63" s="10" t="s">
        <v>79</v>
      </c>
      <c r="D63" s="10" t="s">
        <v>27</v>
      </c>
      <c r="E63" s="45">
        <v>5.8108108108108108E-7</v>
      </c>
      <c r="F63" s="45">
        <v>6.3918918918918927E-7</v>
      </c>
    </row>
    <row r="64" spans="1:6">
      <c r="A64" s="10" t="s">
        <v>294</v>
      </c>
      <c r="B64" s="10" t="s">
        <v>80</v>
      </c>
      <c r="C64" s="10" t="s">
        <v>81</v>
      </c>
      <c r="D64" s="10" t="s">
        <v>27</v>
      </c>
      <c r="E64" s="45">
        <v>0</v>
      </c>
      <c r="F64" s="45">
        <v>0</v>
      </c>
    </row>
    <row r="65" spans="1:6">
      <c r="A65" s="10" t="s">
        <v>294</v>
      </c>
      <c r="B65" s="10" t="s">
        <v>82</v>
      </c>
      <c r="C65" s="10" t="s">
        <v>83</v>
      </c>
      <c r="D65" s="10" t="s">
        <v>27</v>
      </c>
      <c r="E65" s="45">
        <v>8.1756756756756751E-6</v>
      </c>
      <c r="F65" s="45">
        <v>8.9932432432432441E-6</v>
      </c>
    </row>
    <row r="66" spans="1:6">
      <c r="A66" s="10" t="s">
        <v>294</v>
      </c>
      <c r="B66" s="10" t="s">
        <v>84</v>
      </c>
      <c r="C66" s="10" t="s">
        <v>85</v>
      </c>
      <c r="D66" s="10" t="s">
        <v>27</v>
      </c>
      <c r="E66" s="45">
        <v>3.8445945945945945E-5</v>
      </c>
      <c r="F66" s="45">
        <v>4.229054054054054E-5</v>
      </c>
    </row>
    <row r="67" spans="1:6">
      <c r="A67" s="12" t="s">
        <v>294</v>
      </c>
      <c r="B67" s="12" t="s">
        <v>86</v>
      </c>
      <c r="C67" s="12" t="s">
        <v>87</v>
      </c>
      <c r="D67" s="12" t="s">
        <v>27</v>
      </c>
      <c r="E67" s="46">
        <v>7.8378378378378378E-4</v>
      </c>
      <c r="F67" s="46">
        <v>8.6216216216216226E-4</v>
      </c>
    </row>
    <row r="68" spans="1:6">
      <c r="A68" s="14" t="s">
        <v>295</v>
      </c>
      <c r="B68" s="14" t="s">
        <v>73</v>
      </c>
      <c r="C68" s="14" t="s">
        <v>77</v>
      </c>
      <c r="D68" s="14" t="s">
        <v>27</v>
      </c>
      <c r="E68" s="44">
        <v>0</v>
      </c>
      <c r="F68" s="44">
        <v>0</v>
      </c>
    </row>
    <row r="69" spans="1:6">
      <c r="A69" s="10" t="s">
        <v>295</v>
      </c>
      <c r="B69" s="10" t="s">
        <v>78</v>
      </c>
      <c r="C69" s="10" t="s">
        <v>79</v>
      </c>
      <c r="D69" s="10" t="s">
        <v>27</v>
      </c>
      <c r="E69" s="45">
        <v>5.8108108108108108E-7</v>
      </c>
      <c r="F69" s="45">
        <v>6.3918918918918927E-7</v>
      </c>
    </row>
    <row r="70" spans="1:6">
      <c r="A70" s="10" t="s">
        <v>295</v>
      </c>
      <c r="B70" s="10" t="s">
        <v>80</v>
      </c>
      <c r="C70" s="10" t="s">
        <v>81</v>
      </c>
      <c r="D70" s="10" t="s">
        <v>27</v>
      </c>
      <c r="E70" s="45">
        <v>0</v>
      </c>
      <c r="F70" s="45">
        <v>0</v>
      </c>
    </row>
    <row r="71" spans="1:6">
      <c r="A71" s="10" t="s">
        <v>295</v>
      </c>
      <c r="B71" s="10" t="s">
        <v>82</v>
      </c>
      <c r="C71" s="10" t="s">
        <v>83</v>
      </c>
      <c r="D71" s="10" t="s">
        <v>27</v>
      </c>
      <c r="E71" s="45">
        <v>8.1756756756756751E-6</v>
      </c>
      <c r="F71" s="45">
        <v>8.9932432432432441E-6</v>
      </c>
    </row>
    <row r="72" spans="1:6">
      <c r="A72" s="10" t="s">
        <v>295</v>
      </c>
      <c r="B72" s="10" t="s">
        <v>84</v>
      </c>
      <c r="C72" s="10" t="s">
        <v>85</v>
      </c>
      <c r="D72" s="10" t="s">
        <v>27</v>
      </c>
      <c r="E72" s="45">
        <v>3.8445945945945945E-5</v>
      </c>
      <c r="F72" s="45">
        <v>4.229054054054054E-5</v>
      </c>
    </row>
    <row r="73" spans="1:6">
      <c r="A73" s="12" t="s">
        <v>295</v>
      </c>
      <c r="B73" s="12" t="s">
        <v>86</v>
      </c>
      <c r="C73" s="12" t="s">
        <v>87</v>
      </c>
      <c r="D73" s="12" t="s">
        <v>27</v>
      </c>
      <c r="E73" s="46">
        <v>7.8378378378378378E-4</v>
      </c>
      <c r="F73" s="46">
        <v>8.6216216216216226E-4</v>
      </c>
    </row>
    <row r="74" spans="1:6">
      <c r="A74" s="14" t="s">
        <v>296</v>
      </c>
      <c r="B74" s="14" t="s">
        <v>73</v>
      </c>
      <c r="C74" s="14" t="s">
        <v>77</v>
      </c>
      <c r="D74" s="14" t="s">
        <v>27</v>
      </c>
      <c r="E74" s="44">
        <v>0</v>
      </c>
      <c r="F74" s="44">
        <v>0</v>
      </c>
    </row>
    <row r="75" spans="1:6">
      <c r="A75" s="10" t="s">
        <v>296</v>
      </c>
      <c r="B75" s="10" t="s">
        <v>78</v>
      </c>
      <c r="C75" s="10" t="s">
        <v>79</v>
      </c>
      <c r="D75" s="10" t="s">
        <v>27</v>
      </c>
      <c r="E75" s="45">
        <v>5.8108108108108108E-7</v>
      </c>
      <c r="F75" s="45">
        <v>6.3918918918918927E-7</v>
      </c>
    </row>
    <row r="76" spans="1:6">
      <c r="A76" s="10" t="s">
        <v>296</v>
      </c>
      <c r="B76" s="10" t="s">
        <v>80</v>
      </c>
      <c r="C76" s="10" t="s">
        <v>81</v>
      </c>
      <c r="D76" s="10" t="s">
        <v>27</v>
      </c>
      <c r="E76" s="45">
        <v>0</v>
      </c>
      <c r="F76" s="45">
        <v>0</v>
      </c>
    </row>
    <row r="77" spans="1:6">
      <c r="A77" s="10" t="s">
        <v>296</v>
      </c>
      <c r="B77" s="10" t="s">
        <v>82</v>
      </c>
      <c r="C77" s="10" t="s">
        <v>83</v>
      </c>
      <c r="D77" s="10" t="s">
        <v>27</v>
      </c>
      <c r="E77" s="45">
        <v>8.1756756756756751E-6</v>
      </c>
      <c r="F77" s="45">
        <v>8.9932432432432441E-6</v>
      </c>
    </row>
    <row r="78" spans="1:6">
      <c r="A78" s="10" t="s">
        <v>296</v>
      </c>
      <c r="B78" s="10" t="s">
        <v>84</v>
      </c>
      <c r="C78" s="10" t="s">
        <v>85</v>
      </c>
      <c r="D78" s="10" t="s">
        <v>27</v>
      </c>
      <c r="E78" s="45">
        <v>3.8445945945945945E-5</v>
      </c>
      <c r="F78" s="45">
        <v>4.229054054054054E-5</v>
      </c>
    </row>
    <row r="79" spans="1:6">
      <c r="A79" s="12" t="s">
        <v>296</v>
      </c>
      <c r="B79" s="12" t="s">
        <v>86</v>
      </c>
      <c r="C79" s="12" t="s">
        <v>87</v>
      </c>
      <c r="D79" s="12" t="s">
        <v>27</v>
      </c>
      <c r="E79" s="46">
        <v>7.8378378378378378E-4</v>
      </c>
      <c r="F79" s="46">
        <v>8.6216216216216226E-4</v>
      </c>
    </row>
    <row r="80" spans="1:6">
      <c r="A80" s="14" t="s">
        <v>297</v>
      </c>
      <c r="B80" s="14" t="s">
        <v>73</v>
      </c>
      <c r="C80" s="14" t="s">
        <v>77</v>
      </c>
      <c r="D80" s="14" t="s">
        <v>27</v>
      </c>
      <c r="E80" s="44">
        <v>0</v>
      </c>
      <c r="F80" s="44">
        <v>0</v>
      </c>
    </row>
    <row r="81" spans="1:6">
      <c r="A81" s="10" t="s">
        <v>297</v>
      </c>
      <c r="B81" s="10" t="s">
        <v>78</v>
      </c>
      <c r="C81" s="10" t="s">
        <v>79</v>
      </c>
      <c r="D81" s="10" t="s">
        <v>27</v>
      </c>
      <c r="E81" s="45">
        <v>5.8108108108108108E-7</v>
      </c>
      <c r="F81" s="45">
        <v>6.3918918918918927E-7</v>
      </c>
    </row>
    <row r="82" spans="1:6">
      <c r="A82" s="10" t="s">
        <v>297</v>
      </c>
      <c r="B82" s="10" t="s">
        <v>80</v>
      </c>
      <c r="C82" s="10" t="s">
        <v>81</v>
      </c>
      <c r="D82" s="10" t="s">
        <v>27</v>
      </c>
      <c r="E82" s="45">
        <v>0</v>
      </c>
      <c r="F82" s="45">
        <v>0</v>
      </c>
    </row>
    <row r="83" spans="1:6">
      <c r="A83" s="10" t="s">
        <v>297</v>
      </c>
      <c r="B83" s="10" t="s">
        <v>82</v>
      </c>
      <c r="C83" s="10" t="s">
        <v>83</v>
      </c>
      <c r="D83" s="10" t="s">
        <v>27</v>
      </c>
      <c r="E83" s="45">
        <v>8.1756756756756751E-6</v>
      </c>
      <c r="F83" s="45">
        <v>8.9932432432432441E-6</v>
      </c>
    </row>
    <row r="84" spans="1:6">
      <c r="A84" s="10" t="s">
        <v>297</v>
      </c>
      <c r="B84" s="10" t="s">
        <v>84</v>
      </c>
      <c r="C84" s="10" t="s">
        <v>85</v>
      </c>
      <c r="D84" s="10" t="s">
        <v>27</v>
      </c>
      <c r="E84" s="45">
        <v>3.8445945945945945E-5</v>
      </c>
      <c r="F84" s="45">
        <v>4.229054054054054E-5</v>
      </c>
    </row>
    <row r="85" spans="1:6">
      <c r="A85" s="12" t="s">
        <v>297</v>
      </c>
      <c r="B85" s="12" t="s">
        <v>86</v>
      </c>
      <c r="C85" s="12" t="s">
        <v>87</v>
      </c>
      <c r="D85" s="12" t="s">
        <v>27</v>
      </c>
      <c r="E85" s="46">
        <v>7.8378378378378378E-4</v>
      </c>
      <c r="F85" s="46">
        <v>8.6216216216216226E-4</v>
      </c>
    </row>
    <row r="86" spans="1:6">
      <c r="A86" s="14" t="s">
        <v>301</v>
      </c>
      <c r="B86" s="14" t="s">
        <v>73</v>
      </c>
      <c r="C86" s="14" t="s">
        <v>77</v>
      </c>
      <c r="D86" s="14" t="s">
        <v>27</v>
      </c>
      <c r="E86" s="44">
        <v>0</v>
      </c>
      <c r="F86" s="44">
        <v>0</v>
      </c>
    </row>
    <row r="87" spans="1:6">
      <c r="A87" s="10" t="s">
        <v>301</v>
      </c>
      <c r="B87" s="10" t="s">
        <v>78</v>
      </c>
      <c r="C87" s="10" t="s">
        <v>79</v>
      </c>
      <c r="D87" s="10" t="s">
        <v>27</v>
      </c>
      <c r="E87" s="45">
        <v>5.8108108108108108E-7</v>
      </c>
      <c r="F87" s="45">
        <v>6.3918918918918927E-7</v>
      </c>
    </row>
    <row r="88" spans="1:6">
      <c r="A88" s="10" t="s">
        <v>301</v>
      </c>
      <c r="B88" s="10" t="s">
        <v>80</v>
      </c>
      <c r="C88" s="10" t="s">
        <v>81</v>
      </c>
      <c r="D88" s="10" t="s">
        <v>27</v>
      </c>
      <c r="E88" s="45">
        <v>0</v>
      </c>
      <c r="F88" s="45">
        <v>0</v>
      </c>
    </row>
    <row r="89" spans="1:6">
      <c r="A89" s="10" t="s">
        <v>301</v>
      </c>
      <c r="B89" s="10" t="s">
        <v>82</v>
      </c>
      <c r="C89" s="10" t="s">
        <v>83</v>
      </c>
      <c r="D89" s="10" t="s">
        <v>27</v>
      </c>
      <c r="E89" s="45">
        <v>8.1756756756756751E-6</v>
      </c>
      <c r="F89" s="45">
        <v>8.9932432432432441E-6</v>
      </c>
    </row>
    <row r="90" spans="1:6">
      <c r="A90" s="10" t="s">
        <v>301</v>
      </c>
      <c r="B90" s="10" t="s">
        <v>84</v>
      </c>
      <c r="C90" s="10" t="s">
        <v>85</v>
      </c>
      <c r="D90" s="10" t="s">
        <v>27</v>
      </c>
      <c r="E90" s="45">
        <v>3.8445945945945945E-5</v>
      </c>
      <c r="F90" s="45">
        <v>4.229054054054054E-5</v>
      </c>
    </row>
    <row r="91" spans="1:6">
      <c r="A91" s="12" t="s">
        <v>301</v>
      </c>
      <c r="B91" s="12" t="s">
        <v>86</v>
      </c>
      <c r="C91" s="12" t="s">
        <v>87</v>
      </c>
      <c r="D91" s="12" t="s">
        <v>27</v>
      </c>
      <c r="E91" s="46">
        <v>7.8378378378378378E-4</v>
      </c>
      <c r="F91" s="46">
        <v>8.6216216216216226E-4</v>
      </c>
    </row>
  </sheetData>
  <dataValidations count="2">
    <dataValidation showInputMessage="1" showErrorMessage="1" promptTitle="Input/Output Ratio at partload" prompt="Ratio of Throughput and production/consumption for each commodity of process at minimal partload!_x000a_All process parameters are relating to the throughput (ratio=1)_x000a_Only relevant if  OPTION &quot;Partload&quot; is activated and &quot;partload-min&quot;&gt;0" sqref="F1"/>
    <dataValidation showInputMessage="1" showErrorMessage="1" promptTitle="Input/Output Ratio" prompt="Ratio of Throughput and production/consumption for each commodity of process._x000a_All process parameters are relating to the throughput (ratio=1)" sqref="E1"/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3" sqref="A23"/>
    </sheetView>
  </sheetViews>
  <sheetFormatPr defaultRowHeight="14.3"/>
  <cols>
    <col min="1" max="1" width="13.5" customWidth="1"/>
  </cols>
  <sheetData>
    <row r="1" spans="1:5">
      <c r="A1" t="s">
        <v>206</v>
      </c>
      <c r="B1" t="s">
        <v>207</v>
      </c>
      <c r="C1" t="s">
        <v>208</v>
      </c>
      <c r="D1" t="s">
        <v>209</v>
      </c>
      <c r="E1" s="2" t="s">
        <v>210</v>
      </c>
    </row>
    <row r="2" spans="1:5">
      <c r="A2" s="4" t="s">
        <v>15</v>
      </c>
      <c r="B2" s="4">
        <v>1</v>
      </c>
      <c r="C2" s="4" t="s">
        <v>17</v>
      </c>
      <c r="D2" s="4">
        <v>1</v>
      </c>
      <c r="E2" s="6">
        <v>1</v>
      </c>
    </row>
    <row r="3" spans="1:5">
      <c r="A3" s="4" t="s">
        <v>55</v>
      </c>
      <c r="B3" s="4">
        <v>1</v>
      </c>
      <c r="C3" s="4" t="s">
        <v>17</v>
      </c>
      <c r="D3" s="4">
        <v>1</v>
      </c>
      <c r="E3" s="6">
        <v>1</v>
      </c>
    </row>
    <row r="4" spans="1:5">
      <c r="A4" s="10" t="s">
        <v>98</v>
      </c>
      <c r="B4" s="4">
        <v>1</v>
      </c>
      <c r="C4" s="4" t="s">
        <v>17</v>
      </c>
      <c r="D4" s="4">
        <v>1</v>
      </c>
      <c r="E4" s="6">
        <v>1</v>
      </c>
    </row>
    <row r="5" spans="1:5">
      <c r="A5" s="10" t="s">
        <v>106</v>
      </c>
      <c r="B5" s="4">
        <v>1</v>
      </c>
      <c r="C5" s="4" t="s">
        <v>17</v>
      </c>
      <c r="D5" s="4">
        <v>1</v>
      </c>
      <c r="E5" s="6">
        <v>1</v>
      </c>
    </row>
    <row r="6" spans="1:5">
      <c r="A6" s="10" t="s">
        <v>107</v>
      </c>
      <c r="B6" s="4">
        <v>1</v>
      </c>
      <c r="C6" s="4" t="s">
        <v>17</v>
      </c>
      <c r="D6" s="4">
        <v>1</v>
      </c>
      <c r="E6" s="6">
        <v>1</v>
      </c>
    </row>
    <row r="7" spans="1:5">
      <c r="A7" s="10" t="s">
        <v>140</v>
      </c>
      <c r="B7" s="4">
        <v>1</v>
      </c>
      <c r="C7" s="4" t="s">
        <v>17</v>
      </c>
      <c r="D7" s="4">
        <v>1</v>
      </c>
      <c r="E7" s="6">
        <v>1</v>
      </c>
    </row>
    <row r="8" spans="1:5">
      <c r="A8" s="10" t="s">
        <v>165</v>
      </c>
      <c r="B8" s="4">
        <v>1</v>
      </c>
      <c r="C8" s="4" t="s">
        <v>17</v>
      </c>
      <c r="D8" s="4">
        <v>1</v>
      </c>
      <c r="E8" s="6">
        <v>1</v>
      </c>
    </row>
    <row r="9" spans="1:5">
      <c r="A9" s="10" t="s">
        <v>172</v>
      </c>
      <c r="B9" s="4">
        <v>1</v>
      </c>
      <c r="C9" s="4" t="s">
        <v>17</v>
      </c>
      <c r="D9" s="4">
        <v>1</v>
      </c>
      <c r="E9" s="6">
        <v>1</v>
      </c>
    </row>
    <row r="10" spans="1:5">
      <c r="A10" s="10" t="s">
        <v>202</v>
      </c>
      <c r="B10" s="4">
        <v>1</v>
      </c>
      <c r="C10" s="4" t="s">
        <v>17</v>
      </c>
      <c r="D10" s="4">
        <v>1</v>
      </c>
      <c r="E10" s="6">
        <v>1</v>
      </c>
    </row>
    <row r="11" spans="1:5">
      <c r="A11" s="10" t="s">
        <v>204</v>
      </c>
      <c r="B11" s="4">
        <v>1</v>
      </c>
      <c r="C11" s="4" t="s">
        <v>17</v>
      </c>
      <c r="D11" s="4">
        <v>1</v>
      </c>
      <c r="E11" s="6">
        <v>1</v>
      </c>
    </row>
    <row r="12" spans="1:5">
      <c r="A12" s="4" t="s">
        <v>51</v>
      </c>
      <c r="B12" s="4">
        <v>1</v>
      </c>
      <c r="C12" s="4" t="s">
        <v>17</v>
      </c>
      <c r="D12" s="4">
        <v>1</v>
      </c>
      <c r="E12" s="6">
        <v>1</v>
      </c>
    </row>
    <row r="13" spans="1:5">
      <c r="A13" s="10" t="s">
        <v>220</v>
      </c>
      <c r="B13" s="4">
        <v>1</v>
      </c>
      <c r="C13" s="4" t="s">
        <v>17</v>
      </c>
      <c r="D13" s="4">
        <v>1</v>
      </c>
      <c r="E13" s="6">
        <v>1</v>
      </c>
    </row>
    <row r="14" spans="1:5">
      <c r="A14" s="10" t="s">
        <v>234</v>
      </c>
      <c r="B14" s="4">
        <v>1</v>
      </c>
      <c r="C14" s="4" t="s">
        <v>17</v>
      </c>
      <c r="D14" s="4">
        <v>1</v>
      </c>
      <c r="E14" s="6">
        <v>1</v>
      </c>
    </row>
    <row r="15" spans="1:5">
      <c r="A15" s="10" t="s">
        <v>236</v>
      </c>
      <c r="B15" s="4">
        <v>1</v>
      </c>
      <c r="C15" s="4" t="s">
        <v>17</v>
      </c>
      <c r="D15" s="4">
        <v>1</v>
      </c>
      <c r="E15" s="6">
        <v>1</v>
      </c>
    </row>
    <row r="16" spans="1:5">
      <c r="A16" s="10" t="s">
        <v>237</v>
      </c>
      <c r="B16" s="4">
        <v>1</v>
      </c>
      <c r="C16" s="4" t="s">
        <v>17</v>
      </c>
      <c r="D16" s="4">
        <v>1</v>
      </c>
      <c r="E16" s="6">
        <v>1</v>
      </c>
    </row>
    <row r="17" spans="1:5">
      <c r="A17" s="10" t="s">
        <v>240</v>
      </c>
      <c r="B17" s="4">
        <v>1</v>
      </c>
      <c r="C17" s="4" t="s">
        <v>17</v>
      </c>
      <c r="D17" s="4">
        <v>1</v>
      </c>
      <c r="E17" s="6">
        <v>1</v>
      </c>
    </row>
    <row r="18" spans="1:5">
      <c r="A18" s="10" t="s">
        <v>301</v>
      </c>
      <c r="B18" s="4">
        <v>1</v>
      </c>
      <c r="C18" s="4" t="s">
        <v>17</v>
      </c>
      <c r="D18" s="4">
        <v>1</v>
      </c>
      <c r="E18" s="6">
        <v>1</v>
      </c>
    </row>
    <row r="19" spans="1:5">
      <c r="A19" s="10" t="s">
        <v>294</v>
      </c>
      <c r="B19" s="4">
        <v>1</v>
      </c>
      <c r="C19" s="4" t="s">
        <v>17</v>
      </c>
      <c r="D19" s="4">
        <v>1</v>
      </c>
      <c r="E19" s="6">
        <v>1</v>
      </c>
    </row>
    <row r="20" spans="1:5">
      <c r="A20" s="10" t="s">
        <v>295</v>
      </c>
      <c r="B20" s="4">
        <v>1</v>
      </c>
      <c r="C20" s="4" t="s">
        <v>17</v>
      </c>
      <c r="D20" s="4">
        <v>1</v>
      </c>
      <c r="E20" s="6">
        <v>1</v>
      </c>
    </row>
    <row r="21" spans="1:5">
      <c r="A21" s="10" t="s">
        <v>296</v>
      </c>
      <c r="B21" s="4">
        <v>1</v>
      </c>
      <c r="C21" s="4" t="s">
        <v>17</v>
      </c>
      <c r="D21" s="4">
        <v>1</v>
      </c>
      <c r="E21" s="6">
        <v>1</v>
      </c>
    </row>
    <row r="22" spans="1:5">
      <c r="A22" s="10" t="s">
        <v>297</v>
      </c>
      <c r="B22" s="4">
        <v>1</v>
      </c>
      <c r="C22" s="4" t="s">
        <v>17</v>
      </c>
      <c r="D22" s="4">
        <v>1</v>
      </c>
      <c r="E22" s="6">
        <v>1</v>
      </c>
    </row>
    <row r="23" spans="1:5">
      <c r="A23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zoomScale="70" zoomScaleNormal="70" workbookViewId="0">
      <selection activeCell="E33" sqref="E33"/>
    </sheetView>
  </sheetViews>
  <sheetFormatPr defaultRowHeight="14.3"/>
  <cols>
    <col min="1" max="2" width="25.625" customWidth="1"/>
    <col min="3" max="3" width="26.625" customWidth="1"/>
    <col min="4" max="4" width="26.25" customWidth="1"/>
    <col min="5" max="5" width="11.75" customWidth="1"/>
    <col min="6" max="6" width="50.375" customWidth="1"/>
  </cols>
  <sheetData>
    <row r="1" spans="1:6">
      <c r="A1" s="16" t="s">
        <v>1</v>
      </c>
      <c r="B1" s="16" t="s">
        <v>329</v>
      </c>
      <c r="C1" s="16" t="s">
        <v>324</v>
      </c>
      <c r="D1" s="23" t="s">
        <v>325</v>
      </c>
      <c r="E1" s="23" t="s">
        <v>326</v>
      </c>
      <c r="F1" s="23" t="s">
        <v>327</v>
      </c>
    </row>
    <row r="2" spans="1:6">
      <c r="A2" s="123" t="s">
        <v>15</v>
      </c>
      <c r="B2" s="123">
        <v>20</v>
      </c>
      <c r="C2" t="s">
        <v>330</v>
      </c>
      <c r="D2" t="s">
        <v>328</v>
      </c>
      <c r="E2">
        <v>1</v>
      </c>
      <c r="F2" t="s">
        <v>339</v>
      </c>
    </row>
    <row r="3" spans="1:6">
      <c r="A3" s="123" t="s">
        <v>51</v>
      </c>
      <c r="B3" s="123">
        <v>20</v>
      </c>
      <c r="C3" t="s">
        <v>330</v>
      </c>
      <c r="D3" t="s">
        <v>328</v>
      </c>
      <c r="E3">
        <v>1</v>
      </c>
      <c r="F3" t="s">
        <v>339</v>
      </c>
    </row>
    <row r="4" spans="1:6">
      <c r="A4" s="123" t="s">
        <v>20</v>
      </c>
      <c r="B4" s="123">
        <v>20</v>
      </c>
      <c r="C4">
        <v>0</v>
      </c>
      <c r="D4">
        <v>0</v>
      </c>
      <c r="E4">
        <v>0</v>
      </c>
      <c r="F4" t="s">
        <v>339</v>
      </c>
    </row>
    <row r="5" spans="1:6">
      <c r="A5" s="123" t="s">
        <v>17</v>
      </c>
      <c r="B5" s="123">
        <v>20</v>
      </c>
      <c r="C5" t="s">
        <v>332</v>
      </c>
      <c r="D5" t="s">
        <v>331</v>
      </c>
      <c r="E5" t="s">
        <v>336</v>
      </c>
      <c r="F5" t="s">
        <v>339</v>
      </c>
    </row>
    <row r="6" spans="1:6">
      <c r="A6" s="123" t="s">
        <v>18</v>
      </c>
      <c r="B6" s="123">
        <v>0</v>
      </c>
      <c r="C6">
        <v>0</v>
      </c>
      <c r="D6">
        <v>0</v>
      </c>
      <c r="E6">
        <v>0</v>
      </c>
      <c r="F6" t="s">
        <v>339</v>
      </c>
    </row>
    <row r="7" spans="1:6">
      <c r="A7" s="123" t="s">
        <v>55</v>
      </c>
      <c r="B7" s="123">
        <v>20</v>
      </c>
      <c r="C7" t="s">
        <v>330</v>
      </c>
      <c r="D7" t="s">
        <v>328</v>
      </c>
      <c r="E7">
        <v>1</v>
      </c>
      <c r="F7" t="s">
        <v>339</v>
      </c>
    </row>
    <row r="8" spans="1:6">
      <c r="A8" s="123" t="s">
        <v>66</v>
      </c>
      <c r="B8" s="123">
        <v>20</v>
      </c>
      <c r="C8" t="s">
        <v>330</v>
      </c>
      <c r="D8" t="s">
        <v>328</v>
      </c>
      <c r="E8">
        <v>1</v>
      </c>
      <c r="F8" t="s">
        <v>339</v>
      </c>
    </row>
    <row r="9" spans="1:6">
      <c r="A9" s="124" t="s">
        <v>98</v>
      </c>
      <c r="B9" s="124">
        <v>20</v>
      </c>
      <c r="C9" t="s">
        <v>330</v>
      </c>
      <c r="D9" t="s">
        <v>328</v>
      </c>
      <c r="E9">
        <v>1</v>
      </c>
      <c r="F9" t="s">
        <v>339</v>
      </c>
    </row>
    <row r="10" spans="1:6">
      <c r="A10" s="124" t="s">
        <v>106</v>
      </c>
      <c r="B10" s="124">
        <v>20</v>
      </c>
      <c r="C10" t="s">
        <v>330</v>
      </c>
      <c r="D10" t="s">
        <v>328</v>
      </c>
      <c r="E10">
        <v>1</v>
      </c>
      <c r="F10" t="s">
        <v>339</v>
      </c>
    </row>
    <row r="11" spans="1:6">
      <c r="A11" s="124" t="s">
        <v>107</v>
      </c>
      <c r="B11" s="124">
        <v>20</v>
      </c>
      <c r="C11" t="s">
        <v>330</v>
      </c>
      <c r="D11" t="s">
        <v>328</v>
      </c>
      <c r="E11">
        <v>1</v>
      </c>
      <c r="F11" t="s">
        <v>339</v>
      </c>
    </row>
    <row r="12" spans="1:6">
      <c r="A12" s="124" t="s">
        <v>140</v>
      </c>
      <c r="B12" s="124">
        <v>20</v>
      </c>
      <c r="C12" t="s">
        <v>330</v>
      </c>
      <c r="D12" t="s">
        <v>328</v>
      </c>
      <c r="E12">
        <v>1</v>
      </c>
      <c r="F12" t="s">
        <v>339</v>
      </c>
    </row>
    <row r="13" spans="1:6">
      <c r="A13" s="124" t="s">
        <v>165</v>
      </c>
      <c r="B13" s="124">
        <v>20</v>
      </c>
      <c r="C13" t="s">
        <v>330</v>
      </c>
      <c r="D13" t="s">
        <v>328</v>
      </c>
      <c r="E13">
        <v>1</v>
      </c>
      <c r="F13" t="s">
        <v>339</v>
      </c>
    </row>
    <row r="14" spans="1:6">
      <c r="A14" s="124" t="s">
        <v>172</v>
      </c>
      <c r="B14" s="124">
        <v>20</v>
      </c>
      <c r="C14" t="s">
        <v>330</v>
      </c>
      <c r="D14" t="s">
        <v>328</v>
      </c>
      <c r="E14">
        <v>1</v>
      </c>
      <c r="F14" t="s">
        <v>339</v>
      </c>
    </row>
    <row r="15" spans="1:6">
      <c r="A15" s="124" t="s">
        <v>202</v>
      </c>
      <c r="B15" s="124">
        <v>20</v>
      </c>
      <c r="C15" t="s">
        <v>330</v>
      </c>
      <c r="D15" t="s">
        <v>328</v>
      </c>
      <c r="E15">
        <v>1</v>
      </c>
      <c r="F15" t="s">
        <v>339</v>
      </c>
    </row>
    <row r="16" spans="1:6">
      <c r="A16" s="124" t="s">
        <v>204</v>
      </c>
      <c r="B16" s="124">
        <v>20</v>
      </c>
      <c r="C16" t="s">
        <v>330</v>
      </c>
      <c r="D16" t="s">
        <v>328</v>
      </c>
      <c r="E16">
        <v>1</v>
      </c>
      <c r="F16" t="s">
        <v>339</v>
      </c>
    </row>
    <row r="17" spans="1:6">
      <c r="A17" s="124" t="s">
        <v>236</v>
      </c>
      <c r="B17" s="124">
        <v>20</v>
      </c>
      <c r="C17" t="s">
        <v>330</v>
      </c>
      <c r="D17" t="s">
        <v>328</v>
      </c>
      <c r="E17" t="s">
        <v>337</v>
      </c>
      <c r="F17" t="s">
        <v>339</v>
      </c>
    </row>
    <row r="18" spans="1:6">
      <c r="A18" s="124" t="s">
        <v>237</v>
      </c>
      <c r="B18" s="124">
        <v>20</v>
      </c>
      <c r="C18" t="s">
        <v>330</v>
      </c>
      <c r="D18" t="s">
        <v>328</v>
      </c>
      <c r="E18" t="s">
        <v>338</v>
      </c>
      <c r="F18" t="s">
        <v>339</v>
      </c>
    </row>
    <row r="19" spans="1:6">
      <c r="A19" s="124" t="s">
        <v>234</v>
      </c>
      <c r="B19" s="124">
        <v>20</v>
      </c>
      <c r="C19" t="s">
        <v>330</v>
      </c>
      <c r="D19" t="s">
        <v>328</v>
      </c>
      <c r="E19">
        <v>1</v>
      </c>
      <c r="F19" t="s">
        <v>339</v>
      </c>
    </row>
    <row r="20" spans="1:6" ht="14.95" thickBot="1">
      <c r="A20" s="125" t="s">
        <v>240</v>
      </c>
      <c r="B20" s="124">
        <v>20</v>
      </c>
      <c r="C20" t="s">
        <v>330</v>
      </c>
      <c r="D20" t="s">
        <v>328</v>
      </c>
      <c r="E20">
        <v>1</v>
      </c>
      <c r="F20" t="s">
        <v>339</v>
      </c>
    </row>
    <row r="21" spans="1:6">
      <c r="A21" s="124" t="s">
        <v>301</v>
      </c>
      <c r="B21" s="124">
        <v>20</v>
      </c>
      <c r="C21" t="s">
        <v>330</v>
      </c>
      <c r="D21" t="s">
        <v>328</v>
      </c>
      <c r="E21">
        <v>1</v>
      </c>
      <c r="F21" t="s">
        <v>339</v>
      </c>
    </row>
    <row r="22" spans="1:6">
      <c r="A22" s="124" t="s">
        <v>294</v>
      </c>
      <c r="B22" s="124">
        <v>20</v>
      </c>
      <c r="C22" t="s">
        <v>330</v>
      </c>
      <c r="D22" t="s">
        <v>328</v>
      </c>
      <c r="E22">
        <v>1</v>
      </c>
      <c r="F22" t="s">
        <v>339</v>
      </c>
    </row>
    <row r="23" spans="1:6">
      <c r="A23" s="124" t="s">
        <v>295</v>
      </c>
      <c r="B23" s="124">
        <v>20</v>
      </c>
      <c r="C23" t="s">
        <v>330</v>
      </c>
      <c r="D23" t="s">
        <v>328</v>
      </c>
      <c r="E23">
        <v>1</v>
      </c>
      <c r="F23" t="s">
        <v>339</v>
      </c>
    </row>
    <row r="24" spans="1:6">
      <c r="A24" s="124" t="s">
        <v>296</v>
      </c>
      <c r="B24" s="124">
        <v>20</v>
      </c>
      <c r="C24" t="s">
        <v>330</v>
      </c>
      <c r="D24" t="s">
        <v>328</v>
      </c>
      <c r="E24">
        <v>1</v>
      </c>
      <c r="F24" t="s">
        <v>339</v>
      </c>
    </row>
    <row r="25" spans="1:6">
      <c r="A25" s="124" t="s">
        <v>297</v>
      </c>
      <c r="B25" s="124">
        <v>20</v>
      </c>
      <c r="C25" t="s">
        <v>330</v>
      </c>
      <c r="D25" t="s">
        <v>328</v>
      </c>
      <c r="E25">
        <v>1</v>
      </c>
      <c r="F25" t="s">
        <v>339</v>
      </c>
    </row>
    <row r="26" spans="1:6">
      <c r="A26" s="123" t="s">
        <v>323</v>
      </c>
      <c r="B26" s="124">
        <v>20</v>
      </c>
      <c r="C26" t="s">
        <v>333</v>
      </c>
      <c r="D26" t="s">
        <v>334</v>
      </c>
      <c r="E26" t="s">
        <v>335</v>
      </c>
      <c r="F26" t="s"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Process</vt:lpstr>
      <vt:lpstr>Process-Commodity</vt:lpstr>
      <vt:lpstr>Process-Class</vt:lpstr>
      <vt:lpstr>Process-Biosphere</vt:lpstr>
      <vt:lpstr>Process-Exclusive</vt:lpstr>
      <vt:lpstr>Process-Manufacturing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2019-11-08T10:42:41Z</dcterms:modified>
</cp:coreProperties>
</file>