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70" windowHeight="9340" tabRatio="807" activeTab="1"/>
  </bookViews>
  <sheets>
    <sheet name="Table_BiocharContents" sheetId="14" r:id="rId1"/>
    <sheet name="StaticParameter" sheetId="6" r:id="rId2"/>
    <sheet name="TimeFrame" sheetId="4" r:id="rId3"/>
    <sheet name="timeseries" sheetId="5" r:id="rId4"/>
    <sheet name="FU" sheetId="13" r:id="rId5"/>
    <sheet name="FU_manufacturing" sheetId="9" r:id="rId6"/>
    <sheet name="FU_use" sheetId="10" r:id="rId7"/>
    <sheet name="FU_disposal" sheetId="11" r:id="rId8"/>
    <sheet name="GoodLifetimes" sheetId="12" r:id="rId9"/>
    <sheet name="BiocharDemandFunctions" sheetId="8" r:id="rId10"/>
    <sheet name="BiocharProperties" sheetId="7" r:id="rId11"/>
    <sheet name="PlantFleet" sheetId="1" r:id="rId12"/>
    <sheet name="PlantProperties" sheetId="2" r:id="rId13"/>
    <sheet name="PlantFeedingRegime" sheetId="3" r:id="rId1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6" l="1"/>
  <c r="S13" i="6" l="1"/>
  <c r="R13" i="6"/>
  <c r="R9" i="6"/>
  <c r="R10" i="6" s="1"/>
  <c r="R12" i="6" s="1"/>
  <c r="B70" i="6"/>
  <c r="AF53" i="6"/>
  <c r="AF54" i="6"/>
  <c r="AF55" i="6"/>
  <c r="AF56" i="6"/>
  <c r="AF31" i="6"/>
  <c r="AE31" i="6"/>
  <c r="AI49" i="6"/>
  <c r="AI48" i="6"/>
  <c r="AI47" i="6"/>
  <c r="AJ47" i="6"/>
  <c r="AJ48" i="6"/>
  <c r="AJ49" i="6"/>
  <c r="AE53" i="6"/>
  <c r="AF40" i="6"/>
  <c r="AE40" i="6"/>
  <c r="AF38" i="6"/>
  <c r="AE38" i="6"/>
  <c r="AF36" i="6"/>
  <c r="AE36" i="6"/>
  <c r="AF34" i="6"/>
  <c r="AE34" i="6"/>
  <c r="S10" i="6" l="1"/>
  <c r="AE56" i="6"/>
  <c r="AE55" i="6"/>
  <c r="AE54" i="6"/>
  <c r="AG51" i="6"/>
  <c r="D17" i="14" l="1"/>
  <c r="D16" i="14"/>
  <c r="D15" i="14"/>
  <c r="D13" i="14"/>
  <c r="D12" i="14"/>
  <c r="D11" i="14"/>
  <c r="D9" i="14"/>
  <c r="D8" i="14"/>
  <c r="D6" i="14"/>
  <c r="AQ17" i="6"/>
  <c r="AQ12" i="6"/>
  <c r="AN15" i="6"/>
  <c r="AN14" i="6"/>
  <c r="AN12" i="6"/>
  <c r="AO17" i="6"/>
  <c r="AN17" i="6"/>
  <c r="AP17" i="6" s="1"/>
  <c r="AO16" i="6"/>
  <c r="AN16" i="6"/>
  <c r="AP16" i="6" s="1"/>
  <c r="AQ16" i="6" s="1"/>
  <c r="AP15" i="6"/>
  <c r="AQ15" i="6" s="1"/>
  <c r="AO15" i="6"/>
  <c r="AO14" i="6"/>
  <c r="AP14" i="6"/>
  <c r="AQ14" i="6" s="1"/>
  <c r="AO13" i="6"/>
  <c r="AN13" i="6"/>
  <c r="AP13" i="6" s="1"/>
  <c r="AQ13" i="6" s="1"/>
  <c r="AO12" i="6"/>
  <c r="AP12" i="6"/>
  <c r="AO3" i="6"/>
  <c r="AO4" i="6"/>
  <c r="AO5" i="6"/>
  <c r="AO6" i="6"/>
  <c r="AO7" i="6"/>
  <c r="AO8" i="6"/>
  <c r="AN8" i="6"/>
  <c r="AN7" i="6"/>
  <c r="AN6" i="6"/>
  <c r="AN5" i="6"/>
  <c r="AN4" i="6"/>
  <c r="AP4" i="6" s="1"/>
  <c r="AN3" i="6"/>
  <c r="S11" i="6"/>
  <c r="T11" i="6" s="1"/>
  <c r="S7" i="6"/>
  <c r="S8" i="6"/>
  <c r="R8" i="6"/>
  <c r="R7" i="6"/>
  <c r="S5" i="6"/>
  <c r="S6" i="6"/>
  <c r="R6" i="6"/>
  <c r="R5" i="6"/>
  <c r="S4" i="6"/>
  <c r="R4" i="6"/>
  <c r="S3" i="6"/>
  <c r="R3" i="6"/>
  <c r="N6" i="6"/>
  <c r="N5" i="6"/>
  <c r="N4" i="6"/>
  <c r="N3" i="6"/>
  <c r="N7" i="6"/>
  <c r="N8" i="6"/>
  <c r="M8" i="6"/>
  <c r="M7" i="6"/>
  <c r="M6" i="6"/>
  <c r="M5" i="6"/>
  <c r="M4" i="6"/>
  <c r="M3" i="6"/>
  <c r="T5" i="6" l="1"/>
  <c r="T6" i="6"/>
  <c r="AP18" i="6"/>
  <c r="AQ18" i="6" s="1"/>
  <c r="AP5" i="6"/>
  <c r="AP6" i="6"/>
  <c r="AP3" i="6"/>
  <c r="AP7" i="6"/>
  <c r="AP8" i="6"/>
  <c r="AP9" i="6"/>
  <c r="S9" i="6"/>
  <c r="M22" i="6"/>
  <c r="M14" i="6"/>
  <c r="E17" i="14"/>
  <c r="T10" i="6" l="1"/>
  <c r="T3" i="6" s="1"/>
  <c r="S12" i="6"/>
  <c r="H14" i="14"/>
  <c r="E14" i="14" s="1"/>
  <c r="E15" i="14"/>
  <c r="F15" i="14" s="1"/>
  <c r="H15" i="14"/>
  <c r="E12" i="14"/>
  <c r="F12" i="14" s="1"/>
  <c r="L12" i="14"/>
  <c r="F16" i="14"/>
  <c r="F13" i="14"/>
  <c r="F11" i="14"/>
  <c r="F9" i="14"/>
  <c r="F8" i="14"/>
  <c r="F6" i="14"/>
  <c r="F14" i="14" l="1"/>
  <c r="D14" i="14"/>
  <c r="J38" i="6"/>
  <c r="B26" i="6"/>
  <c r="R14" i="6" l="1"/>
  <c r="R15" i="6" s="1"/>
  <c r="R16" i="6" s="1"/>
  <c r="S14" i="6"/>
  <c r="S15" i="6" s="1"/>
  <c r="S16" i="6" s="1"/>
  <c r="J75" i="6" l="1"/>
  <c r="H75" i="6"/>
  <c r="J74" i="6"/>
  <c r="I74" i="6"/>
  <c r="H74" i="6"/>
  <c r="B75" i="6"/>
  <c r="I75" i="6" s="1"/>
  <c r="H73" i="6"/>
  <c r="J73" i="6"/>
  <c r="J78" i="6"/>
  <c r="I78" i="6"/>
  <c r="H78" i="6"/>
  <c r="J72" i="6"/>
  <c r="I72" i="6"/>
  <c r="H72" i="6"/>
  <c r="H70" i="6"/>
  <c r="J70" i="6"/>
  <c r="H69" i="6"/>
  <c r="I69" i="6"/>
  <c r="J69" i="6"/>
  <c r="H68" i="6"/>
  <c r="J68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J67" i="6"/>
  <c r="J60" i="6"/>
  <c r="H60" i="6"/>
  <c r="H52" i="6"/>
  <c r="I52" i="6"/>
  <c r="J52" i="6"/>
  <c r="H53" i="6"/>
  <c r="I53" i="6"/>
  <c r="J53" i="6"/>
  <c r="I8" i="6"/>
  <c r="J8" i="6"/>
  <c r="H8" i="6"/>
  <c r="I9" i="6"/>
  <c r="H9" i="6"/>
  <c r="J9" i="6"/>
  <c r="H28" i="6"/>
  <c r="J28" i="6"/>
  <c r="H22" i="6"/>
  <c r="I22" i="6"/>
  <c r="J22" i="6"/>
  <c r="H25" i="6" l="1"/>
  <c r="I25" i="6"/>
  <c r="J25" i="6"/>
  <c r="M23" i="6"/>
  <c r="H24" i="6"/>
  <c r="J24" i="6"/>
  <c r="H26" i="6"/>
  <c r="J26" i="6"/>
  <c r="H27" i="6"/>
  <c r="J27" i="6"/>
  <c r="H30" i="6"/>
  <c r="I30" i="6"/>
  <c r="J30" i="6"/>
  <c r="H31" i="6"/>
  <c r="J31" i="6"/>
  <c r="H32" i="6"/>
  <c r="J32" i="6"/>
  <c r="H33" i="6"/>
  <c r="I33" i="6"/>
  <c r="J33" i="6"/>
  <c r="H34" i="6"/>
  <c r="I34" i="6"/>
  <c r="J34" i="6"/>
  <c r="H35" i="6"/>
  <c r="I35" i="6"/>
  <c r="J35" i="6"/>
  <c r="H36" i="6"/>
  <c r="J36" i="6"/>
  <c r="H37" i="6"/>
  <c r="J37" i="6"/>
  <c r="H38" i="6"/>
  <c r="H39" i="6"/>
  <c r="J39" i="6"/>
  <c r="H40" i="6"/>
  <c r="J40" i="6"/>
  <c r="H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J47" i="6"/>
  <c r="H48" i="6"/>
  <c r="J48" i="6"/>
  <c r="H49" i="6"/>
  <c r="J49" i="6"/>
  <c r="B36" i="6"/>
  <c r="B47" i="6" s="1"/>
  <c r="I47" i="6" s="1"/>
  <c r="B37" i="6"/>
  <c r="I37" i="6" s="1"/>
  <c r="B38" i="6"/>
  <c r="I38" i="6" s="1"/>
  <c r="B31" i="6"/>
  <c r="I36" i="6" l="1"/>
  <c r="B32" i="6"/>
  <c r="B39" i="6" s="1"/>
  <c r="I39" i="6" s="1"/>
  <c r="B73" i="6"/>
  <c r="I73" i="6" s="1"/>
  <c r="B49" i="6"/>
  <c r="I49" i="6" s="1"/>
  <c r="B48" i="6"/>
  <c r="I48" i="6" s="1"/>
  <c r="B40" i="6"/>
  <c r="I40" i="6" s="1"/>
  <c r="I32" i="6"/>
  <c r="I31" i="6"/>
  <c r="H50" i="6"/>
  <c r="J50" i="6"/>
  <c r="H51" i="6"/>
  <c r="J51" i="6"/>
  <c r="H55" i="6"/>
  <c r="I55" i="6"/>
  <c r="J55" i="6"/>
  <c r="I26" i="6"/>
  <c r="J15" i="6"/>
  <c r="H15" i="6"/>
  <c r="H20" i="6"/>
  <c r="I20" i="6"/>
  <c r="J20" i="6"/>
  <c r="H21" i="6"/>
  <c r="J21" i="6"/>
  <c r="H18" i="6"/>
  <c r="I18" i="6"/>
  <c r="J18" i="6"/>
  <c r="H19" i="6"/>
  <c r="J19" i="6"/>
  <c r="B17" i="6"/>
  <c r="B19" i="6" s="1"/>
  <c r="I19" i="6" s="1"/>
  <c r="B41" i="6" l="1"/>
  <c r="I41" i="6" s="1"/>
  <c r="B51" i="6"/>
  <c r="B58" i="6" s="1"/>
  <c r="B21" i="6"/>
  <c r="B50" i="6"/>
  <c r="B57" i="6" s="1"/>
  <c r="H5" i="6"/>
  <c r="J5" i="6"/>
  <c r="H6" i="6"/>
  <c r="I6" i="6"/>
  <c r="J6" i="6"/>
  <c r="H7" i="6"/>
  <c r="I7" i="6"/>
  <c r="J7" i="6"/>
  <c r="H11" i="6"/>
  <c r="I11" i="6"/>
  <c r="J11" i="6"/>
  <c r="H12" i="6"/>
  <c r="I12" i="6"/>
  <c r="J12" i="6"/>
  <c r="H13" i="6"/>
  <c r="J13" i="6"/>
  <c r="H14" i="6"/>
  <c r="J14" i="6"/>
  <c r="H17" i="6"/>
  <c r="I17" i="6"/>
  <c r="J17" i="6"/>
  <c r="B13" i="6"/>
  <c r="I13" i="6" s="1"/>
  <c r="B5" i="6"/>
  <c r="I5" i="6" s="1"/>
  <c r="I50" i="6" l="1"/>
  <c r="M24" i="6"/>
  <c r="I51" i="6"/>
  <c r="M25" i="6"/>
  <c r="I21" i="6"/>
  <c r="B24" i="6"/>
  <c r="J4" i="6"/>
  <c r="I24" i="6" l="1"/>
  <c r="B27" i="6"/>
  <c r="I27" i="6" s="1"/>
  <c r="I4" i="6"/>
  <c r="H4" i="6"/>
  <c r="M26" i="6" l="1"/>
  <c r="B60" i="6"/>
  <c r="B14" i="6"/>
  <c r="I60" i="6" l="1"/>
  <c r="B68" i="6"/>
  <c r="B67" i="6"/>
  <c r="B15" i="6"/>
  <c r="I14" i="6"/>
  <c r="I67" i="6"/>
  <c r="E3" i="13"/>
  <c r="E4" i="13"/>
  <c r="B3" i="13"/>
  <c r="B4" i="13"/>
  <c r="B5" i="13"/>
  <c r="B6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E2" i="13"/>
  <c r="B2" i="13"/>
  <c r="A2" i="13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F4" i="9"/>
  <c r="F3" i="9"/>
  <c r="F2" i="9"/>
  <c r="C4" i="9"/>
  <c r="C5" i="9"/>
  <c r="C6" i="9"/>
  <c r="C3" i="9"/>
  <c r="C2" i="9"/>
  <c r="A102" i="9"/>
  <c r="B102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B2" i="9"/>
  <c r="A2" i="9"/>
  <c r="I68" i="6" l="1"/>
  <c r="I70" i="6"/>
  <c r="I15" i="6"/>
  <c r="M27" i="6"/>
  <c r="M28" i="6" s="1"/>
  <c r="M31" i="6" s="1"/>
  <c r="N27" i="6"/>
  <c r="N28" i="6" s="1"/>
  <c r="N31" i="6" s="1"/>
  <c r="N32" i="6" s="1"/>
  <c r="F5" i="5"/>
  <c r="M32" i="6" l="1"/>
  <c r="M35" i="6" s="1"/>
  <c r="M36" i="6" s="1"/>
  <c r="M34" i="6"/>
  <c r="F6" i="5"/>
  <c r="F5" i="9"/>
  <c r="E5" i="13"/>
  <c r="E5" i="7"/>
  <c r="E2" i="7"/>
  <c r="E3" i="7"/>
  <c r="E4" i="7"/>
  <c r="J2" i="5"/>
  <c r="F7" i="5" l="1"/>
  <c r="F6" i="9"/>
  <c r="E6" i="13"/>
  <c r="J3" i="5"/>
  <c r="J4" i="5"/>
  <c r="J5" i="5"/>
  <c r="J6" i="5"/>
  <c r="I2" i="5"/>
  <c r="I3" i="5"/>
  <c r="I4" i="5"/>
  <c r="I6" i="5"/>
  <c r="I7" i="5"/>
  <c r="I8" i="5"/>
  <c r="I10" i="5"/>
  <c r="I11" i="5"/>
  <c r="I12" i="5"/>
  <c r="I14" i="5"/>
  <c r="I15" i="5"/>
  <c r="I16" i="5"/>
  <c r="I18" i="5"/>
  <c r="I19" i="5"/>
  <c r="I20" i="5"/>
  <c r="I22" i="5"/>
  <c r="I23" i="5"/>
  <c r="I24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J102" i="5" s="1"/>
  <c r="I85" i="6"/>
  <c r="G17" i="5" l="1"/>
  <c r="I17" i="5" s="1"/>
  <c r="G9" i="5"/>
  <c r="I9" i="5" s="1"/>
  <c r="G25" i="5"/>
  <c r="I25" i="5" s="1"/>
  <c r="F8" i="5"/>
  <c r="F7" i="9"/>
  <c r="E7" i="13"/>
  <c r="J10" i="5"/>
  <c r="J9" i="5"/>
  <c r="J18" i="5"/>
  <c r="J17" i="5"/>
  <c r="J34" i="5"/>
  <c r="J26" i="5"/>
  <c r="J98" i="5"/>
  <c r="J74" i="5"/>
  <c r="J89" i="5"/>
  <c r="J49" i="5"/>
  <c r="J25" i="5"/>
  <c r="J96" i="5"/>
  <c r="J88" i="5"/>
  <c r="J80" i="5"/>
  <c r="J72" i="5"/>
  <c r="J64" i="5"/>
  <c r="J56" i="5"/>
  <c r="J48" i="5"/>
  <c r="J40" i="5"/>
  <c r="J32" i="5"/>
  <c r="J24" i="5"/>
  <c r="J16" i="5"/>
  <c r="J8" i="5"/>
  <c r="J41" i="5"/>
  <c r="J95" i="5"/>
  <c r="J87" i="5"/>
  <c r="J79" i="5"/>
  <c r="J71" i="5"/>
  <c r="J63" i="5"/>
  <c r="J55" i="5"/>
  <c r="J47" i="5"/>
  <c r="J39" i="5"/>
  <c r="J31" i="5"/>
  <c r="J23" i="5"/>
  <c r="J15" i="5"/>
  <c r="J7" i="5"/>
  <c r="J94" i="5"/>
  <c r="J86" i="5"/>
  <c r="J78" i="5"/>
  <c r="J70" i="5"/>
  <c r="J62" i="5"/>
  <c r="J54" i="5"/>
  <c r="J46" i="5"/>
  <c r="J38" i="5"/>
  <c r="J30" i="5"/>
  <c r="J22" i="5"/>
  <c r="J14" i="5"/>
  <c r="J50" i="5"/>
  <c r="J65" i="5"/>
  <c r="J101" i="5"/>
  <c r="J93" i="5"/>
  <c r="J85" i="5"/>
  <c r="J77" i="5"/>
  <c r="J69" i="5"/>
  <c r="J61" i="5"/>
  <c r="J53" i="5"/>
  <c r="J45" i="5"/>
  <c r="J37" i="5"/>
  <c r="J29" i="5"/>
  <c r="J21" i="5"/>
  <c r="J13" i="5"/>
  <c r="J90" i="5"/>
  <c r="J66" i="5"/>
  <c r="J97" i="5"/>
  <c r="J81" i="5"/>
  <c r="J57" i="5"/>
  <c r="J33" i="5"/>
  <c r="J100" i="5"/>
  <c r="J92" i="5"/>
  <c r="J84" i="5"/>
  <c r="J76" i="5"/>
  <c r="J68" i="5"/>
  <c r="J60" i="5"/>
  <c r="J52" i="5"/>
  <c r="J44" i="5"/>
  <c r="J36" i="5"/>
  <c r="J28" i="5"/>
  <c r="J20" i="5"/>
  <c r="J12" i="5"/>
  <c r="J82" i="5"/>
  <c r="J58" i="5"/>
  <c r="J42" i="5"/>
  <c r="J73" i="5"/>
  <c r="J99" i="5"/>
  <c r="J91" i="5"/>
  <c r="J83" i="5"/>
  <c r="J75" i="5"/>
  <c r="J67" i="5"/>
  <c r="J59" i="5"/>
  <c r="J51" i="5"/>
  <c r="J43" i="5"/>
  <c r="J35" i="5"/>
  <c r="J27" i="5"/>
  <c r="J19" i="5"/>
  <c r="J11" i="5"/>
  <c r="G5" i="5"/>
  <c r="I5" i="5" s="1"/>
  <c r="G21" i="5"/>
  <c r="I21" i="5" s="1"/>
  <c r="G13" i="5"/>
  <c r="I13" i="5" s="1"/>
  <c r="E2" i="5"/>
  <c r="E3" i="5"/>
  <c r="E4" i="5"/>
  <c r="E5" i="5"/>
  <c r="E6" i="5"/>
  <c r="C32" i="5"/>
  <c r="C33" i="5" s="1"/>
  <c r="D3" i="13" l="1"/>
  <c r="E3" i="9"/>
  <c r="D2" i="13"/>
  <c r="E2" i="9"/>
  <c r="D4" i="13"/>
  <c r="E4" i="9"/>
  <c r="E6" i="9"/>
  <c r="D6" i="13"/>
  <c r="D5" i="13"/>
  <c r="E5" i="9"/>
  <c r="F9" i="5"/>
  <c r="F8" i="9"/>
  <c r="E8" i="13"/>
  <c r="E32" i="5"/>
  <c r="C7" i="5"/>
  <c r="E7" i="5" s="1"/>
  <c r="C34" i="5"/>
  <c r="E33" i="5"/>
  <c r="D7" i="5"/>
  <c r="D32" i="5"/>
  <c r="D7" i="13" l="1"/>
  <c r="E7" i="9"/>
  <c r="D33" i="5"/>
  <c r="B32" i="13"/>
  <c r="D32" i="13"/>
  <c r="E32" i="9"/>
  <c r="F10" i="5"/>
  <c r="F9" i="9"/>
  <c r="E9" i="13"/>
  <c r="D8" i="5"/>
  <c r="C7" i="9"/>
  <c r="B7" i="13"/>
  <c r="D33" i="13"/>
  <c r="E33" i="9"/>
  <c r="C8" i="5"/>
  <c r="E8" i="5" s="1"/>
  <c r="C35" i="5"/>
  <c r="E34" i="5"/>
  <c r="D8" i="13" l="1"/>
  <c r="E8" i="9"/>
  <c r="F11" i="5"/>
  <c r="E10" i="13"/>
  <c r="F10" i="9"/>
  <c r="D9" i="5"/>
  <c r="C8" i="9"/>
  <c r="B8" i="13"/>
  <c r="D34" i="5"/>
  <c r="C33" i="9"/>
  <c r="B33" i="13"/>
  <c r="D34" i="13"/>
  <c r="E34" i="9"/>
  <c r="C9" i="5"/>
  <c r="C10" i="5" s="1"/>
  <c r="C36" i="5"/>
  <c r="E35" i="5"/>
  <c r="D35" i="13" l="1"/>
  <c r="E35" i="9"/>
  <c r="D10" i="5"/>
  <c r="B9" i="13"/>
  <c r="C9" i="9"/>
  <c r="F12" i="5"/>
  <c r="E11" i="13"/>
  <c r="F11" i="9"/>
  <c r="D35" i="5"/>
  <c r="C34" i="9"/>
  <c r="B34" i="13"/>
  <c r="E9" i="5"/>
  <c r="C11" i="5"/>
  <c r="E10" i="5"/>
  <c r="C37" i="5"/>
  <c r="E36" i="5"/>
  <c r="D36" i="13" l="1"/>
  <c r="E36" i="9"/>
  <c r="D10" i="13"/>
  <c r="E10" i="9"/>
  <c r="D9" i="13"/>
  <c r="E9" i="9"/>
  <c r="D11" i="5"/>
  <c r="C10" i="9"/>
  <c r="B10" i="13"/>
  <c r="F13" i="5"/>
  <c r="F12" i="9"/>
  <c r="E12" i="13"/>
  <c r="D36" i="5"/>
  <c r="B35" i="13"/>
  <c r="C35" i="9"/>
  <c r="C38" i="5"/>
  <c r="E37" i="5"/>
  <c r="C12" i="5"/>
  <c r="E11" i="5"/>
  <c r="D12" i="5" l="1"/>
  <c r="B11" i="13"/>
  <c r="C11" i="9"/>
  <c r="D37" i="5"/>
  <c r="B36" i="13"/>
  <c r="C36" i="9"/>
  <c r="D11" i="13"/>
  <c r="E11" i="9"/>
  <c r="F14" i="5"/>
  <c r="F13" i="9"/>
  <c r="E13" i="13"/>
  <c r="D37" i="13"/>
  <c r="E37" i="9"/>
  <c r="C13" i="5"/>
  <c r="E12" i="5"/>
  <c r="C39" i="5"/>
  <c r="E38" i="5"/>
  <c r="D12" i="13" l="1"/>
  <c r="E12" i="9"/>
  <c r="D38" i="5"/>
  <c r="B37" i="13"/>
  <c r="C37" i="9"/>
  <c r="E38" i="9"/>
  <c r="D38" i="13"/>
  <c r="F15" i="5"/>
  <c r="F14" i="9"/>
  <c r="E14" i="13"/>
  <c r="D13" i="5"/>
  <c r="B12" i="13"/>
  <c r="C12" i="9"/>
  <c r="C40" i="5"/>
  <c r="E39" i="5"/>
  <c r="C14" i="5"/>
  <c r="E13" i="5"/>
  <c r="D39" i="13" l="1"/>
  <c r="E39" i="9"/>
  <c r="D14" i="5"/>
  <c r="B13" i="13"/>
  <c r="C13" i="9"/>
  <c r="D39" i="5"/>
  <c r="B38" i="13"/>
  <c r="C38" i="9"/>
  <c r="F16" i="5"/>
  <c r="F15" i="9"/>
  <c r="E15" i="13"/>
  <c r="D13" i="13"/>
  <c r="E13" i="9"/>
  <c r="C15" i="5"/>
  <c r="E14" i="5"/>
  <c r="C41" i="5"/>
  <c r="E40" i="5"/>
  <c r="E14" i="9" l="1"/>
  <c r="D14" i="13"/>
  <c r="D40" i="5"/>
  <c r="B39" i="13"/>
  <c r="C39" i="9"/>
  <c r="D15" i="5"/>
  <c r="B14" i="13"/>
  <c r="C14" i="9"/>
  <c r="D40" i="13"/>
  <c r="E40" i="9"/>
  <c r="F17" i="5"/>
  <c r="F16" i="9"/>
  <c r="E16" i="13"/>
  <c r="C42" i="5"/>
  <c r="E41" i="5"/>
  <c r="C16" i="5"/>
  <c r="E15" i="5"/>
  <c r="F18" i="5" l="1"/>
  <c r="E17" i="13"/>
  <c r="F17" i="9"/>
  <c r="D41" i="5"/>
  <c r="C40" i="9"/>
  <c r="B40" i="13"/>
  <c r="D41" i="13"/>
  <c r="E41" i="9"/>
  <c r="D16" i="5"/>
  <c r="C15" i="9"/>
  <c r="B15" i="13"/>
  <c r="D15" i="13"/>
  <c r="E15" i="9"/>
  <c r="C17" i="5"/>
  <c r="E16" i="5"/>
  <c r="C43" i="5"/>
  <c r="E42" i="5"/>
  <c r="D16" i="13" l="1"/>
  <c r="E16" i="9"/>
  <c r="D42" i="5"/>
  <c r="C41" i="9"/>
  <c r="B41" i="13"/>
  <c r="D42" i="13"/>
  <c r="E42" i="9"/>
  <c r="D17" i="5"/>
  <c r="C16" i="9"/>
  <c r="B16" i="13"/>
  <c r="F19" i="5"/>
  <c r="F18" i="9"/>
  <c r="E18" i="13"/>
  <c r="C44" i="5"/>
  <c r="E43" i="5"/>
  <c r="C18" i="5"/>
  <c r="E17" i="5"/>
  <c r="D18" i="5" l="1"/>
  <c r="C17" i="9"/>
  <c r="B17" i="13"/>
  <c r="D43" i="13"/>
  <c r="E43" i="9"/>
  <c r="F20" i="5"/>
  <c r="E19" i="13"/>
  <c r="F19" i="9"/>
  <c r="D43" i="5"/>
  <c r="C42" i="9"/>
  <c r="B42" i="13"/>
  <c r="D17" i="13"/>
  <c r="E17" i="9"/>
  <c r="C19" i="5"/>
  <c r="E18" i="5"/>
  <c r="C45" i="5"/>
  <c r="E44" i="5"/>
  <c r="F21" i="5" l="1"/>
  <c r="F20" i="9"/>
  <c r="E20" i="13"/>
  <c r="D18" i="13"/>
  <c r="E18" i="9"/>
  <c r="D44" i="13"/>
  <c r="E44" i="9"/>
  <c r="D44" i="5"/>
  <c r="B43" i="13"/>
  <c r="C43" i="9"/>
  <c r="D19" i="5"/>
  <c r="C18" i="9"/>
  <c r="B18" i="13"/>
  <c r="C46" i="5"/>
  <c r="E45" i="5"/>
  <c r="C20" i="5"/>
  <c r="E19" i="5"/>
  <c r="D45" i="5" l="1"/>
  <c r="B44" i="13"/>
  <c r="C44" i="9"/>
  <c r="D45" i="13"/>
  <c r="E45" i="9"/>
  <c r="D20" i="5"/>
  <c r="B19" i="13"/>
  <c r="C19" i="9"/>
  <c r="D19" i="13"/>
  <c r="E19" i="9"/>
  <c r="F22" i="5"/>
  <c r="F21" i="9"/>
  <c r="E21" i="13"/>
  <c r="C21" i="5"/>
  <c r="E20" i="5"/>
  <c r="C47" i="5"/>
  <c r="E46" i="5"/>
  <c r="F23" i="5" l="1"/>
  <c r="F22" i="9"/>
  <c r="E22" i="13"/>
  <c r="D21" i="5"/>
  <c r="B20" i="13"/>
  <c r="C20" i="9"/>
  <c r="D20" i="13"/>
  <c r="E20" i="9"/>
  <c r="E46" i="9"/>
  <c r="D46" i="13"/>
  <c r="D46" i="5"/>
  <c r="B45" i="13"/>
  <c r="C45" i="9"/>
  <c r="C48" i="5"/>
  <c r="E47" i="5"/>
  <c r="C22" i="5"/>
  <c r="E21" i="5"/>
  <c r="D47" i="13" l="1"/>
  <c r="E47" i="9"/>
  <c r="D22" i="5"/>
  <c r="B21" i="13"/>
  <c r="C21" i="9"/>
  <c r="D47" i="5"/>
  <c r="B46" i="13"/>
  <c r="C46" i="9"/>
  <c r="D21" i="13"/>
  <c r="E21" i="9"/>
  <c r="F24" i="5"/>
  <c r="F23" i="9"/>
  <c r="E23" i="13"/>
  <c r="C23" i="5"/>
  <c r="E22" i="5"/>
  <c r="C49" i="5"/>
  <c r="E48" i="5"/>
  <c r="E22" i="9" l="1"/>
  <c r="D22" i="13"/>
  <c r="D48" i="5"/>
  <c r="B47" i="13"/>
  <c r="C47" i="9"/>
  <c r="F25" i="5"/>
  <c r="F24" i="9"/>
  <c r="E24" i="13"/>
  <c r="D23" i="5"/>
  <c r="B22" i="13"/>
  <c r="C22" i="9"/>
  <c r="D48" i="13"/>
  <c r="E48" i="9"/>
  <c r="C50" i="5"/>
  <c r="E49" i="5"/>
  <c r="C24" i="5"/>
  <c r="E23" i="5"/>
  <c r="D49" i="13" l="1"/>
  <c r="E49" i="9"/>
  <c r="F26" i="5"/>
  <c r="E25" i="13"/>
  <c r="F25" i="9"/>
  <c r="D49" i="5"/>
  <c r="C48" i="9"/>
  <c r="B48" i="13"/>
  <c r="D23" i="13"/>
  <c r="E23" i="9"/>
  <c r="D24" i="5"/>
  <c r="B23" i="13"/>
  <c r="C23" i="9"/>
  <c r="C25" i="5"/>
  <c r="E24" i="5"/>
  <c r="C51" i="5"/>
  <c r="E50" i="5"/>
  <c r="D50" i="5" l="1"/>
  <c r="C49" i="9"/>
  <c r="B49" i="13"/>
  <c r="F27" i="5"/>
  <c r="E26" i="13"/>
  <c r="F26" i="9"/>
  <c r="D25" i="5"/>
  <c r="C24" i="9"/>
  <c r="B24" i="13"/>
  <c r="D24" i="13"/>
  <c r="E24" i="9"/>
  <c r="D50" i="13"/>
  <c r="E50" i="9"/>
  <c r="C52" i="5"/>
  <c r="E51" i="5"/>
  <c r="C26" i="5"/>
  <c r="E25" i="5"/>
  <c r="D26" i="5" l="1"/>
  <c r="B25" i="13"/>
  <c r="C25" i="9"/>
  <c r="D51" i="13"/>
  <c r="E51" i="9"/>
  <c r="F28" i="5"/>
  <c r="E27" i="13"/>
  <c r="F27" i="9"/>
  <c r="D25" i="13"/>
  <c r="E25" i="9"/>
  <c r="D51" i="5"/>
  <c r="C50" i="9"/>
  <c r="B50" i="13"/>
  <c r="C27" i="5"/>
  <c r="E26" i="5"/>
  <c r="C53" i="5"/>
  <c r="E52" i="5"/>
  <c r="F29" i="5" l="1"/>
  <c r="F28" i="9"/>
  <c r="E28" i="13"/>
  <c r="D26" i="13"/>
  <c r="E26" i="9"/>
  <c r="D52" i="5"/>
  <c r="B51" i="13"/>
  <c r="C51" i="9"/>
  <c r="D52" i="13"/>
  <c r="E52" i="9"/>
  <c r="D27" i="5"/>
  <c r="C26" i="9"/>
  <c r="B26" i="13"/>
  <c r="C54" i="5"/>
  <c r="E53" i="5"/>
  <c r="C28" i="5"/>
  <c r="E27" i="5"/>
  <c r="D53" i="5" l="1"/>
  <c r="B52" i="13"/>
  <c r="C52" i="9"/>
  <c r="D53" i="13"/>
  <c r="E53" i="9"/>
  <c r="D28" i="5"/>
  <c r="B27" i="13"/>
  <c r="C27" i="9"/>
  <c r="D27" i="13"/>
  <c r="E27" i="9"/>
  <c r="F30" i="5"/>
  <c r="F29" i="9"/>
  <c r="E29" i="13"/>
  <c r="C29" i="5"/>
  <c r="E28" i="5"/>
  <c r="C55" i="5"/>
  <c r="E54" i="5"/>
  <c r="E54" i="9" l="1"/>
  <c r="D54" i="13"/>
  <c r="D54" i="5"/>
  <c r="B53" i="13"/>
  <c r="C53" i="9"/>
  <c r="D29" i="5"/>
  <c r="B28" i="13"/>
  <c r="C28" i="9"/>
  <c r="D28" i="13"/>
  <c r="E28" i="9"/>
  <c r="F31" i="5"/>
  <c r="F30" i="9"/>
  <c r="E30" i="13"/>
  <c r="C56" i="5"/>
  <c r="E55" i="5"/>
  <c r="C30" i="5"/>
  <c r="E29" i="5"/>
  <c r="D30" i="5" l="1"/>
  <c r="B29" i="13"/>
  <c r="C29" i="9"/>
  <c r="F32" i="5"/>
  <c r="F31" i="9"/>
  <c r="E31" i="13"/>
  <c r="D55" i="5"/>
  <c r="B54" i="13"/>
  <c r="C54" i="9"/>
  <c r="D29" i="13"/>
  <c r="E29" i="9"/>
  <c r="D55" i="13"/>
  <c r="E55" i="9"/>
  <c r="C31" i="5"/>
  <c r="E31" i="5" s="1"/>
  <c r="E30" i="5"/>
  <c r="C57" i="5"/>
  <c r="E56" i="5"/>
  <c r="D56" i="13" l="1"/>
  <c r="E56" i="9"/>
  <c r="D31" i="5"/>
  <c r="B30" i="13"/>
  <c r="C30" i="9"/>
  <c r="D31" i="13"/>
  <c r="E31" i="9"/>
  <c r="E30" i="9"/>
  <c r="D30" i="13"/>
  <c r="D56" i="5"/>
  <c r="B55" i="13"/>
  <c r="C55" i="9"/>
  <c r="F33" i="5"/>
  <c r="F32" i="9"/>
  <c r="E32" i="13"/>
  <c r="C58" i="5"/>
  <c r="E57" i="5"/>
  <c r="F34" i="5" l="1"/>
  <c r="E33" i="13"/>
  <c r="F33" i="9"/>
  <c r="B31" i="13"/>
  <c r="C31" i="9"/>
  <c r="C32" i="9"/>
  <c r="D57" i="13"/>
  <c r="E57" i="9"/>
  <c r="D57" i="5"/>
  <c r="C56" i="9"/>
  <c r="B56" i="13"/>
  <c r="C59" i="5"/>
  <c r="E58" i="5"/>
  <c r="D58" i="5" l="1"/>
  <c r="C57" i="9"/>
  <c r="B57" i="13"/>
  <c r="F35" i="5"/>
  <c r="F34" i="9"/>
  <c r="E34" i="13"/>
  <c r="D58" i="13"/>
  <c r="E58" i="9"/>
  <c r="C60" i="5"/>
  <c r="E59" i="5"/>
  <c r="D59" i="5" l="1"/>
  <c r="C58" i="9"/>
  <c r="B58" i="13"/>
  <c r="F36" i="5"/>
  <c r="E35" i="13"/>
  <c r="F35" i="9"/>
  <c r="D59" i="13"/>
  <c r="E59" i="9"/>
  <c r="C61" i="5"/>
  <c r="E60" i="5"/>
  <c r="D60" i="5" l="1"/>
  <c r="B59" i="13"/>
  <c r="C59" i="9"/>
  <c r="F37" i="5"/>
  <c r="F36" i="9"/>
  <c r="E36" i="13"/>
  <c r="D60" i="13"/>
  <c r="E60" i="9"/>
  <c r="C62" i="5"/>
  <c r="E61" i="5"/>
  <c r="F38" i="5" l="1"/>
  <c r="F37" i="9"/>
  <c r="E37" i="13"/>
  <c r="D61" i="13"/>
  <c r="E61" i="9"/>
  <c r="D61" i="5"/>
  <c r="B60" i="13"/>
  <c r="C60" i="9"/>
  <c r="C63" i="5"/>
  <c r="E62" i="5"/>
  <c r="D62" i="5" l="1"/>
  <c r="B61" i="13"/>
  <c r="C61" i="9"/>
  <c r="E62" i="9"/>
  <c r="D62" i="13"/>
  <c r="F39" i="5"/>
  <c r="F38" i="9"/>
  <c r="E38" i="13"/>
  <c r="C64" i="5"/>
  <c r="E63" i="5"/>
  <c r="F40" i="5" l="1"/>
  <c r="F39" i="9"/>
  <c r="E39" i="13"/>
  <c r="D63" i="13"/>
  <c r="E63" i="9"/>
  <c r="D63" i="5"/>
  <c r="B62" i="13"/>
  <c r="C62" i="9"/>
  <c r="C65" i="5"/>
  <c r="E64" i="5"/>
  <c r="D64" i="5" l="1"/>
  <c r="B63" i="13"/>
  <c r="C63" i="9"/>
  <c r="D64" i="13"/>
  <c r="E64" i="9"/>
  <c r="F41" i="5"/>
  <c r="F40" i="9"/>
  <c r="E40" i="13"/>
  <c r="C66" i="5"/>
  <c r="E65" i="5"/>
  <c r="F42" i="5" l="1"/>
  <c r="E41" i="13"/>
  <c r="F41" i="9"/>
  <c r="D65" i="13"/>
  <c r="E65" i="9"/>
  <c r="D65" i="5"/>
  <c r="C64" i="9"/>
  <c r="B64" i="13"/>
  <c r="C67" i="5"/>
  <c r="E66" i="5"/>
  <c r="D66" i="5" l="1"/>
  <c r="B65" i="13"/>
  <c r="C65" i="9"/>
  <c r="D66" i="13"/>
  <c r="E66" i="9"/>
  <c r="F43" i="5"/>
  <c r="E42" i="13"/>
  <c r="F42" i="9"/>
  <c r="C68" i="5"/>
  <c r="E67" i="5"/>
  <c r="F44" i="5" l="1"/>
  <c r="E43" i="13"/>
  <c r="F43" i="9"/>
  <c r="D67" i="13"/>
  <c r="E67" i="9"/>
  <c r="D67" i="5"/>
  <c r="C66" i="9"/>
  <c r="B66" i="13"/>
  <c r="C69" i="5"/>
  <c r="E68" i="5"/>
  <c r="D68" i="5" l="1"/>
  <c r="B67" i="13"/>
  <c r="C67" i="9"/>
  <c r="D68" i="13"/>
  <c r="E68" i="9"/>
  <c r="F45" i="5"/>
  <c r="F44" i="9"/>
  <c r="E44" i="13"/>
  <c r="C70" i="5"/>
  <c r="E69" i="5"/>
  <c r="F46" i="5" l="1"/>
  <c r="F45" i="9"/>
  <c r="E45" i="13"/>
  <c r="D69" i="13"/>
  <c r="E69" i="9"/>
  <c r="D69" i="5"/>
  <c r="B68" i="13"/>
  <c r="C68" i="9"/>
  <c r="C71" i="5"/>
  <c r="E70" i="5"/>
  <c r="F47" i="5" l="1"/>
  <c r="F46" i="9"/>
  <c r="E46" i="13"/>
  <c r="D70" i="5"/>
  <c r="B69" i="13"/>
  <c r="C69" i="9"/>
  <c r="E70" i="9"/>
  <c r="D70" i="13"/>
  <c r="C72" i="5"/>
  <c r="E71" i="5"/>
  <c r="D71" i="5" l="1"/>
  <c r="B70" i="13"/>
  <c r="C70" i="9"/>
  <c r="D71" i="13"/>
  <c r="E71" i="9"/>
  <c r="F48" i="5"/>
  <c r="F47" i="9"/>
  <c r="E47" i="13"/>
  <c r="C73" i="5"/>
  <c r="E72" i="5"/>
  <c r="D72" i="13" l="1"/>
  <c r="E72" i="9"/>
  <c r="D72" i="5"/>
  <c r="B71" i="13"/>
  <c r="C71" i="9"/>
  <c r="F49" i="5"/>
  <c r="F48" i="9"/>
  <c r="E48" i="13"/>
  <c r="C74" i="5"/>
  <c r="E73" i="5"/>
  <c r="D73" i="13" l="1"/>
  <c r="E73" i="9"/>
  <c r="F50" i="5"/>
  <c r="E49" i="13"/>
  <c r="F49" i="9"/>
  <c r="D73" i="5"/>
  <c r="B72" i="13"/>
  <c r="C72" i="9"/>
  <c r="C75" i="5"/>
  <c r="E74" i="5"/>
  <c r="D74" i="13" l="1"/>
  <c r="E74" i="9"/>
  <c r="D74" i="5"/>
  <c r="B73" i="13"/>
  <c r="C73" i="9"/>
  <c r="F51" i="5"/>
  <c r="F50" i="9"/>
  <c r="E50" i="13"/>
  <c r="C76" i="5"/>
  <c r="E75" i="5"/>
  <c r="F52" i="5" l="1"/>
  <c r="E51" i="13"/>
  <c r="F51" i="9"/>
  <c r="D75" i="13"/>
  <c r="E75" i="9"/>
  <c r="D75" i="5"/>
  <c r="C74" i="9"/>
  <c r="B74" i="13"/>
  <c r="C77" i="5"/>
  <c r="E76" i="5"/>
  <c r="D76" i="5" l="1"/>
  <c r="B75" i="13"/>
  <c r="C75" i="9"/>
  <c r="D76" i="13"/>
  <c r="E76" i="9"/>
  <c r="F53" i="5"/>
  <c r="F52" i="9"/>
  <c r="E52" i="13"/>
  <c r="C78" i="5"/>
  <c r="E77" i="5"/>
  <c r="F54" i="5" l="1"/>
  <c r="F53" i="9"/>
  <c r="E53" i="13"/>
  <c r="D77" i="13"/>
  <c r="E77" i="9"/>
  <c r="D77" i="5"/>
  <c r="B76" i="13"/>
  <c r="C76" i="9"/>
  <c r="C79" i="5"/>
  <c r="E78" i="5"/>
  <c r="D78" i="5" l="1"/>
  <c r="B77" i="13"/>
  <c r="C77" i="9"/>
  <c r="E78" i="9"/>
  <c r="D78" i="13"/>
  <c r="F55" i="5"/>
  <c r="F54" i="9"/>
  <c r="E54" i="13"/>
  <c r="C80" i="5"/>
  <c r="E79" i="5"/>
  <c r="F56" i="5" l="1"/>
  <c r="F55" i="9"/>
  <c r="E55" i="13"/>
  <c r="D79" i="13"/>
  <c r="E79" i="9"/>
  <c r="D79" i="5"/>
  <c r="B78" i="13"/>
  <c r="C78" i="9"/>
  <c r="C81" i="5"/>
  <c r="E80" i="5"/>
  <c r="D80" i="13" l="1"/>
  <c r="E80" i="9"/>
  <c r="D80" i="5"/>
  <c r="B79" i="13"/>
  <c r="C79" i="9"/>
  <c r="F57" i="5"/>
  <c r="F56" i="9"/>
  <c r="E56" i="13"/>
  <c r="C82" i="5"/>
  <c r="E81" i="5"/>
  <c r="F58" i="5" l="1"/>
  <c r="E57" i="13"/>
  <c r="F57" i="9"/>
  <c r="D81" i="5"/>
  <c r="B80" i="13"/>
  <c r="C80" i="9"/>
  <c r="D81" i="13"/>
  <c r="E81" i="9"/>
  <c r="C83" i="5"/>
  <c r="E82" i="5"/>
  <c r="D82" i="5" l="1"/>
  <c r="B81" i="13"/>
  <c r="C81" i="9"/>
  <c r="D82" i="13"/>
  <c r="E82" i="9"/>
  <c r="F59" i="5"/>
  <c r="F58" i="9"/>
  <c r="E58" i="13"/>
  <c r="C84" i="5"/>
  <c r="E83" i="5"/>
  <c r="F60" i="5" l="1"/>
  <c r="E59" i="13"/>
  <c r="F59" i="9"/>
  <c r="D83" i="13"/>
  <c r="E83" i="9"/>
  <c r="D83" i="5"/>
  <c r="B82" i="13"/>
  <c r="C82" i="9"/>
  <c r="C85" i="5"/>
  <c r="E84" i="5"/>
  <c r="D84" i="5" l="1"/>
  <c r="B83" i="13"/>
  <c r="C83" i="9"/>
  <c r="D84" i="13"/>
  <c r="E84" i="9"/>
  <c r="F61" i="5"/>
  <c r="F60" i="9"/>
  <c r="E60" i="13"/>
  <c r="C86" i="5"/>
  <c r="E85" i="5"/>
  <c r="D85" i="5" l="1"/>
  <c r="B84" i="13"/>
  <c r="C84" i="9"/>
  <c r="F62" i="5"/>
  <c r="F61" i="9"/>
  <c r="E61" i="13"/>
  <c r="D85" i="13"/>
  <c r="E85" i="9"/>
  <c r="C87" i="5"/>
  <c r="E86" i="5"/>
  <c r="F63" i="5" l="1"/>
  <c r="F62" i="9"/>
  <c r="E62" i="13"/>
  <c r="E86" i="9"/>
  <c r="D86" i="13"/>
  <c r="D86" i="5"/>
  <c r="B85" i="13"/>
  <c r="C85" i="9"/>
  <c r="C88" i="5"/>
  <c r="E87" i="5"/>
  <c r="D87" i="5" l="1"/>
  <c r="B86" i="13"/>
  <c r="C86" i="9"/>
  <c r="D87" i="13"/>
  <c r="E87" i="9"/>
  <c r="F64" i="5"/>
  <c r="F63" i="9"/>
  <c r="E63" i="13"/>
  <c r="C89" i="5"/>
  <c r="E88" i="5"/>
  <c r="F65" i="5" l="1"/>
  <c r="F64" i="9"/>
  <c r="E64" i="13"/>
  <c r="D88" i="13"/>
  <c r="E88" i="9"/>
  <c r="D88" i="5"/>
  <c r="B87" i="13"/>
  <c r="C87" i="9"/>
  <c r="C90" i="5"/>
  <c r="E89" i="5"/>
  <c r="D89" i="5" l="1"/>
  <c r="B88" i="13"/>
  <c r="C88" i="9"/>
  <c r="D89" i="13"/>
  <c r="E89" i="9"/>
  <c r="F66" i="5"/>
  <c r="F65" i="9"/>
  <c r="E65" i="13"/>
  <c r="C91" i="5"/>
  <c r="E90" i="5"/>
  <c r="F67" i="5" l="1"/>
  <c r="E66" i="13"/>
  <c r="F66" i="9"/>
  <c r="D90" i="13"/>
  <c r="E90" i="9"/>
  <c r="D90" i="5"/>
  <c r="B89" i="13"/>
  <c r="C89" i="9"/>
  <c r="C92" i="5"/>
  <c r="E91" i="5"/>
  <c r="D91" i="5" l="1"/>
  <c r="C90" i="9"/>
  <c r="B90" i="13"/>
  <c r="D91" i="13"/>
  <c r="E91" i="9"/>
  <c r="F68" i="5"/>
  <c r="E67" i="13"/>
  <c r="F67" i="9"/>
  <c r="C93" i="5"/>
  <c r="E92" i="5"/>
  <c r="F69" i="5" l="1"/>
  <c r="F68" i="9"/>
  <c r="E68" i="13"/>
  <c r="D92" i="13"/>
  <c r="E92" i="9"/>
  <c r="D92" i="5"/>
  <c r="B91" i="13"/>
  <c r="C91" i="9"/>
  <c r="C94" i="5"/>
  <c r="E93" i="5"/>
  <c r="D93" i="5" l="1"/>
  <c r="B92" i="13"/>
  <c r="C92" i="9"/>
  <c r="D93" i="13"/>
  <c r="E93" i="9"/>
  <c r="F70" i="5"/>
  <c r="F69" i="9"/>
  <c r="E69" i="13"/>
  <c r="C95" i="5"/>
  <c r="E94" i="5"/>
  <c r="F71" i="5" l="1"/>
  <c r="F70" i="9"/>
  <c r="E70" i="13"/>
  <c r="E94" i="9"/>
  <c r="D94" i="13"/>
  <c r="D94" i="5"/>
  <c r="B93" i="13"/>
  <c r="C93" i="9"/>
  <c r="C96" i="5"/>
  <c r="E95" i="5"/>
  <c r="F72" i="5" l="1"/>
  <c r="F71" i="9"/>
  <c r="E71" i="13"/>
  <c r="D95" i="5"/>
  <c r="B94" i="13"/>
  <c r="C94" i="9"/>
  <c r="D95" i="13"/>
  <c r="E95" i="9"/>
  <c r="C97" i="5"/>
  <c r="E96" i="5"/>
  <c r="D96" i="13" l="1"/>
  <c r="E96" i="9"/>
  <c r="D96" i="5"/>
  <c r="B95" i="13"/>
  <c r="C95" i="9"/>
  <c r="F73" i="5"/>
  <c r="F72" i="9"/>
  <c r="E72" i="13"/>
  <c r="C98" i="5"/>
  <c r="E97" i="5"/>
  <c r="F74" i="5" l="1"/>
  <c r="E73" i="13"/>
  <c r="F73" i="9"/>
  <c r="D97" i="5"/>
  <c r="B96" i="13"/>
  <c r="C96" i="9"/>
  <c r="D97" i="13"/>
  <c r="E97" i="9"/>
  <c r="C99" i="5"/>
  <c r="E98" i="5"/>
  <c r="D98" i="5" l="1"/>
  <c r="B97" i="13"/>
  <c r="C97" i="9"/>
  <c r="D98" i="13"/>
  <c r="E98" i="9"/>
  <c r="F75" i="5"/>
  <c r="E74" i="13"/>
  <c r="F74" i="9"/>
  <c r="C100" i="5"/>
  <c r="E99" i="5"/>
  <c r="F76" i="5" l="1"/>
  <c r="E75" i="13"/>
  <c r="F75" i="9"/>
  <c r="D99" i="13"/>
  <c r="E99" i="9"/>
  <c r="D99" i="5"/>
  <c r="B98" i="13"/>
  <c r="C98" i="9"/>
  <c r="C101" i="5"/>
  <c r="E100" i="5"/>
  <c r="D100" i="5" l="1"/>
  <c r="B99" i="13"/>
  <c r="C99" i="9"/>
  <c r="D100" i="13"/>
  <c r="E100" i="9"/>
  <c r="F77" i="5"/>
  <c r="F76" i="9"/>
  <c r="E76" i="13"/>
  <c r="C102" i="5"/>
  <c r="E102" i="5" s="1"/>
  <c r="E101" i="5"/>
  <c r="F78" i="5" l="1"/>
  <c r="F77" i="9"/>
  <c r="E77" i="13"/>
  <c r="D101" i="13"/>
  <c r="E101" i="9"/>
  <c r="E102" i="9"/>
  <c r="D102" i="13"/>
  <c r="D101" i="5"/>
  <c r="B100" i="13"/>
  <c r="C100" i="9"/>
  <c r="D102" i="5" l="1"/>
  <c r="B101" i="13"/>
  <c r="C101" i="9"/>
  <c r="F79" i="5"/>
  <c r="F78" i="9"/>
  <c r="E78" i="13"/>
  <c r="F80" i="5" l="1"/>
  <c r="F79" i="9"/>
  <c r="E79" i="13"/>
  <c r="B102" i="13"/>
  <c r="C102" i="9"/>
  <c r="F81" i="5" l="1"/>
  <c r="F80" i="9"/>
  <c r="E80" i="13"/>
  <c r="F82" i="5" l="1"/>
  <c r="F81" i="9"/>
  <c r="E81" i="13"/>
  <c r="F83" i="5" l="1"/>
  <c r="F82" i="9"/>
  <c r="E82" i="13"/>
  <c r="F84" i="5" l="1"/>
  <c r="E83" i="13"/>
  <c r="F83" i="9"/>
  <c r="F85" i="5" l="1"/>
  <c r="F84" i="9"/>
  <c r="E84" i="13"/>
  <c r="F86" i="5" l="1"/>
  <c r="F85" i="9"/>
  <c r="E85" i="13"/>
  <c r="F87" i="5" l="1"/>
  <c r="F86" i="9"/>
  <c r="E86" i="13"/>
  <c r="F88" i="5" l="1"/>
  <c r="F87" i="9"/>
  <c r="E87" i="13"/>
  <c r="F89" i="5" l="1"/>
  <c r="F88" i="9"/>
  <c r="E88" i="13"/>
  <c r="F90" i="5" l="1"/>
  <c r="E89" i="13"/>
  <c r="F89" i="9"/>
  <c r="F91" i="5" l="1"/>
  <c r="E90" i="13"/>
  <c r="F90" i="9"/>
  <c r="F92" i="5" l="1"/>
  <c r="E91" i="13"/>
  <c r="F91" i="9"/>
  <c r="F93" i="5" l="1"/>
  <c r="F92" i="9"/>
  <c r="E92" i="13"/>
  <c r="F94" i="5" l="1"/>
  <c r="F93" i="9"/>
  <c r="E93" i="13"/>
  <c r="F95" i="5" l="1"/>
  <c r="F94" i="9"/>
  <c r="E94" i="13"/>
  <c r="F96" i="5" l="1"/>
  <c r="F95" i="9"/>
  <c r="E95" i="13"/>
  <c r="F97" i="5" l="1"/>
  <c r="F96" i="9"/>
  <c r="E96" i="13"/>
  <c r="F98" i="5" l="1"/>
  <c r="E97" i="13"/>
  <c r="F97" i="9"/>
  <c r="F99" i="5" l="1"/>
  <c r="F98" i="9"/>
  <c r="E98" i="13"/>
  <c r="F100" i="5" l="1"/>
  <c r="E99" i="13"/>
  <c r="F99" i="9"/>
  <c r="F101" i="5" l="1"/>
  <c r="F100" i="9"/>
  <c r="E100" i="13"/>
  <c r="F102" i="5" l="1"/>
  <c r="F101" i="9"/>
  <c r="E101" i="13"/>
  <c r="F102" i="9" l="1"/>
  <c r="E102" i="13"/>
</calcChain>
</file>

<file path=xl/comments1.xml><?xml version="1.0" encoding="utf-8"?>
<comments xmlns="http://schemas.openxmlformats.org/spreadsheetml/2006/main">
  <authors>
    <author>Author</author>
  </authors>
  <commentList>
    <comment ref="M12" authorId="0" shapeId="0">
      <text>
        <r>
          <rPr>
            <b/>
            <sz val="9"/>
            <color indexed="81"/>
            <rFont val="Tahoma"/>
            <family val="2"/>
          </rPr>
          <t xml:space="preserve">Author:
YEAR, LIFETIME 50 ?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Author:
YEAR, LIFETIME 50 ?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rough estimate in GIS gave me 1 133 350 m2, so same order of magnitude, 1 million m2, good enough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GIS rough estimate: 235 187 m2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aspects: t,g
process: manufacturing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aspects: t,g
process: manufacturing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aspect: t,g
process: use (for LCA)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aspects: t,g
process: disposal of good
method: calculated based on lifetime of products, after re-use flow considerations</t>
        </r>
      </text>
    </comment>
  </commentList>
</comments>
</file>

<file path=xl/sharedStrings.xml><?xml version="1.0" encoding="utf-8"?>
<sst xmlns="http://schemas.openxmlformats.org/spreadsheetml/2006/main" count="708" uniqueCount="408">
  <si>
    <t>Name</t>
  </si>
  <si>
    <t>ID</t>
  </si>
  <si>
    <t>Country</t>
  </si>
  <si>
    <t>Lifetime</t>
  </si>
  <si>
    <t>Comment</t>
  </si>
  <si>
    <t>Stockholm Biochar Project</t>
  </si>
  <si>
    <t>SE</t>
  </si>
  <si>
    <t>BiomassInflowMax_kW</t>
  </si>
  <si>
    <t>Data from SVOA report.</t>
  </si>
  <si>
    <t>Lindeborgs</t>
  </si>
  <si>
    <t>Start</t>
  </si>
  <si>
    <t>Data from self.</t>
  </si>
  <si>
    <t>Time</t>
  </si>
  <si>
    <t>BiomassInflow_ton_yr</t>
  </si>
  <si>
    <t>Plant_ID</t>
  </si>
  <si>
    <t>Biochar_yield</t>
  </si>
  <si>
    <t>Biochar_C</t>
  </si>
  <si>
    <t>Biochar_fixedC</t>
  </si>
  <si>
    <t>Biochar_C_lab</t>
  </si>
  <si>
    <t>Biochar_k_lab</t>
  </si>
  <si>
    <t>Biochar_k_stab</t>
  </si>
  <si>
    <t>Skånefrö</t>
  </si>
  <si>
    <t>Data bla bla</t>
  </si>
  <si>
    <t>T_i</t>
  </si>
  <si>
    <t>Param</t>
  </si>
  <si>
    <t>Value</t>
  </si>
  <si>
    <t>T_f</t>
  </si>
  <si>
    <t>T_build</t>
  </si>
  <si>
    <t>T_use</t>
  </si>
  <si>
    <t>t</t>
  </si>
  <si>
    <t>m2</t>
  </si>
  <si>
    <t>FinalRoofAreaBuilt</t>
  </si>
  <si>
    <t>Unit</t>
  </si>
  <si>
    <t>RoofAreaBuiltSpeed</t>
  </si>
  <si>
    <t>WaterTreatmentPerCapita</t>
  </si>
  <si>
    <t>Population</t>
  </si>
  <si>
    <t>FinalPopulation</t>
  </si>
  <si>
    <t>pers</t>
  </si>
  <si>
    <t>FinalHousehold</t>
  </si>
  <si>
    <t>nb</t>
  </si>
  <si>
    <t>year</t>
  </si>
  <si>
    <t>ha</t>
  </si>
  <si>
    <t>WoodFractionAvailableForBiochar</t>
  </si>
  <si>
    <t>ForestAreaToClear</t>
  </si>
  <si>
    <t>Reference</t>
  </si>
  <si>
    <t>David Jedland</t>
  </si>
  <si>
    <t>David Jedland, MSc LUC in SÖS</t>
  </si>
  <si>
    <t>SpecicesDistrib_Pine</t>
  </si>
  <si>
    <t>SpecicesDistrib_Birch</t>
  </si>
  <si>
    <t>SpecicesDistrib_Spruce</t>
  </si>
  <si>
    <t>TreeAverageAge</t>
  </si>
  <si>
    <t>AverageWoodStandingVolume</t>
  </si>
  <si>
    <t>AvailableWoodVolumeForBiochar</t>
  </si>
  <si>
    <t>FinalClearedWoodVolume</t>
  </si>
  <si>
    <t>FinalClearedWoodMass</t>
  </si>
  <si>
    <t>ton</t>
  </si>
  <si>
    <t>AverageWoodStandingMass</t>
  </si>
  <si>
    <t>% mass</t>
  </si>
  <si>
    <t>WoodClearingPhases</t>
  </si>
  <si>
    <t>WoodWasteIncreaseWithBuilding</t>
  </si>
  <si>
    <t>ton/year</t>
  </si>
  <si>
    <t>yield_ClearedWood</t>
  </si>
  <si>
    <t>yield_WasteWood</t>
  </si>
  <si>
    <t>bd_ClearedWood</t>
  </si>
  <si>
    <t>bd_WasteWood</t>
  </si>
  <si>
    <t>kg/m3, 10% moist, bulk</t>
  </si>
  <si>
    <t>% db</t>
  </si>
  <si>
    <t>ClearedWood_ton/yr, wet</t>
  </si>
  <si>
    <t>UrbanWoodWaste_ton/yr,wet</t>
  </si>
  <si>
    <t>BiomassMoistureContent</t>
  </si>
  <si>
    <t>pot_BC_WW, m3/year</t>
  </si>
  <si>
    <t>pot_BC_CW, m3/year</t>
  </si>
  <si>
    <t>bio-pyr</t>
  </si>
  <si>
    <t>x_C, %db</t>
  </si>
  <si>
    <t>H:C_org, molar</t>
  </si>
  <si>
    <t>willow</t>
  </si>
  <si>
    <t>bulk density, kg/m3 ar</t>
  </si>
  <si>
    <t>true density, kg/m3 db</t>
  </si>
  <si>
    <t>porosity, calc</t>
  </si>
  <si>
    <t>ash_550, %db</t>
  </si>
  <si>
    <t>source</t>
  </si>
  <si>
    <t>#Phyllis https://phyllis.nl/Biomass/View/2717</t>
  </si>
  <si>
    <t>#SVOA</t>
  </si>
  <si>
    <t>#VegTech</t>
  </si>
  <si>
    <t>#Phyllis https://phyllis.nl/Biomass/View/3518</t>
  </si>
  <si>
    <t>bulk density, kg/m3, dry</t>
  </si>
  <si>
    <t>Mandatory data for EBC C-sink</t>
  </si>
  <si>
    <t>C-content, %db</t>
  </si>
  <si>
    <t>H:C_org molar ratio</t>
  </si>
  <si>
    <t>Dry matter content (alt. moisture content)</t>
  </si>
  <si>
    <t>Bulk density on a dry matter base</t>
  </si>
  <si>
    <t>Bulk density at a particle size &lt;3mm</t>
  </si>
  <si>
    <t>moisture content, %</t>
  </si>
  <si>
    <t>-</t>
  </si>
  <si>
    <t>forest-pellet-biomacon</t>
  </si>
  <si>
    <t>garden-chips-pyreg</t>
  </si>
  <si>
    <t>beech-wood-pellet-ECNgasifier</t>
  </si>
  <si>
    <t>pyrolysisYield, %db</t>
  </si>
  <si>
    <t>good</t>
  </si>
  <si>
    <t>material</t>
  </si>
  <si>
    <t>value</t>
  </si>
  <si>
    <t>unit numerator</t>
  </si>
  <si>
    <t>unit denominator</t>
  </si>
  <si>
    <t>comment</t>
  </si>
  <si>
    <t>uncertainty</t>
  </si>
  <si>
    <t>green roof</t>
  </si>
  <si>
    <t>construction material</t>
  </si>
  <si>
    <t>water filter</t>
  </si>
  <si>
    <t>activated biochar for filter</t>
  </si>
  <si>
    <t>biochar for construction</t>
  </si>
  <si>
    <t>biochar for horticulture</t>
  </si>
  <si>
    <t>uncertainty string</t>
  </si>
  <si>
    <t>m2 roof</t>
  </si>
  <si>
    <t>m3 water</t>
  </si>
  <si>
    <t>road asphalt</t>
  </si>
  <si>
    <t>m2 road</t>
  </si>
  <si>
    <t>kg lightweight brick</t>
  </si>
  <si>
    <t>FinalAsphaltedRoadArea</t>
  </si>
  <si>
    <t>CumRoofAreaBuilt_m2</t>
  </si>
  <si>
    <t>CumWWTPCapacity_m3/yr</t>
  </si>
  <si>
    <t>CumAsphaltedRoadAreaBuilt_m2/yr</t>
  </si>
  <si>
    <t>process</t>
  </si>
  <si>
    <t>manufacturing</t>
  </si>
  <si>
    <t>L material</t>
  </si>
  <si>
    <t>lifetime_years</t>
  </si>
  <si>
    <t>ParameterName</t>
  </si>
  <si>
    <t>Amount</t>
  </si>
  <si>
    <t>Parameter pretty name</t>
  </si>
  <si>
    <t>Comment and reference</t>
  </si>
  <si>
    <t>Rooftop area</t>
  </si>
  <si>
    <t>m²</t>
  </si>
  <si>
    <t>Jedland, 2020</t>
  </si>
  <si>
    <t>from municipal office</t>
  </si>
  <si>
    <t>Rooftop construction rate</t>
  </si>
  <si>
    <t>construction over 25 years</t>
  </si>
  <si>
    <t>m² year⁻¹</t>
  </si>
  <si>
    <t>ShareGreenRoof</t>
  </si>
  <si>
    <t>%</t>
  </si>
  <si>
    <t>Rest is used for PV system or not-usable</t>
  </si>
  <si>
    <t>Green roof share</t>
  </si>
  <si>
    <t>VegTech AB, 2020</t>
  </si>
  <si>
    <t>Average lifetime of green roof</t>
  </si>
  <si>
    <t>AvgLifetimeGreenRoof</t>
  </si>
  <si>
    <t>Population in district</t>
  </si>
  <si>
    <t>PopulationRate</t>
  </si>
  <si>
    <t>pers year⁻¹</t>
  </si>
  <si>
    <t>shared over 25 years</t>
  </si>
  <si>
    <t>Population moving to district</t>
  </si>
  <si>
    <t>m³ pers⁻¹ year⁻¹</t>
  </si>
  <si>
    <t>Drinking water consumption</t>
  </si>
  <si>
    <r>
      <t>Parameter</t>
    </r>
    <r>
      <rPr>
        <b/>
        <i/>
        <sz val="10"/>
        <color theme="1"/>
        <rFont val="Times New Roman"/>
        <family val="1"/>
      </rPr>
      <t>, unit</t>
    </r>
  </si>
  <si>
    <t>from thesis report, 140L/day/pers</t>
  </si>
  <si>
    <t>Households in district</t>
  </si>
  <si>
    <t>Total area of roads</t>
  </si>
  <si>
    <t>RoadWidth</t>
  </si>
  <si>
    <t>m</t>
  </si>
  <si>
    <t>Road width</t>
  </si>
  <si>
    <t>RoadLength</t>
  </si>
  <si>
    <t>RoadArea</t>
  </si>
  <si>
    <t>calculated</t>
  </si>
  <si>
    <t>Road length</t>
  </si>
  <si>
    <t>TreeSpacingOnRoad</t>
  </si>
  <si>
    <t>Average tree spacing on road side</t>
  </si>
  <si>
    <t>TreeNumberOnRoad</t>
  </si>
  <si>
    <t>tree</t>
  </si>
  <si>
    <t>on both sides of the road</t>
  </si>
  <si>
    <t>Tree number</t>
  </si>
  <si>
    <t>WaterTreatmentDemandFinal</t>
  </si>
  <si>
    <t>m³ year⁻¹</t>
  </si>
  <si>
    <t>assumed</t>
  </si>
  <si>
    <t>Drinking water demand</t>
  </si>
  <si>
    <t>reached in 2050</t>
  </si>
  <si>
    <t>CharcreteTreePits</t>
  </si>
  <si>
    <t>pits</t>
  </si>
  <si>
    <t>one per tree</t>
  </si>
  <si>
    <t>Tree pits in charcrete</t>
  </si>
  <si>
    <t>m³ tree⁻¹</t>
  </si>
  <si>
    <t>(discussion with Mattias)</t>
  </si>
  <si>
    <t>CharcreteElementsPerTreeGarden</t>
  </si>
  <si>
    <t>CharcreteElementsTreeGardens</t>
  </si>
  <si>
    <t>m³</t>
  </si>
  <si>
    <t>Decorative tiles per tree area</t>
  </si>
  <si>
    <t>Decorative tiles total demand</t>
  </si>
  <si>
    <t>SoilDepthYards4bushes</t>
  </si>
  <si>
    <t>SoilDepthYards4lawn</t>
  </si>
  <si>
    <t>ResidentialYardsArea</t>
  </si>
  <si>
    <t>PublicParksArea</t>
  </si>
  <si>
    <t>SoilDepthParks4bushes</t>
  </si>
  <si>
    <t>SoilDepthParks4lawn</t>
  </si>
  <si>
    <t>SoilDepthParks4tree</t>
  </si>
  <si>
    <t>SoilDepthYards4tree</t>
  </si>
  <si>
    <t>ParksBushesArea</t>
  </si>
  <si>
    <t>ParksLawnArea</t>
  </si>
  <si>
    <t>SoilB4Yards</t>
  </si>
  <si>
    <t>SoilB4Parks</t>
  </si>
  <si>
    <t xml:space="preserve">3D map </t>
  </si>
  <si>
    <t xml:space="preserve">https://bygg.uppsala.se/planerade-omraden/sydostra-stadsdelarna/kartor-i-3d/ </t>
  </si>
  <si>
    <t>BuildingFacadeArea</t>
  </si>
  <si>
    <t>Building facade area</t>
  </si>
  <si>
    <t>Ariluoma, 2021</t>
  </si>
  <si>
    <t>measured in GIS</t>
  </si>
  <si>
    <t>on x buildings out of x</t>
  </si>
  <si>
    <t>FractionYardPlanted</t>
  </si>
  <si>
    <t>Average of 3 values</t>
  </si>
  <si>
    <t>ResidentialYardsAreaPlanted</t>
  </si>
  <si>
    <t>YardsBushesFraction</t>
  </si>
  <si>
    <t>YardsLawnFraction</t>
  </si>
  <si>
    <t>YardsTreeFraction</t>
  </si>
  <si>
    <t>% of planted area, shrubs and perennials</t>
  </si>
  <si>
    <t>% of planted area, lawn and meadow</t>
  </si>
  <si>
    <t>YardsBushesVolume</t>
  </si>
  <si>
    <t>YardsLawnVolume</t>
  </si>
  <si>
    <t>YardsTreeVolume</t>
  </si>
  <si>
    <t>% of planted area, large and small trees  - Note: adds up to 103%</t>
  </si>
  <si>
    <t>measured in GIS, 2 parks identified + 4 större kvarterspark</t>
  </si>
  <si>
    <t>Landscaping soil B, residential yards</t>
  </si>
  <si>
    <t>Landscaping soil B, public parks</t>
  </si>
  <si>
    <t>ParksTreeArea</t>
  </si>
  <si>
    <t>FractionParkPlanted</t>
  </si>
  <si>
    <t>Residential yard area</t>
  </si>
  <si>
    <t>Fraction of yard planted</t>
  </si>
  <si>
    <t>Residential yard planted area</t>
  </si>
  <si>
    <t>Soil depth for shrubs and perennials</t>
  </si>
  <si>
    <t>Soil depth for lawn and meadow</t>
  </si>
  <si>
    <t>Soil depth for large and small trees</t>
  </si>
  <si>
    <t>Fraction of planted area, shrubs and perennials</t>
  </si>
  <si>
    <t>Fraction of planted area, lawn and meadow</t>
  </si>
  <si>
    <t>Fraction of planted area, trees</t>
  </si>
  <si>
    <t>Landscaping soil volume, shrubs and perennials</t>
  </si>
  <si>
    <t>Landscaping soil volume, trees</t>
  </si>
  <si>
    <t>Landscaping soil volume, lawn and meadow</t>
  </si>
  <si>
    <t>Public park area</t>
  </si>
  <si>
    <t>Fraction of park planted</t>
  </si>
  <si>
    <t>Park area for shrubs and perennials</t>
  </si>
  <si>
    <t>Park area for lawn and meadow</t>
  </si>
  <si>
    <t>Park area for trees</t>
  </si>
  <si>
    <t>Green roofs</t>
  </si>
  <si>
    <t>Biofilm carrier</t>
  </si>
  <si>
    <t>Charcrete elements</t>
  </si>
  <si>
    <t>Landscaping soil</t>
  </si>
  <si>
    <t>&gt;&gt; MANUSCRIPT TABLE</t>
  </si>
  <si>
    <t>&gt;&gt; SÖS PARAMETERS</t>
  </si>
  <si>
    <t>&gt;&gt; AGGREGATED DEMAND BY PHASE</t>
  </si>
  <si>
    <t>Product</t>
  </si>
  <si>
    <t>Urban tree</t>
  </si>
  <si>
    <t>trees</t>
  </si>
  <si>
    <t>Landscaping soil, yards</t>
  </si>
  <si>
    <t>Landscaping soil, parks</t>
  </si>
  <si>
    <t>m³ charcrete</t>
  </si>
  <si>
    <t>m³ soil</t>
  </si>
  <si>
    <t>m² roof</t>
  </si>
  <si>
    <t>TreePitVolume</t>
  </si>
  <si>
    <t>Tree pit volume</t>
  </si>
  <si>
    <t>m³ water/year</t>
  </si>
  <si>
    <t>Construction phase
(period 2020-2050)</t>
  </si>
  <si>
    <t>Biochar content, type 1</t>
  </si>
  <si>
    <t>kg tree⁻¹</t>
  </si>
  <si>
    <t>kg m⁻²</t>
  </si>
  <si>
    <t>kg m⁻³</t>
  </si>
  <si>
    <t>Construction phase</t>
  </si>
  <si>
    <t>Construction phase, tonnes</t>
  </si>
  <si>
    <t>Use phase, tonnes/year</t>
  </si>
  <si>
    <t>Total</t>
  </si>
  <si>
    <t>Biomass demand, tonnes dry</t>
  </si>
  <si>
    <t>Variable</t>
  </si>
  <si>
    <t>Yield 25%</t>
  </si>
  <si>
    <t>Yield ton/ha/yr,  2,28 dry tonnes willow per ha per year</t>
  </si>
  <si>
    <t>Land demand, ha*year</t>
  </si>
  <si>
    <t>i.e.</t>
  </si>
  <si>
    <t>tonnes/year</t>
  </si>
  <si>
    <t>ha to cultivate during 25 years</t>
  </si>
  <si>
    <t>km² to cultivate during 25 years</t>
  </si>
  <si>
    <t>Aggregated product demand</t>
  </si>
  <si>
    <t>Aggregated biochar demand</t>
  </si>
  <si>
    <t>Urban trees</t>
  </si>
  <si>
    <t>Distribution: 𝒩 ~ (50, 5)</t>
  </si>
  <si>
    <t>AvgLifetimeStructuralSoil</t>
  </si>
  <si>
    <t>edge AB, 2020</t>
  </si>
  <si>
    <t>Average lifetime of structural soil</t>
  </si>
  <si>
    <t>AvgLifetimeCharcreteElements</t>
  </si>
  <si>
    <t>Distribution: 𝒩 ~ (100, 10) No renovation during timeframe.</t>
  </si>
  <si>
    <t>Average lifetime of charcrete elements</t>
  </si>
  <si>
    <t>RenovationGreenRoof</t>
  </si>
  <si>
    <t>Renovation of green roof, soil refill</t>
  </si>
  <si>
    <t>RenovationRoofSoilVolume</t>
  </si>
  <si>
    <t>m³ m⁻²</t>
  </si>
  <si>
    <t>Soil refill for renovation</t>
  </si>
  <si>
    <t>New soil added to existing roof</t>
  </si>
  <si>
    <t>Distribution: 𝒩 ~ (30, 10) - soil refill</t>
  </si>
  <si>
    <t>Maintenance4YardSoilRefill</t>
  </si>
  <si>
    <t>Maintenance4ParksSoilRefill</t>
  </si>
  <si>
    <t>m³ m⁻² year⁻¹</t>
  </si>
  <si>
    <t>Landscaping soil refill, residential yards</t>
  </si>
  <si>
    <t>per planted area</t>
  </si>
  <si>
    <t>Landscaping soil refill, public parks</t>
  </si>
  <si>
    <t>Use phase</t>
  </si>
  <si>
    <t>&gt;&gt; MANUSCRIPT TABLE Biomass Available</t>
  </si>
  <si>
    <t>MSc LUC in SÖS</t>
  </si>
  <si>
    <t>Forest area cleared cut</t>
  </si>
  <si>
    <t>Spieces distribution, pine</t>
  </si>
  <si>
    <t>Spieces distribution, spruce</t>
  </si>
  <si>
    <t>Spieces distribution, birch</t>
  </si>
  <si>
    <t>Average tree age</t>
  </si>
  <si>
    <t>Average standing wood volume</t>
  </si>
  <si>
    <t>Average standing wood mass</t>
  </si>
  <si>
    <t>Final cleared wood volume</t>
  </si>
  <si>
    <t>Moisture content at harvest</t>
  </si>
  <si>
    <t>MoistureContentHarvest</t>
  </si>
  <si>
    <t>Forest clear cut during construction</t>
  </si>
  <si>
    <t>Final cleared wood mass, dry</t>
  </si>
  <si>
    <t>FinalClearedWoodMassDry</t>
  </si>
  <si>
    <t>m³ ha⁻¹</t>
  </si>
  <si>
    <t>t ha⁻¹</t>
  </si>
  <si>
    <t xml:space="preserve">m³ </t>
  </si>
  <si>
    <t>Final cleared wood mass, wet</t>
  </si>
  <si>
    <t>Garden waste woody fraction</t>
  </si>
  <si>
    <t>Willow cultivation</t>
  </si>
  <si>
    <t>WillowYieldDry</t>
  </si>
  <si>
    <t>Willow yield, dry</t>
  </si>
  <si>
    <t>Hammar, 2014</t>
  </si>
  <si>
    <t>t ha⁻¹ year⁻¹</t>
  </si>
  <si>
    <t>short rotation coppice over 25 years, on fallow land</t>
  </si>
  <si>
    <t>t m⁻² year⁻¹</t>
  </si>
  <si>
    <t>t year⁻¹</t>
  </si>
  <si>
    <t>WoodyGardenWasteProdPerAreaYardPlanted</t>
  </si>
  <si>
    <t>WoodyGardenWasteProductionYard</t>
  </si>
  <si>
    <t>WoodyGardenWasteProdPerAreaParkPlanted</t>
  </si>
  <si>
    <t>WoodyGardenWasteProductionPark</t>
  </si>
  <si>
    <t>Woody garden waste per yard planted area, dry</t>
  </si>
  <si>
    <t>Woody garden waste production, yards, dry</t>
  </si>
  <si>
    <t>Woody garden waste production, parks dry</t>
  </si>
  <si>
    <t>NaN</t>
  </si>
  <si>
    <t>Use phase
(period 2050-2100)</t>
  </si>
  <si>
    <t>&gt;&gt; dMFA result</t>
  </si>
  <si>
    <t>Biomass, t dry</t>
  </si>
  <si>
    <t>Land, ha yr</t>
  </si>
  <si>
    <t>Land cultivated 25 tears, ha</t>
  </si>
  <si>
    <t>Land cultivated 25 tears, km²</t>
  </si>
  <si>
    <t>https://www.diva-portal.org/smash/get/diva2:205728/FULLTEXT01.pdf</t>
  </si>
  <si>
    <t>GROT Avkastning</t>
  </si>
  <si>
    <t>Application</t>
  </si>
  <si>
    <t>Biochar mass (kg)</t>
  </si>
  <si>
    <r>
      <t>C-sink</t>
    </r>
    <r>
      <rPr>
        <b/>
        <vertAlign val="subscript"/>
        <sz val="10"/>
        <color theme="1"/>
        <rFont val="Times New Roman"/>
        <family val="1"/>
      </rPr>
      <t>0</t>
    </r>
  </si>
  <si>
    <r>
      <t>(kg CO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-eq)</t>
    </r>
  </si>
  <si>
    <t>Raw biochars</t>
  </si>
  <si>
    <t>Biochar Type 1</t>
  </si>
  <si>
    <t>Intermediary products</t>
  </si>
  <si>
    <t>Green roof</t>
  </si>
  <si>
    <t>Pig iron, bio-coal</t>
  </si>
  <si>
    <t>1 kg pig iron</t>
  </si>
  <si>
    <t>&gt;&gt; Manuscript Table</t>
  </si>
  <si>
    <r>
      <t>Final products</t>
    </r>
    <r>
      <rPr>
        <sz val="10"/>
        <color theme="1"/>
        <rFont val="Times New Roman"/>
        <family val="1"/>
      </rPr>
      <t> </t>
    </r>
  </si>
  <si>
    <t>1 tree planted</t>
  </si>
  <si>
    <t>Tree planting, 15 m³ root volume</t>
  </si>
  <si>
    <t>Biochar-macadam</t>
  </si>
  <si>
    <t>Charcrete</t>
  </si>
  <si>
    <t>Charcrete tree pit</t>
  </si>
  <si>
    <t>Charcrete paving tile</t>
  </si>
  <si>
    <t>1 m³ biochar</t>
  </si>
  <si>
    <t>1 m³</t>
  </si>
  <si>
    <t>1 m³ treated water</t>
  </si>
  <si>
    <t>1 m³ soil</t>
  </si>
  <si>
    <t>C%</t>
  </si>
  <si>
    <t>Landscaping soil B</t>
  </si>
  <si>
    <t>Vol</t>
  </si>
  <si>
    <t>1 tree pit, 0.2 m³</t>
  </si>
  <si>
    <t>1 tile, 40x40x4 cm</t>
  </si>
  <si>
    <t>lifetime</t>
  </si>
  <si>
    <t>Water filter</t>
  </si>
  <si>
    <t>Landscaping soil for parks</t>
  </si>
  <si>
    <t>Landscaping soil for yards</t>
  </si>
  <si>
    <t>Tree planting</t>
  </si>
  <si>
    <t>Construction</t>
  </si>
  <si>
    <t>Use</t>
  </si>
  <si>
    <t>&gt;&gt; DF Export</t>
  </si>
  <si>
    <t>In-use stock, at period end</t>
  </si>
  <si>
    <t>Landfilled stock, at period end</t>
  </si>
  <si>
    <t>checks</t>
  </si>
  <si>
    <t>Climate</t>
  </si>
  <si>
    <t>Climate mitigation potential</t>
  </si>
  <si>
    <t>Exergy</t>
  </si>
  <si>
    <t>GJ Exergy</t>
  </si>
  <si>
    <t>tonne CO2</t>
  </si>
  <si>
    <t>TJ-eq</t>
  </si>
  <si>
    <t>Bulk</t>
  </si>
  <si>
    <t>Biochar volume (L )</t>
  </si>
  <si>
    <t>100 m² green roof</t>
  </si>
  <si>
    <t>WP</t>
  </si>
  <si>
    <t>GW</t>
  </si>
  <si>
    <t>LR</t>
  </si>
  <si>
    <t>WL</t>
  </si>
  <si>
    <t xml:space="preserve">&gt;&gt; for Vinnova Workshop </t>
  </si>
  <si>
    <t>biochar volume and mass</t>
  </si>
  <si>
    <t>Thereafter</t>
  </si>
  <si>
    <t>m3</t>
  </si>
  <si>
    <t>embodied C-sink (with decay) at construction</t>
  </si>
  <si>
    <t>biomass and land demand</t>
  </si>
  <si>
    <t>dry tonnes</t>
  </si>
  <si>
    <t>yield</t>
  </si>
  <si>
    <t>Benchmark</t>
  </si>
  <si>
    <t>Swedish annual consumption of wood pellets, ca 1 250 000 tonnes (2020)</t>
  </si>
  <si>
    <t>Woody garden waste collected at Uppsala's recycling stations (ÅVC) - ask Uppsala Vatten och Avfall</t>
  </si>
  <si>
    <t>Around 2.28 t DM ha⁻¹ year⁻¹ (Hammar, 2014)</t>
  </si>
  <si>
    <t xml:space="preserve">Yield in Swedish forests, at final felling (rotation length 70 to 120 years): 34 to 48 dry tonnes per hectare (one time harvest), so about: 0.28 to 0.68 t DM ha⁻¹ year⁻¹ </t>
  </si>
  <si>
    <t>kg/m3</t>
  </si>
  <si>
    <t>ton CO2 sequestred in biochar</t>
  </si>
  <si>
    <t>Aggregated biochar demand, m3</t>
  </si>
  <si>
    <t>C-mitigation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</si>
</sst>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.000"/>
    <numFmt numFmtId="168" formatCode="_-* #,##0.0000_-;\-* #,##0.0000_-;_-* &quot;-&quot;??_-;_-@_-"/>
    <numFmt numFmtId="169" formatCode="_-* #,##0.00000_-;\-* #,##0.00000_-;_-* &quot;-&quot;??_-;_-@_-"/>
    <numFmt numFmtId="170" formatCode="0.000"/>
    <numFmt numFmtId="171" formatCode="#,##0.0000"/>
    <numFmt numFmtId="172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0"/>
      <color theme="1"/>
      <name val="Times New Roman"/>
      <family val="1"/>
    </font>
    <font>
      <sz val="10"/>
      <name val="Times New Roman"/>
      <family val="1"/>
    </font>
    <font>
      <i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2" borderId="0" xfId="0" applyFill="1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9" fontId="0" fillId="0" borderId="0" xfId="2" applyFont="1"/>
    <xf numFmtId="0" fontId="0" fillId="0" borderId="0" xfId="0" applyFont="1" applyBorder="1"/>
    <xf numFmtId="0" fontId="1" fillId="0" borderId="1" xfId="0" applyFont="1" applyBorder="1"/>
    <xf numFmtId="0" fontId="0" fillId="0" borderId="0" xfId="0" applyFont="1" applyFill="1" applyBorder="1"/>
    <xf numFmtId="0" fontId="0" fillId="3" borderId="0" xfId="0" applyFill="1"/>
    <xf numFmtId="2" fontId="0" fillId="0" borderId="0" xfId="2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/>
    <xf numFmtId="3" fontId="14" fillId="0" borderId="0" xfId="0" applyNumberFormat="1" applyFont="1"/>
    <xf numFmtId="164" fontId="0" fillId="0" borderId="0" xfId="0" applyNumberFormat="1"/>
    <xf numFmtId="0" fontId="15" fillId="0" borderId="0" xfId="3"/>
    <xf numFmtId="164" fontId="0" fillId="4" borderId="0" xfId="1" applyNumberFormat="1" applyFont="1" applyFill="1"/>
    <xf numFmtId="164" fontId="1" fillId="0" borderId="0" xfId="0" applyNumberFormat="1" applyFont="1"/>
    <xf numFmtId="164" fontId="1" fillId="0" borderId="0" xfId="1" applyNumberFormat="1" applyFont="1"/>
    <xf numFmtId="0" fontId="0" fillId="4" borderId="0" xfId="0" applyFill="1"/>
    <xf numFmtId="9" fontId="0" fillId="4" borderId="0" xfId="2" applyFont="1" applyFill="1"/>
    <xf numFmtId="3" fontId="14" fillId="0" borderId="2" xfId="0" applyNumberFormat="1" applyFont="1" applyBorder="1"/>
    <xf numFmtId="0" fontId="14" fillId="0" borderId="2" xfId="0" applyFont="1" applyBorder="1"/>
    <xf numFmtId="0" fontId="14" fillId="0" borderId="0" xfId="0" applyFont="1" applyBorder="1"/>
    <xf numFmtId="0" fontId="11" fillId="0" borderId="0" xfId="0" applyFont="1"/>
    <xf numFmtId="0" fontId="0" fillId="0" borderId="0" xfId="0" applyFont="1"/>
    <xf numFmtId="166" fontId="0" fillId="0" borderId="0" xfId="0" applyNumberFormat="1" applyFont="1"/>
    <xf numFmtId="0" fontId="12" fillId="0" borderId="0" xfId="0" applyFont="1" applyAlignment="1">
      <alignment horizontal="right"/>
    </xf>
    <xf numFmtId="164" fontId="14" fillId="0" borderId="0" xfId="0" applyNumberFormat="1" applyFont="1"/>
    <xf numFmtId="0" fontId="12" fillId="0" borderId="0" xfId="0" applyFont="1" applyAlignment="1">
      <alignment horizontal="center" wrapText="1"/>
    </xf>
    <xf numFmtId="0" fontId="14" fillId="0" borderId="2" xfId="0" applyFont="1" applyBorder="1" applyAlignment="1">
      <alignment horizontal="right"/>
    </xf>
    <xf numFmtId="164" fontId="14" fillId="0" borderId="2" xfId="0" applyNumberFormat="1" applyFont="1" applyBorder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164" fontId="14" fillId="0" borderId="2" xfId="1" applyNumberFormat="1" applyFont="1" applyBorder="1"/>
    <xf numFmtId="169" fontId="14" fillId="0" borderId="0" xfId="0" applyNumberFormat="1" applyFont="1" applyBorder="1"/>
    <xf numFmtId="164" fontId="14" fillId="0" borderId="2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3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0" xfId="0" applyFont="1" applyFill="1" applyBorder="1"/>
    <xf numFmtId="0" fontId="14" fillId="5" borderId="0" xfId="0" applyFont="1" applyFill="1"/>
    <xf numFmtId="3" fontId="14" fillId="5" borderId="0" xfId="0" applyNumberFormat="1" applyFont="1" applyFill="1"/>
    <xf numFmtId="9" fontId="14" fillId="5" borderId="0" xfId="2" applyFont="1" applyFill="1"/>
    <xf numFmtId="0" fontId="13" fillId="5" borderId="2" xfId="0" applyFont="1" applyFill="1" applyBorder="1"/>
    <xf numFmtId="3" fontId="14" fillId="5" borderId="2" xfId="0" applyNumberFormat="1" applyFont="1" applyFill="1" applyBorder="1"/>
    <xf numFmtId="0" fontId="14" fillId="5" borderId="2" xfId="0" applyFont="1" applyFill="1" applyBorder="1"/>
    <xf numFmtId="0" fontId="14" fillId="5" borderId="0" xfId="0" applyFont="1" applyFill="1" applyBorder="1"/>
    <xf numFmtId="3" fontId="14" fillId="5" borderId="0" xfId="0" applyNumberFormat="1" applyFont="1" applyFill="1" applyBorder="1"/>
    <xf numFmtId="167" fontId="14" fillId="5" borderId="0" xfId="0" applyNumberFormat="1" applyFont="1" applyFill="1"/>
    <xf numFmtId="9" fontId="14" fillId="5" borderId="0" xfId="2" applyFont="1" applyFill="1" applyBorder="1"/>
    <xf numFmtId="164" fontId="0" fillId="0" borderId="0" xfId="0" applyNumberFormat="1" applyFont="1"/>
    <xf numFmtId="170" fontId="0" fillId="0" borderId="0" xfId="2" applyNumberFormat="1" applyFont="1"/>
    <xf numFmtId="0" fontId="16" fillId="5" borderId="0" xfId="0" applyFont="1" applyFill="1"/>
    <xf numFmtId="167" fontId="16" fillId="5" borderId="0" xfId="0" applyNumberFormat="1" applyFont="1" applyFill="1"/>
    <xf numFmtId="3" fontId="16" fillId="5" borderId="0" xfId="0" applyNumberFormat="1" applyFont="1" applyFill="1"/>
    <xf numFmtId="0" fontId="17" fillId="0" borderId="0" xfId="0" applyFont="1"/>
    <xf numFmtId="2" fontId="14" fillId="5" borderId="0" xfId="2" applyNumberFormat="1" applyFont="1" applyFill="1"/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/>
    <xf numFmtId="0" fontId="18" fillId="0" borderId="0" xfId="0" applyFont="1"/>
    <xf numFmtId="0" fontId="13" fillId="0" borderId="0" xfId="0" applyFont="1" applyBorder="1" applyAlignment="1">
      <alignment horizontal="right"/>
    </xf>
    <xf numFmtId="0" fontId="19" fillId="0" borderId="0" xfId="0" applyFont="1" applyAlignment="1">
      <alignment horizontal="right"/>
    </xf>
    <xf numFmtId="4" fontId="14" fillId="5" borderId="0" xfId="0" applyNumberFormat="1" applyFont="1" applyFill="1" applyBorder="1"/>
    <xf numFmtId="171" fontId="14" fillId="5" borderId="0" xfId="0" applyNumberFormat="1" applyFont="1" applyFill="1"/>
    <xf numFmtId="0" fontId="14" fillId="0" borderId="0" xfId="0" applyFont="1" applyAlignment="1">
      <alignment horizontal="justify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right"/>
    </xf>
    <xf numFmtId="168" fontId="17" fillId="0" borderId="0" xfId="0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14" fillId="0" borderId="7" xfId="0" applyNumberFormat="1" applyFont="1" applyBorder="1" applyAlignment="1">
      <alignment horizontal="center" vertical="center"/>
    </xf>
    <xf numFmtId="11" fontId="14" fillId="0" borderId="4" xfId="0" applyNumberFormat="1" applyFont="1" applyBorder="1" applyAlignment="1">
      <alignment horizontal="left" vertical="center"/>
    </xf>
    <xf numFmtId="11" fontId="14" fillId="0" borderId="7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168" fontId="21" fillId="0" borderId="0" xfId="0" applyNumberFormat="1" applyFont="1" applyBorder="1"/>
    <xf numFmtId="0" fontId="2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1" fontId="0" fillId="0" borderId="0" xfId="1" applyNumberFormat="1" applyFont="1"/>
    <xf numFmtId="43" fontId="17" fillId="0" borderId="0" xfId="0" applyNumberFormat="1" applyFont="1"/>
    <xf numFmtId="0" fontId="22" fillId="0" borderId="0" xfId="0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164" fontId="11" fillId="0" borderId="0" xfId="0" applyNumberFormat="1" applyFont="1"/>
    <xf numFmtId="3" fontId="14" fillId="0" borderId="0" xfId="0" applyNumberFormat="1" applyFont="1" applyBorder="1"/>
    <xf numFmtId="164" fontId="13" fillId="0" borderId="0" xfId="0" applyNumberFormat="1" applyFont="1" applyBorder="1" applyAlignment="1">
      <alignment horizontal="center"/>
    </xf>
    <xf numFmtId="4" fontId="14" fillId="0" borderId="0" xfId="0" applyNumberFormat="1" applyFont="1" applyBorder="1"/>
    <xf numFmtId="11" fontId="14" fillId="0" borderId="7" xfId="1" applyNumberFormat="1" applyFont="1" applyBorder="1" applyAlignment="1">
      <alignment horizontal="center" vertical="center"/>
    </xf>
    <xf numFmtId="0" fontId="1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/>
    </xf>
    <xf numFmtId="172" fontId="0" fillId="0" borderId="0" xfId="2" applyNumberFormat="1" applyFont="1"/>
    <xf numFmtId="172" fontId="0" fillId="0" borderId="0" xfId="0" applyNumberFormat="1"/>
    <xf numFmtId="0" fontId="0" fillId="0" borderId="0" xfId="0" applyAlignment="1">
      <alignment horizontal="right" vertical="center"/>
    </xf>
    <xf numFmtId="11" fontId="16" fillId="0" borderId="8" xfId="0" applyNumberFormat="1" applyFont="1" applyBorder="1" applyAlignment="1">
      <alignment horizontal="left" vertical="center"/>
    </xf>
    <xf numFmtId="11" fontId="16" fillId="0" borderId="9" xfId="0" applyNumberFormat="1" applyFont="1" applyBorder="1" applyAlignment="1">
      <alignment horizontal="left" vertical="center"/>
    </xf>
    <xf numFmtId="11" fontId="16" fillId="0" borderId="5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timeseries!$A$2:$A$102</c:f>
              <c:numCache>
                <c:formatCode>General</c:formatCode>
                <c:ptCount val="10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</c:numCache>
            </c:numRef>
          </c:xVal>
          <c:yVal>
            <c:numRef>
              <c:f>timeseries!$C$2:$C$102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48448</c:v>
                </c:pt>
                <c:pt idx="6">
                  <c:v>96896</c:v>
                </c:pt>
                <c:pt idx="7">
                  <c:v>145344</c:v>
                </c:pt>
                <c:pt idx="8">
                  <c:v>193792</c:v>
                </c:pt>
                <c:pt idx="9">
                  <c:v>242240</c:v>
                </c:pt>
                <c:pt idx="10">
                  <c:v>290688</c:v>
                </c:pt>
                <c:pt idx="11">
                  <c:v>339136</c:v>
                </c:pt>
                <c:pt idx="12">
                  <c:v>387584</c:v>
                </c:pt>
                <c:pt idx="13">
                  <c:v>436032</c:v>
                </c:pt>
                <c:pt idx="14">
                  <c:v>484480</c:v>
                </c:pt>
                <c:pt idx="15">
                  <c:v>532928</c:v>
                </c:pt>
                <c:pt idx="16">
                  <c:v>581376</c:v>
                </c:pt>
                <c:pt idx="17">
                  <c:v>629824</c:v>
                </c:pt>
                <c:pt idx="18">
                  <c:v>678272</c:v>
                </c:pt>
                <c:pt idx="19">
                  <c:v>726720</c:v>
                </c:pt>
                <c:pt idx="20">
                  <c:v>775168</c:v>
                </c:pt>
                <c:pt idx="21">
                  <c:v>823616</c:v>
                </c:pt>
                <c:pt idx="22">
                  <c:v>872064</c:v>
                </c:pt>
                <c:pt idx="23">
                  <c:v>920512</c:v>
                </c:pt>
                <c:pt idx="24">
                  <c:v>968960</c:v>
                </c:pt>
                <c:pt idx="25">
                  <c:v>1017408</c:v>
                </c:pt>
                <c:pt idx="26">
                  <c:v>1065856</c:v>
                </c:pt>
                <c:pt idx="27">
                  <c:v>1114304</c:v>
                </c:pt>
                <c:pt idx="28">
                  <c:v>1162752</c:v>
                </c:pt>
                <c:pt idx="29">
                  <c:v>1211200</c:v>
                </c:pt>
                <c:pt idx="30">
                  <c:v>1211200</c:v>
                </c:pt>
                <c:pt idx="31">
                  <c:v>1211200</c:v>
                </c:pt>
                <c:pt idx="32">
                  <c:v>1211200</c:v>
                </c:pt>
                <c:pt idx="33">
                  <c:v>1211200</c:v>
                </c:pt>
                <c:pt idx="34">
                  <c:v>1211200</c:v>
                </c:pt>
                <c:pt idx="35">
                  <c:v>1211200</c:v>
                </c:pt>
                <c:pt idx="36">
                  <c:v>1211200</c:v>
                </c:pt>
                <c:pt idx="37">
                  <c:v>1211200</c:v>
                </c:pt>
                <c:pt idx="38">
                  <c:v>1211200</c:v>
                </c:pt>
                <c:pt idx="39">
                  <c:v>1211200</c:v>
                </c:pt>
                <c:pt idx="40">
                  <c:v>1211200</c:v>
                </c:pt>
                <c:pt idx="41">
                  <c:v>1211200</c:v>
                </c:pt>
                <c:pt idx="42">
                  <c:v>1211200</c:v>
                </c:pt>
                <c:pt idx="43">
                  <c:v>1211200</c:v>
                </c:pt>
                <c:pt idx="44">
                  <c:v>1211200</c:v>
                </c:pt>
                <c:pt idx="45">
                  <c:v>1211200</c:v>
                </c:pt>
                <c:pt idx="46">
                  <c:v>1211200</c:v>
                </c:pt>
                <c:pt idx="47">
                  <c:v>1211200</c:v>
                </c:pt>
                <c:pt idx="48">
                  <c:v>1211200</c:v>
                </c:pt>
                <c:pt idx="49">
                  <c:v>1211200</c:v>
                </c:pt>
                <c:pt idx="50">
                  <c:v>1211200</c:v>
                </c:pt>
                <c:pt idx="51">
                  <c:v>1211200</c:v>
                </c:pt>
                <c:pt idx="52">
                  <c:v>1211200</c:v>
                </c:pt>
                <c:pt idx="53">
                  <c:v>1211200</c:v>
                </c:pt>
                <c:pt idx="54">
                  <c:v>1211200</c:v>
                </c:pt>
                <c:pt idx="55">
                  <c:v>1211200</c:v>
                </c:pt>
                <c:pt idx="56">
                  <c:v>1211200</c:v>
                </c:pt>
                <c:pt idx="57">
                  <c:v>1211200</c:v>
                </c:pt>
                <c:pt idx="58">
                  <c:v>1211200</c:v>
                </c:pt>
                <c:pt idx="59">
                  <c:v>1211200</c:v>
                </c:pt>
                <c:pt idx="60">
                  <c:v>1211200</c:v>
                </c:pt>
                <c:pt idx="61">
                  <c:v>1211200</c:v>
                </c:pt>
                <c:pt idx="62">
                  <c:v>1211200</c:v>
                </c:pt>
                <c:pt idx="63">
                  <c:v>1211200</c:v>
                </c:pt>
                <c:pt idx="64">
                  <c:v>1211200</c:v>
                </c:pt>
                <c:pt idx="65">
                  <c:v>1211200</c:v>
                </c:pt>
                <c:pt idx="66">
                  <c:v>1211200</c:v>
                </c:pt>
                <c:pt idx="67">
                  <c:v>1211200</c:v>
                </c:pt>
                <c:pt idx="68">
                  <c:v>1211200</c:v>
                </c:pt>
                <c:pt idx="69">
                  <c:v>1211200</c:v>
                </c:pt>
                <c:pt idx="70">
                  <c:v>1211200</c:v>
                </c:pt>
                <c:pt idx="71">
                  <c:v>1211200</c:v>
                </c:pt>
                <c:pt idx="72">
                  <c:v>1211200</c:v>
                </c:pt>
                <c:pt idx="73">
                  <c:v>1211200</c:v>
                </c:pt>
                <c:pt idx="74">
                  <c:v>1211200</c:v>
                </c:pt>
                <c:pt idx="75">
                  <c:v>1211200</c:v>
                </c:pt>
                <c:pt idx="76">
                  <c:v>1211200</c:v>
                </c:pt>
                <c:pt idx="77">
                  <c:v>1211200</c:v>
                </c:pt>
                <c:pt idx="78">
                  <c:v>1211200</c:v>
                </c:pt>
                <c:pt idx="79">
                  <c:v>1211200</c:v>
                </c:pt>
                <c:pt idx="80">
                  <c:v>1211200</c:v>
                </c:pt>
                <c:pt idx="81">
                  <c:v>1211200</c:v>
                </c:pt>
                <c:pt idx="82">
                  <c:v>1211200</c:v>
                </c:pt>
                <c:pt idx="83">
                  <c:v>1211200</c:v>
                </c:pt>
                <c:pt idx="84">
                  <c:v>1211200</c:v>
                </c:pt>
                <c:pt idx="85">
                  <c:v>1211200</c:v>
                </c:pt>
                <c:pt idx="86">
                  <c:v>1211200</c:v>
                </c:pt>
                <c:pt idx="87">
                  <c:v>1211200</c:v>
                </c:pt>
                <c:pt idx="88">
                  <c:v>1211200</c:v>
                </c:pt>
                <c:pt idx="89">
                  <c:v>1211200</c:v>
                </c:pt>
                <c:pt idx="90">
                  <c:v>1211200</c:v>
                </c:pt>
                <c:pt idx="91">
                  <c:v>1211200</c:v>
                </c:pt>
                <c:pt idx="92">
                  <c:v>1211200</c:v>
                </c:pt>
                <c:pt idx="93">
                  <c:v>1211200</c:v>
                </c:pt>
                <c:pt idx="94">
                  <c:v>1211200</c:v>
                </c:pt>
                <c:pt idx="95">
                  <c:v>1211200</c:v>
                </c:pt>
                <c:pt idx="96">
                  <c:v>1211200</c:v>
                </c:pt>
                <c:pt idx="97">
                  <c:v>1211200</c:v>
                </c:pt>
                <c:pt idx="98">
                  <c:v>1211200</c:v>
                </c:pt>
                <c:pt idx="99">
                  <c:v>1211200</c:v>
                </c:pt>
                <c:pt idx="100">
                  <c:v>1211200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4-4F58-9917-14A383EE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94408"/>
        <c:axId val="656995064"/>
      </c:scatterChart>
      <c:valAx>
        <c:axId val="656994408"/>
        <c:scaling>
          <c:orientation val="minMax"/>
          <c:max val="212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6995064"/>
        <c:crosses val="autoZero"/>
        <c:crossBetween val="midCat"/>
      </c:valAx>
      <c:valAx>
        <c:axId val="6569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699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359641</xdr:colOff>
      <xdr:row>19</xdr:row>
      <xdr:rowOff>70266</xdr:rowOff>
    </xdr:from>
    <xdr:ext cx="5928436" cy="5176321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772998" y="3671623"/>
          <a:ext cx="5928436" cy="517632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20</xdr:col>
      <xdr:colOff>516162</xdr:colOff>
      <xdr:row>0</xdr:row>
      <xdr:rowOff>70084</xdr:rowOff>
    </xdr:from>
    <xdr:to>
      <xdr:col>27</xdr:col>
      <xdr:colOff>252185</xdr:colOff>
      <xdr:row>15</xdr:row>
      <xdr:rowOff>49876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37212" y="70084"/>
          <a:ext cx="3666673" cy="3072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1</xdr:row>
      <xdr:rowOff>49530</xdr:rowOff>
    </xdr:from>
    <xdr:to>
      <xdr:col>5</xdr:col>
      <xdr:colOff>1356360</xdr:colOff>
      <xdr:row>18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ygg.uppsala.se/planerade-omraden/sydostra-stadsdelarna/kartor-i-3d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workbookViewId="0">
      <selection activeCell="C16" sqref="C16"/>
    </sheetView>
  </sheetViews>
  <sheetFormatPr defaultRowHeight="13" x14ac:dyDescent="0.3"/>
  <cols>
    <col min="1" max="1" width="8.7265625" style="11"/>
    <col min="2" max="2" width="25.453125" style="11" customWidth="1"/>
    <col min="3" max="3" width="15.08984375" style="11" customWidth="1"/>
    <col min="4" max="4" width="10.90625" style="11" customWidth="1"/>
    <col min="5" max="5" width="9.6328125" style="11" customWidth="1"/>
    <col min="6" max="6" width="11.26953125" style="11" customWidth="1"/>
    <col min="7" max="16384" width="8.7265625" style="11"/>
  </cols>
  <sheetData>
    <row r="1" spans="1:13" x14ac:dyDescent="0.3">
      <c r="A1" s="11" t="s">
        <v>350</v>
      </c>
    </row>
    <row r="2" spans="1:13" ht="13.5" thickBot="1" x14ac:dyDescent="0.35"/>
    <row r="3" spans="1:13" ht="15" x14ac:dyDescent="0.3">
      <c r="B3" s="118" t="s">
        <v>340</v>
      </c>
      <c r="C3" s="118" t="s">
        <v>32</v>
      </c>
      <c r="D3" s="120" t="s">
        <v>385</v>
      </c>
      <c r="E3" s="120" t="s">
        <v>341</v>
      </c>
      <c r="F3" s="84" t="s">
        <v>342</v>
      </c>
    </row>
    <row r="4" spans="1:13" ht="16" customHeight="1" thickBot="1" x14ac:dyDescent="0.35">
      <c r="B4" s="119"/>
      <c r="C4" s="119"/>
      <c r="D4" s="121"/>
      <c r="E4" s="121"/>
      <c r="F4" s="85" t="s">
        <v>343</v>
      </c>
    </row>
    <row r="5" spans="1:13" ht="13.5" thickBot="1" x14ac:dyDescent="0.35">
      <c r="B5" s="122" t="s">
        <v>344</v>
      </c>
      <c r="C5" s="123"/>
      <c r="D5" s="123"/>
      <c r="E5" s="123"/>
      <c r="F5" s="124"/>
      <c r="I5" s="89" t="s">
        <v>362</v>
      </c>
      <c r="J5" s="11" t="s">
        <v>384</v>
      </c>
    </row>
    <row r="6" spans="1:13" ht="16" customHeight="1" thickBot="1" x14ac:dyDescent="0.35">
      <c r="B6" s="91" t="s">
        <v>345</v>
      </c>
      <c r="C6" s="92" t="s">
        <v>358</v>
      </c>
      <c r="D6" s="106">
        <f>E6/$J$6*1000</f>
        <v>1000</v>
      </c>
      <c r="E6" s="90">
        <v>500</v>
      </c>
      <c r="F6" s="90">
        <f>E6*$I$6*44/12</f>
        <v>1716</v>
      </c>
      <c r="I6" s="88">
        <v>0.93600000000000005</v>
      </c>
      <c r="J6" s="11">
        <v>500</v>
      </c>
    </row>
    <row r="7" spans="1:13" ht="13.5" thickBot="1" x14ac:dyDescent="0.35">
      <c r="B7" s="114" t="s">
        <v>346</v>
      </c>
      <c r="C7" s="115"/>
      <c r="D7" s="115"/>
      <c r="E7" s="115"/>
      <c r="F7" s="116"/>
    </row>
    <row r="8" spans="1:13" ht="13.5" thickBot="1" x14ac:dyDescent="0.35">
      <c r="B8" s="91" t="s">
        <v>354</v>
      </c>
      <c r="C8" s="92" t="s">
        <v>359</v>
      </c>
      <c r="D8" s="106">
        <f>E8/$J$6*1000</f>
        <v>86</v>
      </c>
      <c r="E8" s="90">
        <v>43</v>
      </c>
      <c r="F8" s="90">
        <f>E8*$I$6*44/12</f>
        <v>147.57600000000002</v>
      </c>
    </row>
    <row r="9" spans="1:13" ht="13.5" thickBot="1" x14ac:dyDescent="0.35">
      <c r="B9" s="91" t="s">
        <v>355</v>
      </c>
      <c r="C9" s="92" t="s">
        <v>359</v>
      </c>
      <c r="D9" s="106">
        <f>E9/$J$6*1000</f>
        <v>222</v>
      </c>
      <c r="E9" s="90">
        <v>111</v>
      </c>
      <c r="F9" s="90">
        <f>E9*$I$6*44/12</f>
        <v>380.952</v>
      </c>
    </row>
    <row r="10" spans="1:13" ht="13.5" thickBot="1" x14ac:dyDescent="0.35">
      <c r="B10" s="114" t="s">
        <v>351</v>
      </c>
      <c r="C10" s="115"/>
      <c r="D10" s="115"/>
      <c r="E10" s="115"/>
      <c r="F10" s="116"/>
    </row>
    <row r="11" spans="1:13" ht="13.5" thickBot="1" x14ac:dyDescent="0.35">
      <c r="B11" s="91" t="s">
        <v>353</v>
      </c>
      <c r="C11" s="92" t="s">
        <v>352</v>
      </c>
      <c r="D11" s="106">
        <f t="shared" ref="D11:D17" si="0">E11/$J$6*1000</f>
        <v>1080.5999999999999</v>
      </c>
      <c r="E11" s="90">
        <v>540.29999999999995</v>
      </c>
      <c r="F11" s="90">
        <f t="shared" ref="F11:F16" si="1">E11*$I$6*44/12</f>
        <v>1854.3095999999998</v>
      </c>
      <c r="K11" s="44" t="s">
        <v>244</v>
      </c>
      <c r="L11" s="45">
        <v>540.30200000000002</v>
      </c>
      <c r="M11" s="36" t="s">
        <v>256</v>
      </c>
    </row>
    <row r="12" spans="1:13" ht="13.5" thickBot="1" x14ac:dyDescent="0.35">
      <c r="B12" s="91" t="s">
        <v>347</v>
      </c>
      <c r="C12" s="92" t="s">
        <v>386</v>
      </c>
      <c r="D12" s="106">
        <f t="shared" si="0"/>
        <v>150.02000000000001</v>
      </c>
      <c r="E12" s="90">
        <f>0.7501*100</f>
        <v>75.010000000000005</v>
      </c>
      <c r="F12" s="90">
        <f t="shared" si="1"/>
        <v>257.43432000000001</v>
      </c>
      <c r="K12" s="86" t="s">
        <v>236</v>
      </c>
      <c r="L12" s="87">
        <f>0.0150016*50</f>
        <v>0.75007999999999997</v>
      </c>
      <c r="M12" s="74" t="s">
        <v>257</v>
      </c>
    </row>
    <row r="13" spans="1:13" ht="13.5" thickBot="1" x14ac:dyDescent="0.35">
      <c r="B13" s="91" t="s">
        <v>363</v>
      </c>
      <c r="C13" s="92" t="s">
        <v>361</v>
      </c>
      <c r="D13" s="106">
        <f t="shared" si="0"/>
        <v>286.762</v>
      </c>
      <c r="E13" s="90">
        <v>143.381</v>
      </c>
      <c r="F13" s="90">
        <f t="shared" si="1"/>
        <v>492.08359200000001</v>
      </c>
      <c r="K13" s="46" t="s">
        <v>246</v>
      </c>
      <c r="L13" s="47">
        <v>143.381</v>
      </c>
      <c r="M13" s="26" t="s">
        <v>258</v>
      </c>
    </row>
    <row r="14" spans="1:13" ht="13.5" thickBot="1" x14ac:dyDescent="0.35">
      <c r="B14" s="91" t="s">
        <v>356</v>
      </c>
      <c r="C14" s="92" t="s">
        <v>365</v>
      </c>
      <c r="D14" s="106">
        <f t="shared" si="0"/>
        <v>44.400000000000006</v>
      </c>
      <c r="E14" s="90">
        <f>H14*E9</f>
        <v>22.200000000000003</v>
      </c>
      <c r="F14" s="90">
        <f t="shared" si="1"/>
        <v>76.190400000000011</v>
      </c>
      <c r="H14" s="11">
        <f>StaticParameter!B25</f>
        <v>0.2</v>
      </c>
      <c r="I14" s="11" t="s">
        <v>364</v>
      </c>
      <c r="K14" s="46" t="s">
        <v>247</v>
      </c>
      <c r="L14" s="47">
        <v>143.381</v>
      </c>
      <c r="M14" s="26" t="s">
        <v>258</v>
      </c>
    </row>
    <row r="15" spans="1:13" ht="13.5" thickBot="1" x14ac:dyDescent="0.35">
      <c r="B15" s="91" t="s">
        <v>357</v>
      </c>
      <c r="C15" s="92" t="s">
        <v>366</v>
      </c>
      <c r="D15" s="106">
        <f t="shared" si="0"/>
        <v>1.4208000000000001</v>
      </c>
      <c r="E15" s="90">
        <f>H15*E9</f>
        <v>0.71040000000000003</v>
      </c>
      <c r="F15" s="90">
        <f t="shared" si="1"/>
        <v>2.4380928000000002</v>
      </c>
      <c r="H15" s="11">
        <f>40*40*4/1000000</f>
        <v>6.4000000000000003E-3</v>
      </c>
      <c r="I15" s="11" t="s">
        <v>364</v>
      </c>
      <c r="K15" s="46" t="s">
        <v>238</v>
      </c>
      <c r="L15" s="47">
        <v>111</v>
      </c>
      <c r="M15" s="26" t="s">
        <v>258</v>
      </c>
    </row>
    <row r="16" spans="1:13" ht="13.5" thickBot="1" x14ac:dyDescent="0.35">
      <c r="B16" s="91" t="s">
        <v>237</v>
      </c>
      <c r="C16" s="92" t="s">
        <v>360</v>
      </c>
      <c r="D16" s="106">
        <f t="shared" si="0"/>
        <v>1.5714200000000001E-2</v>
      </c>
      <c r="E16" s="90">
        <v>7.8571000000000005E-3</v>
      </c>
      <c r="F16" s="90">
        <f t="shared" si="1"/>
        <v>2.6965567200000002E-2</v>
      </c>
      <c r="K16" s="46" t="s">
        <v>237</v>
      </c>
      <c r="L16" s="51">
        <v>7.8571000000000005E-3</v>
      </c>
      <c r="M16" s="26" t="s">
        <v>258</v>
      </c>
    </row>
    <row r="17" spans="2:6" ht="13.5" thickBot="1" x14ac:dyDescent="0.35">
      <c r="B17" s="91" t="s">
        <v>348</v>
      </c>
      <c r="C17" s="92" t="s">
        <v>349</v>
      </c>
      <c r="D17" s="106">
        <f t="shared" si="0"/>
        <v>0.92599999904632402</v>
      </c>
      <c r="E17" s="90">
        <f>0.462999999523162</f>
        <v>0.46299999952316201</v>
      </c>
      <c r="F17" s="90" t="s">
        <v>93</v>
      </c>
    </row>
    <row r="18" spans="2:6" x14ac:dyDescent="0.3">
      <c r="B18" s="117"/>
      <c r="C18" s="117"/>
      <c r="D18" s="117"/>
      <c r="E18" s="117"/>
      <c r="F18" s="117"/>
    </row>
    <row r="21" spans="2:6" x14ac:dyDescent="0.3">
      <c r="B21" s="83"/>
    </row>
    <row r="22" spans="2:6" x14ac:dyDescent="0.3">
      <c r="B22" s="83"/>
    </row>
    <row r="23" spans="2:6" x14ac:dyDescent="0.3">
      <c r="B23" s="83"/>
    </row>
    <row r="24" spans="2:6" x14ac:dyDescent="0.3">
      <c r="B24" s="83"/>
    </row>
    <row r="25" spans="2:6" x14ac:dyDescent="0.3">
      <c r="B25" s="83"/>
    </row>
    <row r="26" spans="2:6" x14ac:dyDescent="0.3">
      <c r="B26" s="83"/>
    </row>
    <row r="27" spans="2:6" x14ac:dyDescent="0.3">
      <c r="B27" s="83"/>
    </row>
    <row r="28" spans="2:6" x14ac:dyDescent="0.3">
      <c r="B28" s="83"/>
    </row>
  </sheetData>
  <mergeCells count="8">
    <mergeCell ref="B10:F10"/>
    <mergeCell ref="B18:F18"/>
    <mergeCell ref="B3:B4"/>
    <mergeCell ref="C3:C4"/>
    <mergeCell ref="E3:E4"/>
    <mergeCell ref="B5:F5"/>
    <mergeCell ref="B7:F7"/>
    <mergeCell ref="D3:D4"/>
  </mergeCells>
  <conditionalFormatting sqref="L11:L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{11E8CAC1-6640-44E5-B173-CB4059C783AB}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8CAC1-6640-44E5-B173-CB4059C78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C29" sqref="C29"/>
    </sheetView>
  </sheetViews>
  <sheetFormatPr defaultRowHeight="14.5" x14ac:dyDescent="0.35"/>
  <cols>
    <col min="1" max="1" width="13.6328125" customWidth="1"/>
    <col min="2" max="2" width="19.453125" customWidth="1"/>
    <col min="3" max="3" width="24.1796875" customWidth="1"/>
    <col min="4" max="4" width="10.453125" customWidth="1"/>
    <col min="5" max="5" width="14.36328125" customWidth="1"/>
    <col min="6" max="6" width="18.36328125" customWidth="1"/>
    <col min="7" max="7" width="22.90625" customWidth="1"/>
    <col min="8" max="8" width="11.6328125" customWidth="1"/>
  </cols>
  <sheetData>
    <row r="1" spans="1:8" x14ac:dyDescent="0.35">
      <c r="A1" s="20" t="s">
        <v>121</v>
      </c>
      <c r="B1" s="20" t="s">
        <v>98</v>
      </c>
      <c r="C1" s="20" t="s">
        <v>99</v>
      </c>
      <c r="D1" s="20" t="s">
        <v>100</v>
      </c>
      <c r="E1" s="20" t="s">
        <v>101</v>
      </c>
      <c r="F1" s="20" t="s">
        <v>102</v>
      </c>
      <c r="G1" s="20" t="s">
        <v>111</v>
      </c>
      <c r="H1" s="20" t="s">
        <v>103</v>
      </c>
    </row>
    <row r="2" spans="1:8" x14ac:dyDescent="0.35">
      <c r="A2" t="s">
        <v>122</v>
      </c>
      <c r="B2" s="19" t="s">
        <v>105</v>
      </c>
      <c r="C2" t="s">
        <v>110</v>
      </c>
      <c r="D2">
        <v>1.5</v>
      </c>
      <c r="E2" s="15" t="s">
        <v>123</v>
      </c>
      <c r="F2" s="15" t="s">
        <v>112</v>
      </c>
    </row>
    <row r="3" spans="1:8" x14ac:dyDescent="0.35">
      <c r="A3" t="s">
        <v>122</v>
      </c>
      <c r="B3" s="19" t="s">
        <v>114</v>
      </c>
      <c r="C3" t="s">
        <v>109</v>
      </c>
      <c r="D3">
        <v>6</v>
      </c>
      <c r="E3" s="15" t="s">
        <v>123</v>
      </c>
      <c r="F3" s="15" t="s">
        <v>115</v>
      </c>
    </row>
    <row r="4" spans="1:8" x14ac:dyDescent="0.35">
      <c r="A4" t="s">
        <v>122</v>
      </c>
      <c r="B4" s="19" t="s">
        <v>107</v>
      </c>
      <c r="C4" t="s">
        <v>108</v>
      </c>
      <c r="D4">
        <v>8.4000000000000005E-2</v>
      </c>
      <c r="E4" s="15" t="s">
        <v>123</v>
      </c>
      <c r="F4" s="15" t="s">
        <v>113</v>
      </c>
    </row>
    <row r="5" spans="1:8" x14ac:dyDescent="0.35">
      <c r="A5" t="s">
        <v>122</v>
      </c>
      <c r="B5" s="21" t="s">
        <v>106</v>
      </c>
      <c r="C5" t="s">
        <v>109</v>
      </c>
      <c r="D5">
        <v>0.13</v>
      </c>
      <c r="E5" s="15" t="s">
        <v>123</v>
      </c>
      <c r="F5" s="15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145" zoomScaleNormal="145" workbookViewId="0">
      <selection activeCell="K2" sqref="K2"/>
    </sheetView>
  </sheetViews>
  <sheetFormatPr defaultRowHeight="14.5" x14ac:dyDescent="0.35"/>
  <cols>
    <col min="1" max="1" width="15.90625" customWidth="1"/>
    <col min="2" max="2" width="9.6328125" customWidth="1"/>
    <col min="3" max="5" width="10.36328125" customWidth="1"/>
    <col min="6" max="6" width="10" customWidth="1"/>
    <col min="7" max="7" width="9.90625" customWidth="1"/>
    <col min="8" max="8" width="10.1796875" customWidth="1"/>
    <col min="9" max="9" width="8.08984375" customWidth="1"/>
    <col min="10" max="10" width="8.453125" customWidth="1"/>
  </cols>
  <sheetData>
    <row r="1" spans="1:14" s="13" customFormat="1" x14ac:dyDescent="0.35">
      <c r="A1" s="12" t="s">
        <v>72</v>
      </c>
      <c r="B1" s="16" t="s">
        <v>73</v>
      </c>
      <c r="C1" s="12" t="s">
        <v>76</v>
      </c>
      <c r="D1" s="16" t="s">
        <v>92</v>
      </c>
      <c r="E1" s="16" t="s">
        <v>85</v>
      </c>
      <c r="F1" s="16" t="s">
        <v>77</v>
      </c>
      <c r="G1" s="12" t="s">
        <v>78</v>
      </c>
      <c r="H1" s="12" t="s">
        <v>79</v>
      </c>
      <c r="I1" s="16" t="s">
        <v>74</v>
      </c>
      <c r="J1" s="12" t="s">
        <v>80</v>
      </c>
      <c r="K1" s="12" t="s">
        <v>97</v>
      </c>
      <c r="N1" s="17" t="s">
        <v>86</v>
      </c>
    </row>
    <row r="2" spans="1:14" x14ac:dyDescent="0.35">
      <c r="A2" t="s">
        <v>75</v>
      </c>
      <c r="B2" s="18">
        <v>0.81620000000000004</v>
      </c>
      <c r="C2">
        <v>100</v>
      </c>
      <c r="D2" s="14">
        <v>1E-3</v>
      </c>
      <c r="E2" s="3">
        <f t="shared" ref="E2:E3" si="0">C2*(1-D2)</f>
        <v>99.9</v>
      </c>
      <c r="F2" s="15" t="s">
        <v>93</v>
      </c>
      <c r="H2" s="18">
        <v>6.2E-2</v>
      </c>
      <c r="J2" t="s">
        <v>81</v>
      </c>
      <c r="K2" s="6">
        <v>0.25</v>
      </c>
      <c r="N2" t="s">
        <v>87</v>
      </c>
    </row>
    <row r="3" spans="1:14" x14ac:dyDescent="0.35">
      <c r="A3" t="s">
        <v>95</v>
      </c>
      <c r="B3" s="18">
        <v>0.69899999999999995</v>
      </c>
      <c r="C3">
        <v>242</v>
      </c>
      <c r="D3" s="14">
        <v>0.13500000000000001</v>
      </c>
      <c r="E3" s="3">
        <f t="shared" si="0"/>
        <v>209.32999999999998</v>
      </c>
      <c r="F3">
        <v>1660</v>
      </c>
      <c r="G3">
        <v>0.85421686746987957</v>
      </c>
      <c r="H3" s="18">
        <v>0.23400000000000001</v>
      </c>
      <c r="I3" s="7">
        <v>0.16</v>
      </c>
      <c r="J3" t="s">
        <v>82</v>
      </c>
      <c r="K3" s="6">
        <v>0.2</v>
      </c>
      <c r="N3" t="s">
        <v>88</v>
      </c>
    </row>
    <row r="4" spans="1:14" x14ac:dyDescent="0.35">
      <c r="A4" t="s">
        <v>94</v>
      </c>
      <c r="B4" s="18">
        <v>0.94</v>
      </c>
      <c r="C4">
        <v>562</v>
      </c>
      <c r="D4" s="14">
        <v>8.2000000000000003E-2</v>
      </c>
      <c r="E4" s="3">
        <f>C4*(1-D4)</f>
        <v>515.91600000000005</v>
      </c>
      <c r="F4">
        <v>1800</v>
      </c>
      <c r="G4">
        <v>0.68777777777777782</v>
      </c>
      <c r="H4" s="18">
        <v>2.5999999999999999E-2</v>
      </c>
      <c r="I4" s="7">
        <v>0.27</v>
      </c>
      <c r="J4" t="s">
        <v>83</v>
      </c>
      <c r="K4" s="6">
        <v>0.2</v>
      </c>
      <c r="N4" t="s">
        <v>89</v>
      </c>
    </row>
    <row r="5" spans="1:14" x14ac:dyDescent="0.35">
      <c r="A5" t="s">
        <v>96</v>
      </c>
      <c r="B5" s="18">
        <v>0.72299999999999998</v>
      </c>
      <c r="C5">
        <v>143</v>
      </c>
      <c r="D5" s="14">
        <v>2.7E-2</v>
      </c>
      <c r="E5" s="3">
        <f>C5*(1-D5)</f>
        <v>139.13900000000001</v>
      </c>
      <c r="F5">
        <v>2100</v>
      </c>
      <c r="G5">
        <v>0.9319047619047619</v>
      </c>
      <c r="H5" s="18">
        <v>0.255</v>
      </c>
      <c r="I5" s="7">
        <v>0.19419087136929458</v>
      </c>
      <c r="J5" t="s">
        <v>84</v>
      </c>
      <c r="K5" s="6">
        <v>0.2</v>
      </c>
      <c r="N5" t="s">
        <v>90</v>
      </c>
    </row>
    <row r="6" spans="1:14" x14ac:dyDescent="0.35">
      <c r="N6" t="s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5" sqref="F5"/>
    </sheetView>
  </sheetViews>
  <sheetFormatPr defaultRowHeight="14.5" x14ac:dyDescent="0.35"/>
  <cols>
    <col min="1" max="1" width="26.1796875" customWidth="1"/>
    <col min="2" max="2" width="7.453125" customWidth="1"/>
    <col min="3" max="3" width="11.08984375" customWidth="1"/>
    <col min="5" max="5" width="9.36328125" customWidth="1"/>
    <col min="6" max="6" width="22.08984375" customWidth="1"/>
    <col min="7" max="7" width="21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7</v>
      </c>
      <c r="G1" s="1" t="s">
        <v>4</v>
      </c>
    </row>
    <row r="2" spans="1:7" x14ac:dyDescent="0.35">
      <c r="A2" t="s">
        <v>5</v>
      </c>
      <c r="B2">
        <v>1</v>
      </c>
      <c r="C2" t="s">
        <v>6</v>
      </c>
      <c r="D2">
        <v>20</v>
      </c>
      <c r="E2">
        <v>2015</v>
      </c>
      <c r="F2">
        <v>500</v>
      </c>
      <c r="G2" t="s">
        <v>8</v>
      </c>
    </row>
    <row r="3" spans="1:7" x14ac:dyDescent="0.35">
      <c r="A3" t="s">
        <v>9</v>
      </c>
      <c r="B3">
        <v>2</v>
      </c>
      <c r="C3" t="s">
        <v>6</v>
      </c>
      <c r="D3">
        <v>20</v>
      </c>
      <c r="E3">
        <v>2018</v>
      </c>
      <c r="F3">
        <v>50</v>
      </c>
      <c r="G3" t="s">
        <v>11</v>
      </c>
    </row>
    <row r="4" spans="1:7" x14ac:dyDescent="0.35">
      <c r="A4" t="s">
        <v>21</v>
      </c>
      <c r="B4">
        <v>3</v>
      </c>
      <c r="C4" t="s">
        <v>6</v>
      </c>
      <c r="D4">
        <v>25</v>
      </c>
      <c r="E4">
        <v>2017</v>
      </c>
      <c r="F4">
        <v>400</v>
      </c>
      <c r="G4" t="s">
        <v>22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7" sqref="F7"/>
    </sheetView>
  </sheetViews>
  <sheetFormatPr defaultRowHeight="14.5" x14ac:dyDescent="0.35"/>
  <cols>
    <col min="1" max="1" width="10.90625" customWidth="1"/>
    <col min="2" max="2" width="12.90625" customWidth="1"/>
    <col min="3" max="3" width="11" customWidth="1"/>
    <col min="4" max="4" width="15.36328125" customWidth="1"/>
    <col min="5" max="5" width="13.81640625" customWidth="1"/>
    <col min="6" max="6" width="14.90625" customWidth="1"/>
    <col min="7" max="7" width="13.90625" customWidth="1"/>
  </cols>
  <sheetData>
    <row r="1" spans="1:7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18</v>
      </c>
    </row>
    <row r="2" spans="1:7" x14ac:dyDescent="0.35">
      <c r="A2">
        <v>1</v>
      </c>
      <c r="B2">
        <v>0.35</v>
      </c>
      <c r="C2">
        <v>0.79</v>
      </c>
      <c r="D2">
        <v>0.75</v>
      </c>
      <c r="E2">
        <v>3.3944999999999999</v>
      </c>
      <c r="F2">
        <v>1.8E-3</v>
      </c>
      <c r="G2">
        <v>0.03</v>
      </c>
    </row>
    <row r="3" spans="1:7" x14ac:dyDescent="0.35">
      <c r="A3">
        <v>2</v>
      </c>
      <c r="B3">
        <v>0.3</v>
      </c>
      <c r="C3">
        <v>0.85</v>
      </c>
      <c r="D3">
        <v>0.8</v>
      </c>
      <c r="E3">
        <v>3.3944999999999999</v>
      </c>
      <c r="F3">
        <v>1.8E-3</v>
      </c>
      <c r="G3">
        <v>0.03</v>
      </c>
    </row>
    <row r="4" spans="1:7" x14ac:dyDescent="0.35">
      <c r="A4">
        <v>3</v>
      </c>
      <c r="B4">
        <v>0.34</v>
      </c>
      <c r="C4">
        <v>0.65</v>
      </c>
      <c r="D4">
        <v>0.69</v>
      </c>
      <c r="E4">
        <v>3.3744999999999998</v>
      </c>
      <c r="F4">
        <v>2.2000000000000001E-3</v>
      </c>
      <c r="G4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75" sqref="C75"/>
    </sheetView>
  </sheetViews>
  <sheetFormatPr defaultRowHeight="14.5" x14ac:dyDescent="0.35"/>
  <cols>
    <col min="3" max="3" width="20.1796875" customWidth="1"/>
  </cols>
  <sheetData>
    <row r="1" spans="1:3" x14ac:dyDescent="0.35">
      <c r="A1" s="1" t="s">
        <v>14</v>
      </c>
      <c r="B1" s="1" t="s">
        <v>12</v>
      </c>
      <c r="C1" s="1" t="s">
        <v>13</v>
      </c>
    </row>
    <row r="2" spans="1:3" x14ac:dyDescent="0.35">
      <c r="A2">
        <v>1</v>
      </c>
      <c r="B2">
        <v>2015</v>
      </c>
      <c r="C2">
        <v>0</v>
      </c>
    </row>
    <row r="3" spans="1:3" x14ac:dyDescent="0.35">
      <c r="A3">
        <v>1</v>
      </c>
      <c r="B3">
        <v>2016</v>
      </c>
      <c r="C3">
        <v>50</v>
      </c>
    </row>
    <row r="4" spans="1:3" x14ac:dyDescent="0.35">
      <c r="A4">
        <v>1</v>
      </c>
      <c r="B4">
        <v>2017</v>
      </c>
      <c r="C4">
        <v>50</v>
      </c>
    </row>
    <row r="5" spans="1:3" x14ac:dyDescent="0.35">
      <c r="A5">
        <v>1</v>
      </c>
      <c r="B5">
        <v>2018</v>
      </c>
      <c r="C5">
        <v>100</v>
      </c>
    </row>
    <row r="6" spans="1:3" x14ac:dyDescent="0.35">
      <c r="A6">
        <v>1</v>
      </c>
      <c r="B6">
        <v>2019</v>
      </c>
      <c r="C6">
        <v>150</v>
      </c>
    </row>
    <row r="7" spans="1:3" x14ac:dyDescent="0.35">
      <c r="A7">
        <v>1</v>
      </c>
      <c r="B7">
        <v>2020</v>
      </c>
      <c r="C7">
        <v>300</v>
      </c>
    </row>
    <row r="8" spans="1:3" x14ac:dyDescent="0.35">
      <c r="A8">
        <v>1</v>
      </c>
      <c r="B8">
        <v>2021</v>
      </c>
      <c r="C8">
        <v>300</v>
      </c>
    </row>
    <row r="9" spans="1:3" x14ac:dyDescent="0.35">
      <c r="A9">
        <v>1</v>
      </c>
      <c r="B9">
        <v>2022</v>
      </c>
      <c r="C9">
        <v>300</v>
      </c>
    </row>
    <row r="10" spans="1:3" x14ac:dyDescent="0.35">
      <c r="A10">
        <v>1</v>
      </c>
      <c r="B10">
        <v>2023</v>
      </c>
      <c r="C10">
        <v>300</v>
      </c>
    </row>
    <row r="11" spans="1:3" x14ac:dyDescent="0.35">
      <c r="A11">
        <v>1</v>
      </c>
      <c r="B11">
        <v>2024</v>
      </c>
      <c r="C11">
        <v>300</v>
      </c>
    </row>
    <row r="12" spans="1:3" x14ac:dyDescent="0.35">
      <c r="A12">
        <v>1</v>
      </c>
      <c r="B12">
        <v>2025</v>
      </c>
      <c r="C12">
        <v>300</v>
      </c>
    </row>
    <row r="13" spans="1:3" x14ac:dyDescent="0.35">
      <c r="A13">
        <v>1</v>
      </c>
      <c r="B13">
        <v>2026</v>
      </c>
      <c r="C13">
        <v>300</v>
      </c>
    </row>
    <row r="14" spans="1:3" x14ac:dyDescent="0.35">
      <c r="A14">
        <v>1</v>
      </c>
      <c r="B14">
        <v>2027</v>
      </c>
      <c r="C14">
        <v>300</v>
      </c>
    </row>
    <row r="15" spans="1:3" x14ac:dyDescent="0.35">
      <c r="A15">
        <v>1</v>
      </c>
      <c r="B15">
        <v>2028</v>
      </c>
      <c r="C15">
        <v>300</v>
      </c>
    </row>
    <row r="16" spans="1:3" x14ac:dyDescent="0.35">
      <c r="A16">
        <v>1</v>
      </c>
      <c r="B16">
        <v>2029</v>
      </c>
      <c r="C16">
        <v>300</v>
      </c>
    </row>
    <row r="17" spans="1:3" x14ac:dyDescent="0.35">
      <c r="A17">
        <v>1</v>
      </c>
      <c r="B17">
        <v>2030</v>
      </c>
      <c r="C17">
        <v>300</v>
      </c>
    </row>
    <row r="18" spans="1:3" x14ac:dyDescent="0.35">
      <c r="A18">
        <v>1</v>
      </c>
      <c r="B18">
        <v>2031</v>
      </c>
      <c r="C18">
        <v>300</v>
      </c>
    </row>
    <row r="19" spans="1:3" x14ac:dyDescent="0.35">
      <c r="A19">
        <v>1</v>
      </c>
      <c r="B19">
        <v>2032</v>
      </c>
      <c r="C19">
        <v>300</v>
      </c>
    </row>
    <row r="20" spans="1:3" x14ac:dyDescent="0.35">
      <c r="A20">
        <v>1</v>
      </c>
      <c r="B20">
        <v>2033</v>
      </c>
      <c r="C20">
        <v>300</v>
      </c>
    </row>
    <row r="21" spans="1:3" x14ac:dyDescent="0.35">
      <c r="A21">
        <v>1</v>
      </c>
      <c r="B21">
        <v>2034</v>
      </c>
      <c r="C21">
        <v>300</v>
      </c>
    </row>
    <row r="22" spans="1:3" x14ac:dyDescent="0.35">
      <c r="A22">
        <v>1</v>
      </c>
      <c r="B22">
        <v>2035</v>
      </c>
      <c r="C22">
        <v>300</v>
      </c>
    </row>
    <row r="23" spans="1:3" x14ac:dyDescent="0.35">
      <c r="A23">
        <v>1</v>
      </c>
      <c r="B23">
        <v>2036</v>
      </c>
      <c r="C23">
        <v>300</v>
      </c>
    </row>
    <row r="24" spans="1:3" x14ac:dyDescent="0.35">
      <c r="A24">
        <v>1</v>
      </c>
      <c r="B24">
        <v>2037</v>
      </c>
      <c r="C24">
        <v>150</v>
      </c>
    </row>
    <row r="25" spans="1:3" x14ac:dyDescent="0.35">
      <c r="A25">
        <v>1</v>
      </c>
      <c r="B25">
        <v>2038</v>
      </c>
      <c r="C25">
        <v>0</v>
      </c>
    </row>
    <row r="26" spans="1:3" x14ac:dyDescent="0.35">
      <c r="A26">
        <v>2</v>
      </c>
      <c r="B26">
        <v>2018</v>
      </c>
      <c r="C26">
        <v>6</v>
      </c>
    </row>
    <row r="27" spans="1:3" x14ac:dyDescent="0.35">
      <c r="A27">
        <v>2</v>
      </c>
      <c r="B27">
        <v>2019</v>
      </c>
      <c r="C27">
        <v>8</v>
      </c>
    </row>
    <row r="28" spans="1:3" x14ac:dyDescent="0.35">
      <c r="A28">
        <v>2</v>
      </c>
      <c r="B28">
        <v>2020</v>
      </c>
      <c r="C28">
        <v>10</v>
      </c>
    </row>
    <row r="29" spans="1:3" x14ac:dyDescent="0.35">
      <c r="A29">
        <v>2</v>
      </c>
      <c r="B29">
        <v>2021</v>
      </c>
      <c r="C29">
        <v>12</v>
      </c>
    </row>
    <row r="30" spans="1:3" x14ac:dyDescent="0.35">
      <c r="A30">
        <v>2</v>
      </c>
      <c r="B30">
        <v>2022</v>
      </c>
      <c r="C30">
        <v>12</v>
      </c>
    </row>
    <row r="31" spans="1:3" x14ac:dyDescent="0.35">
      <c r="A31">
        <v>2</v>
      </c>
      <c r="B31">
        <v>2023</v>
      </c>
      <c r="C31">
        <v>12</v>
      </c>
    </row>
    <row r="32" spans="1:3" x14ac:dyDescent="0.35">
      <c r="A32">
        <v>2</v>
      </c>
      <c r="B32">
        <v>2024</v>
      </c>
      <c r="C32">
        <v>12</v>
      </c>
    </row>
    <row r="33" spans="1:3" x14ac:dyDescent="0.35">
      <c r="A33">
        <v>2</v>
      </c>
      <c r="B33">
        <v>2025</v>
      </c>
      <c r="C33">
        <v>12</v>
      </c>
    </row>
    <row r="34" spans="1:3" x14ac:dyDescent="0.35">
      <c r="A34">
        <v>2</v>
      </c>
      <c r="B34">
        <v>2026</v>
      </c>
      <c r="C34">
        <v>12</v>
      </c>
    </row>
    <row r="35" spans="1:3" x14ac:dyDescent="0.35">
      <c r="A35">
        <v>2</v>
      </c>
      <c r="B35">
        <v>2027</v>
      </c>
      <c r="C35">
        <v>12</v>
      </c>
    </row>
    <row r="36" spans="1:3" x14ac:dyDescent="0.35">
      <c r="A36">
        <v>2</v>
      </c>
      <c r="B36">
        <v>2028</v>
      </c>
      <c r="C36">
        <v>12</v>
      </c>
    </row>
    <row r="37" spans="1:3" x14ac:dyDescent="0.35">
      <c r="A37">
        <v>2</v>
      </c>
      <c r="B37">
        <v>2029</v>
      </c>
      <c r="C37">
        <v>12</v>
      </c>
    </row>
    <row r="38" spans="1:3" x14ac:dyDescent="0.35">
      <c r="A38">
        <v>2</v>
      </c>
      <c r="B38">
        <v>2030</v>
      </c>
      <c r="C38">
        <v>12</v>
      </c>
    </row>
    <row r="39" spans="1:3" x14ac:dyDescent="0.35">
      <c r="A39">
        <v>2</v>
      </c>
      <c r="B39">
        <v>2031</v>
      </c>
      <c r="C39">
        <v>12</v>
      </c>
    </row>
    <row r="40" spans="1:3" x14ac:dyDescent="0.35">
      <c r="A40">
        <v>2</v>
      </c>
      <c r="B40">
        <v>2032</v>
      </c>
      <c r="C40">
        <v>12</v>
      </c>
    </row>
    <row r="41" spans="1:3" x14ac:dyDescent="0.35">
      <c r="A41">
        <v>2</v>
      </c>
      <c r="B41">
        <v>2033</v>
      </c>
      <c r="C41">
        <v>12</v>
      </c>
    </row>
    <row r="42" spans="1:3" x14ac:dyDescent="0.35">
      <c r="A42">
        <v>2</v>
      </c>
      <c r="B42">
        <v>2034</v>
      </c>
      <c r="C42">
        <v>12</v>
      </c>
    </row>
    <row r="43" spans="1:3" x14ac:dyDescent="0.35">
      <c r="A43">
        <v>2</v>
      </c>
      <c r="B43">
        <v>2035</v>
      </c>
      <c r="C43">
        <v>12</v>
      </c>
    </row>
    <row r="44" spans="1:3" x14ac:dyDescent="0.35">
      <c r="A44">
        <v>2</v>
      </c>
      <c r="B44">
        <v>2036</v>
      </c>
      <c r="C44">
        <v>12</v>
      </c>
    </row>
    <row r="45" spans="1:3" x14ac:dyDescent="0.35">
      <c r="A45">
        <v>2</v>
      </c>
      <c r="B45">
        <v>2037</v>
      </c>
      <c r="C45">
        <v>12</v>
      </c>
    </row>
    <row r="46" spans="1:3" x14ac:dyDescent="0.35">
      <c r="A46">
        <v>2</v>
      </c>
      <c r="B46">
        <v>2038</v>
      </c>
      <c r="C46">
        <v>12</v>
      </c>
    </row>
    <row r="47" spans="1:3" x14ac:dyDescent="0.35">
      <c r="A47">
        <v>2</v>
      </c>
      <c r="B47">
        <v>2039</v>
      </c>
      <c r="C47">
        <v>0</v>
      </c>
    </row>
    <row r="48" spans="1:3" x14ac:dyDescent="0.35">
      <c r="A48">
        <v>3</v>
      </c>
      <c r="B48">
        <v>2017</v>
      </c>
      <c r="C48">
        <v>40</v>
      </c>
    </row>
    <row r="49" spans="1:3" x14ac:dyDescent="0.35">
      <c r="A49">
        <v>3</v>
      </c>
      <c r="B49">
        <v>2018</v>
      </c>
      <c r="C49">
        <v>50</v>
      </c>
    </row>
    <row r="50" spans="1:3" x14ac:dyDescent="0.35">
      <c r="A50">
        <v>3</v>
      </c>
      <c r="B50">
        <v>2019</v>
      </c>
      <c r="C50">
        <v>100</v>
      </c>
    </row>
    <row r="51" spans="1:3" x14ac:dyDescent="0.35">
      <c r="A51">
        <v>3</v>
      </c>
      <c r="B51">
        <v>2020</v>
      </c>
      <c r="C51">
        <v>100</v>
      </c>
    </row>
    <row r="52" spans="1:3" x14ac:dyDescent="0.35">
      <c r="A52">
        <v>3</v>
      </c>
      <c r="B52">
        <v>2021</v>
      </c>
      <c r="C52">
        <v>300</v>
      </c>
    </row>
    <row r="53" spans="1:3" x14ac:dyDescent="0.35">
      <c r="A53">
        <v>3</v>
      </c>
      <c r="B53">
        <v>2022</v>
      </c>
      <c r="C53">
        <v>300</v>
      </c>
    </row>
    <row r="54" spans="1:3" x14ac:dyDescent="0.35">
      <c r="A54">
        <v>3</v>
      </c>
      <c r="B54">
        <v>2023</v>
      </c>
      <c r="C54">
        <v>300</v>
      </c>
    </row>
    <row r="55" spans="1:3" x14ac:dyDescent="0.35">
      <c r="A55">
        <v>3</v>
      </c>
      <c r="B55">
        <v>2024</v>
      </c>
      <c r="C55">
        <v>300</v>
      </c>
    </row>
    <row r="56" spans="1:3" x14ac:dyDescent="0.35">
      <c r="A56">
        <v>3</v>
      </c>
      <c r="B56">
        <v>2025</v>
      </c>
      <c r="C56">
        <v>300</v>
      </c>
    </row>
    <row r="57" spans="1:3" x14ac:dyDescent="0.35">
      <c r="A57">
        <v>3</v>
      </c>
      <c r="B57">
        <v>2026</v>
      </c>
      <c r="C57">
        <v>300</v>
      </c>
    </row>
    <row r="58" spans="1:3" x14ac:dyDescent="0.35">
      <c r="A58">
        <v>3</v>
      </c>
      <c r="B58">
        <v>2027</v>
      </c>
      <c r="C58">
        <v>300</v>
      </c>
    </row>
    <row r="59" spans="1:3" x14ac:dyDescent="0.35">
      <c r="A59">
        <v>3</v>
      </c>
      <c r="B59">
        <v>2028</v>
      </c>
      <c r="C59">
        <v>300</v>
      </c>
    </row>
    <row r="60" spans="1:3" x14ac:dyDescent="0.35">
      <c r="A60">
        <v>3</v>
      </c>
      <c r="B60">
        <v>2029</v>
      </c>
      <c r="C60">
        <v>300</v>
      </c>
    </row>
    <row r="61" spans="1:3" x14ac:dyDescent="0.35">
      <c r="A61">
        <v>3</v>
      </c>
      <c r="B61">
        <v>2030</v>
      </c>
      <c r="C61">
        <v>300</v>
      </c>
    </row>
    <row r="62" spans="1:3" x14ac:dyDescent="0.35">
      <c r="A62">
        <v>3</v>
      </c>
      <c r="B62">
        <v>2031</v>
      </c>
      <c r="C62">
        <v>300</v>
      </c>
    </row>
    <row r="63" spans="1:3" x14ac:dyDescent="0.35">
      <c r="A63">
        <v>3</v>
      </c>
      <c r="B63">
        <v>2032</v>
      </c>
      <c r="C63">
        <v>300</v>
      </c>
    </row>
    <row r="64" spans="1:3" x14ac:dyDescent="0.35">
      <c r="A64">
        <v>3</v>
      </c>
      <c r="B64">
        <v>2033</v>
      </c>
      <c r="C64">
        <v>300</v>
      </c>
    </row>
    <row r="65" spans="1:3" x14ac:dyDescent="0.35">
      <c r="A65">
        <v>3</v>
      </c>
      <c r="B65">
        <v>2034</v>
      </c>
      <c r="C65">
        <v>300</v>
      </c>
    </row>
    <row r="66" spans="1:3" x14ac:dyDescent="0.35">
      <c r="A66">
        <v>3</v>
      </c>
      <c r="B66">
        <v>2035</v>
      </c>
      <c r="C66">
        <v>300</v>
      </c>
    </row>
    <row r="67" spans="1:3" x14ac:dyDescent="0.35">
      <c r="A67">
        <v>3</v>
      </c>
      <c r="B67">
        <v>2036</v>
      </c>
      <c r="C67">
        <v>300</v>
      </c>
    </row>
    <row r="68" spans="1:3" x14ac:dyDescent="0.35">
      <c r="A68">
        <v>3</v>
      </c>
      <c r="B68">
        <v>2037</v>
      </c>
      <c r="C68">
        <v>300</v>
      </c>
    </row>
    <row r="69" spans="1:3" x14ac:dyDescent="0.35">
      <c r="A69">
        <v>3</v>
      </c>
      <c r="B69">
        <v>2038</v>
      </c>
      <c r="C69">
        <v>300</v>
      </c>
    </row>
    <row r="70" spans="1:3" x14ac:dyDescent="0.35">
      <c r="A70">
        <v>3</v>
      </c>
      <c r="B70">
        <v>2039</v>
      </c>
      <c r="C70">
        <v>300</v>
      </c>
    </row>
    <row r="71" spans="1:3" x14ac:dyDescent="0.35">
      <c r="A71">
        <v>3</v>
      </c>
      <c r="B71">
        <v>2040</v>
      </c>
      <c r="C71">
        <v>300</v>
      </c>
    </row>
    <row r="72" spans="1:3" x14ac:dyDescent="0.35">
      <c r="A72">
        <v>3</v>
      </c>
      <c r="B72">
        <v>2041</v>
      </c>
      <c r="C72">
        <v>300</v>
      </c>
    </row>
    <row r="73" spans="1:3" x14ac:dyDescent="0.35">
      <c r="A73">
        <v>3</v>
      </c>
      <c r="B73">
        <v>2042</v>
      </c>
      <c r="C73">
        <v>300</v>
      </c>
    </row>
    <row r="74" spans="1:3" x14ac:dyDescent="0.35">
      <c r="A74">
        <v>3</v>
      </c>
      <c r="B74">
        <v>2043</v>
      </c>
      <c r="C74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95"/>
  <sheetViews>
    <sheetView tabSelected="1" topLeftCell="M1" zoomScale="70" zoomScaleNormal="70" workbookViewId="0">
      <selection activeCell="T5" sqref="T5"/>
    </sheetView>
  </sheetViews>
  <sheetFormatPr defaultRowHeight="14.5" x14ac:dyDescent="0.35"/>
  <cols>
    <col min="1" max="1" width="29.7265625" customWidth="1"/>
    <col min="2" max="2" width="13.7265625" customWidth="1"/>
    <col min="3" max="3" width="12.1796875" customWidth="1"/>
    <col min="4" max="4" width="25.26953125" customWidth="1"/>
    <col min="5" max="5" width="25.81640625" customWidth="1"/>
    <col min="6" max="6" width="35" customWidth="1"/>
    <col min="7" max="7" width="3.08984375" style="22" customWidth="1"/>
    <col min="8" max="8" width="40.54296875" customWidth="1"/>
    <col min="9" max="9" width="8.7265625" customWidth="1"/>
    <col min="10" max="10" width="48.90625" customWidth="1"/>
    <col min="11" max="11" width="3.36328125" style="22" customWidth="1"/>
    <col min="12" max="12" width="22.6328125" customWidth="1"/>
    <col min="13" max="13" width="22.36328125" customWidth="1"/>
    <col min="14" max="14" width="26.08984375" customWidth="1"/>
    <col min="15" max="15" width="12.26953125" customWidth="1"/>
    <col min="16" max="16" width="3.36328125" style="22" customWidth="1"/>
    <col min="17" max="17" width="24.54296875" customWidth="1"/>
    <col min="18" max="18" width="20.7265625" customWidth="1"/>
    <col min="19" max="19" width="24.08984375" customWidth="1"/>
    <col min="27" max="27" width="3.90625" style="33" customWidth="1"/>
    <col min="30" max="30" width="14.1796875" customWidth="1"/>
    <col min="31" max="31" width="18.6328125" customWidth="1"/>
    <col min="32" max="32" width="19.90625" customWidth="1"/>
    <col min="36" max="36" width="12.08984375" bestFit="1" customWidth="1"/>
    <col min="40" max="40" width="21.1796875" customWidth="1"/>
    <col min="41" max="41" width="19.453125" customWidth="1"/>
  </cols>
  <sheetData>
    <row r="1" spans="1:43" x14ac:dyDescent="0.35">
      <c r="A1" s="38" t="s">
        <v>241</v>
      </c>
      <c r="H1" s="38" t="s">
        <v>240</v>
      </c>
      <c r="L1" s="38" t="s">
        <v>242</v>
      </c>
      <c r="M1" s="125" t="s">
        <v>272</v>
      </c>
      <c r="N1" s="125"/>
      <c r="O1" s="26"/>
      <c r="Q1" s="38" t="s">
        <v>333</v>
      </c>
      <c r="R1" s="125" t="s">
        <v>406</v>
      </c>
      <c r="S1" s="125"/>
      <c r="AC1" s="38" t="s">
        <v>374</v>
      </c>
      <c r="AH1" t="s">
        <v>378</v>
      </c>
      <c r="AI1" t="s">
        <v>382</v>
      </c>
      <c r="AM1" t="s">
        <v>379</v>
      </c>
    </row>
    <row r="2" spans="1:43" ht="26.5" x14ac:dyDescent="0.35">
      <c r="A2" s="1" t="s">
        <v>125</v>
      </c>
      <c r="B2" s="1" t="s">
        <v>126</v>
      </c>
      <c r="C2" s="1" t="s">
        <v>32</v>
      </c>
      <c r="D2" s="1" t="s">
        <v>44</v>
      </c>
      <c r="E2" s="1" t="s">
        <v>4</v>
      </c>
      <c r="F2" s="1" t="s">
        <v>127</v>
      </c>
      <c r="H2" s="54" t="s">
        <v>150</v>
      </c>
      <c r="I2" s="55" t="s">
        <v>126</v>
      </c>
      <c r="J2" s="54" t="s">
        <v>128</v>
      </c>
      <c r="L2" s="41" t="s">
        <v>243</v>
      </c>
      <c r="M2" s="43" t="s">
        <v>254</v>
      </c>
      <c r="N2" s="43" t="s">
        <v>332</v>
      </c>
      <c r="O2" s="24" t="s">
        <v>32</v>
      </c>
      <c r="Q2" s="41" t="s">
        <v>243</v>
      </c>
      <c r="R2" s="43" t="s">
        <v>254</v>
      </c>
      <c r="S2" s="43" t="s">
        <v>332</v>
      </c>
      <c r="AD2" t="s">
        <v>372</v>
      </c>
      <c r="AE2" t="s">
        <v>373</v>
      </c>
      <c r="AI2" t="s">
        <v>372</v>
      </c>
      <c r="AJ2" t="s">
        <v>373</v>
      </c>
      <c r="AM2" s="41" t="s">
        <v>243</v>
      </c>
      <c r="AN2" s="43" t="s">
        <v>254</v>
      </c>
      <c r="AO2" s="43" t="s">
        <v>332</v>
      </c>
      <c r="AP2" t="s">
        <v>262</v>
      </c>
    </row>
    <row r="3" spans="1:43" ht="15" customHeight="1" x14ac:dyDescent="0.35">
      <c r="A3" s="78" t="s">
        <v>331</v>
      </c>
      <c r="B3" s="1"/>
      <c r="C3" s="1"/>
      <c r="D3" s="1"/>
      <c r="E3" s="1"/>
      <c r="F3" s="1"/>
      <c r="H3" s="56" t="s">
        <v>236</v>
      </c>
      <c r="I3" s="57"/>
      <c r="J3" s="58"/>
      <c r="L3" s="44" t="s">
        <v>244</v>
      </c>
      <c r="M3" s="45">
        <f>AD5</f>
        <v>10093.333395731999</v>
      </c>
      <c r="N3" s="45">
        <f>AE5</f>
        <v>9951.0686460680208</v>
      </c>
      <c r="O3" s="36" t="s">
        <v>245</v>
      </c>
      <c r="Q3" s="44" t="s">
        <v>244</v>
      </c>
      <c r="R3" s="45">
        <f>AD13</f>
        <v>10283.1221436509</v>
      </c>
      <c r="S3" s="45">
        <f>AE13</f>
        <v>10138.1823363371</v>
      </c>
      <c r="T3" s="6">
        <f>SUM(T5:T11)</f>
        <v>0.99999999999999989</v>
      </c>
      <c r="AC3" s="96" t="s">
        <v>369</v>
      </c>
      <c r="AD3" s="35">
        <v>62647.3782307972</v>
      </c>
      <c r="AE3" s="35">
        <v>10120</v>
      </c>
      <c r="AH3" s="96" t="s">
        <v>369</v>
      </c>
      <c r="AI3" s="35">
        <v>-22615.040663628799</v>
      </c>
      <c r="AJ3" s="35">
        <v>-3296.89459359999</v>
      </c>
      <c r="AM3" s="44" t="s">
        <v>244</v>
      </c>
      <c r="AN3" s="35">
        <f>AI5</f>
        <v>-13552.6656473438</v>
      </c>
      <c r="AO3" s="35">
        <f>AJ5</f>
        <v>-12735.5786952074</v>
      </c>
      <c r="AP3" s="35">
        <f>SUM(AN3:AO3)</f>
        <v>-26288.244342551199</v>
      </c>
    </row>
    <row r="4" spans="1:43" x14ac:dyDescent="0.35">
      <c r="A4" t="s">
        <v>31</v>
      </c>
      <c r="B4" s="4">
        <v>837800</v>
      </c>
      <c r="C4" t="s">
        <v>130</v>
      </c>
      <c r="D4" t="s">
        <v>131</v>
      </c>
      <c r="E4" t="s">
        <v>132</v>
      </c>
      <c r="F4" t="s">
        <v>129</v>
      </c>
      <c r="H4" s="59" t="str">
        <f>CONCATENATE(F4,", ", C4)</f>
        <v>Rooftop area, m²</v>
      </c>
      <c r="I4" s="60">
        <f>B4</f>
        <v>837800</v>
      </c>
      <c r="J4" s="59" t="str">
        <f>CONCATENATE(E4," (",D4,")")</f>
        <v>from municipal office (Jedland, 2020)</v>
      </c>
      <c r="L4" s="46" t="s">
        <v>236</v>
      </c>
      <c r="M4" s="47">
        <f>AD6</f>
        <v>837800.00517942198</v>
      </c>
      <c r="N4" s="47">
        <f>AE6</f>
        <v>825991.27922811697</v>
      </c>
      <c r="O4" s="37" t="s">
        <v>250</v>
      </c>
      <c r="Q4" s="46" t="s">
        <v>236</v>
      </c>
      <c r="R4" s="47">
        <f>AD14</f>
        <v>1098.99039631151</v>
      </c>
      <c r="S4" s="47">
        <f>AE14</f>
        <v>1083.5002120993699</v>
      </c>
      <c r="AC4" s="96" t="s">
        <v>370</v>
      </c>
      <c r="AD4" s="35">
        <v>148674.03167091301</v>
      </c>
      <c r="AE4" s="35">
        <v>24016.666666666599</v>
      </c>
      <c r="AH4" s="96" t="s">
        <v>370</v>
      </c>
      <c r="AI4" s="35">
        <v>-53669.752299553998</v>
      </c>
      <c r="AJ4" s="35">
        <v>-7824.1520246666696</v>
      </c>
      <c r="AM4" s="46" t="s">
        <v>236</v>
      </c>
      <c r="AN4" s="103">
        <f>AI6</f>
        <v>-2330.2168057121899</v>
      </c>
      <c r="AO4" s="103">
        <f>AJ6</f>
        <v>-2189.7285949689799</v>
      </c>
      <c r="AP4" s="103">
        <f t="shared" ref="AP4:AP8" si="0">SUM(AN4:AO4)</f>
        <v>-4519.9454006811702</v>
      </c>
    </row>
    <row r="5" spans="1:43" ht="15" customHeight="1" x14ac:dyDescent="0.35">
      <c r="A5" t="s">
        <v>33</v>
      </c>
      <c r="B5" s="4">
        <f>B4/25</f>
        <v>33512</v>
      </c>
      <c r="C5" t="s">
        <v>135</v>
      </c>
      <c r="D5" t="s">
        <v>131</v>
      </c>
      <c r="E5" t="s">
        <v>134</v>
      </c>
      <c r="F5" t="s">
        <v>133</v>
      </c>
      <c r="H5" s="59" t="str">
        <f t="shared" ref="H5:H17" si="1">CONCATENATE(F5,", ", C5)</f>
        <v>Rooftop construction rate, m² year⁻¹</v>
      </c>
      <c r="I5" s="60">
        <f t="shared" ref="I5:I17" si="2">B5</f>
        <v>33512</v>
      </c>
      <c r="J5" s="59" t="str">
        <f t="shared" ref="J5:J17" si="3">CONCATENATE(E5," (",D5,")")</f>
        <v>construction over 25 years (Jedland, 2020)</v>
      </c>
      <c r="L5" s="46" t="s">
        <v>246</v>
      </c>
      <c r="M5" s="47">
        <f>AD4</f>
        <v>148674.03167091301</v>
      </c>
      <c r="N5" s="47">
        <f>AE4</f>
        <v>24016.666666666599</v>
      </c>
      <c r="O5" s="37" t="s">
        <v>249</v>
      </c>
      <c r="Q5" s="46" t="s">
        <v>246</v>
      </c>
      <c r="R5" s="47">
        <f>AD12</f>
        <v>21453.833367756601</v>
      </c>
      <c r="S5" s="47">
        <f>AE12</f>
        <v>3465.63255818685</v>
      </c>
      <c r="T5" s="111">
        <f>(R5+S5)/($S$10+$S$11)</f>
        <v>0.40350339652491762</v>
      </c>
      <c r="AC5" s="96" t="s">
        <v>371</v>
      </c>
      <c r="AD5" s="35">
        <v>10093.333395731999</v>
      </c>
      <c r="AE5" s="35">
        <v>9951.0686460680208</v>
      </c>
      <c r="AH5" s="96" t="s">
        <v>371</v>
      </c>
      <c r="AI5" s="35">
        <v>-13552.6656473438</v>
      </c>
      <c r="AJ5" s="35">
        <v>-12735.5786952074</v>
      </c>
      <c r="AM5" s="46" t="s">
        <v>246</v>
      </c>
      <c r="AN5" s="103">
        <f>AI4</f>
        <v>-53669.752299553998</v>
      </c>
      <c r="AO5" s="103">
        <f>AJ4</f>
        <v>-7824.1520246666696</v>
      </c>
      <c r="AP5" s="103">
        <f t="shared" si="0"/>
        <v>-61493.904324220668</v>
      </c>
    </row>
    <row r="6" spans="1:43" x14ac:dyDescent="0.35">
      <c r="A6" t="s">
        <v>136</v>
      </c>
      <c r="B6" s="18">
        <v>0.5</v>
      </c>
      <c r="C6" t="s">
        <v>137</v>
      </c>
      <c r="D6" t="s">
        <v>169</v>
      </c>
      <c r="E6" t="s">
        <v>138</v>
      </c>
      <c r="F6" t="s">
        <v>139</v>
      </c>
      <c r="H6" s="59" t="str">
        <f t="shared" si="1"/>
        <v>Green roof share, %</v>
      </c>
      <c r="I6" s="61">
        <f t="shared" si="2"/>
        <v>0.5</v>
      </c>
      <c r="J6" s="59" t="str">
        <f t="shared" si="3"/>
        <v>Rest is used for PV system or not-usable (assumed)</v>
      </c>
      <c r="L6" s="46" t="s">
        <v>247</v>
      </c>
      <c r="M6" s="47">
        <f>AD3</f>
        <v>62647.3782307972</v>
      </c>
      <c r="N6" s="47">
        <f>AE3</f>
        <v>10120</v>
      </c>
      <c r="O6" s="37" t="s">
        <v>249</v>
      </c>
      <c r="Q6" s="46" t="s">
        <v>247</v>
      </c>
      <c r="R6" s="47">
        <f>AD11</f>
        <v>9040.0885641233999</v>
      </c>
      <c r="S6" s="47">
        <f>AE11</f>
        <v>1460.3276123046801</v>
      </c>
      <c r="T6" s="111">
        <f>(S6+R6)/(S10+S11)</f>
        <v>0.17002585868836223</v>
      </c>
      <c r="AC6" s="96" t="s">
        <v>347</v>
      </c>
      <c r="AD6" s="35">
        <v>837800.00517942198</v>
      </c>
      <c r="AE6" s="35">
        <v>825991.27922811697</v>
      </c>
      <c r="AH6" s="96" t="s">
        <v>347</v>
      </c>
      <c r="AI6" s="35">
        <v>-2330.2168057121899</v>
      </c>
      <c r="AJ6" s="35">
        <v>-2189.7285949689799</v>
      </c>
      <c r="AM6" s="46" t="s">
        <v>247</v>
      </c>
      <c r="AN6" s="103">
        <f>AI3</f>
        <v>-22615.040663628799</v>
      </c>
      <c r="AO6" s="103">
        <f>AJ3</f>
        <v>-3296.89459359999</v>
      </c>
      <c r="AP6" s="103">
        <f t="shared" si="0"/>
        <v>-25911.93525722879</v>
      </c>
    </row>
    <row r="7" spans="1:43" ht="15" customHeight="1" x14ac:dyDescent="0.35">
      <c r="A7" t="s">
        <v>142</v>
      </c>
      <c r="B7" s="23">
        <v>50</v>
      </c>
      <c r="C7" t="s">
        <v>40</v>
      </c>
      <c r="D7" t="s">
        <v>140</v>
      </c>
      <c r="E7" t="s">
        <v>275</v>
      </c>
      <c r="F7" t="s">
        <v>141</v>
      </c>
      <c r="H7" s="59" t="str">
        <f t="shared" si="1"/>
        <v>Average lifetime of green roof, year</v>
      </c>
      <c r="I7" s="60">
        <f t="shared" si="2"/>
        <v>50</v>
      </c>
      <c r="J7" s="59" t="str">
        <f t="shared" si="3"/>
        <v>Distribution: 𝒩 ~ (50, 5) (VegTech AB, 2020)</v>
      </c>
      <c r="L7" s="46" t="s">
        <v>238</v>
      </c>
      <c r="M7" s="47">
        <f>AD8</f>
        <v>2664.64</v>
      </c>
      <c r="N7" s="47">
        <f>AE8</f>
        <v>8.2129629712248899</v>
      </c>
      <c r="O7" s="37" t="s">
        <v>248</v>
      </c>
      <c r="Q7" s="46" t="s">
        <v>238</v>
      </c>
      <c r="R7" s="47">
        <f>AD16</f>
        <v>596.92943702966897</v>
      </c>
      <c r="S7" s="47">
        <f>AE16</f>
        <v>1.83985805315494</v>
      </c>
      <c r="T7" s="112"/>
      <c r="AC7" s="96" t="s">
        <v>368</v>
      </c>
      <c r="AD7" s="35">
        <v>39321450</v>
      </c>
      <c r="AE7" s="35">
        <v>160198500</v>
      </c>
      <c r="AH7" s="96" t="s">
        <v>368</v>
      </c>
      <c r="AI7" s="35">
        <v>-1325.86103999999</v>
      </c>
      <c r="AJ7" s="35">
        <v>-4143.3157499999897</v>
      </c>
      <c r="AM7" s="46" t="s">
        <v>238</v>
      </c>
      <c r="AN7" s="103">
        <f>AI8</f>
        <v>-2.4133271430400902</v>
      </c>
      <c r="AO7" s="103">
        <f>AJ8</f>
        <v>-6.1565614467546702E-3</v>
      </c>
      <c r="AP7" s="103">
        <f t="shared" si="0"/>
        <v>-2.4194837044868449</v>
      </c>
    </row>
    <row r="8" spans="1:43" x14ac:dyDescent="0.35">
      <c r="A8" t="s">
        <v>284</v>
      </c>
      <c r="B8" s="70">
        <v>5.0000000000000001E-3</v>
      </c>
      <c r="C8" s="39" t="s">
        <v>285</v>
      </c>
      <c r="D8" t="s">
        <v>169</v>
      </c>
      <c r="E8" t="s">
        <v>287</v>
      </c>
      <c r="F8" t="s">
        <v>286</v>
      </c>
      <c r="H8" s="71" t="str">
        <f t="shared" si="1"/>
        <v>Soil refill for renovation, m³ m⁻²</v>
      </c>
      <c r="I8" s="72">
        <f t="shared" ref="I8" si="4">B8</f>
        <v>5.0000000000000001E-3</v>
      </c>
      <c r="J8" s="71" t="str">
        <f t="shared" ref="J8" si="5">CONCATENATE(E8," (",D8,")")</f>
        <v>New soil added to existing roof (assumed)</v>
      </c>
      <c r="L8" s="46" t="s">
        <v>237</v>
      </c>
      <c r="M8" s="47">
        <f>AD7</f>
        <v>39321450</v>
      </c>
      <c r="N8" s="47">
        <f>AE7</f>
        <v>160198500</v>
      </c>
      <c r="O8" s="37" t="s">
        <v>253</v>
      </c>
      <c r="Q8" s="46" t="s">
        <v>237</v>
      </c>
      <c r="R8" s="47">
        <f>AD15</f>
        <v>617.90850482611802</v>
      </c>
      <c r="S8" s="47">
        <f>AE15</f>
        <v>2517.4050196619601</v>
      </c>
      <c r="T8" s="112"/>
      <c r="AC8" s="96" t="s">
        <v>355</v>
      </c>
      <c r="AD8" s="35">
        <v>2664.64</v>
      </c>
      <c r="AE8" s="35">
        <v>8.2129629712248899</v>
      </c>
      <c r="AH8" s="96" t="s">
        <v>355</v>
      </c>
      <c r="AI8" s="35">
        <v>-2.4133271430400902</v>
      </c>
      <c r="AJ8" s="35">
        <v>-6.1565614467546702E-3</v>
      </c>
      <c r="AM8" s="46" t="s">
        <v>237</v>
      </c>
      <c r="AN8" s="103">
        <f>AI7</f>
        <v>-1325.86103999999</v>
      </c>
      <c r="AO8" s="103">
        <f>AJ7</f>
        <v>-4143.3157499999897</v>
      </c>
      <c r="AP8" s="103">
        <f t="shared" si="0"/>
        <v>-5469.1767899999795</v>
      </c>
    </row>
    <row r="9" spans="1:43" x14ac:dyDescent="0.35">
      <c r="A9" t="s">
        <v>282</v>
      </c>
      <c r="B9" s="23">
        <v>30</v>
      </c>
      <c r="C9" t="s">
        <v>40</v>
      </c>
      <c r="D9" t="s">
        <v>140</v>
      </c>
      <c r="E9" t="s">
        <v>288</v>
      </c>
      <c r="F9" t="s">
        <v>283</v>
      </c>
      <c r="H9" s="71" t="str">
        <f t="shared" si="1"/>
        <v>Renovation of green roof, soil refill, year</v>
      </c>
      <c r="I9" s="73">
        <f t="shared" si="2"/>
        <v>30</v>
      </c>
      <c r="J9" s="71" t="str">
        <f t="shared" si="3"/>
        <v>Distribution: 𝒩 ~ (30, 10) - soil refill (VegTech AB, 2020)</v>
      </c>
      <c r="L9" s="46"/>
      <c r="M9" s="53"/>
      <c r="N9" s="48"/>
      <c r="O9" s="37"/>
      <c r="Q9" s="79" t="s">
        <v>262</v>
      </c>
      <c r="R9" s="104">
        <f>SUM(R3:R8)</f>
        <v>43090.872413698198</v>
      </c>
      <c r="S9" s="104">
        <f>SUM(S3:S8)</f>
        <v>18666.887596643115</v>
      </c>
      <c r="T9" s="112"/>
      <c r="AP9" s="35">
        <f>SUM(AP3:AP8)</f>
        <v>-123685.62559838629</v>
      </c>
    </row>
    <row r="10" spans="1:43" ht="15" customHeight="1" x14ac:dyDescent="0.35">
      <c r="A10" s="78" t="s">
        <v>331</v>
      </c>
      <c r="B10" s="23"/>
      <c r="H10" s="62" t="s">
        <v>237</v>
      </c>
      <c r="I10" s="63"/>
      <c r="J10" s="64"/>
      <c r="M10" s="98"/>
      <c r="N10" s="97"/>
      <c r="Q10" s="100" t="s">
        <v>375</v>
      </c>
      <c r="R10" s="104">
        <f>R9-R11</f>
        <v>42472.963838505915</v>
      </c>
      <c r="S10" s="104">
        <f>R10+S9-SUM(AE22:AE25)</f>
        <v>47398.924008997441</v>
      </c>
      <c r="T10" s="111">
        <f>S10/(S11+S10)-T5-T6</f>
        <v>0.19396820585170221</v>
      </c>
      <c r="AD10" t="s">
        <v>372</v>
      </c>
      <c r="AE10" t="s">
        <v>373</v>
      </c>
      <c r="AH10" s="96" t="s">
        <v>380</v>
      </c>
      <c r="AI10" t="s">
        <v>381</v>
      </c>
    </row>
    <row r="11" spans="1:43" ht="26.5" x14ac:dyDescent="0.35">
      <c r="A11" t="s">
        <v>38</v>
      </c>
      <c r="B11" s="4">
        <v>23700</v>
      </c>
      <c r="C11" t="s">
        <v>39</v>
      </c>
      <c r="D11" t="s">
        <v>131</v>
      </c>
      <c r="E11" t="s">
        <v>132</v>
      </c>
      <c r="F11" t="s">
        <v>152</v>
      </c>
      <c r="H11" s="65" t="str">
        <f t="shared" si="1"/>
        <v>Households in district, nb</v>
      </c>
      <c r="I11" s="66">
        <f t="shared" si="2"/>
        <v>23700</v>
      </c>
      <c r="J11" s="65" t="str">
        <f t="shared" si="3"/>
        <v>from municipal office (Jedland, 2020)</v>
      </c>
      <c r="L11" s="26"/>
      <c r="M11" s="26"/>
      <c r="N11" s="99"/>
      <c r="O11" s="26"/>
      <c r="Q11" s="100" t="s">
        <v>376</v>
      </c>
      <c r="R11" s="104">
        <f>SUM(AD22:AD25)</f>
        <v>617.90857519228086</v>
      </c>
      <c r="S11" s="104">
        <f>R11+SUM(AE22:AE25)</f>
        <v>14358.836001343869</v>
      </c>
      <c r="T11" s="111">
        <f>S11/(S11+S10)</f>
        <v>0.23250253893501785</v>
      </c>
      <c r="AC11" t="s">
        <v>369</v>
      </c>
      <c r="AD11" s="35">
        <v>9040.0885641233999</v>
      </c>
      <c r="AE11" s="35">
        <v>1460.3276123046801</v>
      </c>
      <c r="AI11" t="s">
        <v>372</v>
      </c>
      <c r="AJ11" t="s">
        <v>373</v>
      </c>
      <c r="AM11" s="41" t="s">
        <v>243</v>
      </c>
      <c r="AN11" s="43" t="s">
        <v>254</v>
      </c>
      <c r="AO11" s="43" t="s">
        <v>332</v>
      </c>
      <c r="AP11" t="s">
        <v>262</v>
      </c>
      <c r="AQ11" t="s">
        <v>383</v>
      </c>
    </row>
    <row r="12" spans="1:43" x14ac:dyDescent="0.35">
      <c r="A12" t="s">
        <v>36</v>
      </c>
      <c r="B12" s="4">
        <v>57000</v>
      </c>
      <c r="C12" t="s">
        <v>37</v>
      </c>
      <c r="D12" t="s">
        <v>131</v>
      </c>
      <c r="E12" t="s">
        <v>132</v>
      </c>
      <c r="F12" t="s">
        <v>143</v>
      </c>
      <c r="H12" s="65" t="str">
        <f t="shared" si="1"/>
        <v>Population in district, pers</v>
      </c>
      <c r="I12" s="66">
        <f t="shared" si="2"/>
        <v>57000</v>
      </c>
      <c r="J12" s="65" t="str">
        <f t="shared" si="3"/>
        <v>from municipal office (Jedland, 2020)</v>
      </c>
      <c r="L12" s="41" t="s">
        <v>243</v>
      </c>
      <c r="M12" s="25" t="s">
        <v>255</v>
      </c>
      <c r="N12" s="24" t="s">
        <v>32</v>
      </c>
      <c r="O12" s="26"/>
      <c r="Q12" s="101" t="s">
        <v>377</v>
      </c>
      <c r="R12" s="102">
        <f>R11+R10-R9</f>
        <v>0</v>
      </c>
      <c r="S12" s="102">
        <f>S11+S10-S9-R9</f>
        <v>0</v>
      </c>
      <c r="AC12" t="s">
        <v>370</v>
      </c>
      <c r="AD12" s="35">
        <v>21453.833367756601</v>
      </c>
      <c r="AE12" s="35">
        <v>3465.63255818685</v>
      </c>
      <c r="AH12" s="96" t="s">
        <v>369</v>
      </c>
      <c r="AI12" s="35">
        <v>1174293.3750139701</v>
      </c>
      <c r="AJ12" s="35">
        <v>171192.32890039901</v>
      </c>
      <c r="AK12" s="35"/>
      <c r="AM12" s="44" t="s">
        <v>244</v>
      </c>
      <c r="AN12" s="35">
        <f>AI14</f>
        <v>707555.27785032196</v>
      </c>
      <c r="AO12" s="35">
        <f>AJ14</f>
        <v>664896.94033278502</v>
      </c>
      <c r="AP12" s="35">
        <f>SUM(AN12:AO12)</f>
        <v>1372452.218183107</v>
      </c>
      <c r="AQ12" s="35">
        <f>AP12/1000</f>
        <v>1372.4522181831069</v>
      </c>
    </row>
    <row r="13" spans="1:43" x14ac:dyDescent="0.35">
      <c r="A13" t="s">
        <v>144</v>
      </c>
      <c r="B13" s="4">
        <f>B12/25</f>
        <v>2280</v>
      </c>
      <c r="C13" t="s">
        <v>145</v>
      </c>
      <c r="D13" t="s">
        <v>169</v>
      </c>
      <c r="E13" t="s">
        <v>146</v>
      </c>
      <c r="F13" t="s">
        <v>147</v>
      </c>
      <c r="H13" s="65" t="str">
        <f t="shared" si="1"/>
        <v>Population moving to district, pers year⁻¹</v>
      </c>
      <c r="I13" s="66">
        <f t="shared" si="2"/>
        <v>2280</v>
      </c>
      <c r="J13" s="65" t="str">
        <f t="shared" si="3"/>
        <v>shared over 25 years (assumed)</v>
      </c>
      <c r="L13" s="44" t="s">
        <v>244</v>
      </c>
      <c r="M13" s="45">
        <v>540.30200000000002</v>
      </c>
      <c r="N13" s="36" t="s">
        <v>256</v>
      </c>
      <c r="O13" s="26" t="s">
        <v>367</v>
      </c>
      <c r="Q13" s="80" t="s">
        <v>334</v>
      </c>
      <c r="R13" s="28">
        <f>R9/0.25*0.5</f>
        <v>86181.744827396396</v>
      </c>
      <c r="S13" s="28">
        <f>S9/0.25*0.5</f>
        <v>37333.77519328623</v>
      </c>
      <c r="AC13" t="s">
        <v>371</v>
      </c>
      <c r="AD13" s="35">
        <v>10283.1221436509</v>
      </c>
      <c r="AE13" s="35">
        <v>10138.1823363371</v>
      </c>
      <c r="AH13" s="96" t="s">
        <v>370</v>
      </c>
      <c r="AI13" s="35">
        <v>2786819.4225875102</v>
      </c>
      <c r="AJ13" s="35">
        <v>406271.65010783297</v>
      </c>
      <c r="AK13" s="35"/>
      <c r="AM13" s="46" t="s">
        <v>236</v>
      </c>
      <c r="AN13" s="103">
        <f>AI15</f>
        <v>70825.236351473999</v>
      </c>
      <c r="AO13" s="103">
        <f>AJ15</f>
        <v>66555.199887016104</v>
      </c>
      <c r="AP13" s="103">
        <f t="shared" ref="AP13:AP17" si="6">SUM(AN13:AO13)</f>
        <v>137380.4362384901</v>
      </c>
      <c r="AQ13" s="103">
        <f t="shared" ref="AQ13:AQ18" si="7">AP13/1000</f>
        <v>137.38043623849009</v>
      </c>
    </row>
    <row r="14" spans="1:43" x14ac:dyDescent="0.35">
      <c r="A14" t="s">
        <v>34</v>
      </c>
      <c r="B14" s="4">
        <f>365*0.14</f>
        <v>51.1</v>
      </c>
      <c r="C14" t="s">
        <v>148</v>
      </c>
      <c r="D14" t="s">
        <v>131</v>
      </c>
      <c r="E14" t="s">
        <v>151</v>
      </c>
      <c r="F14" t="s">
        <v>149</v>
      </c>
      <c r="H14" s="65" t="str">
        <f t="shared" si="1"/>
        <v>Drinking water consumption, m³ pers⁻¹ year⁻¹</v>
      </c>
      <c r="I14" s="66">
        <f t="shared" si="2"/>
        <v>51.1</v>
      </c>
      <c r="J14" s="65" t="str">
        <f t="shared" si="3"/>
        <v>from thesis report, 140L/day/pers (Jedland, 2020)</v>
      </c>
      <c r="L14" s="93" t="s">
        <v>236</v>
      </c>
      <c r="M14" s="94">
        <f>0.0150016*O14</f>
        <v>0.75007999999999997</v>
      </c>
      <c r="N14" s="95" t="s">
        <v>257</v>
      </c>
      <c r="O14" s="26">
        <v>50</v>
      </c>
      <c r="Q14" s="80" t="s">
        <v>335</v>
      </c>
      <c r="R14" s="28">
        <f>R13/2.28</f>
        <v>37799.010889208948</v>
      </c>
      <c r="S14" s="28">
        <f>S13/2.28</f>
        <v>16374.462804072909</v>
      </c>
      <c r="AC14" t="s">
        <v>347</v>
      </c>
      <c r="AD14" s="35">
        <v>1098.99039631151</v>
      </c>
      <c r="AE14" s="35">
        <v>1083.5002120993699</v>
      </c>
      <c r="AH14" s="96" t="s">
        <v>371</v>
      </c>
      <c r="AI14" s="35">
        <v>707555.27785032196</v>
      </c>
      <c r="AJ14" s="35">
        <v>664896.94033278502</v>
      </c>
      <c r="AK14" s="35"/>
      <c r="AM14" s="46" t="s">
        <v>246</v>
      </c>
      <c r="AN14" s="103">
        <f>AI13</f>
        <v>2786819.4225875102</v>
      </c>
      <c r="AO14" s="103">
        <f>AJ13</f>
        <v>406271.65010783297</v>
      </c>
      <c r="AP14" s="103">
        <f t="shared" si="6"/>
        <v>3193091.0726953433</v>
      </c>
      <c r="AQ14" s="103">
        <f t="shared" si="7"/>
        <v>3193.0910726953434</v>
      </c>
    </row>
    <row r="15" spans="1:43" x14ac:dyDescent="0.35">
      <c r="A15" s="1" t="s">
        <v>167</v>
      </c>
      <c r="B15" s="32">
        <f>B14*B12</f>
        <v>2912700</v>
      </c>
      <c r="C15" s="1" t="s">
        <v>168</v>
      </c>
      <c r="D15" t="s">
        <v>159</v>
      </c>
      <c r="E15" t="s">
        <v>171</v>
      </c>
      <c r="F15" t="s">
        <v>170</v>
      </c>
      <c r="H15" s="65" t="str">
        <f t="shared" si="1"/>
        <v>Drinking water demand, m³ year⁻¹</v>
      </c>
      <c r="I15" s="66">
        <f t="shared" ref="I15" si="8">B15</f>
        <v>2912700</v>
      </c>
      <c r="J15" s="65" t="str">
        <f t="shared" ref="J15" si="9">CONCATENATE(E15," (",D15,")")</f>
        <v>reached in 2050 (calculated)</v>
      </c>
      <c r="L15" s="46" t="s">
        <v>246</v>
      </c>
      <c r="M15" s="47">
        <v>143.381</v>
      </c>
      <c r="N15" s="26" t="s">
        <v>258</v>
      </c>
      <c r="O15" s="26"/>
      <c r="Q15" s="80" t="s">
        <v>336</v>
      </c>
      <c r="R15" s="28">
        <f>R14/25</f>
        <v>1511.960435568358</v>
      </c>
      <c r="S15" s="28">
        <f>S14/25</f>
        <v>654.97851216291633</v>
      </c>
      <c r="AC15" t="s">
        <v>368</v>
      </c>
      <c r="AD15" s="35">
        <v>617.90850482611802</v>
      </c>
      <c r="AE15" s="35">
        <v>2517.4050196619601</v>
      </c>
      <c r="AH15" s="96" t="s">
        <v>347</v>
      </c>
      <c r="AI15" s="35">
        <v>70825.236351473999</v>
      </c>
      <c r="AJ15" s="35">
        <v>66555.199887016104</v>
      </c>
      <c r="AK15" s="35"/>
      <c r="AM15" s="46" t="s">
        <v>247</v>
      </c>
      <c r="AN15" s="103">
        <f>AI12</f>
        <v>1174293.3750139701</v>
      </c>
      <c r="AO15" s="103">
        <f>AJ12</f>
        <v>171192.32890039901</v>
      </c>
      <c r="AP15" s="103">
        <f t="shared" si="6"/>
        <v>1345485.703914369</v>
      </c>
      <c r="AQ15" s="103">
        <f t="shared" si="7"/>
        <v>1345.485703914369</v>
      </c>
    </row>
    <row r="16" spans="1:43" x14ac:dyDescent="0.35">
      <c r="A16" s="78" t="s">
        <v>331</v>
      </c>
      <c r="B16" s="4"/>
      <c r="H16" s="62" t="s">
        <v>274</v>
      </c>
      <c r="I16" s="63"/>
      <c r="J16" s="64"/>
      <c r="L16" s="46" t="s">
        <v>247</v>
      </c>
      <c r="M16" s="47">
        <v>143.381</v>
      </c>
      <c r="N16" s="26" t="s">
        <v>258</v>
      </c>
      <c r="O16" s="26"/>
      <c r="Q16" s="80" t="s">
        <v>337</v>
      </c>
      <c r="R16" s="28">
        <f>R15*10000/1000000</f>
        <v>15.119604355683579</v>
      </c>
      <c r="S16" s="28">
        <f>S15*10000/1000000</f>
        <v>6.5497851216291636</v>
      </c>
      <c r="AC16" t="s">
        <v>355</v>
      </c>
      <c r="AD16" s="35">
        <v>596.92943702966897</v>
      </c>
      <c r="AE16" s="35">
        <v>1.83985805315494</v>
      </c>
      <c r="AH16" s="96" t="s">
        <v>368</v>
      </c>
      <c r="AI16" s="35">
        <v>45195.829963199998</v>
      </c>
      <c r="AJ16" s="35">
        <v>141236.968635</v>
      </c>
      <c r="AK16" s="35"/>
      <c r="AM16" s="46" t="s">
        <v>238</v>
      </c>
      <c r="AN16" s="103">
        <f>AI17</f>
        <v>272.89020570241098</v>
      </c>
      <c r="AO16" s="103">
        <f>AJ17</f>
        <v>0.69616144850880701</v>
      </c>
      <c r="AP16" s="103">
        <f t="shared" si="6"/>
        <v>273.58636715091978</v>
      </c>
      <c r="AQ16" s="105">
        <f t="shared" si="7"/>
        <v>0.27358636715091977</v>
      </c>
    </row>
    <row r="17" spans="1:43" x14ac:dyDescent="0.35">
      <c r="A17" t="s">
        <v>158</v>
      </c>
      <c r="B17" s="4">
        <f>1025200+161100+24900</f>
        <v>1211200</v>
      </c>
      <c r="C17" t="s">
        <v>130</v>
      </c>
      <c r="D17" t="s">
        <v>131</v>
      </c>
      <c r="E17" t="s">
        <v>132</v>
      </c>
      <c r="F17" t="s">
        <v>153</v>
      </c>
      <c r="H17" s="65" t="str">
        <f t="shared" si="1"/>
        <v>Total area of roads, m²</v>
      </c>
      <c r="I17" s="66">
        <f t="shared" si="2"/>
        <v>1211200</v>
      </c>
      <c r="J17" s="65" t="str">
        <f t="shared" si="3"/>
        <v>from municipal office (Jedland, 2020)</v>
      </c>
      <c r="L17" s="46" t="s">
        <v>238</v>
      </c>
      <c r="M17" s="47">
        <v>111</v>
      </c>
      <c r="N17" s="26" t="s">
        <v>258</v>
      </c>
      <c r="O17" s="26"/>
      <c r="AH17" s="96" t="s">
        <v>355</v>
      </c>
      <c r="AI17" s="35">
        <v>272.89020570241098</v>
      </c>
      <c r="AJ17" s="35">
        <v>0.69616144850880701</v>
      </c>
      <c r="AK17" s="35"/>
      <c r="AM17" s="46" t="s">
        <v>237</v>
      </c>
      <c r="AN17" s="103">
        <f>AI16</f>
        <v>45195.829963199998</v>
      </c>
      <c r="AO17" s="103">
        <f>AJ16</f>
        <v>141236.968635</v>
      </c>
      <c r="AP17" s="103">
        <f t="shared" si="6"/>
        <v>186432.7985982</v>
      </c>
      <c r="AQ17" s="103">
        <f t="shared" si="7"/>
        <v>186.43279859820001</v>
      </c>
    </row>
    <row r="18" spans="1:43" x14ac:dyDescent="0.35">
      <c r="A18" t="s">
        <v>154</v>
      </c>
      <c r="B18" s="4">
        <v>24</v>
      </c>
      <c r="C18" t="s">
        <v>155</v>
      </c>
      <c r="D18" t="s">
        <v>131</v>
      </c>
      <c r="E18" t="s">
        <v>132</v>
      </c>
      <c r="F18" t="s">
        <v>156</v>
      </c>
      <c r="H18" s="65" t="str">
        <f t="shared" ref="H18:H19" si="10">CONCATENATE(F18,", ", C18)</f>
        <v>Road width, m</v>
      </c>
      <c r="I18" s="66">
        <f t="shared" ref="I18:I19" si="11">B18</f>
        <v>24</v>
      </c>
      <c r="J18" s="65" t="str">
        <f t="shared" ref="J18:J19" si="12">CONCATENATE(E18," (",D18,")")</f>
        <v>from municipal office (Jedland, 2020)</v>
      </c>
      <c r="L18" s="46" t="s">
        <v>237</v>
      </c>
      <c r="M18" s="51">
        <v>7.8571000000000005E-3</v>
      </c>
      <c r="N18" s="26" t="s">
        <v>258</v>
      </c>
      <c r="O18" s="26"/>
      <c r="R18" t="s">
        <v>338</v>
      </c>
      <c r="AP18" s="35">
        <f>SUM(AP12:AP17)</f>
        <v>6235115.8159966599</v>
      </c>
      <c r="AQ18" s="35">
        <f t="shared" si="7"/>
        <v>6235.1158159966599</v>
      </c>
    </row>
    <row r="19" spans="1:43" x14ac:dyDescent="0.35">
      <c r="A19" t="s">
        <v>157</v>
      </c>
      <c r="B19" s="4">
        <f>B17/B18</f>
        <v>50466.666666666664</v>
      </c>
      <c r="C19" t="s">
        <v>155</v>
      </c>
      <c r="D19" t="s">
        <v>159</v>
      </c>
      <c r="F19" t="s">
        <v>160</v>
      </c>
      <c r="H19" s="65" t="str">
        <f t="shared" si="10"/>
        <v>Road length, m</v>
      </c>
      <c r="I19" s="66">
        <f t="shared" si="11"/>
        <v>50466.666666666664</v>
      </c>
      <c r="J19" s="65" t="str">
        <f t="shared" si="12"/>
        <v xml:space="preserve"> (calculated)</v>
      </c>
      <c r="L19" s="26"/>
      <c r="M19" s="26"/>
      <c r="N19" s="26"/>
      <c r="O19" s="26"/>
      <c r="R19" t="s">
        <v>339</v>
      </c>
      <c r="AD19" t="s">
        <v>372</v>
      </c>
      <c r="AE19" t="s">
        <v>373</v>
      </c>
    </row>
    <row r="20" spans="1:43" x14ac:dyDescent="0.35">
      <c r="A20" t="s">
        <v>161</v>
      </c>
      <c r="B20">
        <v>10</v>
      </c>
      <c r="C20" t="s">
        <v>155</v>
      </c>
      <c r="D20" t="s">
        <v>169</v>
      </c>
      <c r="F20" t="s">
        <v>162</v>
      </c>
      <c r="H20" s="65" t="str">
        <f t="shared" ref="H20:H21" si="13">CONCATENATE(F20,", ", C20)</f>
        <v>Average tree spacing on road side, m</v>
      </c>
      <c r="I20" s="66">
        <f t="shared" ref="I20:I21" si="14">B20</f>
        <v>10</v>
      </c>
      <c r="J20" s="65" t="str">
        <f t="shared" ref="J20:J21" si="15">CONCATENATE(E20," (",D20,")")</f>
        <v xml:space="preserve"> (assumed)</v>
      </c>
      <c r="L20" s="26"/>
      <c r="M20" s="125" t="s">
        <v>273</v>
      </c>
      <c r="N20" s="125"/>
      <c r="O20" s="26"/>
      <c r="AC20" s="38" t="s">
        <v>369</v>
      </c>
      <c r="AD20" s="35">
        <v>0</v>
      </c>
      <c r="AE20" s="35">
        <v>0</v>
      </c>
    </row>
    <row r="21" spans="1:43" x14ac:dyDescent="0.35">
      <c r="A21" s="1" t="s">
        <v>163</v>
      </c>
      <c r="B21" s="31">
        <f>B19/B20*2</f>
        <v>10093.333333333332</v>
      </c>
      <c r="C21" s="1" t="s">
        <v>164</v>
      </c>
      <c r="D21" t="s">
        <v>159</v>
      </c>
      <c r="E21" t="s">
        <v>165</v>
      </c>
      <c r="F21" t="s">
        <v>166</v>
      </c>
      <c r="H21" s="65" t="str">
        <f t="shared" si="13"/>
        <v>Tree number, tree</v>
      </c>
      <c r="I21" s="66">
        <f t="shared" si="14"/>
        <v>10093.333333333332</v>
      </c>
      <c r="J21" s="65" t="str">
        <f t="shared" si="15"/>
        <v>on both sides of the road (calculated)</v>
      </c>
      <c r="L21" s="41" t="s">
        <v>243</v>
      </c>
      <c r="M21" s="43" t="s">
        <v>260</v>
      </c>
      <c r="N21" s="43" t="s">
        <v>261</v>
      </c>
      <c r="O21" s="24"/>
      <c r="AC21" s="38" t="s">
        <v>370</v>
      </c>
      <c r="AD21" s="35">
        <v>0</v>
      </c>
      <c r="AE21" s="35">
        <v>0</v>
      </c>
    </row>
    <row r="22" spans="1:43" x14ac:dyDescent="0.35">
      <c r="A22" s="39" t="s">
        <v>276</v>
      </c>
      <c r="B22" s="69">
        <v>50</v>
      </c>
      <c r="C22" s="39" t="s">
        <v>40</v>
      </c>
      <c r="D22" t="s">
        <v>277</v>
      </c>
      <c r="E22" t="s">
        <v>275</v>
      </c>
      <c r="F22" t="s">
        <v>278</v>
      </c>
      <c r="H22" s="65" t="str">
        <f t="shared" ref="H22" si="16">CONCATENATE(F22,", ", C22)</f>
        <v>Average lifetime of structural soil, year</v>
      </c>
      <c r="I22" s="66">
        <f t="shared" ref="I22" si="17">B22</f>
        <v>50</v>
      </c>
      <c r="J22" s="65" t="str">
        <f t="shared" ref="J22" si="18">CONCATENATE(E22," (",D22,")")</f>
        <v>Distribution: 𝒩 ~ (50, 5) (edge AB, 2020)</v>
      </c>
      <c r="L22" s="44" t="s">
        <v>244</v>
      </c>
      <c r="M22" s="50">
        <f>M13*M3/1000</f>
        <v>5453.4482203807902</v>
      </c>
      <c r="N22" s="52" t="s">
        <v>93</v>
      </c>
      <c r="O22" s="24"/>
      <c r="AC22" t="s">
        <v>371</v>
      </c>
      <c r="AD22" s="35">
        <v>6.3572015958999903E-5</v>
      </c>
      <c r="AE22" s="35">
        <v>10138.1823363371</v>
      </c>
    </row>
    <row r="23" spans="1:43" x14ac:dyDescent="0.35">
      <c r="A23" s="78" t="s">
        <v>331</v>
      </c>
      <c r="H23" s="62" t="s">
        <v>238</v>
      </c>
      <c r="I23" s="63"/>
      <c r="J23" s="64"/>
      <c r="L23" s="46" t="s">
        <v>236</v>
      </c>
      <c r="M23" s="47">
        <f t="shared" ref="M23:M27" si="19">M14*M4/1000</f>
        <v>628.41702788498083</v>
      </c>
      <c r="N23" s="53" t="s">
        <v>93</v>
      </c>
      <c r="O23" s="26"/>
      <c r="AC23" t="s">
        <v>347</v>
      </c>
      <c r="AD23" s="35">
        <v>6.79414618140181E-6</v>
      </c>
      <c r="AE23" s="35">
        <v>1083.5002120993699</v>
      </c>
    </row>
    <row r="24" spans="1:43" x14ac:dyDescent="0.35">
      <c r="A24" s="1" t="s">
        <v>172</v>
      </c>
      <c r="B24" s="31">
        <f>B21</f>
        <v>10093.333333333332</v>
      </c>
      <c r="C24" s="1" t="s">
        <v>173</v>
      </c>
      <c r="D24" t="s">
        <v>159</v>
      </c>
      <c r="E24" t="s">
        <v>174</v>
      </c>
      <c r="F24" t="s">
        <v>175</v>
      </c>
      <c r="H24" s="65" t="str">
        <f t="shared" ref="H24:H49" si="20">CONCATENATE(F24,", ", C24)</f>
        <v>Tree pits in charcrete, pits</v>
      </c>
      <c r="I24" s="66">
        <f t="shared" ref="I24:I49" si="21">B24</f>
        <v>10093.333333333332</v>
      </c>
      <c r="J24" s="65" t="str">
        <f t="shared" ref="J24:J49" si="22">CONCATENATE(E24," (",D24,")")</f>
        <v>one per tree (calculated)</v>
      </c>
      <c r="L24" s="46" t="s">
        <v>246</v>
      </c>
      <c r="M24" s="47">
        <f t="shared" si="19"/>
        <v>21317.031335007181</v>
      </c>
      <c r="N24" s="53" t="s">
        <v>93</v>
      </c>
      <c r="O24" s="26"/>
      <c r="AC24" t="s">
        <v>368</v>
      </c>
      <c r="AD24" s="35">
        <v>617.90850482611802</v>
      </c>
      <c r="AE24" s="35">
        <v>2517.4050196619601</v>
      </c>
    </row>
    <row r="25" spans="1:43" x14ac:dyDescent="0.35">
      <c r="A25" s="39" t="s">
        <v>251</v>
      </c>
      <c r="B25" s="40">
        <v>0.2</v>
      </c>
      <c r="C25" s="39" t="s">
        <v>180</v>
      </c>
      <c r="D25" t="s">
        <v>159</v>
      </c>
      <c r="F25" t="s">
        <v>252</v>
      </c>
      <c r="H25" s="65" t="str">
        <f t="shared" ref="H25" si="23">CONCATENATE(F25,", ", C25)</f>
        <v>Tree pit volume, m³</v>
      </c>
      <c r="I25" s="81">
        <f t="shared" ref="I25" si="24">B25</f>
        <v>0.2</v>
      </c>
      <c r="J25" s="65" t="str">
        <f t="shared" ref="J25" si="25">CONCATENATE(E25," (",D25,")")</f>
        <v xml:space="preserve"> (calculated)</v>
      </c>
      <c r="L25" s="46" t="s">
        <v>247</v>
      </c>
      <c r="M25" s="47">
        <f t="shared" si="19"/>
        <v>8982.4437381099324</v>
      </c>
      <c r="N25" s="53" t="s">
        <v>93</v>
      </c>
      <c r="O25" s="26"/>
      <c r="AC25" t="s">
        <v>355</v>
      </c>
      <c r="AD25" s="35">
        <v>6.7330993765650501E-13</v>
      </c>
      <c r="AE25" s="35">
        <v>1.83985805315493</v>
      </c>
    </row>
    <row r="26" spans="1:43" x14ac:dyDescent="0.35">
      <c r="A26" t="s">
        <v>178</v>
      </c>
      <c r="B26" s="33">
        <f>10*(40*40*4)/1000000</f>
        <v>6.4000000000000001E-2</v>
      </c>
      <c r="C26" t="s">
        <v>176</v>
      </c>
      <c r="D26" t="s">
        <v>169</v>
      </c>
      <c r="E26" t="s">
        <v>177</v>
      </c>
      <c r="F26" t="s">
        <v>181</v>
      </c>
      <c r="H26" s="59" t="str">
        <f t="shared" si="20"/>
        <v>Decorative tiles per tree area, m³ tree⁻¹</v>
      </c>
      <c r="I26" s="67">
        <f t="shared" si="21"/>
        <v>6.4000000000000001E-2</v>
      </c>
      <c r="J26" s="59" t="str">
        <f t="shared" si="22"/>
        <v>(discussion with Mattias) (assumed)</v>
      </c>
      <c r="L26" s="46" t="s">
        <v>238</v>
      </c>
      <c r="M26" s="47">
        <f t="shared" si="19"/>
        <v>295.77503999999999</v>
      </c>
      <c r="N26" s="53" t="s">
        <v>93</v>
      </c>
      <c r="O26" s="26"/>
    </row>
    <row r="27" spans="1:43" x14ac:dyDescent="0.35">
      <c r="A27" s="1" t="s">
        <v>179</v>
      </c>
      <c r="B27" s="31">
        <f>B24*B26</f>
        <v>645.97333333333324</v>
      </c>
      <c r="C27" s="1" t="s">
        <v>180</v>
      </c>
      <c r="D27" t="s">
        <v>159</v>
      </c>
      <c r="F27" t="s">
        <v>182</v>
      </c>
      <c r="H27" s="59" t="str">
        <f t="shared" si="20"/>
        <v>Decorative tiles total demand, m³</v>
      </c>
      <c r="I27" s="60">
        <f t="shared" si="21"/>
        <v>645.97333333333324</v>
      </c>
      <c r="J27" s="59" t="str">
        <f t="shared" si="22"/>
        <v xml:space="preserve"> (calculated)</v>
      </c>
      <c r="L27" s="46" t="s">
        <v>237</v>
      </c>
      <c r="M27" s="47">
        <f t="shared" si="19"/>
        <v>308.952564795</v>
      </c>
      <c r="N27" s="47">
        <f>N8*M18/1000</f>
        <v>1258.6956343500001</v>
      </c>
      <c r="O27" s="26"/>
    </row>
    <row r="28" spans="1:43" x14ac:dyDescent="0.35">
      <c r="A28" s="39" t="s">
        <v>279</v>
      </c>
      <c r="B28" s="69">
        <v>100</v>
      </c>
      <c r="C28" s="39" t="s">
        <v>40</v>
      </c>
      <c r="D28" t="s">
        <v>169</v>
      </c>
      <c r="E28" t="s">
        <v>280</v>
      </c>
      <c r="F28" t="s">
        <v>281</v>
      </c>
      <c r="H28" s="59" t="str">
        <f t="shared" si="20"/>
        <v>Average lifetime of charcrete elements, year</v>
      </c>
      <c r="I28" s="60"/>
      <c r="J28" s="59" t="str">
        <f t="shared" si="22"/>
        <v>Distribution: 𝒩 ~ (100, 10) No renovation during timeframe. (assumed)</v>
      </c>
      <c r="L28" s="49" t="s">
        <v>262</v>
      </c>
      <c r="M28" s="47">
        <f>SUM(M22:M27)</f>
        <v>36986.067926177886</v>
      </c>
      <c r="N28" s="47">
        <f>SUM(N22:N27)</f>
        <v>1258.6956343500001</v>
      </c>
      <c r="O28" s="26"/>
    </row>
    <row r="29" spans="1:43" x14ac:dyDescent="0.35">
      <c r="A29" s="78" t="s">
        <v>331</v>
      </c>
      <c r="H29" s="62" t="s">
        <v>239</v>
      </c>
      <c r="I29" s="63"/>
      <c r="J29" s="64"/>
      <c r="O29" s="26"/>
      <c r="AB29" s="107" t="s">
        <v>391</v>
      </c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</row>
    <row r="30" spans="1:43" x14ac:dyDescent="0.35">
      <c r="A30" t="s">
        <v>185</v>
      </c>
      <c r="B30" s="30">
        <v>1000000</v>
      </c>
      <c r="C30" t="s">
        <v>130</v>
      </c>
      <c r="D30" t="s">
        <v>200</v>
      </c>
      <c r="E30" t="s">
        <v>201</v>
      </c>
      <c r="F30" t="s">
        <v>219</v>
      </c>
      <c r="H30" s="65" t="str">
        <f t="shared" si="20"/>
        <v>Residential yard area, m²</v>
      </c>
      <c r="I30" s="66">
        <f t="shared" si="21"/>
        <v>1000000</v>
      </c>
      <c r="J30" s="65" t="str">
        <f t="shared" si="22"/>
        <v>on x buildings out of x (measured in GIS)</v>
      </c>
      <c r="L30" s="41" t="s">
        <v>264</v>
      </c>
      <c r="M30" s="43" t="s">
        <v>259</v>
      </c>
      <c r="N30" s="43" t="s">
        <v>295</v>
      </c>
      <c r="O30" s="26"/>
      <c r="AC30" t="s">
        <v>392</v>
      </c>
    </row>
    <row r="31" spans="1:43" x14ac:dyDescent="0.35">
      <c r="A31" t="s">
        <v>202</v>
      </c>
      <c r="B31" s="18">
        <f>AVERAGE(36,37,58)/100</f>
        <v>0.43666666666666665</v>
      </c>
      <c r="C31" t="s">
        <v>137</v>
      </c>
      <c r="D31" t="s">
        <v>199</v>
      </c>
      <c r="E31" t="s">
        <v>203</v>
      </c>
      <c r="F31" t="s">
        <v>220</v>
      </c>
      <c r="H31" s="65" t="str">
        <f t="shared" si="20"/>
        <v>Fraction of yard planted, %</v>
      </c>
      <c r="I31" s="68">
        <f t="shared" si="21"/>
        <v>0.43666666666666665</v>
      </c>
      <c r="J31" s="65" t="str">
        <f t="shared" si="22"/>
        <v>Average of 3 values (Ariluoma, 2021)</v>
      </c>
      <c r="L31" s="44" t="s">
        <v>263</v>
      </c>
      <c r="M31" s="45">
        <f>M28/0.25</f>
        <v>147944.27170471154</v>
      </c>
      <c r="N31" s="45">
        <f>N28/0.25</f>
        <v>5034.7825374000004</v>
      </c>
      <c r="O31" s="26" t="s">
        <v>265</v>
      </c>
      <c r="AE31" s="28">
        <f>AVERAGE(AE33,AE35,AE37,AE39)</f>
        <v>43629.850000000006</v>
      </c>
      <c r="AF31" s="28">
        <f>AVERAGE(AF33,AF35,AF37,AF39)</f>
        <v>18685.6175</v>
      </c>
    </row>
    <row r="32" spans="1:43" x14ac:dyDescent="0.35">
      <c r="A32" t="s">
        <v>204</v>
      </c>
      <c r="B32" s="4">
        <f>B31*B30</f>
        <v>436666.66666666663</v>
      </c>
      <c r="C32" t="s">
        <v>130</v>
      </c>
      <c r="D32" t="s">
        <v>159</v>
      </c>
      <c r="F32" t="s">
        <v>221</v>
      </c>
      <c r="H32" s="65" t="str">
        <f t="shared" si="20"/>
        <v>Residential yard planted area, m²</v>
      </c>
      <c r="I32" s="66">
        <f t="shared" si="21"/>
        <v>436666.66666666663</v>
      </c>
      <c r="J32" s="65" t="str">
        <f t="shared" si="22"/>
        <v xml:space="preserve"> (calculated)</v>
      </c>
      <c r="L32" s="46" t="s">
        <v>267</v>
      </c>
      <c r="M32" s="42">
        <f>M31/2.28</f>
        <v>64887.838466978756</v>
      </c>
      <c r="N32" s="42">
        <f>N31/2.28</f>
        <v>2208.2379550000005</v>
      </c>
      <c r="O32" s="26" t="s">
        <v>266</v>
      </c>
      <c r="AE32" s="15" t="s">
        <v>372</v>
      </c>
      <c r="AF32" s="15" t="s">
        <v>393</v>
      </c>
    </row>
    <row r="33" spans="1:36" x14ac:dyDescent="0.35">
      <c r="A33" t="s">
        <v>183</v>
      </c>
      <c r="B33">
        <v>0.4</v>
      </c>
      <c r="C33" t="s">
        <v>155</v>
      </c>
      <c r="D33" t="s">
        <v>199</v>
      </c>
      <c r="F33" t="s">
        <v>222</v>
      </c>
      <c r="H33" s="59" t="str">
        <f t="shared" si="20"/>
        <v>Soil depth for shrubs and perennials, m</v>
      </c>
      <c r="I33" s="75">
        <f t="shared" si="21"/>
        <v>0.4</v>
      </c>
      <c r="J33" s="59" t="str">
        <f t="shared" si="22"/>
        <v xml:space="preserve"> (Ariluoma, 2021)</v>
      </c>
      <c r="L33" s="26"/>
      <c r="M33" s="26" t="s">
        <v>268</v>
      </c>
      <c r="N33" s="26"/>
      <c r="O33" s="26"/>
      <c r="AD33" s="126" t="s">
        <v>387</v>
      </c>
      <c r="AE33" s="4">
        <v>43090.87</v>
      </c>
      <c r="AF33" s="4">
        <v>18666.88</v>
      </c>
      <c r="AG33" t="s">
        <v>394</v>
      </c>
      <c r="AH33">
        <v>500</v>
      </c>
      <c r="AI33" t="s">
        <v>404</v>
      </c>
    </row>
    <row r="34" spans="1:36" x14ac:dyDescent="0.35">
      <c r="A34" t="s">
        <v>184</v>
      </c>
      <c r="B34">
        <v>0.2</v>
      </c>
      <c r="C34" t="s">
        <v>155</v>
      </c>
      <c r="D34" t="s">
        <v>199</v>
      </c>
      <c r="F34" t="s">
        <v>223</v>
      </c>
      <c r="H34" s="59" t="str">
        <f t="shared" si="20"/>
        <v>Soil depth for lawn and meadow, m</v>
      </c>
      <c r="I34" s="75">
        <f t="shared" si="21"/>
        <v>0.2</v>
      </c>
      <c r="J34" s="59" t="str">
        <f t="shared" si="22"/>
        <v xml:space="preserve"> (Ariluoma, 2021)</v>
      </c>
      <c r="L34" s="26"/>
      <c r="M34" s="42">
        <f>M31/25</f>
        <v>5917.7708681884615</v>
      </c>
      <c r="N34" s="26" t="s">
        <v>269</v>
      </c>
      <c r="O34" s="26"/>
      <c r="AD34" s="126"/>
      <c r="AE34" s="4">
        <f>AE33*$AH$33/1000</f>
        <v>21545.435000000001</v>
      </c>
      <c r="AF34" s="4">
        <f>AF33*$AH$33/1000</f>
        <v>9333.44</v>
      </c>
      <c r="AG34" t="s">
        <v>29</v>
      </c>
    </row>
    <row r="35" spans="1:36" x14ac:dyDescent="0.35">
      <c r="A35" t="s">
        <v>190</v>
      </c>
      <c r="B35">
        <v>0.7</v>
      </c>
      <c r="C35" t="s">
        <v>155</v>
      </c>
      <c r="D35" t="s">
        <v>199</v>
      </c>
      <c r="F35" t="s">
        <v>224</v>
      </c>
      <c r="H35" s="59" t="str">
        <f t="shared" si="20"/>
        <v>Soil depth for large and small trees, m</v>
      </c>
      <c r="I35" s="75">
        <f t="shared" si="21"/>
        <v>0.7</v>
      </c>
      <c r="J35" s="59" t="str">
        <f t="shared" si="22"/>
        <v xml:space="preserve"> (Ariluoma, 2021)</v>
      </c>
      <c r="M35" s="42">
        <f>M32/25</f>
        <v>2595.5135386791503</v>
      </c>
      <c r="N35" s="26" t="s">
        <v>270</v>
      </c>
      <c r="AD35" s="126" t="s">
        <v>388</v>
      </c>
      <c r="AE35" s="4">
        <v>43748.46</v>
      </c>
      <c r="AF35" s="4">
        <v>18689.740000000002</v>
      </c>
      <c r="AG35" t="s">
        <v>394</v>
      </c>
      <c r="AH35">
        <v>242</v>
      </c>
    </row>
    <row r="36" spans="1:36" x14ac:dyDescent="0.35">
      <c r="A36" t="s">
        <v>205</v>
      </c>
      <c r="B36" s="18">
        <f>(932+525)/(1024+1113+610)</f>
        <v>0.53039679650527849</v>
      </c>
      <c r="C36" t="s">
        <v>137</v>
      </c>
      <c r="D36" t="s">
        <v>199</v>
      </c>
      <c r="E36" t="s">
        <v>208</v>
      </c>
      <c r="F36" t="s">
        <v>225</v>
      </c>
      <c r="H36" s="59" t="str">
        <f t="shared" si="20"/>
        <v>Fraction of planted area, shrubs and perennials, %</v>
      </c>
      <c r="I36" s="61">
        <f t="shared" si="21"/>
        <v>0.53039679650527849</v>
      </c>
      <c r="J36" s="59" t="str">
        <f t="shared" si="22"/>
        <v>% of planted area, shrubs and perennials (Ariluoma, 2021)</v>
      </c>
      <c r="M36" s="42">
        <f>M35*10000/1000000</f>
        <v>25.955135386791504</v>
      </c>
      <c r="N36" s="26" t="s">
        <v>271</v>
      </c>
      <c r="AD36" s="126"/>
      <c r="AE36" s="4">
        <f>AE35*$AH$35/1000</f>
        <v>10587.12732</v>
      </c>
      <c r="AF36" s="4">
        <f>AF35*$AH$35/1000</f>
        <v>4522.9170800000002</v>
      </c>
      <c r="AG36" t="s">
        <v>29</v>
      </c>
    </row>
    <row r="37" spans="1:36" x14ac:dyDescent="0.35">
      <c r="A37" t="s">
        <v>206</v>
      </c>
      <c r="B37" s="18">
        <f>(812+478)/(1024+1113+610)</f>
        <v>0.46960320349472151</v>
      </c>
      <c r="C37" t="s">
        <v>137</v>
      </c>
      <c r="D37" t="s">
        <v>199</v>
      </c>
      <c r="E37" t="s">
        <v>209</v>
      </c>
      <c r="F37" t="s">
        <v>226</v>
      </c>
      <c r="H37" s="59" t="str">
        <f t="shared" si="20"/>
        <v>Fraction of planted area, lawn and meadow, %</v>
      </c>
      <c r="I37" s="61">
        <f t="shared" si="21"/>
        <v>0.46960320349472151</v>
      </c>
      <c r="J37" s="59" t="str">
        <f t="shared" si="22"/>
        <v>% of planted area, lawn and meadow (Ariluoma, 2021)</v>
      </c>
      <c r="AD37" s="126" t="s">
        <v>389</v>
      </c>
      <c r="AE37" s="4">
        <v>44063.77</v>
      </c>
      <c r="AF37" s="4">
        <v>18700.7</v>
      </c>
      <c r="AG37" t="s">
        <v>394</v>
      </c>
      <c r="AH37">
        <v>194</v>
      </c>
    </row>
    <row r="38" spans="1:36" x14ac:dyDescent="0.35">
      <c r="A38" t="s">
        <v>207</v>
      </c>
      <c r="B38" s="18">
        <f>(44+38)/(1024+1113+610)</f>
        <v>2.9850746268656716E-2</v>
      </c>
      <c r="C38" t="s">
        <v>137</v>
      </c>
      <c r="D38" t="s">
        <v>199</v>
      </c>
      <c r="E38" t="s">
        <v>213</v>
      </c>
      <c r="F38" t="s">
        <v>227</v>
      </c>
      <c r="H38" s="59" t="str">
        <f t="shared" si="20"/>
        <v>Fraction of planted area, trees, %</v>
      </c>
      <c r="I38" s="61">
        <f t="shared" si="21"/>
        <v>2.9850746268656716E-2</v>
      </c>
      <c r="J38" s="59" t="str">
        <f>CONCATENATE(E38," (",D38,")")</f>
        <v>% of planted area, large and small trees  - Note: adds up to 103% (Ariluoma, 2021)</v>
      </c>
      <c r="AD38" s="126"/>
      <c r="AE38" s="4">
        <f>AE37*$AH$37/1000</f>
        <v>8548.3713799999987</v>
      </c>
      <c r="AF38" s="4">
        <f>AF37*$AH$37/1000</f>
        <v>3627.9358000000002</v>
      </c>
      <c r="AG38" t="s">
        <v>29</v>
      </c>
    </row>
    <row r="39" spans="1:36" x14ac:dyDescent="0.35">
      <c r="A39" t="s">
        <v>210</v>
      </c>
      <c r="B39" s="4">
        <f>$B$32*B33*B36</f>
        <v>92642.640456255307</v>
      </c>
      <c r="C39" t="s">
        <v>180</v>
      </c>
      <c r="D39" t="s">
        <v>159</v>
      </c>
      <c r="F39" t="s">
        <v>228</v>
      </c>
      <c r="H39" s="59" t="str">
        <f t="shared" si="20"/>
        <v>Landscaping soil volume, shrubs and perennials, m³</v>
      </c>
      <c r="I39" s="60">
        <f t="shared" si="21"/>
        <v>92642.640456255307</v>
      </c>
      <c r="J39" s="59" t="str">
        <f t="shared" si="22"/>
        <v xml:space="preserve"> (calculated)</v>
      </c>
      <c r="AD39" s="126" t="s">
        <v>390</v>
      </c>
      <c r="AE39" s="4">
        <v>43616.3</v>
      </c>
      <c r="AF39" s="4">
        <v>18685.150000000001</v>
      </c>
      <c r="AG39" t="s">
        <v>394</v>
      </c>
      <c r="AH39">
        <v>270</v>
      </c>
    </row>
    <row r="40" spans="1:36" x14ac:dyDescent="0.35">
      <c r="A40" t="s">
        <v>211</v>
      </c>
      <c r="B40" s="4">
        <f>$B$32*B34*B37</f>
        <v>41012.013105205675</v>
      </c>
      <c r="C40" t="s">
        <v>180</v>
      </c>
      <c r="D40" t="s">
        <v>159</v>
      </c>
      <c r="F40" t="s">
        <v>230</v>
      </c>
      <c r="H40" s="59" t="str">
        <f t="shared" si="20"/>
        <v>Landscaping soil volume, lawn and meadow, m³</v>
      </c>
      <c r="I40" s="60">
        <f t="shared" si="21"/>
        <v>41012.013105205675</v>
      </c>
      <c r="J40" s="59" t="str">
        <f t="shared" si="22"/>
        <v xml:space="preserve"> (calculated)</v>
      </c>
      <c r="L40" s="38"/>
      <c r="M40" s="125"/>
      <c r="N40" s="125"/>
      <c r="AD40" s="126"/>
      <c r="AE40" s="4">
        <f>AE39*$AH$39/1000</f>
        <v>11776.401</v>
      </c>
      <c r="AF40" s="4">
        <f>AF39*$AH$39/1000</f>
        <v>5044.9904999999999</v>
      </c>
      <c r="AG40" t="s">
        <v>29</v>
      </c>
    </row>
    <row r="41" spans="1:36" x14ac:dyDescent="0.35">
      <c r="A41" t="s">
        <v>212</v>
      </c>
      <c r="B41" s="4">
        <f>$B$32*B35*B38</f>
        <v>9124.3781094527349</v>
      </c>
      <c r="C41" t="s">
        <v>180</v>
      </c>
      <c r="D41" t="s">
        <v>159</v>
      </c>
      <c r="F41" t="s">
        <v>229</v>
      </c>
      <c r="H41" s="59" t="str">
        <f t="shared" si="20"/>
        <v>Landscaping soil volume, trees, m³</v>
      </c>
      <c r="I41" s="60">
        <f t="shared" si="21"/>
        <v>9124.3781094527349</v>
      </c>
      <c r="J41" s="59" t="str">
        <f t="shared" si="22"/>
        <v xml:space="preserve"> (calculated)</v>
      </c>
      <c r="L41" s="41"/>
      <c r="M41" s="43"/>
      <c r="N41" s="43"/>
    </row>
    <row r="42" spans="1:36" x14ac:dyDescent="0.35">
      <c r="A42" t="s">
        <v>186</v>
      </c>
      <c r="B42" s="30">
        <v>230000</v>
      </c>
      <c r="C42" t="s">
        <v>130</v>
      </c>
      <c r="D42" t="s">
        <v>214</v>
      </c>
      <c r="F42" t="s">
        <v>231</v>
      </c>
      <c r="H42" s="59" t="str">
        <f t="shared" si="20"/>
        <v>Public park area, m²</v>
      </c>
      <c r="I42" s="60">
        <f t="shared" si="21"/>
        <v>230000</v>
      </c>
      <c r="J42" s="59" t="str">
        <f t="shared" si="22"/>
        <v xml:space="preserve"> (measured in GIS, 2 parks identified + 4 större kvarterspark)</v>
      </c>
      <c r="L42" s="44"/>
    </row>
    <row r="43" spans="1:36" x14ac:dyDescent="0.35">
      <c r="A43" t="s">
        <v>218</v>
      </c>
      <c r="B43" s="34">
        <v>0.8</v>
      </c>
      <c r="C43" t="s">
        <v>137</v>
      </c>
      <c r="D43" t="s">
        <v>169</v>
      </c>
      <c r="F43" t="s">
        <v>232</v>
      </c>
      <c r="H43" s="59" t="str">
        <f t="shared" si="20"/>
        <v>Fraction of park planted, %</v>
      </c>
      <c r="I43" s="61">
        <f t="shared" si="21"/>
        <v>0.8</v>
      </c>
      <c r="J43" s="59" t="str">
        <f t="shared" si="22"/>
        <v xml:space="preserve"> (assumed)</v>
      </c>
      <c r="L43" s="46"/>
      <c r="AC43" t="s">
        <v>395</v>
      </c>
    </row>
    <row r="44" spans="1:36" x14ac:dyDescent="0.35">
      <c r="A44" t="s">
        <v>187</v>
      </c>
      <c r="B44">
        <v>0.4</v>
      </c>
      <c r="C44" t="s">
        <v>155</v>
      </c>
      <c r="D44" t="s">
        <v>199</v>
      </c>
      <c r="F44" t="s">
        <v>222</v>
      </c>
      <c r="H44" s="59" t="str">
        <f t="shared" si="20"/>
        <v>Soil depth for shrubs and perennials, m</v>
      </c>
      <c r="I44" s="75">
        <f t="shared" si="21"/>
        <v>0.4</v>
      </c>
      <c r="J44" s="59" t="str">
        <f t="shared" si="22"/>
        <v xml:space="preserve"> (Ariluoma, 2021)</v>
      </c>
      <c r="L44" s="46"/>
    </row>
    <row r="45" spans="1:36" x14ac:dyDescent="0.35">
      <c r="A45" t="s">
        <v>188</v>
      </c>
      <c r="B45">
        <v>0.2</v>
      </c>
      <c r="C45" t="s">
        <v>155</v>
      </c>
      <c r="D45" t="s">
        <v>199</v>
      </c>
      <c r="F45" t="s">
        <v>223</v>
      </c>
      <c r="H45" s="59" t="str">
        <f t="shared" si="20"/>
        <v>Soil depth for lawn and meadow, m</v>
      </c>
      <c r="I45" s="75">
        <f t="shared" si="21"/>
        <v>0.2</v>
      </c>
      <c r="J45" s="59" t="str">
        <f t="shared" si="22"/>
        <v xml:space="preserve"> (Ariluoma, 2021)</v>
      </c>
      <c r="L45" s="46"/>
      <c r="AE45" s="15" t="s">
        <v>372</v>
      </c>
      <c r="AF45" s="15" t="s">
        <v>393</v>
      </c>
      <c r="AG45" t="s">
        <v>405</v>
      </c>
    </row>
    <row r="46" spans="1:36" x14ac:dyDescent="0.35">
      <c r="A46" t="s">
        <v>189</v>
      </c>
      <c r="B46">
        <v>0.7</v>
      </c>
      <c r="C46" t="s">
        <v>155</v>
      </c>
      <c r="D46" t="s">
        <v>199</v>
      </c>
      <c r="F46" t="s">
        <v>224</v>
      </c>
      <c r="H46" s="59" t="str">
        <f t="shared" si="20"/>
        <v>Soil depth for large and small trees, m</v>
      </c>
      <c r="I46" s="75">
        <f t="shared" si="21"/>
        <v>0.7</v>
      </c>
      <c r="J46" s="59" t="str">
        <f t="shared" si="22"/>
        <v xml:space="preserve"> (Ariluoma, 2021)</v>
      </c>
      <c r="L46" s="46"/>
      <c r="AD46" s="109" t="s">
        <v>387</v>
      </c>
      <c r="AE46" s="4">
        <v>59182</v>
      </c>
      <c r="AF46" s="4">
        <v>25571</v>
      </c>
      <c r="AH46" s="14">
        <v>0.93400000000000005</v>
      </c>
    </row>
    <row r="47" spans="1:36" x14ac:dyDescent="0.35">
      <c r="A47" t="s">
        <v>191</v>
      </c>
      <c r="B47" s="28">
        <f>$B$42*$B$43*B36</f>
        <v>97593.010556971247</v>
      </c>
      <c r="C47" t="s">
        <v>130</v>
      </c>
      <c r="D47" t="s">
        <v>159</v>
      </c>
      <c r="F47" t="s">
        <v>233</v>
      </c>
      <c r="H47" s="59" t="str">
        <f t="shared" si="20"/>
        <v>Park area for shrubs and perennials, m²</v>
      </c>
      <c r="I47" s="60">
        <f t="shared" si="21"/>
        <v>97593.010556971247</v>
      </c>
      <c r="J47" s="59" t="str">
        <f t="shared" si="22"/>
        <v xml:space="preserve"> (calculated)</v>
      </c>
      <c r="L47" s="46"/>
      <c r="AD47" s="109" t="s">
        <v>388</v>
      </c>
      <c r="AE47" s="4">
        <v>21808.019</v>
      </c>
      <c r="AF47" s="4">
        <v>9272.4159999999993</v>
      </c>
      <c r="AH47" s="14">
        <v>0.69899999999999995</v>
      </c>
      <c r="AI47" s="110">
        <f>$AH$46*$AH$33/AH47/AH35</f>
        <v>2.7607325695503615</v>
      </c>
      <c r="AJ47" s="110">
        <f>$AE$46/AE47</f>
        <v>2.7137723972085679</v>
      </c>
    </row>
    <row r="48" spans="1:36" x14ac:dyDescent="0.35">
      <c r="A48" t="s">
        <v>192</v>
      </c>
      <c r="B48" s="28">
        <f>$B$42*$B$43*B37</f>
        <v>86406.989443028753</v>
      </c>
      <c r="C48" t="s">
        <v>130</v>
      </c>
      <c r="D48" t="s">
        <v>159</v>
      </c>
      <c r="F48" t="s">
        <v>234</v>
      </c>
      <c r="H48" s="59" t="str">
        <f t="shared" si="20"/>
        <v>Park area for lawn and meadow, m²</v>
      </c>
      <c r="I48" s="60">
        <f t="shared" si="21"/>
        <v>86406.989443028753</v>
      </c>
      <c r="J48" s="59" t="str">
        <f t="shared" si="22"/>
        <v xml:space="preserve"> (calculated)</v>
      </c>
      <c r="AD48" s="109" t="s">
        <v>389</v>
      </c>
      <c r="AE48" s="4">
        <v>23118.15</v>
      </c>
      <c r="AF48" s="4">
        <v>9748</v>
      </c>
      <c r="AH48" s="14">
        <v>0.91600000000000004</v>
      </c>
      <c r="AI48" s="110">
        <f>$AH$46*$AH$33/AH48/AH37</f>
        <v>2.6279656057263763</v>
      </c>
      <c r="AJ48" s="110">
        <f>$AE$46/AE48</f>
        <v>2.5599799291898355</v>
      </c>
    </row>
    <row r="49" spans="1:36" x14ac:dyDescent="0.35">
      <c r="A49" t="s">
        <v>217</v>
      </c>
      <c r="B49" s="28">
        <f>$B$42*$B$43*B38</f>
        <v>5492.5373134328356</v>
      </c>
      <c r="C49" t="s">
        <v>130</v>
      </c>
      <c r="D49" t="s">
        <v>159</v>
      </c>
      <c r="F49" t="s">
        <v>235</v>
      </c>
      <c r="H49" s="59" t="str">
        <f t="shared" si="20"/>
        <v>Park area for trees, m²</v>
      </c>
      <c r="I49" s="60">
        <f t="shared" si="21"/>
        <v>5492.5373134328356</v>
      </c>
      <c r="J49" s="59" t="str">
        <f t="shared" si="22"/>
        <v xml:space="preserve"> (calculated)</v>
      </c>
      <c r="AD49" s="109" t="s">
        <v>390</v>
      </c>
      <c r="AE49" s="4">
        <v>28314.628810999999</v>
      </c>
      <c r="AF49" s="4">
        <v>12075.234574</v>
      </c>
      <c r="AH49" s="14">
        <v>0.81599999999999995</v>
      </c>
      <c r="AI49" s="110">
        <f>$AH$46*$AH$33/AH49/AH39</f>
        <v>2.1196441539578799</v>
      </c>
      <c r="AJ49" s="110">
        <f>$AE$46/AE49</f>
        <v>2.0901563073646328</v>
      </c>
    </row>
    <row r="50" spans="1:36" x14ac:dyDescent="0.35">
      <c r="A50" s="39" t="s">
        <v>193</v>
      </c>
      <c r="B50" s="31">
        <f>SUM(B39:B41)</f>
        <v>142779.03167091371</v>
      </c>
      <c r="C50" s="1" t="s">
        <v>180</v>
      </c>
      <c r="D50" t="s">
        <v>159</v>
      </c>
      <c r="F50" t="s">
        <v>215</v>
      </c>
      <c r="H50" s="59" t="str">
        <f t="shared" ref="H50:H55" si="26">CONCATENATE(F50,", ", C50)</f>
        <v>Landscaping soil B, residential yards, m³</v>
      </c>
      <c r="I50" s="60">
        <f t="shared" ref="I50:I55" si="27">B50</f>
        <v>142779.03167091371</v>
      </c>
      <c r="J50" s="59" t="str">
        <f t="shared" ref="J50:J55" si="28">CONCATENATE(E50," (",D50,")")</f>
        <v xml:space="preserve"> (calculated)</v>
      </c>
      <c r="AD50" s="108"/>
    </row>
    <row r="51" spans="1:36" x14ac:dyDescent="0.35">
      <c r="A51" s="39" t="s">
        <v>194</v>
      </c>
      <c r="B51" s="31">
        <f>B47*B44+B48*B45+B49*B46</f>
        <v>60163.378230797243</v>
      </c>
      <c r="C51" s="1" t="s">
        <v>180</v>
      </c>
      <c r="D51" t="s">
        <v>159</v>
      </c>
      <c r="F51" t="s">
        <v>216</v>
      </c>
      <c r="H51" s="59" t="str">
        <f t="shared" si="26"/>
        <v>Landscaping soil B, public parks, m³</v>
      </c>
      <c r="I51" s="60">
        <f t="shared" si="27"/>
        <v>60163.378230797243</v>
      </c>
      <c r="J51" s="59" t="str">
        <f t="shared" si="28"/>
        <v xml:space="preserve"> (calculated)</v>
      </c>
      <c r="AC51" t="s">
        <v>396</v>
      </c>
      <c r="AF51" t="s">
        <v>398</v>
      </c>
      <c r="AG51">
        <f>25%</f>
        <v>0.25</v>
      </c>
    </row>
    <row r="52" spans="1:36" x14ac:dyDescent="0.35">
      <c r="A52" t="s">
        <v>289</v>
      </c>
      <c r="B52">
        <v>1E-3</v>
      </c>
      <c r="C52" s="39" t="s">
        <v>291</v>
      </c>
      <c r="D52" t="s">
        <v>169</v>
      </c>
      <c r="E52" t="s">
        <v>293</v>
      </c>
      <c r="F52" t="s">
        <v>292</v>
      </c>
      <c r="H52" s="59" t="str">
        <f t="shared" ref="H52:H53" si="29">CONCATENATE(F52,", ", C52)</f>
        <v>Landscaping soil refill, residential yards, m³ m⁻² year⁻¹</v>
      </c>
      <c r="I52" s="82">
        <f t="shared" ref="I52:I53" si="30">B52</f>
        <v>1E-3</v>
      </c>
      <c r="J52" s="59" t="str">
        <f t="shared" ref="J52:J53" si="31">CONCATENATE(E52," (",D52,")")</f>
        <v>per planted area (assumed)</v>
      </c>
      <c r="AD52" s="108"/>
      <c r="AE52" s="15" t="s">
        <v>372</v>
      </c>
      <c r="AI52" t="s">
        <v>399</v>
      </c>
    </row>
    <row r="53" spans="1:36" x14ac:dyDescent="0.35">
      <c r="A53" t="s">
        <v>290</v>
      </c>
      <c r="B53">
        <v>1E-3</v>
      </c>
      <c r="C53" s="39" t="s">
        <v>291</v>
      </c>
      <c r="D53" t="s">
        <v>169</v>
      </c>
      <c r="E53" t="s">
        <v>293</v>
      </c>
      <c r="F53" t="s">
        <v>294</v>
      </c>
      <c r="H53" s="59" t="str">
        <f t="shared" si="29"/>
        <v>Landscaping soil refill, public parks, m³ m⁻² year⁻¹</v>
      </c>
      <c r="I53" s="82">
        <f t="shared" si="30"/>
        <v>1E-3</v>
      </c>
      <c r="J53" s="59" t="str">
        <f t="shared" si="31"/>
        <v>per planted area (assumed)</v>
      </c>
      <c r="AD53" s="109" t="s">
        <v>387</v>
      </c>
      <c r="AE53" s="4">
        <f>AE34/$AG$51</f>
        <v>86181.74</v>
      </c>
      <c r="AF53" s="4">
        <f>AF34/$AG$51</f>
        <v>37333.760000000002</v>
      </c>
      <c r="AH53" t="s">
        <v>397</v>
      </c>
      <c r="AI53" t="s">
        <v>400</v>
      </c>
    </row>
    <row r="54" spans="1:36" x14ac:dyDescent="0.35">
      <c r="A54" s="78" t="s">
        <v>331</v>
      </c>
      <c r="H54" s="36"/>
      <c r="I54" s="35"/>
      <c r="J54" s="36"/>
      <c r="AD54" s="109" t="s">
        <v>388</v>
      </c>
      <c r="AE54" s="4">
        <f>AE36/$AG$51</f>
        <v>42348.509279999998</v>
      </c>
      <c r="AF54" s="4">
        <f>AF36/$AG$51</f>
        <v>18091.668320000001</v>
      </c>
      <c r="AH54" t="s">
        <v>397</v>
      </c>
      <c r="AI54" t="s">
        <v>401</v>
      </c>
    </row>
    <row r="55" spans="1:36" x14ac:dyDescent="0.35">
      <c r="A55" t="s">
        <v>197</v>
      </c>
      <c r="B55" s="4">
        <v>2822100</v>
      </c>
      <c r="C55" t="s">
        <v>130</v>
      </c>
      <c r="D55" t="s">
        <v>131</v>
      </c>
      <c r="E55" t="s">
        <v>132</v>
      </c>
      <c r="F55" t="s">
        <v>198</v>
      </c>
      <c r="H55" s="26" t="str">
        <f t="shared" si="26"/>
        <v>Building facade area, m²</v>
      </c>
      <c r="I55" s="27">
        <f t="shared" si="27"/>
        <v>2822100</v>
      </c>
      <c r="J55" s="26" t="str">
        <f t="shared" si="28"/>
        <v>from municipal office (Jedland, 2020)</v>
      </c>
      <c r="AD55" s="109" t="s">
        <v>389</v>
      </c>
      <c r="AE55" s="4">
        <f>AE38/$AG$51</f>
        <v>34193.485519999995</v>
      </c>
      <c r="AF55" s="4">
        <f>AF38/$AG$51</f>
        <v>14511.743200000001</v>
      </c>
      <c r="AH55" t="s">
        <v>397</v>
      </c>
      <c r="AI55" t="s">
        <v>403</v>
      </c>
    </row>
    <row r="56" spans="1:36" x14ac:dyDescent="0.35">
      <c r="A56" s="78" t="s">
        <v>331</v>
      </c>
      <c r="B56" s="4"/>
      <c r="H56" s="26"/>
      <c r="I56" s="27"/>
      <c r="J56" s="26"/>
      <c r="AD56" s="109" t="s">
        <v>390</v>
      </c>
      <c r="AE56" s="4">
        <f>AE40/$AG$51</f>
        <v>47105.603999999999</v>
      </c>
      <c r="AF56" s="4">
        <f>AF40/$AG$51</f>
        <v>20179.962</v>
      </c>
      <c r="AH56" t="s">
        <v>397</v>
      </c>
      <c r="AI56" t="s">
        <v>402</v>
      </c>
    </row>
    <row r="57" spans="1:36" x14ac:dyDescent="0.35">
      <c r="A57" s="78" t="s">
        <v>331</v>
      </c>
      <c r="B57">
        <f>B50/B32</f>
        <v>0.32697488168911543</v>
      </c>
      <c r="H57" s="74" t="s">
        <v>296</v>
      </c>
      <c r="I57" s="27"/>
      <c r="J57" s="26"/>
    </row>
    <row r="58" spans="1:36" x14ac:dyDescent="0.35">
      <c r="A58" s="78" t="s">
        <v>331</v>
      </c>
      <c r="B58">
        <f>B51/B42/B43</f>
        <v>0.32697488168911548</v>
      </c>
      <c r="H58" s="54" t="s">
        <v>150</v>
      </c>
      <c r="I58" s="55" t="s">
        <v>126</v>
      </c>
      <c r="J58" s="54" t="s">
        <v>128</v>
      </c>
      <c r="AC58" t="s">
        <v>407</v>
      </c>
    </row>
    <row r="59" spans="1:36" x14ac:dyDescent="0.35">
      <c r="A59" s="78" t="s">
        <v>331</v>
      </c>
      <c r="H59" s="56" t="s">
        <v>308</v>
      </c>
      <c r="I59" s="57"/>
      <c r="J59" s="58"/>
      <c r="AE59" s="15" t="s">
        <v>372</v>
      </c>
    </row>
    <row r="60" spans="1:36" x14ac:dyDescent="0.35">
      <c r="A60" t="s">
        <v>43</v>
      </c>
      <c r="B60" s="8">
        <f>223.7*81.55%</f>
        <v>182.42734999999999</v>
      </c>
      <c r="C60" t="s">
        <v>41</v>
      </c>
      <c r="D60" t="s">
        <v>297</v>
      </c>
      <c r="F60" t="s">
        <v>298</v>
      </c>
      <c r="H60" s="59" t="str">
        <f t="shared" ref="H60" si="32">CONCATENATE(F60,", ", C60)</f>
        <v>Forest area cleared cut, ha</v>
      </c>
      <c r="I60" s="60">
        <f t="shared" ref="I60" si="33">B60</f>
        <v>182.42734999999999</v>
      </c>
      <c r="J60" s="59" t="str">
        <f t="shared" ref="J60" si="34">CONCATENATE(E60," (",D60,")")</f>
        <v xml:space="preserve"> (MSc LUC in SÖS)</v>
      </c>
      <c r="AD60" s="113" t="s">
        <v>387</v>
      </c>
    </row>
    <row r="61" spans="1:36" x14ac:dyDescent="0.35">
      <c r="A61" t="s">
        <v>47</v>
      </c>
      <c r="B61" s="6">
        <v>0.79</v>
      </c>
      <c r="C61" t="s">
        <v>137</v>
      </c>
      <c r="D61" t="s">
        <v>297</v>
      </c>
      <c r="F61" t="s">
        <v>299</v>
      </c>
      <c r="H61" s="59" t="str">
        <f t="shared" ref="H61:H67" si="35">CONCATENATE(F61,", ", C61)</f>
        <v>Spieces distribution, pine, %</v>
      </c>
      <c r="I61" s="61">
        <f t="shared" ref="I61:I67" si="36">B61</f>
        <v>0.79</v>
      </c>
      <c r="J61" s="59" t="str">
        <f t="shared" ref="J61:J67" si="37">CONCATENATE(E61," (",D61,")")</f>
        <v xml:space="preserve"> (MSc LUC in SÖS)</v>
      </c>
      <c r="AD61" s="113" t="s">
        <v>388</v>
      </c>
    </row>
    <row r="62" spans="1:36" x14ac:dyDescent="0.35">
      <c r="A62" t="s">
        <v>49</v>
      </c>
      <c r="B62" s="6">
        <v>0.11</v>
      </c>
      <c r="C62" t="s">
        <v>137</v>
      </c>
      <c r="D62" t="s">
        <v>297</v>
      </c>
      <c r="F62" t="s">
        <v>300</v>
      </c>
      <c r="H62" s="59" t="str">
        <f t="shared" si="35"/>
        <v>Spieces distribution, spruce, %</v>
      </c>
      <c r="I62" s="61">
        <f t="shared" si="36"/>
        <v>0.11</v>
      </c>
      <c r="J62" s="59" t="str">
        <f t="shared" si="37"/>
        <v xml:space="preserve"> (MSc LUC in SÖS)</v>
      </c>
      <c r="AD62" s="113" t="s">
        <v>389</v>
      </c>
    </row>
    <row r="63" spans="1:36" x14ac:dyDescent="0.35">
      <c r="A63" t="s">
        <v>48</v>
      </c>
      <c r="B63" s="6">
        <v>0.06</v>
      </c>
      <c r="C63" t="s">
        <v>137</v>
      </c>
      <c r="D63" t="s">
        <v>297</v>
      </c>
      <c r="F63" t="s">
        <v>301</v>
      </c>
      <c r="H63" s="59" t="str">
        <f t="shared" si="35"/>
        <v>Spieces distribution, birch, %</v>
      </c>
      <c r="I63" s="61">
        <f t="shared" si="36"/>
        <v>0.06</v>
      </c>
      <c r="J63" s="59" t="str">
        <f t="shared" si="37"/>
        <v xml:space="preserve"> (MSc LUC in SÖS)</v>
      </c>
      <c r="AD63" s="113" t="s">
        <v>390</v>
      </c>
    </row>
    <row r="64" spans="1:36" x14ac:dyDescent="0.35">
      <c r="A64" t="s">
        <v>50</v>
      </c>
      <c r="B64" s="7">
        <v>91.9</v>
      </c>
      <c r="C64" t="s">
        <v>40</v>
      </c>
      <c r="D64" t="s">
        <v>297</v>
      </c>
      <c r="F64" t="s">
        <v>302</v>
      </c>
      <c r="H64" s="59" t="str">
        <f t="shared" si="35"/>
        <v>Average tree age, year</v>
      </c>
      <c r="I64" s="60">
        <f t="shared" si="36"/>
        <v>91.9</v>
      </c>
      <c r="J64" s="59" t="str">
        <f t="shared" si="37"/>
        <v xml:space="preserve"> (MSc LUC in SÖS)</v>
      </c>
    </row>
    <row r="65" spans="1:10" x14ac:dyDescent="0.35">
      <c r="A65" t="s">
        <v>51</v>
      </c>
      <c r="B65" s="7">
        <v>181</v>
      </c>
      <c r="C65" t="s">
        <v>311</v>
      </c>
      <c r="D65" t="s">
        <v>297</v>
      </c>
      <c r="F65" t="s">
        <v>303</v>
      </c>
      <c r="H65" s="59" t="str">
        <f t="shared" si="35"/>
        <v>Average standing wood volume, m³ ha⁻¹</v>
      </c>
      <c r="I65" s="60">
        <f t="shared" si="36"/>
        <v>181</v>
      </c>
      <c r="J65" s="59" t="str">
        <f t="shared" si="37"/>
        <v xml:space="preserve"> (MSc LUC in SÖS)</v>
      </c>
    </row>
    <row r="66" spans="1:10" x14ac:dyDescent="0.35">
      <c r="A66" t="s">
        <v>56</v>
      </c>
      <c r="B66" s="7">
        <v>113</v>
      </c>
      <c r="C66" t="s">
        <v>312</v>
      </c>
      <c r="D66" t="s">
        <v>297</v>
      </c>
      <c r="F66" t="s">
        <v>304</v>
      </c>
      <c r="H66" s="59" t="str">
        <f t="shared" si="35"/>
        <v>Average standing wood mass, t ha⁻¹</v>
      </c>
      <c r="I66" s="60">
        <f t="shared" si="36"/>
        <v>113</v>
      </c>
      <c r="J66" s="59" t="str">
        <f t="shared" si="37"/>
        <v xml:space="preserve"> (MSc LUC in SÖS)</v>
      </c>
    </row>
    <row r="67" spans="1:10" x14ac:dyDescent="0.35">
      <c r="A67" t="s">
        <v>53</v>
      </c>
      <c r="B67" s="2">
        <f>B60*B65</f>
        <v>33019.350350000001</v>
      </c>
      <c r="C67" t="s">
        <v>313</v>
      </c>
      <c r="D67" t="s">
        <v>159</v>
      </c>
      <c r="F67" t="s">
        <v>305</v>
      </c>
      <c r="H67" s="59" t="str">
        <f t="shared" si="35"/>
        <v xml:space="preserve">Final cleared wood volume, m³ </v>
      </c>
      <c r="I67" s="60">
        <f t="shared" si="36"/>
        <v>33019.350350000001</v>
      </c>
      <c r="J67" s="59" t="str">
        <f t="shared" si="37"/>
        <v xml:space="preserve"> (calculated)</v>
      </c>
    </row>
    <row r="68" spans="1:10" x14ac:dyDescent="0.35">
      <c r="A68" t="s">
        <v>54</v>
      </c>
      <c r="B68" s="2">
        <f>B60*B66</f>
        <v>20614.290549999998</v>
      </c>
      <c r="C68" t="s">
        <v>29</v>
      </c>
      <c r="D68" t="s">
        <v>159</v>
      </c>
      <c r="F68" t="s">
        <v>314</v>
      </c>
      <c r="H68" s="59" t="str">
        <f t="shared" ref="H68" si="38">CONCATENATE(F68,", ", C68)</f>
        <v>Final cleared wood mass, wet, t</v>
      </c>
      <c r="I68" s="60">
        <f t="shared" ref="I68" si="39">B68</f>
        <v>20614.290549999998</v>
      </c>
      <c r="J68" s="59" t="str">
        <f t="shared" ref="J68" si="40">CONCATENATE(E68," (",D68,")")</f>
        <v xml:space="preserve"> (calculated)</v>
      </c>
    </row>
    <row r="69" spans="1:10" x14ac:dyDescent="0.35">
      <c r="A69" t="s">
        <v>307</v>
      </c>
      <c r="B69" s="6">
        <v>0.5</v>
      </c>
      <c r="C69" t="s">
        <v>137</v>
      </c>
      <c r="D69" t="s">
        <v>169</v>
      </c>
      <c r="F69" t="s">
        <v>306</v>
      </c>
      <c r="H69" s="59" t="str">
        <f t="shared" ref="H69" si="41">CONCATENATE(F69,", ", C69)</f>
        <v>Moisture content at harvest, %</v>
      </c>
      <c r="I69" s="61">
        <f t="shared" ref="I69" si="42">B69</f>
        <v>0.5</v>
      </c>
      <c r="J69" s="59" t="str">
        <f t="shared" ref="J69" si="43">CONCATENATE(E69," (",D69,")")</f>
        <v xml:space="preserve"> (assumed)</v>
      </c>
    </row>
    <row r="70" spans="1:10" x14ac:dyDescent="0.35">
      <c r="A70" t="s">
        <v>310</v>
      </c>
      <c r="B70" s="2">
        <f>B68*(1-B69)</f>
        <v>10307.145274999999</v>
      </c>
      <c r="C70" t="s">
        <v>29</v>
      </c>
      <c r="D70" t="s">
        <v>159</v>
      </c>
      <c r="F70" t="s">
        <v>309</v>
      </c>
      <c r="H70" s="59" t="str">
        <f t="shared" ref="H70" si="44">CONCATENATE(F70,", ", C70)</f>
        <v>Final cleared wood mass, dry, t</v>
      </c>
      <c r="I70" s="60">
        <f t="shared" ref="I70" si="45">B70</f>
        <v>10307.145274999999</v>
      </c>
      <c r="J70" s="59" t="str">
        <f t="shared" ref="J70" si="46">CONCATENATE(E70," (",D70,")")</f>
        <v xml:space="preserve"> (calculated)</v>
      </c>
    </row>
    <row r="71" spans="1:10" x14ac:dyDescent="0.35">
      <c r="A71" s="78" t="s">
        <v>331</v>
      </c>
      <c r="B71" s="2"/>
      <c r="H71" s="62" t="s">
        <v>315</v>
      </c>
      <c r="I71" s="76"/>
      <c r="J71" s="77"/>
    </row>
    <row r="72" spans="1:10" x14ac:dyDescent="0.35">
      <c r="A72" t="s">
        <v>324</v>
      </c>
      <c r="B72">
        <v>0.01</v>
      </c>
      <c r="C72" t="s">
        <v>322</v>
      </c>
      <c r="D72" t="s">
        <v>169</v>
      </c>
      <c r="F72" t="s">
        <v>328</v>
      </c>
      <c r="H72" s="59" t="str">
        <f t="shared" ref="H72" si="47">CONCATENATE(F72,", ", C72)</f>
        <v>Woody garden waste per yard planted area, dry, t m⁻² year⁻¹</v>
      </c>
      <c r="I72" s="75">
        <f t="shared" ref="I72" si="48">B72</f>
        <v>0.01</v>
      </c>
      <c r="J72" s="59" t="str">
        <f t="shared" ref="J72" si="49">CONCATENATE(E72," (",D72,")")</f>
        <v xml:space="preserve"> (assumed)</v>
      </c>
    </row>
    <row r="73" spans="1:10" x14ac:dyDescent="0.35">
      <c r="A73" t="s">
        <v>325</v>
      </c>
      <c r="B73" s="28">
        <f>B72*(B30*B31)</f>
        <v>4366.6666666666661</v>
      </c>
      <c r="C73" t="s">
        <v>323</v>
      </c>
      <c r="D73" t="s">
        <v>159</v>
      </c>
      <c r="F73" t="s">
        <v>329</v>
      </c>
      <c r="H73" s="59" t="str">
        <f t="shared" ref="H73:H74" si="50">CONCATENATE(F73,", ", C73)</f>
        <v>Woody garden waste production, yards, dry, t year⁻¹</v>
      </c>
      <c r="I73" s="60">
        <f t="shared" ref="I73:I74" si="51">B73</f>
        <v>4366.6666666666661</v>
      </c>
      <c r="J73" s="59" t="str">
        <f t="shared" ref="J73:J74" si="52">CONCATENATE(E73," (",D73,")")</f>
        <v xml:space="preserve"> (calculated)</v>
      </c>
    </row>
    <row r="74" spans="1:10" x14ac:dyDescent="0.35">
      <c r="A74" t="s">
        <v>326</v>
      </c>
      <c r="B74">
        <v>5.0000000000000001E-3</v>
      </c>
      <c r="C74" t="s">
        <v>322</v>
      </c>
      <c r="D74" t="s">
        <v>169</v>
      </c>
      <c r="F74" t="s">
        <v>328</v>
      </c>
      <c r="H74" s="59" t="str">
        <f t="shared" si="50"/>
        <v>Woody garden waste per yard planted area, dry, t m⁻² year⁻¹</v>
      </c>
      <c r="I74" s="75">
        <f t="shared" si="51"/>
        <v>5.0000000000000001E-3</v>
      </c>
      <c r="J74" s="59" t="str">
        <f t="shared" si="52"/>
        <v xml:space="preserve"> (assumed)</v>
      </c>
    </row>
    <row r="75" spans="1:10" x14ac:dyDescent="0.35">
      <c r="A75" t="s">
        <v>327</v>
      </c>
      <c r="B75" s="28">
        <f>B74*(B42*B43)</f>
        <v>920</v>
      </c>
      <c r="C75" t="s">
        <v>323</v>
      </c>
      <c r="D75" t="s">
        <v>159</v>
      </c>
      <c r="F75" t="s">
        <v>330</v>
      </c>
      <c r="H75" s="59" t="str">
        <f t="shared" ref="H75" si="53">CONCATENATE(F75,", ", C75)</f>
        <v>Woody garden waste production, parks dry, t year⁻¹</v>
      </c>
      <c r="I75" s="60">
        <f t="shared" ref="I75" si="54">B75</f>
        <v>920</v>
      </c>
      <c r="J75" s="59" t="str">
        <f t="shared" ref="J75" si="55">CONCATENATE(E75," (",D75,")")</f>
        <v xml:space="preserve"> (calculated)</v>
      </c>
    </row>
    <row r="76" spans="1:10" x14ac:dyDescent="0.35">
      <c r="A76" s="78" t="s">
        <v>331</v>
      </c>
      <c r="H76" s="59"/>
      <c r="I76" s="61"/>
      <c r="J76" s="59"/>
    </row>
    <row r="77" spans="1:10" x14ac:dyDescent="0.35">
      <c r="A77" s="78" t="s">
        <v>331</v>
      </c>
      <c r="H77" s="62" t="s">
        <v>316</v>
      </c>
      <c r="I77" s="63"/>
      <c r="J77" s="64"/>
    </row>
    <row r="78" spans="1:10" x14ac:dyDescent="0.35">
      <c r="A78" t="s">
        <v>317</v>
      </c>
      <c r="B78">
        <v>2.2799999999999998</v>
      </c>
      <c r="C78" t="s">
        <v>320</v>
      </c>
      <c r="D78" t="s">
        <v>319</v>
      </c>
      <c r="E78" t="s">
        <v>321</v>
      </c>
      <c r="F78" t="s">
        <v>318</v>
      </c>
      <c r="H78" s="59" t="str">
        <f t="shared" ref="H78" si="56">CONCATENATE(F78,", ", C78)</f>
        <v>Willow yield, dry, t ha⁻¹ year⁻¹</v>
      </c>
      <c r="I78" s="75">
        <f t="shared" ref="I78" si="57">B78</f>
        <v>2.2799999999999998</v>
      </c>
      <c r="J78" s="59" t="str">
        <f t="shared" ref="J78" si="58">CONCATENATE(E78," (",D78,")")</f>
        <v>short rotation coppice over 25 years, on fallow land (Hammar, 2014)</v>
      </c>
    </row>
    <row r="79" spans="1:10" x14ac:dyDescent="0.35">
      <c r="H79" s="59"/>
      <c r="I79" s="60"/>
      <c r="J79" s="59"/>
    </row>
    <row r="84" spans="8:11" x14ac:dyDescent="0.35">
      <c r="H84" t="s">
        <v>42</v>
      </c>
      <c r="I84" s="6">
        <v>0.3</v>
      </c>
      <c r="J84" t="s">
        <v>57</v>
      </c>
      <c r="K84"/>
    </row>
    <row r="85" spans="8:11" x14ac:dyDescent="0.35">
      <c r="H85" t="s">
        <v>52</v>
      </c>
      <c r="I85" s="2">
        <f>I84*B68</f>
        <v>6184.2871649999988</v>
      </c>
      <c r="J85" t="s">
        <v>55</v>
      </c>
      <c r="K85"/>
    </row>
    <row r="86" spans="8:11" x14ac:dyDescent="0.35">
      <c r="H86" t="s">
        <v>58</v>
      </c>
      <c r="I86">
        <v>6</v>
      </c>
      <c r="J86" t="s">
        <v>39</v>
      </c>
      <c r="K86" t="s">
        <v>46</v>
      </c>
    </row>
    <row r="87" spans="8:11" x14ac:dyDescent="0.35">
      <c r="H87" t="s">
        <v>59</v>
      </c>
      <c r="I87">
        <v>5</v>
      </c>
      <c r="J87" t="s">
        <v>60</v>
      </c>
      <c r="K87"/>
    </row>
    <row r="88" spans="8:11" x14ac:dyDescent="0.35">
      <c r="H88" t="s">
        <v>69</v>
      </c>
      <c r="K88"/>
    </row>
    <row r="89" spans="8:11" x14ac:dyDescent="0.35">
      <c r="H89" t="s">
        <v>61</v>
      </c>
      <c r="I89" s="6">
        <v>0.25</v>
      </c>
      <c r="J89" t="s">
        <v>66</v>
      </c>
      <c r="K89"/>
    </row>
    <row r="90" spans="8:11" x14ac:dyDescent="0.35">
      <c r="H90" t="s">
        <v>62</v>
      </c>
      <c r="I90" s="6">
        <v>0.2</v>
      </c>
      <c r="J90" t="s">
        <v>66</v>
      </c>
      <c r="K90"/>
    </row>
    <row r="91" spans="8:11" x14ac:dyDescent="0.35">
      <c r="H91" t="s">
        <v>63</v>
      </c>
      <c r="I91" s="3">
        <v>150</v>
      </c>
      <c r="J91" t="s">
        <v>65</v>
      </c>
      <c r="K91"/>
    </row>
    <row r="92" spans="8:11" x14ac:dyDescent="0.35">
      <c r="H92" t="s">
        <v>64</v>
      </c>
      <c r="I92" s="3">
        <v>240</v>
      </c>
      <c r="J92" t="s">
        <v>65</v>
      </c>
      <c r="K92"/>
    </row>
    <row r="93" spans="8:11" x14ac:dyDescent="0.35">
      <c r="H93" t="s">
        <v>117</v>
      </c>
      <c r="I93" s="2">
        <v>1028200</v>
      </c>
      <c r="J93" t="s">
        <v>30</v>
      </c>
      <c r="K93" t="s">
        <v>45</v>
      </c>
    </row>
    <row r="94" spans="8:11" x14ac:dyDescent="0.35">
      <c r="H94" t="s">
        <v>195</v>
      </c>
      <c r="K94"/>
    </row>
    <row r="95" spans="8:11" x14ac:dyDescent="0.35">
      <c r="H95" s="29" t="s">
        <v>196</v>
      </c>
      <c r="K95"/>
    </row>
  </sheetData>
  <mergeCells count="8">
    <mergeCell ref="M1:N1"/>
    <mergeCell ref="M20:N20"/>
    <mergeCell ref="M40:N40"/>
    <mergeCell ref="R1:S1"/>
    <mergeCell ref="AD33:AD34"/>
    <mergeCell ref="AD35:AD36"/>
    <mergeCell ref="AD37:AD38"/>
    <mergeCell ref="AD39:AD40"/>
  </mergeCells>
  <conditionalFormatting sqref="M22:M2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{EA6918FB-C070-41AC-BE37-908C7E238977}</x14:id>
        </ext>
      </extLst>
    </cfRule>
  </conditionalFormatting>
  <conditionalFormatting sqref="M13:M1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{ECB1C5E1-80F1-4AB6-9F37-5F7B0D3F7F65}</x14:id>
        </ext>
      </extLst>
    </cfRule>
  </conditionalFormatting>
  <conditionalFormatting sqref="R3:R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{316AC0ED-506D-48F9-BEA5-65E695F1F511}</x14:id>
        </ext>
      </extLst>
    </cfRule>
  </conditionalFormatting>
  <conditionalFormatting sqref="S3:S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{07F692B3-D037-4248-AF52-85B703E8D46C}</x14:id>
        </ext>
      </extLst>
    </cfRule>
  </conditionalFormatting>
  <hyperlinks>
    <hyperlink ref="H95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6918FB-C070-41AC-BE37-908C7E238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M22:M27</xm:sqref>
        </x14:conditionalFormatting>
        <x14:conditionalFormatting xmlns:xm="http://schemas.microsoft.com/office/excel/2006/main">
          <x14:cfRule type="dataBar" id="{ECB1C5E1-80F1-4AB6-9F37-5F7B0D3F7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M13:M18</xm:sqref>
        </x14:conditionalFormatting>
        <x14:conditionalFormatting xmlns:xm="http://schemas.microsoft.com/office/excel/2006/main">
          <x14:cfRule type="dataBar" id="{316AC0ED-506D-48F9-BEA5-65E695F1F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R3:R8</xm:sqref>
        </x14:conditionalFormatting>
        <x14:conditionalFormatting xmlns:xm="http://schemas.microsoft.com/office/excel/2006/main">
          <x14:cfRule type="dataBar" id="{07F692B3-D037-4248-AF52-85B703E8D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2" sqref="G22"/>
    </sheetView>
  </sheetViews>
  <sheetFormatPr defaultRowHeight="14.5" x14ac:dyDescent="0.35"/>
  <cols>
    <col min="3" max="3" width="11.81640625" customWidth="1"/>
  </cols>
  <sheetData>
    <row r="1" spans="1:3" x14ac:dyDescent="0.35">
      <c r="A1" s="1" t="s">
        <v>24</v>
      </c>
      <c r="B1" s="1" t="s">
        <v>25</v>
      </c>
      <c r="C1" s="1" t="s">
        <v>4</v>
      </c>
    </row>
    <row r="2" spans="1:3" x14ac:dyDescent="0.35">
      <c r="A2" t="s">
        <v>23</v>
      </c>
      <c r="B2">
        <v>2025</v>
      </c>
    </row>
    <row r="3" spans="1:3" x14ac:dyDescent="0.35">
      <c r="A3" t="s">
        <v>26</v>
      </c>
      <c r="B3">
        <v>2125</v>
      </c>
    </row>
    <row r="4" spans="1:3" x14ac:dyDescent="0.35">
      <c r="A4" t="s">
        <v>27</v>
      </c>
      <c r="B4">
        <v>2050</v>
      </c>
    </row>
    <row r="5" spans="1:3" x14ac:dyDescent="0.35">
      <c r="A5" t="s">
        <v>28</v>
      </c>
      <c r="B5">
        <v>2100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70" zoomScaleNormal="70" workbookViewId="0">
      <selection activeCell="B32" sqref="B3:B32"/>
    </sheetView>
  </sheetViews>
  <sheetFormatPr defaultRowHeight="14.5" x14ac:dyDescent="0.35"/>
  <cols>
    <col min="3" max="3" width="10.90625" customWidth="1"/>
    <col min="4" max="4" width="19.453125" style="4" customWidth="1"/>
    <col min="5" max="5" width="21.81640625" customWidth="1"/>
    <col min="6" max="6" width="28.90625" customWidth="1"/>
    <col min="7" max="7" width="21.08984375" customWidth="1"/>
    <col min="8" max="8" width="24.453125" customWidth="1"/>
    <col min="9" max="9" width="17.36328125" customWidth="1"/>
    <col min="10" max="10" width="18.36328125" customWidth="1"/>
  </cols>
  <sheetData>
    <row r="1" spans="1:10" s="11" customFormat="1" ht="13" x14ac:dyDescent="0.3">
      <c r="A1" s="9" t="s">
        <v>40</v>
      </c>
      <c r="B1" s="9" t="s">
        <v>29</v>
      </c>
      <c r="C1" s="9" t="s">
        <v>35</v>
      </c>
      <c r="D1" s="10" t="s">
        <v>118</v>
      </c>
      <c r="E1" s="9" t="s">
        <v>119</v>
      </c>
      <c r="F1" s="9" t="s">
        <v>120</v>
      </c>
      <c r="G1" s="9" t="s">
        <v>67</v>
      </c>
      <c r="H1" s="9" t="s">
        <v>68</v>
      </c>
      <c r="I1" s="9" t="s">
        <v>71</v>
      </c>
      <c r="J1" s="9" t="s">
        <v>70</v>
      </c>
    </row>
    <row r="2" spans="1:10" x14ac:dyDescent="0.35">
      <c r="A2">
        <v>2020</v>
      </c>
      <c r="B2">
        <v>0</v>
      </c>
      <c r="C2">
        <v>0</v>
      </c>
      <c r="D2" s="4">
        <v>0</v>
      </c>
      <c r="E2" s="4">
        <f>C2*StaticParameter!$B$14</f>
        <v>0</v>
      </c>
      <c r="F2" s="4">
        <v>0</v>
      </c>
      <c r="G2">
        <v>0</v>
      </c>
      <c r="H2">
        <v>75</v>
      </c>
      <c r="I2" s="3">
        <f>G2*(1-StaticParameter!$B$69)*StaticParameter!$I$89*1000/StaticParameter!$I$91</f>
        <v>0</v>
      </c>
      <c r="J2" s="3">
        <f>H2*(1-StaticParameter!$B$69)*StaticParameter!$I$90*1000/StaticParameter!$I$92</f>
        <v>31.25</v>
      </c>
    </row>
    <row r="3" spans="1:10" x14ac:dyDescent="0.35">
      <c r="A3">
        <v>2021</v>
      </c>
      <c r="B3">
        <v>1</v>
      </c>
      <c r="C3">
        <v>0</v>
      </c>
      <c r="D3" s="4">
        <v>0</v>
      </c>
      <c r="E3" s="4">
        <f>C3*StaticParameter!$B$14</f>
        <v>0</v>
      </c>
      <c r="F3" s="4">
        <v>0</v>
      </c>
      <c r="G3">
        <v>0</v>
      </c>
      <c r="H3">
        <v>75</v>
      </c>
      <c r="I3" s="3">
        <f>G3*(1-StaticParameter!$B$69)*StaticParameter!$I$89*1000/StaticParameter!$I$91</f>
        <v>0</v>
      </c>
      <c r="J3" s="3">
        <f>H3*(1-StaticParameter!$B$69)*StaticParameter!$I$90*1000/StaticParameter!$I$92</f>
        <v>31.25</v>
      </c>
    </row>
    <row r="4" spans="1:10" x14ac:dyDescent="0.35">
      <c r="A4">
        <v>2022</v>
      </c>
      <c r="B4">
        <v>2</v>
      </c>
      <c r="C4">
        <v>0</v>
      </c>
      <c r="D4" s="4">
        <v>0</v>
      </c>
      <c r="E4" s="4">
        <f>C4*StaticParameter!$B$14</f>
        <v>0</v>
      </c>
      <c r="F4" s="4">
        <v>0</v>
      </c>
      <c r="G4">
        <v>0</v>
      </c>
      <c r="H4">
        <v>75</v>
      </c>
      <c r="I4" s="3">
        <f>G4*(1-StaticParameter!$B$69)*StaticParameter!$I$89*1000/StaticParameter!$I$91</f>
        <v>0</v>
      </c>
      <c r="J4" s="3">
        <f>H4*(1-StaticParameter!$B$69)*StaticParameter!$I$90*1000/StaticParameter!$I$92</f>
        <v>31.25</v>
      </c>
    </row>
    <row r="5" spans="1:10" x14ac:dyDescent="0.35">
      <c r="A5">
        <v>2023</v>
      </c>
      <c r="B5">
        <v>3</v>
      </c>
      <c r="C5">
        <v>0</v>
      </c>
      <c r="D5" s="4">
        <v>0</v>
      </c>
      <c r="E5" s="4">
        <f>C5*StaticParameter!$B$14</f>
        <v>0</v>
      </c>
      <c r="F5" s="4">
        <f>StaticParameter!$I$93/20</f>
        <v>51410</v>
      </c>
      <c r="G5" s="3">
        <f>StaticParameter!$I$85/StaticParameter!$I$86</f>
        <v>1030.7145274999998</v>
      </c>
      <c r="H5">
        <v>75</v>
      </c>
      <c r="I5" s="3">
        <f>G5*(1-StaticParameter!$B$69)*StaticParameter!$I$89*1000/StaticParameter!$I$91</f>
        <v>858.9287729166665</v>
      </c>
      <c r="J5" s="3">
        <f>H5*(1-StaticParameter!$B$69)*StaticParameter!$I$90*1000/StaticParameter!$I$92</f>
        <v>31.25</v>
      </c>
    </row>
    <row r="6" spans="1:10" x14ac:dyDescent="0.35">
      <c r="A6">
        <v>2024</v>
      </c>
      <c r="B6">
        <v>4</v>
      </c>
      <c r="C6">
        <v>0</v>
      </c>
      <c r="D6" s="4">
        <v>0</v>
      </c>
      <c r="E6" s="4">
        <f>C6*StaticParameter!$B$14</f>
        <v>0</v>
      </c>
      <c r="F6" s="4">
        <f>F5+$F$5</f>
        <v>102820</v>
      </c>
      <c r="G6">
        <v>0</v>
      </c>
      <c r="H6">
        <v>75</v>
      </c>
      <c r="I6" s="3">
        <f>G6*(1-StaticParameter!$B$69)*StaticParameter!$I$89*1000/StaticParameter!$I$91</f>
        <v>0</v>
      </c>
      <c r="J6" s="3">
        <f>H6*(1-StaticParameter!$B$69)*StaticParameter!$I$90*1000/StaticParameter!$I$92</f>
        <v>31.25</v>
      </c>
    </row>
    <row r="7" spans="1:10" x14ac:dyDescent="0.35">
      <c r="A7">
        <v>2025</v>
      </c>
      <c r="B7">
        <v>5</v>
      </c>
      <c r="C7">
        <f>$C$32/25</f>
        <v>48448</v>
      </c>
      <c r="D7" s="4">
        <f>StaticParameter!B5</f>
        <v>33512</v>
      </c>
      <c r="E7" s="4">
        <f>C7*StaticParameter!$B$14</f>
        <v>2475692.8000000003</v>
      </c>
      <c r="F7" s="4">
        <f t="shared" ref="F7:F24" si="0">F6+$F$5</f>
        <v>154230</v>
      </c>
      <c r="G7">
        <v>0</v>
      </c>
      <c r="H7">
        <f>H6+StaticParameter!$I$87</f>
        <v>80</v>
      </c>
      <c r="I7" s="3">
        <f>G7*(1-StaticParameter!$B$69)*StaticParameter!$I$89*1000/StaticParameter!$I$91</f>
        <v>0</v>
      </c>
      <c r="J7" s="3">
        <f>H7*(1-StaticParameter!$B$69)*StaticParameter!$I$90*1000/StaticParameter!$I$92</f>
        <v>33.333333333333336</v>
      </c>
    </row>
    <row r="8" spans="1:10" x14ac:dyDescent="0.35">
      <c r="A8">
        <v>2026</v>
      </c>
      <c r="B8">
        <v>6</v>
      </c>
      <c r="C8">
        <f>C7+$C$32/25</f>
        <v>96896</v>
      </c>
      <c r="D8" s="4">
        <f>D7+StaticParameter!$B$5</f>
        <v>67024</v>
      </c>
      <c r="E8" s="4">
        <f>C8*StaticParameter!$B$14</f>
        <v>4951385.6000000006</v>
      </c>
      <c r="F8" s="4">
        <f t="shared" si="0"/>
        <v>205640</v>
      </c>
      <c r="G8">
        <v>0</v>
      </c>
      <c r="H8">
        <f>H7+StaticParameter!$I$87</f>
        <v>85</v>
      </c>
      <c r="I8" s="3">
        <f>G8*(1-StaticParameter!$B$69)*StaticParameter!$I$89*1000/StaticParameter!$I$91</f>
        <v>0</v>
      </c>
      <c r="J8" s="3">
        <f>H8*(1-StaticParameter!$B$69)*StaticParameter!$I$90*1000/StaticParameter!$I$92</f>
        <v>35.416666666666664</v>
      </c>
    </row>
    <row r="9" spans="1:10" x14ac:dyDescent="0.35">
      <c r="A9">
        <v>2027</v>
      </c>
      <c r="B9">
        <v>7</v>
      </c>
      <c r="C9">
        <f t="shared" ref="C9:C31" si="1">C8+$C$32/25</f>
        <v>145344</v>
      </c>
      <c r="D9" s="4">
        <f>D8+StaticParameter!$B$5</f>
        <v>100536</v>
      </c>
      <c r="E9" s="4">
        <f>C9*StaticParameter!$B$14</f>
        <v>7427078.4000000004</v>
      </c>
      <c r="F9" s="4">
        <f t="shared" si="0"/>
        <v>257050</v>
      </c>
      <c r="G9" s="3">
        <f>StaticParameter!$I$85/StaticParameter!$I$86</f>
        <v>1030.7145274999998</v>
      </c>
      <c r="H9">
        <f>H8+StaticParameter!$I$87</f>
        <v>90</v>
      </c>
      <c r="I9" s="3">
        <f>G9*(1-StaticParameter!$B$69)*StaticParameter!$I$89*1000/StaticParameter!$I$91</f>
        <v>858.9287729166665</v>
      </c>
      <c r="J9" s="3">
        <f>H9*(1-StaticParameter!$B$69)*StaticParameter!$I$90*1000/StaticParameter!$I$92</f>
        <v>37.5</v>
      </c>
    </row>
    <row r="10" spans="1:10" x14ac:dyDescent="0.35">
      <c r="A10">
        <v>2028</v>
      </c>
      <c r="B10">
        <v>8</v>
      </c>
      <c r="C10">
        <f t="shared" si="1"/>
        <v>193792</v>
      </c>
      <c r="D10" s="4">
        <f>D9+StaticParameter!$B$5</f>
        <v>134048</v>
      </c>
      <c r="E10" s="4">
        <f>C10*StaticParameter!$B$14</f>
        <v>9902771.2000000011</v>
      </c>
      <c r="F10" s="4">
        <f t="shared" si="0"/>
        <v>308460</v>
      </c>
      <c r="G10">
        <v>0</v>
      </c>
      <c r="H10">
        <f>H9+StaticParameter!$I$87</f>
        <v>95</v>
      </c>
      <c r="I10" s="3">
        <f>G10*(1-StaticParameter!$B$69)*StaticParameter!$I$89*1000/StaticParameter!$I$91</f>
        <v>0</v>
      </c>
      <c r="J10" s="3">
        <f>H10*(1-StaticParameter!$B$69)*StaticParameter!$I$90*1000/StaticParameter!$I$92</f>
        <v>39.583333333333336</v>
      </c>
    </row>
    <row r="11" spans="1:10" x14ac:dyDescent="0.35">
      <c r="A11">
        <v>2029</v>
      </c>
      <c r="B11">
        <v>9</v>
      </c>
      <c r="C11">
        <f t="shared" si="1"/>
        <v>242240</v>
      </c>
      <c r="D11" s="4">
        <f>D10+StaticParameter!$B$5</f>
        <v>167560</v>
      </c>
      <c r="E11" s="4">
        <f>C11*StaticParameter!$B$14</f>
        <v>12378464</v>
      </c>
      <c r="F11" s="4">
        <f t="shared" si="0"/>
        <v>359870</v>
      </c>
      <c r="G11">
        <v>0</v>
      </c>
      <c r="H11">
        <f>H10+StaticParameter!$I$87</f>
        <v>100</v>
      </c>
      <c r="I11" s="3">
        <f>G11*(1-StaticParameter!$B$69)*StaticParameter!$I$89*1000/StaticParameter!$I$91</f>
        <v>0</v>
      </c>
      <c r="J11" s="3">
        <f>H11*(1-StaticParameter!$B$69)*StaticParameter!$I$90*1000/StaticParameter!$I$92</f>
        <v>41.666666666666664</v>
      </c>
    </row>
    <row r="12" spans="1:10" x14ac:dyDescent="0.35">
      <c r="A12">
        <v>2030</v>
      </c>
      <c r="B12">
        <v>10</v>
      </c>
      <c r="C12">
        <f t="shared" si="1"/>
        <v>290688</v>
      </c>
      <c r="D12" s="4">
        <f>D11+StaticParameter!$B$5</f>
        <v>201072</v>
      </c>
      <c r="E12" s="4">
        <f>C12*StaticParameter!$B$14</f>
        <v>14854156.800000001</v>
      </c>
      <c r="F12" s="4">
        <f t="shared" si="0"/>
        <v>411280</v>
      </c>
      <c r="G12">
        <v>0</v>
      </c>
      <c r="H12">
        <f>H11+StaticParameter!$I$87</f>
        <v>105</v>
      </c>
      <c r="I12" s="3">
        <f>G12*(1-StaticParameter!$B$69)*StaticParameter!$I$89*1000/StaticParameter!$I$91</f>
        <v>0</v>
      </c>
      <c r="J12" s="3">
        <f>H12*(1-StaticParameter!$B$69)*StaticParameter!$I$90*1000/StaticParameter!$I$92</f>
        <v>43.75</v>
      </c>
    </row>
    <row r="13" spans="1:10" x14ac:dyDescent="0.35">
      <c r="A13">
        <v>2031</v>
      </c>
      <c r="B13">
        <v>11</v>
      </c>
      <c r="C13">
        <f t="shared" si="1"/>
        <v>339136</v>
      </c>
      <c r="D13" s="4">
        <f>D12+StaticParameter!$B$5</f>
        <v>234584</v>
      </c>
      <c r="E13" s="4">
        <f>C13*StaticParameter!$B$14</f>
        <v>17329849.600000001</v>
      </c>
      <c r="F13" s="4">
        <f t="shared" si="0"/>
        <v>462690</v>
      </c>
      <c r="G13" s="3">
        <f>StaticParameter!$I$85/StaticParameter!$I$86</f>
        <v>1030.7145274999998</v>
      </c>
      <c r="H13">
        <f>H12+StaticParameter!$I$87</f>
        <v>110</v>
      </c>
      <c r="I13" s="3">
        <f>G13*(1-StaticParameter!$B$69)*StaticParameter!$I$89*1000/StaticParameter!$I$91</f>
        <v>858.9287729166665</v>
      </c>
      <c r="J13" s="3">
        <f>H13*(1-StaticParameter!$B$69)*StaticParameter!$I$90*1000/StaticParameter!$I$92</f>
        <v>45.833333333333336</v>
      </c>
    </row>
    <row r="14" spans="1:10" x14ac:dyDescent="0.35">
      <c r="A14">
        <v>2032</v>
      </c>
      <c r="B14">
        <v>12</v>
      </c>
      <c r="C14">
        <f t="shared" si="1"/>
        <v>387584</v>
      </c>
      <c r="D14" s="4">
        <f>D13+StaticParameter!$B$5</f>
        <v>268096</v>
      </c>
      <c r="E14" s="4">
        <f>C14*StaticParameter!$B$14</f>
        <v>19805542.400000002</v>
      </c>
      <c r="F14" s="4">
        <f t="shared" si="0"/>
        <v>514100</v>
      </c>
      <c r="G14">
        <v>0</v>
      </c>
      <c r="H14">
        <f>H13+StaticParameter!$I$87</f>
        <v>115</v>
      </c>
      <c r="I14" s="3">
        <f>G14*(1-StaticParameter!$B$69)*StaticParameter!$I$89*1000/StaticParameter!$I$91</f>
        <v>0</v>
      </c>
      <c r="J14" s="3">
        <f>H14*(1-StaticParameter!$B$69)*StaticParameter!$I$90*1000/StaticParameter!$I$92</f>
        <v>47.916666666666664</v>
      </c>
    </row>
    <row r="15" spans="1:10" x14ac:dyDescent="0.35">
      <c r="A15">
        <v>2033</v>
      </c>
      <c r="B15">
        <v>13</v>
      </c>
      <c r="C15">
        <f t="shared" si="1"/>
        <v>436032</v>
      </c>
      <c r="D15" s="4">
        <f>D14+StaticParameter!$B$5</f>
        <v>301608</v>
      </c>
      <c r="E15" s="4">
        <f>C15*StaticParameter!$B$14</f>
        <v>22281235.199999999</v>
      </c>
      <c r="F15" s="4">
        <f t="shared" si="0"/>
        <v>565510</v>
      </c>
      <c r="G15">
        <v>0</v>
      </c>
      <c r="H15">
        <f>H14+StaticParameter!$I$87</f>
        <v>120</v>
      </c>
      <c r="I15" s="3">
        <f>G15*(1-StaticParameter!$B$69)*StaticParameter!$I$89*1000/StaticParameter!$I$91</f>
        <v>0</v>
      </c>
      <c r="J15" s="3">
        <f>H15*(1-StaticParameter!$B$69)*StaticParameter!$I$90*1000/StaticParameter!$I$92</f>
        <v>50</v>
      </c>
    </row>
    <row r="16" spans="1:10" x14ac:dyDescent="0.35">
      <c r="A16">
        <v>2034</v>
      </c>
      <c r="B16">
        <v>14</v>
      </c>
      <c r="C16">
        <f t="shared" si="1"/>
        <v>484480</v>
      </c>
      <c r="D16" s="4">
        <f>D15+StaticParameter!$B$5</f>
        <v>335120</v>
      </c>
      <c r="E16" s="4">
        <f>C16*StaticParameter!$B$14</f>
        <v>24756928</v>
      </c>
      <c r="F16" s="4">
        <f t="shared" si="0"/>
        <v>616920</v>
      </c>
      <c r="G16">
        <v>0</v>
      </c>
      <c r="H16">
        <f>H15+StaticParameter!$I$87</f>
        <v>125</v>
      </c>
      <c r="I16" s="3">
        <f>G16*(1-StaticParameter!$B$69)*StaticParameter!$I$89*1000/StaticParameter!$I$91</f>
        <v>0</v>
      </c>
      <c r="J16" s="3">
        <f>H16*(1-StaticParameter!$B$69)*StaticParameter!$I$90*1000/StaticParameter!$I$92</f>
        <v>52.083333333333336</v>
      </c>
    </row>
    <row r="17" spans="1:10" x14ac:dyDescent="0.35">
      <c r="A17">
        <v>2035</v>
      </c>
      <c r="B17">
        <v>15</v>
      </c>
      <c r="C17">
        <f t="shared" si="1"/>
        <v>532928</v>
      </c>
      <c r="D17" s="4">
        <f>D16+StaticParameter!$B$5</f>
        <v>368632</v>
      </c>
      <c r="E17" s="4">
        <f>C17*StaticParameter!$B$14</f>
        <v>27232620.800000001</v>
      </c>
      <c r="F17" s="4">
        <f t="shared" si="0"/>
        <v>668330</v>
      </c>
      <c r="G17" s="3">
        <f>StaticParameter!$I$85/StaticParameter!$I$86</f>
        <v>1030.7145274999998</v>
      </c>
      <c r="H17">
        <f>H16+StaticParameter!$I$87</f>
        <v>130</v>
      </c>
      <c r="I17" s="3">
        <f>G17*(1-StaticParameter!$B$69)*StaticParameter!$I$89*1000/StaticParameter!$I$91</f>
        <v>858.9287729166665</v>
      </c>
      <c r="J17" s="3">
        <f>H17*(1-StaticParameter!$B$69)*StaticParameter!$I$90*1000/StaticParameter!$I$92</f>
        <v>54.166666666666664</v>
      </c>
    </row>
    <row r="18" spans="1:10" x14ac:dyDescent="0.35">
      <c r="A18">
        <v>2036</v>
      </c>
      <c r="B18">
        <v>16</v>
      </c>
      <c r="C18">
        <f t="shared" si="1"/>
        <v>581376</v>
      </c>
      <c r="D18" s="4">
        <f>D17+StaticParameter!$B$5</f>
        <v>402144</v>
      </c>
      <c r="E18" s="4">
        <f>C18*StaticParameter!$B$14</f>
        <v>29708313.600000001</v>
      </c>
      <c r="F18" s="4">
        <f t="shared" si="0"/>
        <v>719740</v>
      </c>
      <c r="G18">
        <v>0</v>
      </c>
      <c r="H18">
        <f>H17+StaticParameter!$I$87</f>
        <v>135</v>
      </c>
      <c r="I18" s="3">
        <f>G18*(1-StaticParameter!$B$69)*StaticParameter!$I$89*1000/StaticParameter!$I$91</f>
        <v>0</v>
      </c>
      <c r="J18" s="3">
        <f>H18*(1-StaticParameter!$B$69)*StaticParameter!$I$90*1000/StaticParameter!$I$92</f>
        <v>56.25</v>
      </c>
    </row>
    <row r="19" spans="1:10" x14ac:dyDescent="0.35">
      <c r="A19">
        <v>2037</v>
      </c>
      <c r="B19">
        <v>17</v>
      </c>
      <c r="C19">
        <f t="shared" si="1"/>
        <v>629824</v>
      </c>
      <c r="D19" s="4">
        <f>D18+StaticParameter!$B$5</f>
        <v>435656</v>
      </c>
      <c r="E19" s="4">
        <f>C19*StaticParameter!$B$14</f>
        <v>32184006.400000002</v>
      </c>
      <c r="F19" s="4">
        <f t="shared" si="0"/>
        <v>771150</v>
      </c>
      <c r="G19">
        <v>0</v>
      </c>
      <c r="H19">
        <f>H18+StaticParameter!$I$87</f>
        <v>140</v>
      </c>
      <c r="I19" s="3">
        <f>G19*(1-StaticParameter!$B$69)*StaticParameter!$I$89*1000/StaticParameter!$I$91</f>
        <v>0</v>
      </c>
      <c r="J19" s="3">
        <f>H19*(1-StaticParameter!$B$69)*StaticParameter!$I$90*1000/StaticParameter!$I$92</f>
        <v>58.333333333333336</v>
      </c>
    </row>
    <row r="20" spans="1:10" x14ac:dyDescent="0.35">
      <c r="A20">
        <v>2038</v>
      </c>
      <c r="B20">
        <v>18</v>
      </c>
      <c r="C20">
        <f t="shared" si="1"/>
        <v>678272</v>
      </c>
      <c r="D20" s="4">
        <f>D19+StaticParameter!$B$5</f>
        <v>469168</v>
      </c>
      <c r="E20" s="4">
        <f>C20*StaticParameter!$B$14</f>
        <v>34659699.200000003</v>
      </c>
      <c r="F20" s="4">
        <f t="shared" si="0"/>
        <v>822560</v>
      </c>
      <c r="G20">
        <v>0</v>
      </c>
      <c r="H20">
        <f>H19+StaticParameter!$I$87</f>
        <v>145</v>
      </c>
      <c r="I20" s="3">
        <f>G20*(1-StaticParameter!$B$69)*StaticParameter!$I$89*1000/StaticParameter!$I$91</f>
        <v>0</v>
      </c>
      <c r="J20" s="3">
        <f>H20*(1-StaticParameter!$B$69)*StaticParameter!$I$90*1000/StaticParameter!$I$92</f>
        <v>60.416666666666664</v>
      </c>
    </row>
    <row r="21" spans="1:10" x14ac:dyDescent="0.35">
      <c r="A21">
        <v>2039</v>
      </c>
      <c r="B21">
        <v>19</v>
      </c>
      <c r="C21">
        <f t="shared" si="1"/>
        <v>726720</v>
      </c>
      <c r="D21" s="4">
        <f>D20+StaticParameter!$B$5</f>
        <v>502680</v>
      </c>
      <c r="E21" s="4">
        <f>C21*StaticParameter!$B$14</f>
        <v>37135392</v>
      </c>
      <c r="F21" s="4">
        <f t="shared" si="0"/>
        <v>873970</v>
      </c>
      <c r="G21" s="3">
        <f>StaticParameter!$I$85/StaticParameter!$I$86</f>
        <v>1030.7145274999998</v>
      </c>
      <c r="H21">
        <f>H20+StaticParameter!$I$87</f>
        <v>150</v>
      </c>
      <c r="I21" s="3">
        <f>G21*(1-StaticParameter!$B$69)*StaticParameter!$I$89*1000/StaticParameter!$I$91</f>
        <v>858.9287729166665</v>
      </c>
      <c r="J21" s="3">
        <f>H21*(1-StaticParameter!$B$69)*StaticParameter!$I$90*1000/StaticParameter!$I$92</f>
        <v>62.5</v>
      </c>
    </row>
    <row r="22" spans="1:10" x14ac:dyDescent="0.35">
      <c r="A22">
        <v>2040</v>
      </c>
      <c r="B22">
        <v>20</v>
      </c>
      <c r="C22">
        <f t="shared" si="1"/>
        <v>775168</v>
      </c>
      <c r="D22" s="4">
        <f>D21+StaticParameter!$B$5</f>
        <v>536192</v>
      </c>
      <c r="E22" s="4">
        <f>C22*StaticParameter!$B$14</f>
        <v>39611084.800000004</v>
      </c>
      <c r="F22" s="4">
        <f>F21+$F$5</f>
        <v>925380</v>
      </c>
      <c r="G22">
        <v>0</v>
      </c>
      <c r="H22">
        <f>H21+StaticParameter!$I$87</f>
        <v>155</v>
      </c>
      <c r="I22" s="3">
        <f>G22*(1-StaticParameter!$B$69)*StaticParameter!$I$89*1000/StaticParameter!$I$91</f>
        <v>0</v>
      </c>
      <c r="J22" s="3">
        <f>H22*(1-StaticParameter!$B$69)*StaticParameter!$I$90*1000/StaticParameter!$I$92</f>
        <v>64.583333333333329</v>
      </c>
    </row>
    <row r="23" spans="1:10" x14ac:dyDescent="0.35">
      <c r="A23">
        <v>2041</v>
      </c>
      <c r="B23">
        <v>21</v>
      </c>
      <c r="C23">
        <f t="shared" si="1"/>
        <v>823616</v>
      </c>
      <c r="D23" s="4">
        <f>D22+StaticParameter!$B$5</f>
        <v>569704</v>
      </c>
      <c r="E23" s="4">
        <f>C23*StaticParameter!$B$14</f>
        <v>42086777.600000001</v>
      </c>
      <c r="F23" s="4">
        <f t="shared" si="0"/>
        <v>976790</v>
      </c>
      <c r="G23">
        <v>0</v>
      </c>
      <c r="H23">
        <f>H22+StaticParameter!$I$87</f>
        <v>160</v>
      </c>
      <c r="I23" s="3">
        <f>G23*(1-StaticParameter!$B$69)*StaticParameter!$I$89*1000/StaticParameter!$I$91</f>
        <v>0</v>
      </c>
      <c r="J23" s="3">
        <f>H23*(1-StaticParameter!$B$69)*StaticParameter!$I$90*1000/StaticParameter!$I$92</f>
        <v>66.666666666666671</v>
      </c>
    </row>
    <row r="24" spans="1:10" x14ac:dyDescent="0.35">
      <c r="A24">
        <v>2042</v>
      </c>
      <c r="B24">
        <v>22</v>
      </c>
      <c r="C24">
        <f t="shared" si="1"/>
        <v>872064</v>
      </c>
      <c r="D24" s="4">
        <f>D23+StaticParameter!$B$5</f>
        <v>603216</v>
      </c>
      <c r="E24" s="4">
        <f>C24*StaticParameter!$B$14</f>
        <v>44562470.399999999</v>
      </c>
      <c r="F24" s="4">
        <f t="shared" si="0"/>
        <v>1028200</v>
      </c>
      <c r="G24">
        <v>0</v>
      </c>
      <c r="H24">
        <f>H23+StaticParameter!$I$87</f>
        <v>165</v>
      </c>
      <c r="I24" s="3">
        <f>G24*(1-StaticParameter!$B$69)*StaticParameter!$I$89*1000/StaticParameter!$I$91</f>
        <v>0</v>
      </c>
      <c r="J24" s="3">
        <f>H24*(1-StaticParameter!$B$69)*StaticParameter!$I$90*1000/StaticParameter!$I$92</f>
        <v>68.75</v>
      </c>
    </row>
    <row r="25" spans="1:10" x14ac:dyDescent="0.35">
      <c r="A25">
        <v>2043</v>
      </c>
      <c r="B25">
        <v>23</v>
      </c>
      <c r="C25">
        <f t="shared" si="1"/>
        <v>920512</v>
      </c>
      <c r="D25" s="4">
        <f>D24+StaticParameter!$B$5</f>
        <v>636728</v>
      </c>
      <c r="E25" s="4">
        <f>C25*StaticParameter!$B$14</f>
        <v>47038163.200000003</v>
      </c>
      <c r="F25" s="4">
        <f>F24</f>
        <v>1028200</v>
      </c>
      <c r="G25" s="3">
        <f>StaticParameter!$I$85/StaticParameter!$I$86</f>
        <v>1030.7145274999998</v>
      </c>
      <c r="H25">
        <f>H24+StaticParameter!$I$87</f>
        <v>170</v>
      </c>
      <c r="I25" s="3">
        <f>G25*(1-StaticParameter!$B$69)*StaticParameter!$I$89*1000/StaticParameter!$I$91</f>
        <v>858.9287729166665</v>
      </c>
      <c r="J25" s="3">
        <f>H25*(1-StaticParameter!$B$69)*StaticParameter!$I$90*1000/StaticParameter!$I$92</f>
        <v>70.833333333333329</v>
      </c>
    </row>
    <row r="26" spans="1:10" x14ac:dyDescent="0.35">
      <c r="A26">
        <v>2044</v>
      </c>
      <c r="B26">
        <v>24</v>
      </c>
      <c r="C26">
        <f t="shared" si="1"/>
        <v>968960</v>
      </c>
      <c r="D26" s="4">
        <f>D25+StaticParameter!$B$5</f>
        <v>670240</v>
      </c>
      <c r="E26" s="4">
        <f>C26*StaticParameter!$B$14</f>
        <v>49513856</v>
      </c>
      <c r="F26" s="4">
        <f>F25</f>
        <v>1028200</v>
      </c>
      <c r="G26">
        <v>0</v>
      </c>
      <c r="H26">
        <f>H25+StaticParameter!$I$87</f>
        <v>175</v>
      </c>
      <c r="I26" s="3">
        <f>G26*(1-StaticParameter!$B$69)*StaticParameter!$I$89*1000/StaticParameter!$I$91</f>
        <v>0</v>
      </c>
      <c r="J26" s="3">
        <f>H26*(1-StaticParameter!$B$69)*StaticParameter!$I$90*1000/StaticParameter!$I$92</f>
        <v>72.916666666666671</v>
      </c>
    </row>
    <row r="27" spans="1:10" x14ac:dyDescent="0.35">
      <c r="A27">
        <v>2045</v>
      </c>
      <c r="B27">
        <v>25</v>
      </c>
      <c r="C27">
        <f t="shared" si="1"/>
        <v>1017408</v>
      </c>
      <c r="D27" s="4">
        <f>D26+StaticParameter!$B$5</f>
        <v>703752</v>
      </c>
      <c r="E27" s="4">
        <f>C27*StaticParameter!$B$14</f>
        <v>51989548.800000004</v>
      </c>
      <c r="F27" s="4">
        <f t="shared" ref="F27:F90" si="2">F26</f>
        <v>1028200</v>
      </c>
      <c r="G27">
        <v>0</v>
      </c>
      <c r="H27">
        <f>H26+StaticParameter!$I$87</f>
        <v>180</v>
      </c>
      <c r="I27" s="3">
        <f>G27*(1-StaticParameter!$B$69)*StaticParameter!$I$89*1000/StaticParameter!$I$91</f>
        <v>0</v>
      </c>
      <c r="J27" s="3">
        <f>H27*(1-StaticParameter!$B$69)*StaticParameter!$I$90*1000/StaticParameter!$I$92</f>
        <v>75</v>
      </c>
    </row>
    <row r="28" spans="1:10" x14ac:dyDescent="0.35">
      <c r="A28">
        <v>2046</v>
      </c>
      <c r="B28">
        <v>26</v>
      </c>
      <c r="C28">
        <f t="shared" si="1"/>
        <v>1065856</v>
      </c>
      <c r="D28" s="4">
        <f>D27+StaticParameter!$B$5</f>
        <v>737264</v>
      </c>
      <c r="E28" s="4">
        <f>C28*StaticParameter!$B$14</f>
        <v>54465241.600000001</v>
      </c>
      <c r="F28" s="4">
        <f t="shared" si="2"/>
        <v>1028200</v>
      </c>
      <c r="G28">
        <v>0</v>
      </c>
      <c r="H28">
        <f>H27+StaticParameter!$I$87</f>
        <v>185</v>
      </c>
      <c r="I28" s="3">
        <f>G28*(1-StaticParameter!$B$69)*StaticParameter!$I$89*1000/StaticParameter!$I$91</f>
        <v>0</v>
      </c>
      <c r="J28" s="3">
        <f>H28*(1-StaticParameter!$B$69)*StaticParameter!$I$90*1000/StaticParameter!$I$92</f>
        <v>77.083333333333329</v>
      </c>
    </row>
    <row r="29" spans="1:10" x14ac:dyDescent="0.35">
      <c r="A29">
        <v>2047</v>
      </c>
      <c r="B29">
        <v>27</v>
      </c>
      <c r="C29">
        <f t="shared" si="1"/>
        <v>1114304</v>
      </c>
      <c r="D29" s="4">
        <f>D28+StaticParameter!$B$5</f>
        <v>770776</v>
      </c>
      <c r="E29" s="4">
        <f>C29*StaticParameter!$B$14</f>
        <v>56940934.399999999</v>
      </c>
      <c r="F29" s="4">
        <f t="shared" si="2"/>
        <v>1028200</v>
      </c>
      <c r="G29">
        <v>0</v>
      </c>
      <c r="H29">
        <f>H28+StaticParameter!$I$87</f>
        <v>190</v>
      </c>
      <c r="I29" s="3">
        <f>G29*(1-StaticParameter!$B$69)*StaticParameter!$I$89*1000/StaticParameter!$I$91</f>
        <v>0</v>
      </c>
      <c r="J29" s="3">
        <f>H29*(1-StaticParameter!$B$69)*StaticParameter!$I$90*1000/StaticParameter!$I$92</f>
        <v>79.166666666666671</v>
      </c>
    </row>
    <row r="30" spans="1:10" x14ac:dyDescent="0.35">
      <c r="A30">
        <v>2048</v>
      </c>
      <c r="B30">
        <v>28</v>
      </c>
      <c r="C30">
        <f t="shared" si="1"/>
        <v>1162752</v>
      </c>
      <c r="D30" s="4">
        <f>D29+StaticParameter!$B$5</f>
        <v>804288</v>
      </c>
      <c r="E30" s="4">
        <f>C30*StaticParameter!$B$14</f>
        <v>59416627.200000003</v>
      </c>
      <c r="F30" s="4">
        <f t="shared" si="2"/>
        <v>1028200</v>
      </c>
      <c r="G30">
        <v>0</v>
      </c>
      <c r="H30">
        <f>H29+StaticParameter!$I$87</f>
        <v>195</v>
      </c>
      <c r="I30" s="3">
        <f>G30*(1-StaticParameter!$B$69)*StaticParameter!$I$89*1000/StaticParameter!$I$91</f>
        <v>0</v>
      </c>
      <c r="J30" s="3">
        <f>H30*(1-StaticParameter!$B$69)*StaticParameter!$I$90*1000/StaticParameter!$I$92</f>
        <v>81.25</v>
      </c>
    </row>
    <row r="31" spans="1:10" x14ac:dyDescent="0.35">
      <c r="A31">
        <v>2049</v>
      </c>
      <c r="B31">
        <v>29</v>
      </c>
      <c r="C31">
        <f t="shared" si="1"/>
        <v>1211200</v>
      </c>
      <c r="D31" s="4">
        <f>D30+StaticParameter!$B$5</f>
        <v>837800</v>
      </c>
      <c r="E31" s="4">
        <f>C31*StaticParameter!$B$14</f>
        <v>61892320</v>
      </c>
      <c r="F31" s="4">
        <f t="shared" si="2"/>
        <v>1028200</v>
      </c>
      <c r="G31">
        <v>0</v>
      </c>
      <c r="H31">
        <f>H30+StaticParameter!$I$87</f>
        <v>200</v>
      </c>
      <c r="I31" s="3">
        <f>G31*(1-StaticParameter!$B$69)*StaticParameter!$I$89*1000/StaticParameter!$I$91</f>
        <v>0</v>
      </c>
      <c r="J31" s="3">
        <f>H31*(1-StaticParameter!$B$69)*StaticParameter!$I$90*1000/StaticParameter!$I$92</f>
        <v>83.333333333333329</v>
      </c>
    </row>
    <row r="32" spans="1:10" x14ac:dyDescent="0.35">
      <c r="A32" s="5">
        <v>2050</v>
      </c>
      <c r="B32">
        <v>30</v>
      </c>
      <c r="C32">
        <f>StaticParameter!B17</f>
        <v>1211200</v>
      </c>
      <c r="D32" s="4">
        <f>StaticParameter!B4</f>
        <v>837800</v>
      </c>
      <c r="E32" s="4">
        <f>C32*StaticParameter!$B$14</f>
        <v>61892320</v>
      </c>
      <c r="F32" s="4">
        <f t="shared" si="2"/>
        <v>1028200</v>
      </c>
      <c r="G32">
        <v>0</v>
      </c>
      <c r="H32">
        <f>H31+StaticParameter!$I$87</f>
        <v>205</v>
      </c>
      <c r="I32" s="3">
        <f>G32*(1-StaticParameter!$B$69)*StaticParameter!$I$89*1000/StaticParameter!$I$91</f>
        <v>0</v>
      </c>
      <c r="J32" s="3">
        <f>H32*(1-StaticParameter!$B$69)*StaticParameter!$I$90*1000/StaticParameter!$I$92</f>
        <v>85.416666666666671</v>
      </c>
    </row>
    <row r="33" spans="1:10" x14ac:dyDescent="0.35">
      <c r="A33">
        <v>2051</v>
      </c>
      <c r="B33">
        <v>31</v>
      </c>
      <c r="C33">
        <f>C32</f>
        <v>1211200</v>
      </c>
      <c r="D33" s="4">
        <f>D32</f>
        <v>837800</v>
      </c>
      <c r="E33" s="4">
        <f>C33*StaticParameter!$B$14</f>
        <v>61892320</v>
      </c>
      <c r="F33" s="4">
        <f t="shared" si="2"/>
        <v>1028200</v>
      </c>
      <c r="G33">
        <v>0</v>
      </c>
      <c r="H33">
        <f>H32</f>
        <v>205</v>
      </c>
      <c r="I33" s="3">
        <f>G33*(1-StaticParameter!$B$69)*StaticParameter!$I$89*1000/StaticParameter!$I$91</f>
        <v>0</v>
      </c>
      <c r="J33" s="3">
        <f>H33*(1-StaticParameter!$B$69)*StaticParameter!$I$90*1000/StaticParameter!$I$92</f>
        <v>85.416666666666671</v>
      </c>
    </row>
    <row r="34" spans="1:10" x14ac:dyDescent="0.35">
      <c r="A34">
        <v>2052</v>
      </c>
      <c r="B34">
        <v>32</v>
      </c>
      <c r="C34">
        <f t="shared" ref="C34:C97" si="3">C33</f>
        <v>1211200</v>
      </c>
      <c r="D34" s="4">
        <f t="shared" ref="D34:D97" si="4">D33</f>
        <v>837800</v>
      </c>
      <c r="E34" s="4">
        <f>C34*StaticParameter!$B$14</f>
        <v>61892320</v>
      </c>
      <c r="F34" s="4">
        <f t="shared" si="2"/>
        <v>1028200</v>
      </c>
      <c r="G34">
        <v>0</v>
      </c>
      <c r="H34">
        <f t="shared" ref="H34:H97" si="5">H33</f>
        <v>205</v>
      </c>
      <c r="I34" s="3">
        <f>G34*(1-StaticParameter!$B$69)*StaticParameter!$I$89*1000/StaticParameter!$I$91</f>
        <v>0</v>
      </c>
      <c r="J34" s="3">
        <f>H34*(1-StaticParameter!$B$69)*StaticParameter!$I$90*1000/StaticParameter!$I$92</f>
        <v>85.416666666666671</v>
      </c>
    </row>
    <row r="35" spans="1:10" x14ac:dyDescent="0.35">
      <c r="A35">
        <v>2053</v>
      </c>
      <c r="B35">
        <v>33</v>
      </c>
      <c r="C35">
        <f t="shared" si="3"/>
        <v>1211200</v>
      </c>
      <c r="D35" s="4">
        <f t="shared" si="4"/>
        <v>837800</v>
      </c>
      <c r="E35" s="4">
        <f>C35*StaticParameter!$B$14</f>
        <v>61892320</v>
      </c>
      <c r="F35" s="4">
        <f t="shared" si="2"/>
        <v>1028200</v>
      </c>
      <c r="G35">
        <v>0</v>
      </c>
      <c r="H35">
        <f t="shared" si="5"/>
        <v>205</v>
      </c>
      <c r="I35" s="3">
        <f>G35*(1-StaticParameter!$B$69)*StaticParameter!$I$89*1000/StaticParameter!$I$91</f>
        <v>0</v>
      </c>
      <c r="J35" s="3">
        <f>H35*(1-StaticParameter!$B$69)*StaticParameter!$I$90*1000/StaticParameter!$I$92</f>
        <v>85.416666666666671</v>
      </c>
    </row>
    <row r="36" spans="1:10" x14ac:dyDescent="0.35">
      <c r="A36">
        <v>2054</v>
      </c>
      <c r="B36">
        <v>34</v>
      </c>
      <c r="C36">
        <f t="shared" si="3"/>
        <v>1211200</v>
      </c>
      <c r="D36" s="4">
        <f t="shared" si="4"/>
        <v>837800</v>
      </c>
      <c r="E36" s="4">
        <f>C36*StaticParameter!$B$14</f>
        <v>61892320</v>
      </c>
      <c r="F36" s="4">
        <f t="shared" si="2"/>
        <v>1028200</v>
      </c>
      <c r="G36">
        <v>0</v>
      </c>
      <c r="H36">
        <f t="shared" si="5"/>
        <v>205</v>
      </c>
      <c r="I36" s="3">
        <f>G36*(1-StaticParameter!$B$69)*StaticParameter!$I$89*1000/StaticParameter!$I$91</f>
        <v>0</v>
      </c>
      <c r="J36" s="3">
        <f>H36*(1-StaticParameter!$B$69)*StaticParameter!$I$90*1000/StaticParameter!$I$92</f>
        <v>85.416666666666671</v>
      </c>
    </row>
    <row r="37" spans="1:10" x14ac:dyDescent="0.35">
      <c r="A37">
        <v>2055</v>
      </c>
      <c r="B37">
        <v>35</v>
      </c>
      <c r="C37">
        <f t="shared" si="3"/>
        <v>1211200</v>
      </c>
      <c r="D37" s="4">
        <f t="shared" si="4"/>
        <v>837800</v>
      </c>
      <c r="E37" s="4">
        <f>C37*StaticParameter!$B$14</f>
        <v>61892320</v>
      </c>
      <c r="F37" s="4">
        <f t="shared" si="2"/>
        <v>1028200</v>
      </c>
      <c r="G37">
        <v>0</v>
      </c>
      <c r="H37">
        <f t="shared" si="5"/>
        <v>205</v>
      </c>
      <c r="I37" s="3">
        <f>G37*(1-StaticParameter!$B$69)*StaticParameter!$I$89*1000/StaticParameter!$I$91</f>
        <v>0</v>
      </c>
      <c r="J37" s="3">
        <f>H37*(1-StaticParameter!$B$69)*StaticParameter!$I$90*1000/StaticParameter!$I$92</f>
        <v>85.416666666666671</v>
      </c>
    </row>
    <row r="38" spans="1:10" x14ac:dyDescent="0.35">
      <c r="A38">
        <v>2056</v>
      </c>
      <c r="B38">
        <v>36</v>
      </c>
      <c r="C38">
        <f t="shared" si="3"/>
        <v>1211200</v>
      </c>
      <c r="D38" s="4">
        <f t="shared" si="4"/>
        <v>837800</v>
      </c>
      <c r="E38" s="4">
        <f>C38*StaticParameter!$B$14</f>
        <v>61892320</v>
      </c>
      <c r="F38" s="4">
        <f t="shared" si="2"/>
        <v>1028200</v>
      </c>
      <c r="G38">
        <v>0</v>
      </c>
      <c r="H38">
        <f t="shared" si="5"/>
        <v>205</v>
      </c>
      <c r="I38" s="3">
        <f>G38*(1-StaticParameter!$B$69)*StaticParameter!$I$89*1000/StaticParameter!$I$91</f>
        <v>0</v>
      </c>
      <c r="J38" s="3">
        <f>H38*(1-StaticParameter!$B$69)*StaticParameter!$I$90*1000/StaticParameter!$I$92</f>
        <v>85.416666666666671</v>
      </c>
    </row>
    <row r="39" spans="1:10" x14ac:dyDescent="0.35">
      <c r="A39">
        <v>2057</v>
      </c>
      <c r="B39">
        <v>37</v>
      </c>
      <c r="C39">
        <f t="shared" si="3"/>
        <v>1211200</v>
      </c>
      <c r="D39" s="4">
        <f t="shared" si="4"/>
        <v>837800</v>
      </c>
      <c r="E39" s="4">
        <f>C39*StaticParameter!$B$14</f>
        <v>61892320</v>
      </c>
      <c r="F39" s="4">
        <f t="shared" si="2"/>
        <v>1028200</v>
      </c>
      <c r="G39">
        <v>0</v>
      </c>
      <c r="H39">
        <f t="shared" si="5"/>
        <v>205</v>
      </c>
      <c r="I39" s="3">
        <f>G39*(1-StaticParameter!$B$69)*StaticParameter!$I$89*1000/StaticParameter!$I$91</f>
        <v>0</v>
      </c>
      <c r="J39" s="3">
        <f>H39*(1-StaticParameter!$B$69)*StaticParameter!$I$90*1000/StaticParameter!$I$92</f>
        <v>85.416666666666671</v>
      </c>
    </row>
    <row r="40" spans="1:10" x14ac:dyDescent="0.35">
      <c r="A40">
        <v>2058</v>
      </c>
      <c r="B40">
        <v>38</v>
      </c>
      <c r="C40">
        <f t="shared" si="3"/>
        <v>1211200</v>
      </c>
      <c r="D40" s="4">
        <f t="shared" si="4"/>
        <v>837800</v>
      </c>
      <c r="E40" s="4">
        <f>C40*StaticParameter!$B$14</f>
        <v>61892320</v>
      </c>
      <c r="F40" s="4">
        <f t="shared" si="2"/>
        <v>1028200</v>
      </c>
      <c r="G40">
        <v>0</v>
      </c>
      <c r="H40">
        <f t="shared" si="5"/>
        <v>205</v>
      </c>
      <c r="I40" s="3">
        <f>G40*(1-StaticParameter!$B$69)*StaticParameter!$I$89*1000/StaticParameter!$I$91</f>
        <v>0</v>
      </c>
      <c r="J40" s="3">
        <f>H40*(1-StaticParameter!$B$69)*StaticParameter!$I$90*1000/StaticParameter!$I$92</f>
        <v>85.416666666666671</v>
      </c>
    </row>
    <row r="41" spans="1:10" x14ac:dyDescent="0.35">
      <c r="A41">
        <v>2059</v>
      </c>
      <c r="B41">
        <v>39</v>
      </c>
      <c r="C41">
        <f t="shared" si="3"/>
        <v>1211200</v>
      </c>
      <c r="D41" s="4">
        <f t="shared" si="4"/>
        <v>837800</v>
      </c>
      <c r="E41" s="4">
        <f>C41*StaticParameter!$B$14</f>
        <v>61892320</v>
      </c>
      <c r="F41" s="4">
        <f t="shared" si="2"/>
        <v>1028200</v>
      </c>
      <c r="G41">
        <v>0</v>
      </c>
      <c r="H41">
        <f t="shared" si="5"/>
        <v>205</v>
      </c>
      <c r="I41" s="3">
        <f>G41*(1-StaticParameter!$B$69)*StaticParameter!$I$89*1000/StaticParameter!$I$91</f>
        <v>0</v>
      </c>
      <c r="J41" s="3">
        <f>H41*(1-StaticParameter!$B$69)*StaticParameter!$I$90*1000/StaticParameter!$I$92</f>
        <v>85.416666666666671</v>
      </c>
    </row>
    <row r="42" spans="1:10" x14ac:dyDescent="0.35">
      <c r="A42">
        <v>2060</v>
      </c>
      <c r="B42">
        <v>40</v>
      </c>
      <c r="C42">
        <f t="shared" si="3"/>
        <v>1211200</v>
      </c>
      <c r="D42" s="4">
        <f t="shared" si="4"/>
        <v>837800</v>
      </c>
      <c r="E42" s="4">
        <f>C42*StaticParameter!$B$14</f>
        <v>61892320</v>
      </c>
      <c r="F42" s="4">
        <f t="shared" si="2"/>
        <v>1028200</v>
      </c>
      <c r="G42">
        <v>0</v>
      </c>
      <c r="H42">
        <f t="shared" si="5"/>
        <v>205</v>
      </c>
      <c r="I42" s="3">
        <f>G42*(1-StaticParameter!$B$69)*StaticParameter!$I$89*1000/StaticParameter!$I$91</f>
        <v>0</v>
      </c>
      <c r="J42" s="3">
        <f>H42*(1-StaticParameter!$B$69)*StaticParameter!$I$90*1000/StaticParameter!$I$92</f>
        <v>85.416666666666671</v>
      </c>
    </row>
    <row r="43" spans="1:10" x14ac:dyDescent="0.35">
      <c r="A43">
        <v>2061</v>
      </c>
      <c r="B43">
        <v>41</v>
      </c>
      <c r="C43">
        <f t="shared" si="3"/>
        <v>1211200</v>
      </c>
      <c r="D43" s="4">
        <f t="shared" si="4"/>
        <v>837800</v>
      </c>
      <c r="E43" s="4">
        <f>C43*StaticParameter!$B$14</f>
        <v>61892320</v>
      </c>
      <c r="F43" s="4">
        <f t="shared" si="2"/>
        <v>1028200</v>
      </c>
      <c r="G43">
        <v>0</v>
      </c>
      <c r="H43">
        <f t="shared" si="5"/>
        <v>205</v>
      </c>
      <c r="I43" s="3">
        <f>G43*(1-StaticParameter!$B$69)*StaticParameter!$I$89*1000/StaticParameter!$I$91</f>
        <v>0</v>
      </c>
      <c r="J43" s="3">
        <f>H43*(1-StaticParameter!$B$69)*StaticParameter!$I$90*1000/StaticParameter!$I$92</f>
        <v>85.416666666666671</v>
      </c>
    </row>
    <row r="44" spans="1:10" x14ac:dyDescent="0.35">
      <c r="A44">
        <v>2062</v>
      </c>
      <c r="B44">
        <v>42</v>
      </c>
      <c r="C44">
        <f t="shared" si="3"/>
        <v>1211200</v>
      </c>
      <c r="D44" s="4">
        <f t="shared" si="4"/>
        <v>837800</v>
      </c>
      <c r="E44" s="4">
        <f>C44*StaticParameter!$B$14</f>
        <v>61892320</v>
      </c>
      <c r="F44" s="4">
        <f t="shared" si="2"/>
        <v>1028200</v>
      </c>
      <c r="G44">
        <v>0</v>
      </c>
      <c r="H44">
        <f t="shared" si="5"/>
        <v>205</v>
      </c>
      <c r="I44" s="3">
        <f>G44*(1-StaticParameter!$B$69)*StaticParameter!$I$89*1000/StaticParameter!$I$91</f>
        <v>0</v>
      </c>
      <c r="J44" s="3">
        <f>H44*(1-StaticParameter!$B$69)*StaticParameter!$I$90*1000/StaticParameter!$I$92</f>
        <v>85.416666666666671</v>
      </c>
    </row>
    <row r="45" spans="1:10" x14ac:dyDescent="0.35">
      <c r="A45">
        <v>2063</v>
      </c>
      <c r="B45">
        <v>43</v>
      </c>
      <c r="C45">
        <f t="shared" si="3"/>
        <v>1211200</v>
      </c>
      <c r="D45" s="4">
        <f t="shared" si="4"/>
        <v>837800</v>
      </c>
      <c r="E45" s="4">
        <f>C45*StaticParameter!$B$14</f>
        <v>61892320</v>
      </c>
      <c r="F45" s="4">
        <f t="shared" si="2"/>
        <v>1028200</v>
      </c>
      <c r="G45">
        <v>0</v>
      </c>
      <c r="H45">
        <f t="shared" si="5"/>
        <v>205</v>
      </c>
      <c r="I45" s="3">
        <f>G45*(1-StaticParameter!$B$69)*StaticParameter!$I$89*1000/StaticParameter!$I$91</f>
        <v>0</v>
      </c>
      <c r="J45" s="3">
        <f>H45*(1-StaticParameter!$B$69)*StaticParameter!$I$90*1000/StaticParameter!$I$92</f>
        <v>85.416666666666671</v>
      </c>
    </row>
    <row r="46" spans="1:10" x14ac:dyDescent="0.35">
      <c r="A46">
        <v>2064</v>
      </c>
      <c r="B46">
        <v>44</v>
      </c>
      <c r="C46">
        <f t="shared" si="3"/>
        <v>1211200</v>
      </c>
      <c r="D46" s="4">
        <f t="shared" si="4"/>
        <v>837800</v>
      </c>
      <c r="E46" s="4">
        <f>C46*StaticParameter!$B$14</f>
        <v>61892320</v>
      </c>
      <c r="F46" s="4">
        <f t="shared" si="2"/>
        <v>1028200</v>
      </c>
      <c r="G46">
        <v>0</v>
      </c>
      <c r="H46">
        <f t="shared" si="5"/>
        <v>205</v>
      </c>
      <c r="I46" s="3">
        <f>G46*(1-StaticParameter!$B$69)*StaticParameter!$I$89*1000/StaticParameter!$I$91</f>
        <v>0</v>
      </c>
      <c r="J46" s="3">
        <f>H46*(1-StaticParameter!$B$69)*StaticParameter!$I$90*1000/StaticParameter!$I$92</f>
        <v>85.416666666666671</v>
      </c>
    </row>
    <row r="47" spans="1:10" x14ac:dyDescent="0.35">
      <c r="A47">
        <v>2065</v>
      </c>
      <c r="B47">
        <v>45</v>
      </c>
      <c r="C47">
        <f t="shared" si="3"/>
        <v>1211200</v>
      </c>
      <c r="D47" s="4">
        <f t="shared" si="4"/>
        <v>837800</v>
      </c>
      <c r="E47" s="4">
        <f>C47*StaticParameter!$B$14</f>
        <v>61892320</v>
      </c>
      <c r="F47" s="4">
        <f t="shared" si="2"/>
        <v>1028200</v>
      </c>
      <c r="G47">
        <v>0</v>
      </c>
      <c r="H47">
        <f t="shared" si="5"/>
        <v>205</v>
      </c>
      <c r="I47" s="3">
        <f>G47*(1-StaticParameter!$B$69)*StaticParameter!$I$89*1000/StaticParameter!$I$91</f>
        <v>0</v>
      </c>
      <c r="J47" s="3">
        <f>H47*(1-StaticParameter!$B$69)*StaticParameter!$I$90*1000/StaticParameter!$I$92</f>
        <v>85.416666666666671</v>
      </c>
    </row>
    <row r="48" spans="1:10" x14ac:dyDescent="0.35">
      <c r="A48">
        <v>2066</v>
      </c>
      <c r="B48">
        <v>46</v>
      </c>
      <c r="C48">
        <f t="shared" si="3"/>
        <v>1211200</v>
      </c>
      <c r="D48" s="4">
        <f t="shared" si="4"/>
        <v>837800</v>
      </c>
      <c r="E48" s="4">
        <f>C48*StaticParameter!$B$14</f>
        <v>61892320</v>
      </c>
      <c r="F48" s="4">
        <f t="shared" si="2"/>
        <v>1028200</v>
      </c>
      <c r="G48">
        <v>0</v>
      </c>
      <c r="H48">
        <f t="shared" si="5"/>
        <v>205</v>
      </c>
      <c r="I48" s="3">
        <f>G48*(1-StaticParameter!$B$69)*StaticParameter!$I$89*1000/StaticParameter!$I$91</f>
        <v>0</v>
      </c>
      <c r="J48" s="3">
        <f>H48*(1-StaticParameter!$B$69)*StaticParameter!$I$90*1000/StaticParameter!$I$92</f>
        <v>85.416666666666671</v>
      </c>
    </row>
    <row r="49" spans="1:10" x14ac:dyDescent="0.35">
      <c r="A49">
        <v>2067</v>
      </c>
      <c r="B49">
        <v>47</v>
      </c>
      <c r="C49">
        <f t="shared" si="3"/>
        <v>1211200</v>
      </c>
      <c r="D49" s="4">
        <f t="shared" si="4"/>
        <v>837800</v>
      </c>
      <c r="E49" s="4">
        <f>C49*StaticParameter!$B$14</f>
        <v>61892320</v>
      </c>
      <c r="F49" s="4">
        <f t="shared" si="2"/>
        <v>1028200</v>
      </c>
      <c r="G49">
        <v>0</v>
      </c>
      <c r="H49">
        <f t="shared" si="5"/>
        <v>205</v>
      </c>
      <c r="I49" s="3">
        <f>G49*(1-StaticParameter!$B$69)*StaticParameter!$I$89*1000/StaticParameter!$I$91</f>
        <v>0</v>
      </c>
      <c r="J49" s="3">
        <f>H49*(1-StaticParameter!$B$69)*StaticParameter!$I$90*1000/StaticParameter!$I$92</f>
        <v>85.416666666666671</v>
      </c>
    </row>
    <row r="50" spans="1:10" x14ac:dyDescent="0.35">
      <c r="A50">
        <v>2068</v>
      </c>
      <c r="B50">
        <v>48</v>
      </c>
      <c r="C50">
        <f t="shared" si="3"/>
        <v>1211200</v>
      </c>
      <c r="D50" s="4">
        <f t="shared" si="4"/>
        <v>837800</v>
      </c>
      <c r="E50" s="4">
        <f>C50*StaticParameter!$B$14</f>
        <v>61892320</v>
      </c>
      <c r="F50" s="4">
        <f t="shared" si="2"/>
        <v>1028200</v>
      </c>
      <c r="G50">
        <v>0</v>
      </c>
      <c r="H50">
        <f t="shared" si="5"/>
        <v>205</v>
      </c>
      <c r="I50" s="3">
        <f>G50*(1-StaticParameter!$B$69)*StaticParameter!$I$89*1000/StaticParameter!$I$91</f>
        <v>0</v>
      </c>
      <c r="J50" s="3">
        <f>H50*(1-StaticParameter!$B$69)*StaticParameter!$I$90*1000/StaticParameter!$I$92</f>
        <v>85.416666666666671</v>
      </c>
    </row>
    <row r="51" spans="1:10" x14ac:dyDescent="0.35">
      <c r="A51">
        <v>2069</v>
      </c>
      <c r="B51">
        <v>49</v>
      </c>
      <c r="C51">
        <f t="shared" si="3"/>
        <v>1211200</v>
      </c>
      <c r="D51" s="4">
        <f t="shared" si="4"/>
        <v>837800</v>
      </c>
      <c r="E51" s="4">
        <f>C51*StaticParameter!$B$14</f>
        <v>61892320</v>
      </c>
      <c r="F51" s="4">
        <f t="shared" si="2"/>
        <v>1028200</v>
      </c>
      <c r="G51">
        <v>0</v>
      </c>
      <c r="H51">
        <f t="shared" si="5"/>
        <v>205</v>
      </c>
      <c r="I51" s="3">
        <f>G51*(1-StaticParameter!$B$69)*StaticParameter!$I$89*1000/StaticParameter!$I$91</f>
        <v>0</v>
      </c>
      <c r="J51" s="3">
        <f>H51*(1-StaticParameter!$B$69)*StaticParameter!$I$90*1000/StaticParameter!$I$92</f>
        <v>85.416666666666671</v>
      </c>
    </row>
    <row r="52" spans="1:10" x14ac:dyDescent="0.35">
      <c r="A52">
        <v>2070</v>
      </c>
      <c r="B52">
        <v>50</v>
      </c>
      <c r="C52">
        <f t="shared" si="3"/>
        <v>1211200</v>
      </c>
      <c r="D52" s="4">
        <f t="shared" si="4"/>
        <v>837800</v>
      </c>
      <c r="E52" s="4">
        <f>C52*StaticParameter!$B$14</f>
        <v>61892320</v>
      </c>
      <c r="F52" s="4">
        <f t="shared" si="2"/>
        <v>1028200</v>
      </c>
      <c r="G52">
        <v>0</v>
      </c>
      <c r="H52">
        <f t="shared" si="5"/>
        <v>205</v>
      </c>
      <c r="I52" s="3">
        <f>G52*(1-StaticParameter!$B$69)*StaticParameter!$I$89*1000/StaticParameter!$I$91</f>
        <v>0</v>
      </c>
      <c r="J52" s="3">
        <f>H52*(1-StaticParameter!$B$69)*StaticParameter!$I$90*1000/StaticParameter!$I$92</f>
        <v>85.416666666666671</v>
      </c>
    </row>
    <row r="53" spans="1:10" x14ac:dyDescent="0.35">
      <c r="A53">
        <v>2071</v>
      </c>
      <c r="B53">
        <v>51</v>
      </c>
      <c r="C53">
        <f t="shared" si="3"/>
        <v>1211200</v>
      </c>
      <c r="D53" s="4">
        <f t="shared" si="4"/>
        <v>837800</v>
      </c>
      <c r="E53" s="4">
        <f>C53*StaticParameter!$B$14</f>
        <v>61892320</v>
      </c>
      <c r="F53" s="4">
        <f t="shared" si="2"/>
        <v>1028200</v>
      </c>
      <c r="G53">
        <v>0</v>
      </c>
      <c r="H53">
        <f t="shared" si="5"/>
        <v>205</v>
      </c>
      <c r="I53" s="3">
        <f>G53*(1-StaticParameter!$B$69)*StaticParameter!$I$89*1000/StaticParameter!$I$91</f>
        <v>0</v>
      </c>
      <c r="J53" s="3">
        <f>H53*(1-StaticParameter!$B$69)*StaticParameter!$I$90*1000/StaticParameter!$I$92</f>
        <v>85.416666666666671</v>
      </c>
    </row>
    <row r="54" spans="1:10" x14ac:dyDescent="0.35">
      <c r="A54">
        <v>2072</v>
      </c>
      <c r="B54">
        <v>52</v>
      </c>
      <c r="C54">
        <f t="shared" si="3"/>
        <v>1211200</v>
      </c>
      <c r="D54" s="4">
        <f t="shared" si="4"/>
        <v>837800</v>
      </c>
      <c r="E54" s="4">
        <f>C54*StaticParameter!$B$14</f>
        <v>61892320</v>
      </c>
      <c r="F54" s="4">
        <f t="shared" si="2"/>
        <v>1028200</v>
      </c>
      <c r="G54">
        <v>0</v>
      </c>
      <c r="H54">
        <f t="shared" si="5"/>
        <v>205</v>
      </c>
      <c r="I54" s="3">
        <f>G54*(1-StaticParameter!$B$69)*StaticParameter!$I$89*1000/StaticParameter!$I$91</f>
        <v>0</v>
      </c>
      <c r="J54" s="3">
        <f>H54*(1-StaticParameter!$B$69)*StaticParameter!$I$90*1000/StaticParameter!$I$92</f>
        <v>85.416666666666671</v>
      </c>
    </row>
    <row r="55" spans="1:10" x14ac:dyDescent="0.35">
      <c r="A55">
        <v>2073</v>
      </c>
      <c r="B55">
        <v>53</v>
      </c>
      <c r="C55">
        <f t="shared" si="3"/>
        <v>1211200</v>
      </c>
      <c r="D55" s="4">
        <f t="shared" si="4"/>
        <v>837800</v>
      </c>
      <c r="E55" s="4">
        <f>C55*StaticParameter!$B$14</f>
        <v>61892320</v>
      </c>
      <c r="F55" s="4">
        <f t="shared" si="2"/>
        <v>1028200</v>
      </c>
      <c r="G55">
        <v>0</v>
      </c>
      <c r="H55">
        <f t="shared" si="5"/>
        <v>205</v>
      </c>
      <c r="I55" s="3">
        <f>G55*(1-StaticParameter!$B$69)*StaticParameter!$I$89*1000/StaticParameter!$I$91</f>
        <v>0</v>
      </c>
      <c r="J55" s="3">
        <f>H55*(1-StaticParameter!$B$69)*StaticParameter!$I$90*1000/StaticParameter!$I$92</f>
        <v>85.416666666666671</v>
      </c>
    </row>
    <row r="56" spans="1:10" x14ac:dyDescent="0.35">
      <c r="A56">
        <v>2074</v>
      </c>
      <c r="B56">
        <v>54</v>
      </c>
      <c r="C56">
        <f t="shared" si="3"/>
        <v>1211200</v>
      </c>
      <c r="D56" s="4">
        <f t="shared" si="4"/>
        <v>837800</v>
      </c>
      <c r="E56" s="4">
        <f>C56*StaticParameter!$B$14</f>
        <v>61892320</v>
      </c>
      <c r="F56" s="4">
        <f t="shared" si="2"/>
        <v>1028200</v>
      </c>
      <c r="G56">
        <v>0</v>
      </c>
      <c r="H56">
        <f t="shared" si="5"/>
        <v>205</v>
      </c>
      <c r="I56" s="3">
        <f>G56*(1-StaticParameter!$B$69)*StaticParameter!$I$89*1000/StaticParameter!$I$91</f>
        <v>0</v>
      </c>
      <c r="J56" s="3">
        <f>H56*(1-StaticParameter!$B$69)*StaticParameter!$I$90*1000/StaticParameter!$I$92</f>
        <v>85.416666666666671</v>
      </c>
    </row>
    <row r="57" spans="1:10" x14ac:dyDescent="0.35">
      <c r="A57">
        <v>2075</v>
      </c>
      <c r="B57">
        <v>55</v>
      </c>
      <c r="C57">
        <f t="shared" si="3"/>
        <v>1211200</v>
      </c>
      <c r="D57" s="4">
        <f t="shared" si="4"/>
        <v>837800</v>
      </c>
      <c r="E57" s="4">
        <f>C57*StaticParameter!$B$14</f>
        <v>61892320</v>
      </c>
      <c r="F57" s="4">
        <f t="shared" si="2"/>
        <v>1028200</v>
      </c>
      <c r="G57">
        <v>0</v>
      </c>
      <c r="H57">
        <f t="shared" si="5"/>
        <v>205</v>
      </c>
      <c r="I57" s="3">
        <f>G57*(1-StaticParameter!$B$69)*StaticParameter!$I$89*1000/StaticParameter!$I$91</f>
        <v>0</v>
      </c>
      <c r="J57" s="3">
        <f>H57*(1-StaticParameter!$B$69)*StaticParameter!$I$90*1000/StaticParameter!$I$92</f>
        <v>85.416666666666671</v>
      </c>
    </row>
    <row r="58" spans="1:10" x14ac:dyDescent="0.35">
      <c r="A58">
        <v>2076</v>
      </c>
      <c r="B58">
        <v>56</v>
      </c>
      <c r="C58">
        <f t="shared" si="3"/>
        <v>1211200</v>
      </c>
      <c r="D58" s="4">
        <f t="shared" si="4"/>
        <v>837800</v>
      </c>
      <c r="E58" s="4">
        <f>C58*StaticParameter!$B$14</f>
        <v>61892320</v>
      </c>
      <c r="F58" s="4">
        <f t="shared" si="2"/>
        <v>1028200</v>
      </c>
      <c r="G58">
        <v>0</v>
      </c>
      <c r="H58">
        <f t="shared" si="5"/>
        <v>205</v>
      </c>
      <c r="I58" s="3">
        <f>G58*(1-StaticParameter!$B$69)*StaticParameter!$I$89*1000/StaticParameter!$I$91</f>
        <v>0</v>
      </c>
      <c r="J58" s="3">
        <f>H58*(1-StaticParameter!$B$69)*StaticParameter!$I$90*1000/StaticParameter!$I$92</f>
        <v>85.416666666666671</v>
      </c>
    </row>
    <row r="59" spans="1:10" x14ac:dyDescent="0.35">
      <c r="A59">
        <v>2077</v>
      </c>
      <c r="B59">
        <v>57</v>
      </c>
      <c r="C59">
        <f t="shared" si="3"/>
        <v>1211200</v>
      </c>
      <c r="D59" s="4">
        <f t="shared" si="4"/>
        <v>837800</v>
      </c>
      <c r="E59" s="4">
        <f>C59*StaticParameter!$B$14</f>
        <v>61892320</v>
      </c>
      <c r="F59" s="4">
        <f t="shared" si="2"/>
        <v>1028200</v>
      </c>
      <c r="G59">
        <v>0</v>
      </c>
      <c r="H59">
        <f t="shared" si="5"/>
        <v>205</v>
      </c>
      <c r="I59" s="3">
        <f>G59*(1-StaticParameter!$B$69)*StaticParameter!$I$89*1000/StaticParameter!$I$91</f>
        <v>0</v>
      </c>
      <c r="J59" s="3">
        <f>H59*(1-StaticParameter!$B$69)*StaticParameter!$I$90*1000/StaticParameter!$I$92</f>
        <v>85.416666666666671</v>
      </c>
    </row>
    <row r="60" spans="1:10" x14ac:dyDescent="0.35">
      <c r="A60">
        <v>2078</v>
      </c>
      <c r="B60">
        <v>58</v>
      </c>
      <c r="C60">
        <f t="shared" si="3"/>
        <v>1211200</v>
      </c>
      <c r="D60" s="4">
        <f t="shared" si="4"/>
        <v>837800</v>
      </c>
      <c r="E60" s="4">
        <f>C60*StaticParameter!$B$14</f>
        <v>61892320</v>
      </c>
      <c r="F60" s="4">
        <f t="shared" si="2"/>
        <v>1028200</v>
      </c>
      <c r="G60">
        <v>0</v>
      </c>
      <c r="H60">
        <f t="shared" si="5"/>
        <v>205</v>
      </c>
      <c r="I60" s="3">
        <f>G60*(1-StaticParameter!$B$69)*StaticParameter!$I$89*1000/StaticParameter!$I$91</f>
        <v>0</v>
      </c>
      <c r="J60" s="3">
        <f>H60*(1-StaticParameter!$B$69)*StaticParameter!$I$90*1000/StaticParameter!$I$92</f>
        <v>85.416666666666671</v>
      </c>
    </row>
    <row r="61" spans="1:10" x14ac:dyDescent="0.35">
      <c r="A61">
        <v>2079</v>
      </c>
      <c r="B61">
        <v>59</v>
      </c>
      <c r="C61">
        <f t="shared" si="3"/>
        <v>1211200</v>
      </c>
      <c r="D61" s="4">
        <f t="shared" si="4"/>
        <v>837800</v>
      </c>
      <c r="E61" s="4">
        <f>C61*StaticParameter!$B$14</f>
        <v>61892320</v>
      </c>
      <c r="F61" s="4">
        <f t="shared" si="2"/>
        <v>1028200</v>
      </c>
      <c r="G61">
        <v>0</v>
      </c>
      <c r="H61">
        <f t="shared" si="5"/>
        <v>205</v>
      </c>
      <c r="I61" s="3">
        <f>G61*(1-StaticParameter!$B$69)*StaticParameter!$I$89*1000/StaticParameter!$I$91</f>
        <v>0</v>
      </c>
      <c r="J61" s="3">
        <f>H61*(1-StaticParameter!$B$69)*StaticParameter!$I$90*1000/StaticParameter!$I$92</f>
        <v>85.416666666666671</v>
      </c>
    </row>
    <row r="62" spans="1:10" x14ac:dyDescent="0.35">
      <c r="A62">
        <v>2080</v>
      </c>
      <c r="B62">
        <v>60</v>
      </c>
      <c r="C62">
        <f t="shared" si="3"/>
        <v>1211200</v>
      </c>
      <c r="D62" s="4">
        <f t="shared" si="4"/>
        <v>837800</v>
      </c>
      <c r="E62" s="4">
        <f>C62*StaticParameter!$B$14</f>
        <v>61892320</v>
      </c>
      <c r="F62" s="4">
        <f t="shared" si="2"/>
        <v>1028200</v>
      </c>
      <c r="G62">
        <v>0</v>
      </c>
      <c r="H62">
        <f t="shared" si="5"/>
        <v>205</v>
      </c>
      <c r="I62" s="3">
        <f>G62*(1-StaticParameter!$B$69)*StaticParameter!$I$89*1000/StaticParameter!$I$91</f>
        <v>0</v>
      </c>
      <c r="J62" s="3">
        <f>H62*(1-StaticParameter!$B$69)*StaticParameter!$I$90*1000/StaticParameter!$I$92</f>
        <v>85.416666666666671</v>
      </c>
    </row>
    <row r="63" spans="1:10" x14ac:dyDescent="0.35">
      <c r="A63">
        <v>2081</v>
      </c>
      <c r="B63">
        <v>61</v>
      </c>
      <c r="C63">
        <f t="shared" si="3"/>
        <v>1211200</v>
      </c>
      <c r="D63" s="4">
        <f t="shared" si="4"/>
        <v>837800</v>
      </c>
      <c r="E63" s="4">
        <f>C63*StaticParameter!$B$14</f>
        <v>61892320</v>
      </c>
      <c r="F63" s="4">
        <f t="shared" si="2"/>
        <v>1028200</v>
      </c>
      <c r="G63">
        <v>0</v>
      </c>
      <c r="H63">
        <f t="shared" si="5"/>
        <v>205</v>
      </c>
      <c r="I63" s="3">
        <f>G63*(1-StaticParameter!$B$69)*StaticParameter!$I$89*1000/StaticParameter!$I$91</f>
        <v>0</v>
      </c>
      <c r="J63" s="3">
        <f>H63*(1-StaticParameter!$B$69)*StaticParameter!$I$90*1000/StaticParameter!$I$92</f>
        <v>85.416666666666671</v>
      </c>
    </row>
    <row r="64" spans="1:10" x14ac:dyDescent="0.35">
      <c r="A64">
        <v>2082</v>
      </c>
      <c r="B64">
        <v>62</v>
      </c>
      <c r="C64">
        <f t="shared" si="3"/>
        <v>1211200</v>
      </c>
      <c r="D64" s="4">
        <f t="shared" si="4"/>
        <v>837800</v>
      </c>
      <c r="E64" s="4">
        <f>C64*StaticParameter!$B$14</f>
        <v>61892320</v>
      </c>
      <c r="F64" s="4">
        <f t="shared" si="2"/>
        <v>1028200</v>
      </c>
      <c r="G64">
        <v>0</v>
      </c>
      <c r="H64">
        <f t="shared" si="5"/>
        <v>205</v>
      </c>
      <c r="I64" s="3">
        <f>G64*(1-StaticParameter!$B$69)*StaticParameter!$I$89*1000/StaticParameter!$I$91</f>
        <v>0</v>
      </c>
      <c r="J64" s="3">
        <f>H64*(1-StaticParameter!$B$69)*StaticParameter!$I$90*1000/StaticParameter!$I$92</f>
        <v>85.416666666666671</v>
      </c>
    </row>
    <row r="65" spans="1:10" x14ac:dyDescent="0.35">
      <c r="A65">
        <v>2083</v>
      </c>
      <c r="B65">
        <v>63</v>
      </c>
      <c r="C65">
        <f t="shared" si="3"/>
        <v>1211200</v>
      </c>
      <c r="D65" s="4">
        <f t="shared" si="4"/>
        <v>837800</v>
      </c>
      <c r="E65" s="4">
        <f>C65*StaticParameter!$B$14</f>
        <v>61892320</v>
      </c>
      <c r="F65" s="4">
        <f t="shared" si="2"/>
        <v>1028200</v>
      </c>
      <c r="G65">
        <v>0</v>
      </c>
      <c r="H65">
        <f t="shared" si="5"/>
        <v>205</v>
      </c>
      <c r="I65" s="3">
        <f>G65*(1-StaticParameter!$B$69)*StaticParameter!$I$89*1000/StaticParameter!$I$91</f>
        <v>0</v>
      </c>
      <c r="J65" s="3">
        <f>H65*(1-StaticParameter!$B$69)*StaticParameter!$I$90*1000/StaticParameter!$I$92</f>
        <v>85.416666666666671</v>
      </c>
    </row>
    <row r="66" spans="1:10" x14ac:dyDescent="0.35">
      <c r="A66">
        <v>2084</v>
      </c>
      <c r="B66">
        <v>64</v>
      </c>
      <c r="C66">
        <f t="shared" si="3"/>
        <v>1211200</v>
      </c>
      <c r="D66" s="4">
        <f t="shared" si="4"/>
        <v>837800</v>
      </c>
      <c r="E66" s="4">
        <f>C66*StaticParameter!$B$14</f>
        <v>61892320</v>
      </c>
      <c r="F66" s="4">
        <f t="shared" si="2"/>
        <v>1028200</v>
      </c>
      <c r="G66">
        <v>0</v>
      </c>
      <c r="H66">
        <f t="shared" si="5"/>
        <v>205</v>
      </c>
      <c r="I66" s="3">
        <f>G66*(1-StaticParameter!$B$69)*StaticParameter!$I$89*1000/StaticParameter!$I$91</f>
        <v>0</v>
      </c>
      <c r="J66" s="3">
        <f>H66*(1-StaticParameter!$B$69)*StaticParameter!$I$90*1000/StaticParameter!$I$92</f>
        <v>85.416666666666671</v>
      </c>
    </row>
    <row r="67" spans="1:10" x14ac:dyDescent="0.35">
      <c r="A67">
        <v>2085</v>
      </c>
      <c r="B67">
        <v>65</v>
      </c>
      <c r="C67">
        <f t="shared" si="3"/>
        <v>1211200</v>
      </c>
      <c r="D67" s="4">
        <f t="shared" si="4"/>
        <v>837800</v>
      </c>
      <c r="E67" s="4">
        <f>C67*StaticParameter!$B$14</f>
        <v>61892320</v>
      </c>
      <c r="F67" s="4">
        <f t="shared" si="2"/>
        <v>1028200</v>
      </c>
      <c r="G67">
        <v>0</v>
      </c>
      <c r="H67">
        <f t="shared" si="5"/>
        <v>205</v>
      </c>
      <c r="I67" s="3">
        <f>G67*(1-StaticParameter!$B$69)*StaticParameter!$I$89*1000/StaticParameter!$I$91</f>
        <v>0</v>
      </c>
      <c r="J67" s="3">
        <f>H67*(1-StaticParameter!$B$69)*StaticParameter!$I$90*1000/StaticParameter!$I$92</f>
        <v>85.416666666666671</v>
      </c>
    </row>
    <row r="68" spans="1:10" x14ac:dyDescent="0.35">
      <c r="A68">
        <v>2086</v>
      </c>
      <c r="B68">
        <v>66</v>
      </c>
      <c r="C68">
        <f t="shared" si="3"/>
        <v>1211200</v>
      </c>
      <c r="D68" s="4">
        <f t="shared" si="4"/>
        <v>837800</v>
      </c>
      <c r="E68" s="4">
        <f>C68*StaticParameter!$B$14</f>
        <v>61892320</v>
      </c>
      <c r="F68" s="4">
        <f t="shared" si="2"/>
        <v>1028200</v>
      </c>
      <c r="G68">
        <v>0</v>
      </c>
      <c r="H68">
        <f t="shared" si="5"/>
        <v>205</v>
      </c>
      <c r="I68" s="3">
        <f>G68*(1-StaticParameter!$B$69)*StaticParameter!$I$89*1000/StaticParameter!$I$91</f>
        <v>0</v>
      </c>
      <c r="J68" s="3">
        <f>H68*(1-StaticParameter!$B$69)*StaticParameter!$I$90*1000/StaticParameter!$I$92</f>
        <v>85.416666666666671</v>
      </c>
    </row>
    <row r="69" spans="1:10" x14ac:dyDescent="0.35">
      <c r="A69">
        <v>2087</v>
      </c>
      <c r="B69">
        <v>67</v>
      </c>
      <c r="C69">
        <f t="shared" si="3"/>
        <v>1211200</v>
      </c>
      <c r="D69" s="4">
        <f t="shared" si="4"/>
        <v>837800</v>
      </c>
      <c r="E69" s="4">
        <f>C69*StaticParameter!$B$14</f>
        <v>61892320</v>
      </c>
      <c r="F69" s="4">
        <f t="shared" si="2"/>
        <v>1028200</v>
      </c>
      <c r="G69">
        <v>0</v>
      </c>
      <c r="H69">
        <f t="shared" si="5"/>
        <v>205</v>
      </c>
      <c r="I69" s="3">
        <f>G69*(1-StaticParameter!$B$69)*StaticParameter!$I$89*1000/StaticParameter!$I$91</f>
        <v>0</v>
      </c>
      <c r="J69" s="3">
        <f>H69*(1-StaticParameter!$B$69)*StaticParameter!$I$90*1000/StaticParameter!$I$92</f>
        <v>85.416666666666671</v>
      </c>
    </row>
    <row r="70" spans="1:10" x14ac:dyDescent="0.35">
      <c r="A70">
        <v>2088</v>
      </c>
      <c r="B70">
        <v>68</v>
      </c>
      <c r="C70">
        <f t="shared" si="3"/>
        <v>1211200</v>
      </c>
      <c r="D70" s="4">
        <f t="shared" si="4"/>
        <v>837800</v>
      </c>
      <c r="E70" s="4">
        <f>C70*StaticParameter!$B$14</f>
        <v>61892320</v>
      </c>
      <c r="F70" s="4">
        <f t="shared" si="2"/>
        <v>1028200</v>
      </c>
      <c r="G70">
        <v>0</v>
      </c>
      <c r="H70">
        <f t="shared" si="5"/>
        <v>205</v>
      </c>
      <c r="I70" s="3">
        <f>G70*(1-StaticParameter!$B$69)*StaticParameter!$I$89*1000/StaticParameter!$I$91</f>
        <v>0</v>
      </c>
      <c r="J70" s="3">
        <f>H70*(1-StaticParameter!$B$69)*StaticParameter!$I$90*1000/StaticParameter!$I$92</f>
        <v>85.416666666666671</v>
      </c>
    </row>
    <row r="71" spans="1:10" x14ac:dyDescent="0.35">
      <c r="A71">
        <v>2089</v>
      </c>
      <c r="B71">
        <v>69</v>
      </c>
      <c r="C71">
        <f t="shared" si="3"/>
        <v>1211200</v>
      </c>
      <c r="D71" s="4">
        <f t="shared" si="4"/>
        <v>837800</v>
      </c>
      <c r="E71" s="4">
        <f>C71*StaticParameter!$B$14</f>
        <v>61892320</v>
      </c>
      <c r="F71" s="4">
        <f t="shared" si="2"/>
        <v>1028200</v>
      </c>
      <c r="G71">
        <v>0</v>
      </c>
      <c r="H71">
        <f t="shared" si="5"/>
        <v>205</v>
      </c>
      <c r="I71" s="3">
        <f>G71*(1-StaticParameter!$B$69)*StaticParameter!$I$89*1000/StaticParameter!$I$91</f>
        <v>0</v>
      </c>
      <c r="J71" s="3">
        <f>H71*(1-StaticParameter!$B$69)*StaticParameter!$I$90*1000/StaticParameter!$I$92</f>
        <v>85.416666666666671</v>
      </c>
    </row>
    <row r="72" spans="1:10" x14ac:dyDescent="0.35">
      <c r="A72">
        <v>2090</v>
      </c>
      <c r="B72">
        <v>70</v>
      </c>
      <c r="C72">
        <f t="shared" si="3"/>
        <v>1211200</v>
      </c>
      <c r="D72" s="4">
        <f t="shared" si="4"/>
        <v>837800</v>
      </c>
      <c r="E72" s="4">
        <f>C72*StaticParameter!$B$14</f>
        <v>61892320</v>
      </c>
      <c r="F72" s="4">
        <f t="shared" si="2"/>
        <v>1028200</v>
      </c>
      <c r="G72">
        <v>0</v>
      </c>
      <c r="H72">
        <f t="shared" si="5"/>
        <v>205</v>
      </c>
      <c r="I72" s="3">
        <f>G72*(1-StaticParameter!$B$69)*StaticParameter!$I$89*1000/StaticParameter!$I$91</f>
        <v>0</v>
      </c>
      <c r="J72" s="3">
        <f>H72*(1-StaticParameter!$B$69)*StaticParameter!$I$90*1000/StaticParameter!$I$92</f>
        <v>85.416666666666671</v>
      </c>
    </row>
    <row r="73" spans="1:10" x14ac:dyDescent="0.35">
      <c r="A73">
        <v>2091</v>
      </c>
      <c r="B73">
        <v>71</v>
      </c>
      <c r="C73">
        <f t="shared" si="3"/>
        <v>1211200</v>
      </c>
      <c r="D73" s="4">
        <f t="shared" si="4"/>
        <v>837800</v>
      </c>
      <c r="E73" s="4">
        <f>C73*StaticParameter!$B$14</f>
        <v>61892320</v>
      </c>
      <c r="F73" s="4">
        <f t="shared" si="2"/>
        <v>1028200</v>
      </c>
      <c r="G73">
        <v>0</v>
      </c>
      <c r="H73">
        <f t="shared" si="5"/>
        <v>205</v>
      </c>
      <c r="I73" s="3">
        <f>G73*(1-StaticParameter!$B$69)*StaticParameter!$I$89*1000/StaticParameter!$I$91</f>
        <v>0</v>
      </c>
      <c r="J73" s="3">
        <f>H73*(1-StaticParameter!$B$69)*StaticParameter!$I$90*1000/StaticParameter!$I$92</f>
        <v>85.416666666666671</v>
      </c>
    </row>
    <row r="74" spans="1:10" x14ac:dyDescent="0.35">
      <c r="A74">
        <v>2092</v>
      </c>
      <c r="B74">
        <v>72</v>
      </c>
      <c r="C74">
        <f t="shared" si="3"/>
        <v>1211200</v>
      </c>
      <c r="D74" s="4">
        <f t="shared" si="4"/>
        <v>837800</v>
      </c>
      <c r="E74" s="4">
        <f>C74*StaticParameter!$B$14</f>
        <v>61892320</v>
      </c>
      <c r="F74" s="4">
        <f t="shared" si="2"/>
        <v>1028200</v>
      </c>
      <c r="G74">
        <v>0</v>
      </c>
      <c r="H74">
        <f t="shared" si="5"/>
        <v>205</v>
      </c>
      <c r="I74" s="3">
        <f>G74*(1-StaticParameter!$B$69)*StaticParameter!$I$89*1000/StaticParameter!$I$91</f>
        <v>0</v>
      </c>
      <c r="J74" s="3">
        <f>H74*(1-StaticParameter!$B$69)*StaticParameter!$I$90*1000/StaticParameter!$I$92</f>
        <v>85.416666666666671</v>
      </c>
    </row>
    <row r="75" spans="1:10" x14ac:dyDescent="0.35">
      <c r="A75">
        <v>2093</v>
      </c>
      <c r="B75">
        <v>73</v>
      </c>
      <c r="C75">
        <f t="shared" si="3"/>
        <v>1211200</v>
      </c>
      <c r="D75" s="4">
        <f t="shared" si="4"/>
        <v>837800</v>
      </c>
      <c r="E75" s="4">
        <f>C75*StaticParameter!$B$14</f>
        <v>61892320</v>
      </c>
      <c r="F75" s="4">
        <f t="shared" si="2"/>
        <v>1028200</v>
      </c>
      <c r="G75">
        <v>0</v>
      </c>
      <c r="H75">
        <f t="shared" si="5"/>
        <v>205</v>
      </c>
      <c r="I75" s="3">
        <f>G75*(1-StaticParameter!$B$69)*StaticParameter!$I$89*1000/StaticParameter!$I$91</f>
        <v>0</v>
      </c>
      <c r="J75" s="3">
        <f>H75*(1-StaticParameter!$B$69)*StaticParameter!$I$90*1000/StaticParameter!$I$92</f>
        <v>85.416666666666671</v>
      </c>
    </row>
    <row r="76" spans="1:10" x14ac:dyDescent="0.35">
      <c r="A76">
        <v>2094</v>
      </c>
      <c r="B76">
        <v>74</v>
      </c>
      <c r="C76">
        <f t="shared" si="3"/>
        <v>1211200</v>
      </c>
      <c r="D76" s="4">
        <f t="shared" si="4"/>
        <v>837800</v>
      </c>
      <c r="E76" s="4">
        <f>C76*StaticParameter!$B$14</f>
        <v>61892320</v>
      </c>
      <c r="F76" s="4">
        <f t="shared" si="2"/>
        <v>1028200</v>
      </c>
      <c r="G76">
        <v>0</v>
      </c>
      <c r="H76">
        <f t="shared" si="5"/>
        <v>205</v>
      </c>
      <c r="I76" s="3">
        <f>G76*(1-StaticParameter!$B$69)*StaticParameter!$I$89*1000/StaticParameter!$I$91</f>
        <v>0</v>
      </c>
      <c r="J76" s="3">
        <f>H76*(1-StaticParameter!$B$69)*StaticParameter!$I$90*1000/StaticParameter!$I$92</f>
        <v>85.416666666666671</v>
      </c>
    </row>
    <row r="77" spans="1:10" x14ac:dyDescent="0.35">
      <c r="A77">
        <v>2095</v>
      </c>
      <c r="B77">
        <v>75</v>
      </c>
      <c r="C77">
        <f t="shared" si="3"/>
        <v>1211200</v>
      </c>
      <c r="D77" s="4">
        <f t="shared" si="4"/>
        <v>837800</v>
      </c>
      <c r="E77" s="4">
        <f>C77*StaticParameter!$B$14</f>
        <v>61892320</v>
      </c>
      <c r="F77" s="4">
        <f t="shared" si="2"/>
        <v>1028200</v>
      </c>
      <c r="G77">
        <v>0</v>
      </c>
      <c r="H77">
        <f t="shared" si="5"/>
        <v>205</v>
      </c>
      <c r="I77" s="3">
        <f>G77*(1-StaticParameter!$B$69)*StaticParameter!$I$89*1000/StaticParameter!$I$91</f>
        <v>0</v>
      </c>
      <c r="J77" s="3">
        <f>H77*(1-StaticParameter!$B$69)*StaticParameter!$I$90*1000/StaticParameter!$I$92</f>
        <v>85.416666666666671</v>
      </c>
    </row>
    <row r="78" spans="1:10" x14ac:dyDescent="0.35">
      <c r="A78">
        <v>2096</v>
      </c>
      <c r="B78">
        <v>76</v>
      </c>
      <c r="C78">
        <f t="shared" si="3"/>
        <v>1211200</v>
      </c>
      <c r="D78" s="4">
        <f t="shared" si="4"/>
        <v>837800</v>
      </c>
      <c r="E78" s="4">
        <f>C78*StaticParameter!$B$14</f>
        <v>61892320</v>
      </c>
      <c r="F78" s="4">
        <f t="shared" si="2"/>
        <v>1028200</v>
      </c>
      <c r="G78">
        <v>0</v>
      </c>
      <c r="H78">
        <f t="shared" si="5"/>
        <v>205</v>
      </c>
      <c r="I78" s="3">
        <f>G78*(1-StaticParameter!$B$69)*StaticParameter!$I$89*1000/StaticParameter!$I$91</f>
        <v>0</v>
      </c>
      <c r="J78" s="3">
        <f>H78*(1-StaticParameter!$B$69)*StaticParameter!$I$90*1000/StaticParameter!$I$92</f>
        <v>85.416666666666671</v>
      </c>
    </row>
    <row r="79" spans="1:10" x14ac:dyDescent="0.35">
      <c r="A79">
        <v>2097</v>
      </c>
      <c r="B79">
        <v>77</v>
      </c>
      <c r="C79">
        <f t="shared" si="3"/>
        <v>1211200</v>
      </c>
      <c r="D79" s="4">
        <f t="shared" si="4"/>
        <v>837800</v>
      </c>
      <c r="E79" s="4">
        <f>C79*StaticParameter!$B$14</f>
        <v>61892320</v>
      </c>
      <c r="F79" s="4">
        <f t="shared" si="2"/>
        <v>1028200</v>
      </c>
      <c r="G79">
        <v>0</v>
      </c>
      <c r="H79">
        <f t="shared" si="5"/>
        <v>205</v>
      </c>
      <c r="I79" s="3">
        <f>G79*(1-StaticParameter!$B$69)*StaticParameter!$I$89*1000/StaticParameter!$I$91</f>
        <v>0</v>
      </c>
      <c r="J79" s="3">
        <f>H79*(1-StaticParameter!$B$69)*StaticParameter!$I$90*1000/StaticParameter!$I$92</f>
        <v>85.416666666666671</v>
      </c>
    </row>
    <row r="80" spans="1:10" x14ac:dyDescent="0.35">
      <c r="A80">
        <v>2098</v>
      </c>
      <c r="B80">
        <v>78</v>
      </c>
      <c r="C80">
        <f t="shared" si="3"/>
        <v>1211200</v>
      </c>
      <c r="D80" s="4">
        <f t="shared" si="4"/>
        <v>837800</v>
      </c>
      <c r="E80" s="4">
        <f>C80*StaticParameter!$B$14</f>
        <v>61892320</v>
      </c>
      <c r="F80" s="4">
        <f t="shared" si="2"/>
        <v>1028200</v>
      </c>
      <c r="G80">
        <v>0</v>
      </c>
      <c r="H80">
        <f t="shared" si="5"/>
        <v>205</v>
      </c>
      <c r="I80" s="3">
        <f>G80*(1-StaticParameter!$B$69)*StaticParameter!$I$89*1000/StaticParameter!$I$91</f>
        <v>0</v>
      </c>
      <c r="J80" s="3">
        <f>H80*(1-StaticParameter!$B$69)*StaticParameter!$I$90*1000/StaticParameter!$I$92</f>
        <v>85.416666666666671</v>
      </c>
    </row>
    <row r="81" spans="1:10" x14ac:dyDescent="0.35">
      <c r="A81">
        <v>2099</v>
      </c>
      <c r="B81">
        <v>79</v>
      </c>
      <c r="C81">
        <f t="shared" si="3"/>
        <v>1211200</v>
      </c>
      <c r="D81" s="4">
        <f t="shared" si="4"/>
        <v>837800</v>
      </c>
      <c r="E81" s="4">
        <f>C81*StaticParameter!$B$14</f>
        <v>61892320</v>
      </c>
      <c r="F81" s="4">
        <f t="shared" si="2"/>
        <v>1028200</v>
      </c>
      <c r="G81">
        <v>0</v>
      </c>
      <c r="H81">
        <f t="shared" si="5"/>
        <v>205</v>
      </c>
      <c r="I81" s="3">
        <f>G81*(1-StaticParameter!$B$69)*StaticParameter!$I$89*1000/StaticParameter!$I$91</f>
        <v>0</v>
      </c>
      <c r="J81" s="3">
        <f>H81*(1-StaticParameter!$B$69)*StaticParameter!$I$90*1000/StaticParameter!$I$92</f>
        <v>85.416666666666671</v>
      </c>
    </row>
    <row r="82" spans="1:10" x14ac:dyDescent="0.35">
      <c r="A82">
        <v>2100</v>
      </c>
      <c r="B82">
        <v>80</v>
      </c>
      <c r="C82">
        <f t="shared" si="3"/>
        <v>1211200</v>
      </c>
      <c r="D82" s="4">
        <f t="shared" si="4"/>
        <v>837800</v>
      </c>
      <c r="E82" s="4">
        <f>C82*StaticParameter!$B$14</f>
        <v>61892320</v>
      </c>
      <c r="F82" s="4">
        <f t="shared" si="2"/>
        <v>1028200</v>
      </c>
      <c r="G82">
        <v>0</v>
      </c>
      <c r="H82">
        <f t="shared" si="5"/>
        <v>205</v>
      </c>
      <c r="I82" s="3">
        <f>G82*(1-StaticParameter!$B$69)*StaticParameter!$I$89*1000/StaticParameter!$I$91</f>
        <v>0</v>
      </c>
      <c r="J82" s="3">
        <f>H82*(1-StaticParameter!$B$69)*StaticParameter!$I$90*1000/StaticParameter!$I$92</f>
        <v>85.416666666666671</v>
      </c>
    </row>
    <row r="83" spans="1:10" x14ac:dyDescent="0.35">
      <c r="A83">
        <v>2101</v>
      </c>
      <c r="B83">
        <v>81</v>
      </c>
      <c r="C83">
        <f t="shared" si="3"/>
        <v>1211200</v>
      </c>
      <c r="D83" s="4">
        <f t="shared" si="4"/>
        <v>837800</v>
      </c>
      <c r="E83" s="4">
        <f>C83*StaticParameter!$B$14</f>
        <v>61892320</v>
      </c>
      <c r="F83" s="4">
        <f t="shared" si="2"/>
        <v>1028200</v>
      </c>
      <c r="G83">
        <v>0</v>
      </c>
      <c r="H83">
        <f t="shared" si="5"/>
        <v>205</v>
      </c>
      <c r="I83" s="3">
        <f>G83*(1-StaticParameter!$B$69)*StaticParameter!$I$89*1000/StaticParameter!$I$91</f>
        <v>0</v>
      </c>
      <c r="J83" s="3">
        <f>H83*(1-StaticParameter!$B$69)*StaticParameter!$I$90*1000/StaticParameter!$I$92</f>
        <v>85.416666666666671</v>
      </c>
    </row>
    <row r="84" spans="1:10" x14ac:dyDescent="0.35">
      <c r="A84">
        <v>2102</v>
      </c>
      <c r="B84">
        <v>82</v>
      </c>
      <c r="C84">
        <f t="shared" si="3"/>
        <v>1211200</v>
      </c>
      <c r="D84" s="4">
        <f t="shared" si="4"/>
        <v>837800</v>
      </c>
      <c r="E84" s="4">
        <f>C84*StaticParameter!$B$14</f>
        <v>61892320</v>
      </c>
      <c r="F84" s="4">
        <f t="shared" si="2"/>
        <v>1028200</v>
      </c>
      <c r="G84">
        <v>0</v>
      </c>
      <c r="H84">
        <f t="shared" si="5"/>
        <v>205</v>
      </c>
      <c r="I84" s="3">
        <f>G84*(1-StaticParameter!$B$69)*StaticParameter!$I$89*1000/StaticParameter!$I$91</f>
        <v>0</v>
      </c>
      <c r="J84" s="3">
        <f>H84*(1-StaticParameter!$B$69)*StaticParameter!$I$90*1000/StaticParameter!$I$92</f>
        <v>85.416666666666671</v>
      </c>
    </row>
    <row r="85" spans="1:10" x14ac:dyDescent="0.35">
      <c r="A85">
        <v>2103</v>
      </c>
      <c r="B85">
        <v>83</v>
      </c>
      <c r="C85">
        <f t="shared" si="3"/>
        <v>1211200</v>
      </c>
      <c r="D85" s="4">
        <f t="shared" si="4"/>
        <v>837800</v>
      </c>
      <c r="E85" s="4">
        <f>C85*StaticParameter!$B$14</f>
        <v>61892320</v>
      </c>
      <c r="F85" s="4">
        <f t="shared" si="2"/>
        <v>1028200</v>
      </c>
      <c r="G85">
        <v>0</v>
      </c>
      <c r="H85">
        <f t="shared" si="5"/>
        <v>205</v>
      </c>
      <c r="I85" s="3">
        <f>G85*(1-StaticParameter!$B$69)*StaticParameter!$I$89*1000/StaticParameter!$I$91</f>
        <v>0</v>
      </c>
      <c r="J85" s="3">
        <f>H85*(1-StaticParameter!$B$69)*StaticParameter!$I$90*1000/StaticParameter!$I$92</f>
        <v>85.416666666666671</v>
      </c>
    </row>
    <row r="86" spans="1:10" x14ac:dyDescent="0.35">
      <c r="A86">
        <v>2104</v>
      </c>
      <c r="B86">
        <v>84</v>
      </c>
      <c r="C86">
        <f t="shared" si="3"/>
        <v>1211200</v>
      </c>
      <c r="D86" s="4">
        <f t="shared" si="4"/>
        <v>837800</v>
      </c>
      <c r="E86" s="4">
        <f>C86*StaticParameter!$B$14</f>
        <v>61892320</v>
      </c>
      <c r="F86" s="4">
        <f t="shared" si="2"/>
        <v>1028200</v>
      </c>
      <c r="G86">
        <v>0</v>
      </c>
      <c r="H86">
        <f t="shared" si="5"/>
        <v>205</v>
      </c>
      <c r="I86" s="3">
        <f>G86*(1-StaticParameter!$B$69)*StaticParameter!$I$89*1000/StaticParameter!$I$91</f>
        <v>0</v>
      </c>
      <c r="J86" s="3">
        <f>H86*(1-StaticParameter!$B$69)*StaticParameter!$I$90*1000/StaticParameter!$I$92</f>
        <v>85.416666666666671</v>
      </c>
    </row>
    <row r="87" spans="1:10" x14ac:dyDescent="0.35">
      <c r="A87">
        <v>2105</v>
      </c>
      <c r="B87">
        <v>85</v>
      </c>
      <c r="C87">
        <f t="shared" si="3"/>
        <v>1211200</v>
      </c>
      <c r="D87" s="4">
        <f t="shared" si="4"/>
        <v>837800</v>
      </c>
      <c r="E87" s="4">
        <f>C87*StaticParameter!$B$14</f>
        <v>61892320</v>
      </c>
      <c r="F87" s="4">
        <f t="shared" si="2"/>
        <v>1028200</v>
      </c>
      <c r="G87">
        <v>0</v>
      </c>
      <c r="H87">
        <f t="shared" si="5"/>
        <v>205</v>
      </c>
      <c r="I87" s="3">
        <f>G87*(1-StaticParameter!$B$69)*StaticParameter!$I$89*1000/StaticParameter!$I$91</f>
        <v>0</v>
      </c>
      <c r="J87" s="3">
        <f>H87*(1-StaticParameter!$B$69)*StaticParameter!$I$90*1000/StaticParameter!$I$92</f>
        <v>85.416666666666671</v>
      </c>
    </row>
    <row r="88" spans="1:10" x14ac:dyDescent="0.35">
      <c r="A88">
        <v>2106</v>
      </c>
      <c r="B88">
        <v>86</v>
      </c>
      <c r="C88">
        <f t="shared" si="3"/>
        <v>1211200</v>
      </c>
      <c r="D88" s="4">
        <f t="shared" si="4"/>
        <v>837800</v>
      </c>
      <c r="E88" s="4">
        <f>C88*StaticParameter!$B$14</f>
        <v>61892320</v>
      </c>
      <c r="F88" s="4">
        <f t="shared" si="2"/>
        <v>1028200</v>
      </c>
      <c r="G88">
        <v>0</v>
      </c>
      <c r="H88">
        <f t="shared" si="5"/>
        <v>205</v>
      </c>
      <c r="I88" s="3">
        <f>G88*(1-StaticParameter!$B$69)*StaticParameter!$I$89*1000/StaticParameter!$I$91</f>
        <v>0</v>
      </c>
      <c r="J88" s="3">
        <f>H88*(1-StaticParameter!$B$69)*StaticParameter!$I$90*1000/StaticParameter!$I$92</f>
        <v>85.416666666666671</v>
      </c>
    </row>
    <row r="89" spans="1:10" x14ac:dyDescent="0.35">
      <c r="A89">
        <v>2107</v>
      </c>
      <c r="B89">
        <v>87</v>
      </c>
      <c r="C89">
        <f t="shared" si="3"/>
        <v>1211200</v>
      </c>
      <c r="D89" s="4">
        <f t="shared" si="4"/>
        <v>837800</v>
      </c>
      <c r="E89" s="4">
        <f>C89*StaticParameter!$B$14</f>
        <v>61892320</v>
      </c>
      <c r="F89" s="4">
        <f t="shared" si="2"/>
        <v>1028200</v>
      </c>
      <c r="G89">
        <v>0</v>
      </c>
      <c r="H89">
        <f t="shared" si="5"/>
        <v>205</v>
      </c>
      <c r="I89" s="3">
        <f>G89*(1-StaticParameter!$B$69)*StaticParameter!$I$89*1000/StaticParameter!$I$91</f>
        <v>0</v>
      </c>
      <c r="J89" s="3">
        <f>H89*(1-StaticParameter!$B$69)*StaticParameter!$I$90*1000/StaticParameter!$I$92</f>
        <v>85.416666666666671</v>
      </c>
    </row>
    <row r="90" spans="1:10" x14ac:dyDescent="0.35">
      <c r="A90">
        <v>2108</v>
      </c>
      <c r="B90">
        <v>88</v>
      </c>
      <c r="C90">
        <f t="shared" si="3"/>
        <v>1211200</v>
      </c>
      <c r="D90" s="4">
        <f t="shared" si="4"/>
        <v>837800</v>
      </c>
      <c r="E90" s="4">
        <f>C90*StaticParameter!$B$14</f>
        <v>61892320</v>
      </c>
      <c r="F90" s="4">
        <f t="shared" si="2"/>
        <v>1028200</v>
      </c>
      <c r="G90">
        <v>0</v>
      </c>
      <c r="H90">
        <f t="shared" si="5"/>
        <v>205</v>
      </c>
      <c r="I90" s="3">
        <f>G90*(1-StaticParameter!$B$69)*StaticParameter!$I$89*1000/StaticParameter!$I$91</f>
        <v>0</v>
      </c>
      <c r="J90" s="3">
        <f>H90*(1-StaticParameter!$B$69)*StaticParameter!$I$90*1000/StaticParameter!$I$92</f>
        <v>85.416666666666671</v>
      </c>
    </row>
    <row r="91" spans="1:10" x14ac:dyDescent="0.35">
      <c r="A91">
        <v>2109</v>
      </c>
      <c r="B91">
        <v>89</v>
      </c>
      <c r="C91">
        <f t="shared" si="3"/>
        <v>1211200</v>
      </c>
      <c r="D91" s="4">
        <f t="shared" si="4"/>
        <v>837800</v>
      </c>
      <c r="E91" s="4">
        <f>C91*StaticParameter!$B$14</f>
        <v>61892320</v>
      </c>
      <c r="F91" s="4">
        <f t="shared" ref="F91:F102" si="6">F90</f>
        <v>1028200</v>
      </c>
      <c r="G91">
        <v>0</v>
      </c>
      <c r="H91">
        <f t="shared" si="5"/>
        <v>205</v>
      </c>
      <c r="I91" s="3">
        <f>G91*(1-StaticParameter!$B$69)*StaticParameter!$I$89*1000/StaticParameter!$I$91</f>
        <v>0</v>
      </c>
      <c r="J91" s="3">
        <f>H91*(1-StaticParameter!$B$69)*StaticParameter!$I$90*1000/StaticParameter!$I$92</f>
        <v>85.416666666666671</v>
      </c>
    </row>
    <row r="92" spans="1:10" x14ac:dyDescent="0.35">
      <c r="A92">
        <v>2110</v>
      </c>
      <c r="B92">
        <v>90</v>
      </c>
      <c r="C92">
        <f t="shared" si="3"/>
        <v>1211200</v>
      </c>
      <c r="D92" s="4">
        <f t="shared" si="4"/>
        <v>837800</v>
      </c>
      <c r="E92" s="4">
        <f>C92*StaticParameter!$B$14</f>
        <v>61892320</v>
      </c>
      <c r="F92" s="4">
        <f t="shared" si="6"/>
        <v>1028200</v>
      </c>
      <c r="G92">
        <v>0</v>
      </c>
      <c r="H92">
        <f t="shared" si="5"/>
        <v>205</v>
      </c>
      <c r="I92" s="3">
        <f>G92*(1-StaticParameter!$B$69)*StaticParameter!$I$89*1000/StaticParameter!$I$91</f>
        <v>0</v>
      </c>
      <c r="J92" s="3">
        <f>H92*(1-StaticParameter!$B$69)*StaticParameter!$I$90*1000/StaticParameter!$I$92</f>
        <v>85.416666666666671</v>
      </c>
    </row>
    <row r="93" spans="1:10" x14ac:dyDescent="0.35">
      <c r="A93">
        <v>2111</v>
      </c>
      <c r="B93">
        <v>91</v>
      </c>
      <c r="C93">
        <f t="shared" si="3"/>
        <v>1211200</v>
      </c>
      <c r="D93" s="4">
        <f t="shared" si="4"/>
        <v>837800</v>
      </c>
      <c r="E93" s="4">
        <f>C93*StaticParameter!$B$14</f>
        <v>61892320</v>
      </c>
      <c r="F93" s="4">
        <f t="shared" si="6"/>
        <v>1028200</v>
      </c>
      <c r="G93">
        <v>0</v>
      </c>
      <c r="H93">
        <f t="shared" si="5"/>
        <v>205</v>
      </c>
      <c r="I93" s="3">
        <f>G93*(1-StaticParameter!$B$69)*StaticParameter!$I$89*1000/StaticParameter!$I$91</f>
        <v>0</v>
      </c>
      <c r="J93" s="3">
        <f>H93*(1-StaticParameter!$B$69)*StaticParameter!$I$90*1000/StaticParameter!$I$92</f>
        <v>85.416666666666671</v>
      </c>
    </row>
    <row r="94" spans="1:10" x14ac:dyDescent="0.35">
      <c r="A94">
        <v>2112</v>
      </c>
      <c r="B94">
        <v>92</v>
      </c>
      <c r="C94">
        <f t="shared" si="3"/>
        <v>1211200</v>
      </c>
      <c r="D94" s="4">
        <f t="shared" si="4"/>
        <v>837800</v>
      </c>
      <c r="E94" s="4">
        <f>C94*StaticParameter!$B$14</f>
        <v>61892320</v>
      </c>
      <c r="F94" s="4">
        <f t="shared" si="6"/>
        <v>1028200</v>
      </c>
      <c r="G94">
        <v>0</v>
      </c>
      <c r="H94">
        <f t="shared" si="5"/>
        <v>205</v>
      </c>
      <c r="I94" s="3">
        <f>G94*(1-StaticParameter!$B$69)*StaticParameter!$I$89*1000/StaticParameter!$I$91</f>
        <v>0</v>
      </c>
      <c r="J94" s="3">
        <f>H94*(1-StaticParameter!$B$69)*StaticParameter!$I$90*1000/StaticParameter!$I$92</f>
        <v>85.416666666666671</v>
      </c>
    </row>
    <row r="95" spans="1:10" x14ac:dyDescent="0.35">
      <c r="A95">
        <v>2113</v>
      </c>
      <c r="B95">
        <v>93</v>
      </c>
      <c r="C95">
        <f t="shared" si="3"/>
        <v>1211200</v>
      </c>
      <c r="D95" s="4">
        <f t="shared" si="4"/>
        <v>837800</v>
      </c>
      <c r="E95" s="4">
        <f>C95*StaticParameter!$B$14</f>
        <v>61892320</v>
      </c>
      <c r="F95" s="4">
        <f t="shared" si="6"/>
        <v>1028200</v>
      </c>
      <c r="G95">
        <v>0</v>
      </c>
      <c r="H95">
        <f t="shared" si="5"/>
        <v>205</v>
      </c>
      <c r="I95" s="3">
        <f>G95*(1-StaticParameter!$B$69)*StaticParameter!$I$89*1000/StaticParameter!$I$91</f>
        <v>0</v>
      </c>
      <c r="J95" s="3">
        <f>H95*(1-StaticParameter!$B$69)*StaticParameter!$I$90*1000/StaticParameter!$I$92</f>
        <v>85.416666666666671</v>
      </c>
    </row>
    <row r="96" spans="1:10" x14ac:dyDescent="0.35">
      <c r="A96">
        <v>2114</v>
      </c>
      <c r="B96">
        <v>94</v>
      </c>
      <c r="C96">
        <f t="shared" si="3"/>
        <v>1211200</v>
      </c>
      <c r="D96" s="4">
        <f t="shared" si="4"/>
        <v>837800</v>
      </c>
      <c r="E96" s="4">
        <f>C96*StaticParameter!$B$14</f>
        <v>61892320</v>
      </c>
      <c r="F96" s="4">
        <f t="shared" si="6"/>
        <v>1028200</v>
      </c>
      <c r="G96">
        <v>0</v>
      </c>
      <c r="H96">
        <f t="shared" si="5"/>
        <v>205</v>
      </c>
      <c r="I96" s="3">
        <f>G96*(1-StaticParameter!$B$69)*StaticParameter!$I$89*1000/StaticParameter!$I$91</f>
        <v>0</v>
      </c>
      <c r="J96" s="3">
        <f>H96*(1-StaticParameter!$B$69)*StaticParameter!$I$90*1000/StaticParameter!$I$92</f>
        <v>85.416666666666671</v>
      </c>
    </row>
    <row r="97" spans="1:10" x14ac:dyDescent="0.35">
      <c r="A97">
        <v>2115</v>
      </c>
      <c r="B97">
        <v>95</v>
      </c>
      <c r="C97">
        <f t="shared" si="3"/>
        <v>1211200</v>
      </c>
      <c r="D97" s="4">
        <f t="shared" si="4"/>
        <v>837800</v>
      </c>
      <c r="E97" s="4">
        <f>C97*StaticParameter!$B$14</f>
        <v>61892320</v>
      </c>
      <c r="F97" s="4">
        <f t="shared" si="6"/>
        <v>1028200</v>
      </c>
      <c r="G97">
        <v>0</v>
      </c>
      <c r="H97">
        <f t="shared" si="5"/>
        <v>205</v>
      </c>
      <c r="I97" s="3">
        <f>G97*(1-StaticParameter!$B$69)*StaticParameter!$I$89*1000/StaticParameter!$I$91</f>
        <v>0</v>
      </c>
      <c r="J97" s="3">
        <f>H97*(1-StaticParameter!$B$69)*StaticParameter!$I$90*1000/StaticParameter!$I$92</f>
        <v>85.416666666666671</v>
      </c>
    </row>
    <row r="98" spans="1:10" x14ac:dyDescent="0.35">
      <c r="A98">
        <v>2116</v>
      </c>
      <c r="B98">
        <v>96</v>
      </c>
      <c r="C98">
        <f t="shared" ref="C98:C102" si="7">C97</f>
        <v>1211200</v>
      </c>
      <c r="D98" s="4">
        <f t="shared" ref="D98:D102" si="8">D97</f>
        <v>837800</v>
      </c>
      <c r="E98" s="4">
        <f>C98*StaticParameter!$B$14</f>
        <v>61892320</v>
      </c>
      <c r="F98" s="4">
        <f t="shared" si="6"/>
        <v>1028200</v>
      </c>
      <c r="G98">
        <v>0</v>
      </c>
      <c r="H98">
        <f t="shared" ref="H98:H102" si="9">H97</f>
        <v>205</v>
      </c>
      <c r="I98" s="3">
        <f>G98*(1-StaticParameter!$B$69)*StaticParameter!$I$89*1000/StaticParameter!$I$91</f>
        <v>0</v>
      </c>
      <c r="J98" s="3">
        <f>H98*(1-StaticParameter!$B$69)*StaticParameter!$I$90*1000/StaticParameter!$I$92</f>
        <v>85.416666666666671</v>
      </c>
    </row>
    <row r="99" spans="1:10" x14ac:dyDescent="0.35">
      <c r="A99">
        <v>2117</v>
      </c>
      <c r="B99">
        <v>97</v>
      </c>
      <c r="C99">
        <f t="shared" si="7"/>
        <v>1211200</v>
      </c>
      <c r="D99" s="4">
        <f t="shared" si="8"/>
        <v>837800</v>
      </c>
      <c r="E99" s="4">
        <f>C99*StaticParameter!$B$14</f>
        <v>61892320</v>
      </c>
      <c r="F99" s="4">
        <f t="shared" si="6"/>
        <v>1028200</v>
      </c>
      <c r="G99">
        <v>0</v>
      </c>
      <c r="H99">
        <f t="shared" si="9"/>
        <v>205</v>
      </c>
      <c r="I99" s="3">
        <f>G99*(1-StaticParameter!$B$69)*StaticParameter!$I$89*1000/StaticParameter!$I$91</f>
        <v>0</v>
      </c>
      <c r="J99" s="3">
        <f>H99*(1-StaticParameter!$B$69)*StaticParameter!$I$90*1000/StaticParameter!$I$92</f>
        <v>85.416666666666671</v>
      </c>
    </row>
    <row r="100" spans="1:10" x14ac:dyDescent="0.35">
      <c r="A100">
        <v>2118</v>
      </c>
      <c r="B100">
        <v>98</v>
      </c>
      <c r="C100">
        <f t="shared" si="7"/>
        <v>1211200</v>
      </c>
      <c r="D100" s="4">
        <f t="shared" si="8"/>
        <v>837800</v>
      </c>
      <c r="E100" s="4">
        <f>C100*StaticParameter!$B$14</f>
        <v>61892320</v>
      </c>
      <c r="F100" s="4">
        <f t="shared" si="6"/>
        <v>1028200</v>
      </c>
      <c r="G100">
        <v>0</v>
      </c>
      <c r="H100">
        <f t="shared" si="9"/>
        <v>205</v>
      </c>
      <c r="I100" s="3">
        <f>G100*(1-StaticParameter!$B$69)*StaticParameter!$I$89*1000/StaticParameter!$I$91</f>
        <v>0</v>
      </c>
      <c r="J100" s="3">
        <f>H100*(1-StaticParameter!$B$69)*StaticParameter!$I$90*1000/StaticParameter!$I$92</f>
        <v>85.416666666666671</v>
      </c>
    </row>
    <row r="101" spans="1:10" x14ac:dyDescent="0.35">
      <c r="A101">
        <v>2119</v>
      </c>
      <c r="B101">
        <v>99</v>
      </c>
      <c r="C101">
        <f t="shared" si="7"/>
        <v>1211200</v>
      </c>
      <c r="D101" s="4">
        <f t="shared" si="8"/>
        <v>837800</v>
      </c>
      <c r="E101" s="4">
        <f>C101*StaticParameter!$B$14</f>
        <v>61892320</v>
      </c>
      <c r="F101" s="4">
        <f t="shared" si="6"/>
        <v>1028200</v>
      </c>
      <c r="G101">
        <v>0</v>
      </c>
      <c r="H101">
        <f t="shared" si="9"/>
        <v>205</v>
      </c>
      <c r="I101" s="3">
        <f>G101*(1-StaticParameter!$B$69)*StaticParameter!$I$89*1000/StaticParameter!$I$91</f>
        <v>0</v>
      </c>
      <c r="J101" s="3">
        <f>H101*(1-StaticParameter!$B$69)*StaticParameter!$I$90*1000/StaticParameter!$I$92</f>
        <v>85.416666666666671</v>
      </c>
    </row>
    <row r="102" spans="1:10" x14ac:dyDescent="0.35">
      <c r="A102">
        <v>2120</v>
      </c>
      <c r="B102">
        <v>100</v>
      </c>
      <c r="C102">
        <f t="shared" si="7"/>
        <v>1211200</v>
      </c>
      <c r="D102" s="4">
        <f t="shared" si="8"/>
        <v>837800</v>
      </c>
      <c r="E102" s="4">
        <f>C102*StaticParameter!$B$14</f>
        <v>61892320</v>
      </c>
      <c r="F102" s="4">
        <f t="shared" si="6"/>
        <v>1028200</v>
      </c>
      <c r="G102">
        <v>0</v>
      </c>
      <c r="H102">
        <f t="shared" si="9"/>
        <v>205</v>
      </c>
      <c r="I102" s="3">
        <f>G102*(1-StaticParameter!$B$69)*StaticParameter!$I$89*1000/StaticParameter!$I$91</f>
        <v>0</v>
      </c>
      <c r="J102" s="3">
        <f>H102*(1-StaticParameter!$B$69)*StaticParameter!$I$90*1000/StaticParameter!$I$92</f>
        <v>85.416666666666671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2"/>
  <sheetViews>
    <sheetView workbookViewId="0">
      <selection activeCell="G36" sqref="G36"/>
    </sheetView>
  </sheetViews>
  <sheetFormatPr defaultRowHeight="14.5" x14ac:dyDescent="0.35"/>
  <cols>
    <col min="2" max="2" width="11.36328125" customWidth="1"/>
    <col min="3" max="3" width="19.453125" customWidth="1"/>
    <col min="4" max="4" width="10.90625" customWidth="1"/>
    <col min="5" max="5" width="12.90625" customWidth="1"/>
  </cols>
  <sheetData>
    <row r="1" spans="1:5" x14ac:dyDescent="0.35">
      <c r="A1" s="20" t="s">
        <v>40</v>
      </c>
      <c r="B1" s="20" t="s">
        <v>105</v>
      </c>
      <c r="C1" s="20" t="s">
        <v>106</v>
      </c>
      <c r="D1" s="20" t="s">
        <v>107</v>
      </c>
      <c r="E1" s="20" t="s">
        <v>114</v>
      </c>
    </row>
    <row r="2" spans="1:5" x14ac:dyDescent="0.35">
      <c r="A2">
        <f>timeseries!A2</f>
        <v>2020</v>
      </c>
      <c r="B2">
        <f>timeseries!D2</f>
        <v>0</v>
      </c>
      <c r="C2">
        <v>0</v>
      </c>
      <c r="D2">
        <f>timeseries!E2</f>
        <v>0</v>
      </c>
      <c r="E2">
        <f>timeseries!F2</f>
        <v>0</v>
      </c>
    </row>
    <row r="3" spans="1:5" x14ac:dyDescent="0.35">
      <c r="A3">
        <f>timeseries!A3</f>
        <v>2021</v>
      </c>
      <c r="B3">
        <f>timeseries!D3</f>
        <v>0</v>
      </c>
      <c r="C3">
        <v>0</v>
      </c>
      <c r="D3">
        <f>timeseries!E3</f>
        <v>0</v>
      </c>
      <c r="E3">
        <f>timeseries!F3</f>
        <v>0</v>
      </c>
    </row>
    <row r="4" spans="1:5" x14ac:dyDescent="0.35">
      <c r="A4">
        <f>timeseries!A4</f>
        <v>2022</v>
      </c>
      <c r="B4">
        <f>timeseries!D4</f>
        <v>0</v>
      </c>
      <c r="C4">
        <v>0</v>
      </c>
      <c r="D4">
        <f>timeseries!E4</f>
        <v>0</v>
      </c>
      <c r="E4">
        <f>timeseries!F4</f>
        <v>0</v>
      </c>
    </row>
    <row r="5" spans="1:5" x14ac:dyDescent="0.35">
      <c r="A5">
        <f>timeseries!A5</f>
        <v>2023</v>
      </c>
      <c r="B5">
        <f>timeseries!D5</f>
        <v>0</v>
      </c>
      <c r="C5">
        <v>0</v>
      </c>
      <c r="D5">
        <f>timeseries!E5</f>
        <v>0</v>
      </c>
      <c r="E5">
        <f>timeseries!F5</f>
        <v>51410</v>
      </c>
    </row>
    <row r="6" spans="1:5" x14ac:dyDescent="0.35">
      <c r="A6">
        <f>timeseries!A6</f>
        <v>2024</v>
      </c>
      <c r="B6">
        <f>timeseries!D6</f>
        <v>0</v>
      </c>
      <c r="C6">
        <v>0</v>
      </c>
      <c r="D6">
        <f>timeseries!E6</f>
        <v>0</v>
      </c>
      <c r="E6">
        <f>timeseries!F6</f>
        <v>102820</v>
      </c>
    </row>
    <row r="7" spans="1:5" x14ac:dyDescent="0.35">
      <c r="A7">
        <f>timeseries!A7</f>
        <v>2025</v>
      </c>
      <c r="B7">
        <f>timeseries!D7</f>
        <v>33512</v>
      </c>
      <c r="C7">
        <v>0</v>
      </c>
      <c r="D7">
        <f>timeseries!E7</f>
        <v>2475692.8000000003</v>
      </c>
      <c r="E7">
        <f>timeseries!F7</f>
        <v>154230</v>
      </c>
    </row>
    <row r="8" spans="1:5" x14ac:dyDescent="0.35">
      <c r="A8">
        <f>timeseries!A8</f>
        <v>2026</v>
      </c>
      <c r="B8">
        <f>timeseries!D8</f>
        <v>67024</v>
      </c>
      <c r="C8">
        <v>0</v>
      </c>
      <c r="D8">
        <f>timeseries!E8</f>
        <v>4951385.6000000006</v>
      </c>
      <c r="E8">
        <f>timeseries!F8</f>
        <v>205640</v>
      </c>
    </row>
    <row r="9" spans="1:5" x14ac:dyDescent="0.35">
      <c r="A9">
        <f>timeseries!A9</f>
        <v>2027</v>
      </c>
      <c r="B9">
        <f>timeseries!D9</f>
        <v>100536</v>
      </c>
      <c r="C9">
        <v>0</v>
      </c>
      <c r="D9">
        <f>timeseries!E9</f>
        <v>7427078.4000000004</v>
      </c>
      <c r="E9">
        <f>timeseries!F9</f>
        <v>257050</v>
      </c>
    </row>
    <row r="10" spans="1:5" x14ac:dyDescent="0.35">
      <c r="A10">
        <f>timeseries!A10</f>
        <v>2028</v>
      </c>
      <c r="B10">
        <f>timeseries!D10</f>
        <v>134048</v>
      </c>
      <c r="C10">
        <v>0</v>
      </c>
      <c r="D10">
        <f>timeseries!E10</f>
        <v>9902771.2000000011</v>
      </c>
      <c r="E10">
        <f>timeseries!F10</f>
        <v>308460</v>
      </c>
    </row>
    <row r="11" spans="1:5" x14ac:dyDescent="0.35">
      <c r="A11">
        <f>timeseries!A11</f>
        <v>2029</v>
      </c>
      <c r="B11">
        <f>timeseries!D11</f>
        <v>167560</v>
      </c>
      <c r="C11">
        <v>0</v>
      </c>
      <c r="D11">
        <f>timeseries!E11</f>
        <v>12378464</v>
      </c>
      <c r="E11">
        <f>timeseries!F11</f>
        <v>359870</v>
      </c>
    </row>
    <row r="12" spans="1:5" x14ac:dyDescent="0.35">
      <c r="A12">
        <f>timeseries!A12</f>
        <v>2030</v>
      </c>
      <c r="B12">
        <f>timeseries!D12</f>
        <v>201072</v>
      </c>
      <c r="C12">
        <v>0</v>
      </c>
      <c r="D12">
        <f>timeseries!E12</f>
        <v>14854156.800000001</v>
      </c>
      <c r="E12">
        <f>timeseries!F12</f>
        <v>411280</v>
      </c>
    </row>
    <row r="13" spans="1:5" x14ac:dyDescent="0.35">
      <c r="A13">
        <f>timeseries!A13</f>
        <v>2031</v>
      </c>
      <c r="B13">
        <f>timeseries!D13</f>
        <v>234584</v>
      </c>
      <c r="C13">
        <v>0</v>
      </c>
      <c r="D13">
        <f>timeseries!E13</f>
        <v>17329849.600000001</v>
      </c>
      <c r="E13">
        <f>timeseries!F13</f>
        <v>462690</v>
      </c>
    </row>
    <row r="14" spans="1:5" x14ac:dyDescent="0.35">
      <c r="A14">
        <f>timeseries!A14</f>
        <v>2032</v>
      </c>
      <c r="B14">
        <f>timeseries!D14</f>
        <v>268096</v>
      </c>
      <c r="C14">
        <v>0</v>
      </c>
      <c r="D14">
        <f>timeseries!E14</f>
        <v>19805542.400000002</v>
      </c>
      <c r="E14">
        <f>timeseries!F14</f>
        <v>514100</v>
      </c>
    </row>
    <row r="15" spans="1:5" x14ac:dyDescent="0.35">
      <c r="A15">
        <f>timeseries!A15</f>
        <v>2033</v>
      </c>
      <c r="B15">
        <f>timeseries!D15</f>
        <v>301608</v>
      </c>
      <c r="C15">
        <v>0</v>
      </c>
      <c r="D15">
        <f>timeseries!E15</f>
        <v>22281235.199999999</v>
      </c>
      <c r="E15">
        <f>timeseries!F15</f>
        <v>565510</v>
      </c>
    </row>
    <row r="16" spans="1:5" x14ac:dyDescent="0.35">
      <c r="A16">
        <f>timeseries!A16</f>
        <v>2034</v>
      </c>
      <c r="B16">
        <f>timeseries!D16</f>
        <v>335120</v>
      </c>
      <c r="C16">
        <v>0</v>
      </c>
      <c r="D16">
        <f>timeseries!E16</f>
        <v>24756928</v>
      </c>
      <c r="E16">
        <f>timeseries!F16</f>
        <v>616920</v>
      </c>
    </row>
    <row r="17" spans="1:5" x14ac:dyDescent="0.35">
      <c r="A17">
        <f>timeseries!A17</f>
        <v>2035</v>
      </c>
      <c r="B17">
        <f>timeseries!D17</f>
        <v>368632</v>
      </c>
      <c r="C17">
        <v>0</v>
      </c>
      <c r="D17">
        <f>timeseries!E17</f>
        <v>27232620.800000001</v>
      </c>
      <c r="E17">
        <f>timeseries!F17</f>
        <v>668330</v>
      </c>
    </row>
    <row r="18" spans="1:5" x14ac:dyDescent="0.35">
      <c r="A18">
        <f>timeseries!A18</f>
        <v>2036</v>
      </c>
      <c r="B18">
        <f>timeseries!D18</f>
        <v>402144</v>
      </c>
      <c r="C18">
        <v>0</v>
      </c>
      <c r="D18">
        <f>timeseries!E18</f>
        <v>29708313.600000001</v>
      </c>
      <c r="E18">
        <f>timeseries!F18</f>
        <v>719740</v>
      </c>
    </row>
    <row r="19" spans="1:5" x14ac:dyDescent="0.35">
      <c r="A19">
        <f>timeseries!A19</f>
        <v>2037</v>
      </c>
      <c r="B19">
        <f>timeseries!D19</f>
        <v>435656</v>
      </c>
      <c r="C19">
        <v>0</v>
      </c>
      <c r="D19">
        <f>timeseries!E19</f>
        <v>32184006.400000002</v>
      </c>
      <c r="E19">
        <f>timeseries!F19</f>
        <v>771150</v>
      </c>
    </row>
    <row r="20" spans="1:5" x14ac:dyDescent="0.35">
      <c r="A20">
        <f>timeseries!A20</f>
        <v>2038</v>
      </c>
      <c r="B20">
        <f>timeseries!D20</f>
        <v>469168</v>
      </c>
      <c r="C20">
        <v>0</v>
      </c>
      <c r="D20">
        <f>timeseries!E20</f>
        <v>34659699.200000003</v>
      </c>
      <c r="E20">
        <f>timeseries!F20</f>
        <v>822560</v>
      </c>
    </row>
    <row r="21" spans="1:5" x14ac:dyDescent="0.35">
      <c r="A21">
        <f>timeseries!A21</f>
        <v>2039</v>
      </c>
      <c r="B21">
        <f>timeseries!D21</f>
        <v>502680</v>
      </c>
      <c r="C21">
        <v>0</v>
      </c>
      <c r="D21">
        <f>timeseries!E21</f>
        <v>37135392</v>
      </c>
      <c r="E21">
        <f>timeseries!F21</f>
        <v>873970</v>
      </c>
    </row>
    <row r="22" spans="1:5" x14ac:dyDescent="0.35">
      <c r="A22">
        <f>timeseries!A22</f>
        <v>2040</v>
      </c>
      <c r="B22">
        <f>timeseries!D22</f>
        <v>536192</v>
      </c>
      <c r="C22">
        <v>0</v>
      </c>
      <c r="D22">
        <f>timeseries!E22</f>
        <v>39611084.800000004</v>
      </c>
      <c r="E22">
        <f>timeseries!F22</f>
        <v>925380</v>
      </c>
    </row>
    <row r="23" spans="1:5" x14ac:dyDescent="0.35">
      <c r="A23">
        <f>timeseries!A23</f>
        <v>2041</v>
      </c>
      <c r="B23">
        <f>timeseries!D23</f>
        <v>569704</v>
      </c>
      <c r="C23">
        <v>0</v>
      </c>
      <c r="D23">
        <f>timeseries!E23</f>
        <v>42086777.600000001</v>
      </c>
      <c r="E23">
        <f>timeseries!F23</f>
        <v>976790</v>
      </c>
    </row>
    <row r="24" spans="1:5" x14ac:dyDescent="0.35">
      <c r="A24">
        <f>timeseries!A24</f>
        <v>2042</v>
      </c>
      <c r="B24">
        <f>timeseries!D24</f>
        <v>603216</v>
      </c>
      <c r="C24">
        <v>0</v>
      </c>
      <c r="D24">
        <f>timeseries!E24</f>
        <v>44562470.399999999</v>
      </c>
      <c r="E24">
        <f>timeseries!F24</f>
        <v>1028200</v>
      </c>
    </row>
    <row r="25" spans="1:5" x14ac:dyDescent="0.35">
      <c r="A25">
        <f>timeseries!A25</f>
        <v>2043</v>
      </c>
      <c r="B25">
        <f>timeseries!D25</f>
        <v>636728</v>
      </c>
      <c r="C25">
        <v>0</v>
      </c>
      <c r="D25">
        <f>timeseries!E25</f>
        <v>47038163.200000003</v>
      </c>
      <c r="E25">
        <f>timeseries!F25</f>
        <v>1028200</v>
      </c>
    </row>
    <row r="26" spans="1:5" x14ac:dyDescent="0.35">
      <c r="A26">
        <f>timeseries!A26</f>
        <v>2044</v>
      </c>
      <c r="B26">
        <f>timeseries!D26</f>
        <v>670240</v>
      </c>
      <c r="C26">
        <v>0</v>
      </c>
      <c r="D26">
        <f>timeseries!E26</f>
        <v>49513856</v>
      </c>
      <c r="E26">
        <f>timeseries!F26</f>
        <v>1028200</v>
      </c>
    </row>
    <row r="27" spans="1:5" x14ac:dyDescent="0.35">
      <c r="A27">
        <f>timeseries!A27</f>
        <v>2045</v>
      </c>
      <c r="B27">
        <f>timeseries!D27</f>
        <v>703752</v>
      </c>
      <c r="C27">
        <v>0</v>
      </c>
      <c r="D27">
        <f>timeseries!E27</f>
        <v>51989548.800000004</v>
      </c>
      <c r="E27">
        <f>timeseries!F27</f>
        <v>1028200</v>
      </c>
    </row>
    <row r="28" spans="1:5" x14ac:dyDescent="0.35">
      <c r="A28">
        <f>timeseries!A28</f>
        <v>2046</v>
      </c>
      <c r="B28">
        <f>timeseries!D28</f>
        <v>737264</v>
      </c>
      <c r="C28">
        <v>0</v>
      </c>
      <c r="D28">
        <f>timeseries!E28</f>
        <v>54465241.600000001</v>
      </c>
      <c r="E28">
        <f>timeseries!F28</f>
        <v>1028200</v>
      </c>
    </row>
    <row r="29" spans="1:5" x14ac:dyDescent="0.35">
      <c r="A29">
        <f>timeseries!A29</f>
        <v>2047</v>
      </c>
      <c r="B29">
        <f>timeseries!D29</f>
        <v>770776</v>
      </c>
      <c r="C29">
        <v>0</v>
      </c>
      <c r="D29">
        <f>timeseries!E29</f>
        <v>56940934.399999999</v>
      </c>
      <c r="E29">
        <f>timeseries!F29</f>
        <v>1028200</v>
      </c>
    </row>
    <row r="30" spans="1:5" x14ac:dyDescent="0.35">
      <c r="A30">
        <f>timeseries!A30</f>
        <v>2048</v>
      </c>
      <c r="B30">
        <f>timeseries!D30</f>
        <v>804288</v>
      </c>
      <c r="C30">
        <v>0</v>
      </c>
      <c r="D30">
        <f>timeseries!E30</f>
        <v>59416627.200000003</v>
      </c>
      <c r="E30">
        <f>timeseries!F30</f>
        <v>1028200</v>
      </c>
    </row>
    <row r="31" spans="1:5" x14ac:dyDescent="0.35">
      <c r="A31">
        <f>timeseries!A31</f>
        <v>2049</v>
      </c>
      <c r="B31">
        <f>timeseries!D31</f>
        <v>837800</v>
      </c>
      <c r="C31">
        <v>0</v>
      </c>
      <c r="D31">
        <f>timeseries!E31</f>
        <v>61892320</v>
      </c>
      <c r="E31">
        <f>timeseries!F31</f>
        <v>1028200</v>
      </c>
    </row>
    <row r="32" spans="1:5" x14ac:dyDescent="0.35">
      <c r="A32">
        <f>timeseries!A32</f>
        <v>2050</v>
      </c>
      <c r="B32">
        <f>timeseries!D32</f>
        <v>837800</v>
      </c>
      <c r="C32">
        <v>0</v>
      </c>
      <c r="D32">
        <f>timeseries!E32</f>
        <v>61892320</v>
      </c>
      <c r="E32">
        <f>timeseries!F32</f>
        <v>1028200</v>
      </c>
    </row>
    <row r="33" spans="1:5" x14ac:dyDescent="0.35">
      <c r="A33">
        <f>timeseries!A33</f>
        <v>2051</v>
      </c>
      <c r="B33">
        <f>timeseries!D33</f>
        <v>837800</v>
      </c>
      <c r="C33">
        <v>0</v>
      </c>
      <c r="D33">
        <f>timeseries!E33</f>
        <v>61892320</v>
      </c>
      <c r="E33">
        <f>timeseries!F33</f>
        <v>1028200</v>
      </c>
    </row>
    <row r="34" spans="1:5" x14ac:dyDescent="0.35">
      <c r="A34">
        <f>timeseries!A34</f>
        <v>2052</v>
      </c>
      <c r="B34">
        <f>timeseries!D34</f>
        <v>837800</v>
      </c>
      <c r="C34">
        <v>0</v>
      </c>
      <c r="D34">
        <f>timeseries!E34</f>
        <v>61892320</v>
      </c>
      <c r="E34">
        <f>timeseries!F34</f>
        <v>1028200</v>
      </c>
    </row>
    <row r="35" spans="1:5" x14ac:dyDescent="0.35">
      <c r="A35">
        <f>timeseries!A35</f>
        <v>2053</v>
      </c>
      <c r="B35">
        <f>timeseries!D35</f>
        <v>837800</v>
      </c>
      <c r="C35">
        <v>0</v>
      </c>
      <c r="D35">
        <f>timeseries!E35</f>
        <v>61892320</v>
      </c>
      <c r="E35">
        <f>timeseries!F35</f>
        <v>1028200</v>
      </c>
    </row>
    <row r="36" spans="1:5" x14ac:dyDescent="0.35">
      <c r="A36">
        <f>timeseries!A36</f>
        <v>2054</v>
      </c>
      <c r="B36">
        <f>timeseries!D36</f>
        <v>837800</v>
      </c>
      <c r="C36">
        <v>0</v>
      </c>
      <c r="D36">
        <f>timeseries!E36</f>
        <v>61892320</v>
      </c>
      <c r="E36">
        <f>timeseries!F36</f>
        <v>1028200</v>
      </c>
    </row>
    <row r="37" spans="1:5" x14ac:dyDescent="0.35">
      <c r="A37">
        <f>timeseries!A37</f>
        <v>2055</v>
      </c>
      <c r="B37">
        <f>timeseries!D37</f>
        <v>837800</v>
      </c>
      <c r="C37">
        <v>0</v>
      </c>
      <c r="D37">
        <f>timeseries!E37</f>
        <v>61892320</v>
      </c>
      <c r="E37">
        <f>timeseries!F37</f>
        <v>1028200</v>
      </c>
    </row>
    <row r="38" spans="1:5" x14ac:dyDescent="0.35">
      <c r="A38">
        <f>timeseries!A38</f>
        <v>2056</v>
      </c>
      <c r="B38">
        <f>timeseries!D38</f>
        <v>837800</v>
      </c>
      <c r="C38">
        <v>0</v>
      </c>
      <c r="D38">
        <f>timeseries!E38</f>
        <v>61892320</v>
      </c>
      <c r="E38">
        <f>timeseries!F38</f>
        <v>1028200</v>
      </c>
    </row>
    <row r="39" spans="1:5" x14ac:dyDescent="0.35">
      <c r="A39">
        <f>timeseries!A39</f>
        <v>2057</v>
      </c>
      <c r="B39">
        <f>timeseries!D39</f>
        <v>837800</v>
      </c>
      <c r="C39">
        <v>0</v>
      </c>
      <c r="D39">
        <f>timeseries!E39</f>
        <v>61892320</v>
      </c>
      <c r="E39">
        <f>timeseries!F39</f>
        <v>1028200</v>
      </c>
    </row>
    <row r="40" spans="1:5" x14ac:dyDescent="0.35">
      <c r="A40">
        <f>timeseries!A40</f>
        <v>2058</v>
      </c>
      <c r="B40">
        <f>timeseries!D40</f>
        <v>837800</v>
      </c>
      <c r="C40">
        <v>0</v>
      </c>
      <c r="D40">
        <f>timeseries!E40</f>
        <v>61892320</v>
      </c>
      <c r="E40">
        <f>timeseries!F40</f>
        <v>1028200</v>
      </c>
    </row>
    <row r="41" spans="1:5" x14ac:dyDescent="0.35">
      <c r="A41">
        <f>timeseries!A41</f>
        <v>2059</v>
      </c>
      <c r="B41">
        <f>timeseries!D41</f>
        <v>837800</v>
      </c>
      <c r="C41">
        <v>0</v>
      </c>
      <c r="D41">
        <f>timeseries!E41</f>
        <v>61892320</v>
      </c>
      <c r="E41">
        <f>timeseries!F41</f>
        <v>1028200</v>
      </c>
    </row>
    <row r="42" spans="1:5" x14ac:dyDescent="0.35">
      <c r="A42">
        <f>timeseries!A42</f>
        <v>2060</v>
      </c>
      <c r="B42">
        <f>timeseries!D42</f>
        <v>837800</v>
      </c>
      <c r="C42">
        <v>0</v>
      </c>
      <c r="D42">
        <f>timeseries!E42</f>
        <v>61892320</v>
      </c>
      <c r="E42">
        <f>timeseries!F42</f>
        <v>1028200</v>
      </c>
    </row>
    <row r="43" spans="1:5" x14ac:dyDescent="0.35">
      <c r="A43">
        <f>timeseries!A43</f>
        <v>2061</v>
      </c>
      <c r="B43">
        <f>timeseries!D43</f>
        <v>837800</v>
      </c>
      <c r="C43">
        <v>0</v>
      </c>
      <c r="D43">
        <f>timeseries!E43</f>
        <v>61892320</v>
      </c>
      <c r="E43">
        <f>timeseries!F43</f>
        <v>1028200</v>
      </c>
    </row>
    <row r="44" spans="1:5" x14ac:dyDescent="0.35">
      <c r="A44">
        <f>timeseries!A44</f>
        <v>2062</v>
      </c>
      <c r="B44">
        <f>timeseries!D44</f>
        <v>837800</v>
      </c>
      <c r="C44">
        <v>0</v>
      </c>
      <c r="D44">
        <f>timeseries!E44</f>
        <v>61892320</v>
      </c>
      <c r="E44">
        <f>timeseries!F44</f>
        <v>1028200</v>
      </c>
    </row>
    <row r="45" spans="1:5" x14ac:dyDescent="0.35">
      <c r="A45">
        <f>timeseries!A45</f>
        <v>2063</v>
      </c>
      <c r="B45">
        <f>timeseries!D45</f>
        <v>837800</v>
      </c>
      <c r="C45">
        <v>0</v>
      </c>
      <c r="D45">
        <f>timeseries!E45</f>
        <v>61892320</v>
      </c>
      <c r="E45">
        <f>timeseries!F45</f>
        <v>1028200</v>
      </c>
    </row>
    <row r="46" spans="1:5" x14ac:dyDescent="0.35">
      <c r="A46">
        <f>timeseries!A46</f>
        <v>2064</v>
      </c>
      <c r="B46">
        <f>timeseries!D46</f>
        <v>837800</v>
      </c>
      <c r="C46">
        <v>0</v>
      </c>
      <c r="D46">
        <f>timeseries!E46</f>
        <v>61892320</v>
      </c>
      <c r="E46">
        <f>timeseries!F46</f>
        <v>1028200</v>
      </c>
    </row>
    <row r="47" spans="1:5" x14ac:dyDescent="0.35">
      <c r="A47">
        <f>timeseries!A47</f>
        <v>2065</v>
      </c>
      <c r="B47">
        <f>timeseries!D47</f>
        <v>837800</v>
      </c>
      <c r="C47">
        <v>0</v>
      </c>
      <c r="D47">
        <f>timeseries!E47</f>
        <v>61892320</v>
      </c>
      <c r="E47">
        <f>timeseries!F47</f>
        <v>1028200</v>
      </c>
    </row>
    <row r="48" spans="1:5" x14ac:dyDescent="0.35">
      <c r="A48">
        <f>timeseries!A48</f>
        <v>2066</v>
      </c>
      <c r="B48">
        <f>timeseries!D48</f>
        <v>837800</v>
      </c>
      <c r="C48">
        <v>0</v>
      </c>
      <c r="D48">
        <f>timeseries!E48</f>
        <v>61892320</v>
      </c>
      <c r="E48">
        <f>timeseries!F48</f>
        <v>1028200</v>
      </c>
    </row>
    <row r="49" spans="1:5" x14ac:dyDescent="0.35">
      <c r="A49">
        <f>timeseries!A49</f>
        <v>2067</v>
      </c>
      <c r="B49">
        <f>timeseries!D49</f>
        <v>837800</v>
      </c>
      <c r="C49">
        <v>0</v>
      </c>
      <c r="D49">
        <f>timeseries!E49</f>
        <v>61892320</v>
      </c>
      <c r="E49">
        <f>timeseries!F49</f>
        <v>1028200</v>
      </c>
    </row>
    <row r="50" spans="1:5" x14ac:dyDescent="0.35">
      <c r="A50">
        <f>timeseries!A50</f>
        <v>2068</v>
      </c>
      <c r="B50">
        <f>timeseries!D50</f>
        <v>837800</v>
      </c>
      <c r="C50">
        <v>0</v>
      </c>
      <c r="D50">
        <f>timeseries!E50</f>
        <v>61892320</v>
      </c>
      <c r="E50">
        <f>timeseries!F50</f>
        <v>1028200</v>
      </c>
    </row>
    <row r="51" spans="1:5" x14ac:dyDescent="0.35">
      <c r="A51">
        <f>timeseries!A51</f>
        <v>2069</v>
      </c>
      <c r="B51">
        <f>timeseries!D51</f>
        <v>837800</v>
      </c>
      <c r="C51">
        <v>0</v>
      </c>
      <c r="D51">
        <f>timeseries!E51</f>
        <v>61892320</v>
      </c>
      <c r="E51">
        <f>timeseries!F51</f>
        <v>1028200</v>
      </c>
    </row>
    <row r="52" spans="1:5" x14ac:dyDescent="0.35">
      <c r="A52">
        <f>timeseries!A52</f>
        <v>2070</v>
      </c>
      <c r="B52">
        <f>timeseries!D52</f>
        <v>837800</v>
      </c>
      <c r="C52">
        <v>0</v>
      </c>
      <c r="D52">
        <f>timeseries!E52</f>
        <v>61892320</v>
      </c>
      <c r="E52">
        <f>timeseries!F52</f>
        <v>1028200</v>
      </c>
    </row>
    <row r="53" spans="1:5" x14ac:dyDescent="0.35">
      <c r="A53">
        <f>timeseries!A53</f>
        <v>2071</v>
      </c>
      <c r="B53">
        <f>timeseries!D53</f>
        <v>837800</v>
      </c>
      <c r="C53">
        <v>0</v>
      </c>
      <c r="D53">
        <f>timeseries!E53</f>
        <v>61892320</v>
      </c>
      <c r="E53">
        <f>timeseries!F53</f>
        <v>1028200</v>
      </c>
    </row>
    <row r="54" spans="1:5" x14ac:dyDescent="0.35">
      <c r="A54">
        <f>timeseries!A54</f>
        <v>2072</v>
      </c>
      <c r="B54">
        <f>timeseries!D54</f>
        <v>837800</v>
      </c>
      <c r="C54">
        <v>0</v>
      </c>
      <c r="D54">
        <f>timeseries!E54</f>
        <v>61892320</v>
      </c>
      <c r="E54">
        <f>timeseries!F54</f>
        <v>1028200</v>
      </c>
    </row>
    <row r="55" spans="1:5" x14ac:dyDescent="0.35">
      <c r="A55">
        <f>timeseries!A55</f>
        <v>2073</v>
      </c>
      <c r="B55">
        <f>timeseries!D55</f>
        <v>837800</v>
      </c>
      <c r="C55">
        <v>0</v>
      </c>
      <c r="D55">
        <f>timeseries!E55</f>
        <v>61892320</v>
      </c>
      <c r="E55">
        <f>timeseries!F55</f>
        <v>1028200</v>
      </c>
    </row>
    <row r="56" spans="1:5" x14ac:dyDescent="0.35">
      <c r="A56">
        <f>timeseries!A56</f>
        <v>2074</v>
      </c>
      <c r="B56">
        <f>timeseries!D56</f>
        <v>837800</v>
      </c>
      <c r="C56">
        <v>0</v>
      </c>
      <c r="D56">
        <f>timeseries!E56</f>
        <v>61892320</v>
      </c>
      <c r="E56">
        <f>timeseries!F56</f>
        <v>1028200</v>
      </c>
    </row>
    <row r="57" spans="1:5" x14ac:dyDescent="0.35">
      <c r="A57">
        <f>timeseries!A57</f>
        <v>2075</v>
      </c>
      <c r="B57">
        <f>timeseries!D57</f>
        <v>837800</v>
      </c>
      <c r="C57">
        <v>0</v>
      </c>
      <c r="D57">
        <f>timeseries!E57</f>
        <v>61892320</v>
      </c>
      <c r="E57">
        <f>timeseries!F57</f>
        <v>1028200</v>
      </c>
    </row>
    <row r="58" spans="1:5" x14ac:dyDescent="0.35">
      <c r="A58">
        <f>timeseries!A58</f>
        <v>2076</v>
      </c>
      <c r="B58">
        <f>timeseries!D58</f>
        <v>837800</v>
      </c>
      <c r="C58">
        <v>0</v>
      </c>
      <c r="D58">
        <f>timeseries!E58</f>
        <v>61892320</v>
      </c>
      <c r="E58">
        <f>timeseries!F58</f>
        <v>1028200</v>
      </c>
    </row>
    <row r="59" spans="1:5" x14ac:dyDescent="0.35">
      <c r="A59">
        <f>timeseries!A59</f>
        <v>2077</v>
      </c>
      <c r="B59">
        <f>timeseries!D59</f>
        <v>837800</v>
      </c>
      <c r="C59">
        <v>0</v>
      </c>
      <c r="D59">
        <f>timeseries!E59</f>
        <v>61892320</v>
      </c>
      <c r="E59">
        <f>timeseries!F59</f>
        <v>1028200</v>
      </c>
    </row>
    <row r="60" spans="1:5" x14ac:dyDescent="0.35">
      <c r="A60">
        <f>timeseries!A60</f>
        <v>2078</v>
      </c>
      <c r="B60">
        <f>timeseries!D60</f>
        <v>837800</v>
      </c>
      <c r="C60">
        <v>0</v>
      </c>
      <c r="D60">
        <f>timeseries!E60</f>
        <v>61892320</v>
      </c>
      <c r="E60">
        <f>timeseries!F60</f>
        <v>1028200</v>
      </c>
    </row>
    <row r="61" spans="1:5" x14ac:dyDescent="0.35">
      <c r="A61">
        <f>timeseries!A61</f>
        <v>2079</v>
      </c>
      <c r="B61">
        <f>timeseries!D61</f>
        <v>837800</v>
      </c>
      <c r="C61">
        <v>0</v>
      </c>
      <c r="D61">
        <f>timeseries!E61</f>
        <v>61892320</v>
      </c>
      <c r="E61">
        <f>timeseries!F61</f>
        <v>1028200</v>
      </c>
    </row>
    <row r="62" spans="1:5" x14ac:dyDescent="0.35">
      <c r="A62">
        <f>timeseries!A62</f>
        <v>2080</v>
      </c>
      <c r="B62">
        <f>timeseries!D62</f>
        <v>837800</v>
      </c>
      <c r="C62">
        <v>0</v>
      </c>
      <c r="D62">
        <f>timeseries!E62</f>
        <v>61892320</v>
      </c>
      <c r="E62">
        <f>timeseries!F62</f>
        <v>1028200</v>
      </c>
    </row>
    <row r="63" spans="1:5" x14ac:dyDescent="0.35">
      <c r="A63">
        <f>timeseries!A63</f>
        <v>2081</v>
      </c>
      <c r="B63">
        <f>timeseries!D63</f>
        <v>837800</v>
      </c>
      <c r="C63">
        <v>0</v>
      </c>
      <c r="D63">
        <f>timeseries!E63</f>
        <v>61892320</v>
      </c>
      <c r="E63">
        <f>timeseries!F63</f>
        <v>1028200</v>
      </c>
    </row>
    <row r="64" spans="1:5" x14ac:dyDescent="0.35">
      <c r="A64">
        <f>timeseries!A64</f>
        <v>2082</v>
      </c>
      <c r="B64">
        <f>timeseries!D64</f>
        <v>837800</v>
      </c>
      <c r="C64">
        <v>0</v>
      </c>
      <c r="D64">
        <f>timeseries!E64</f>
        <v>61892320</v>
      </c>
      <c r="E64">
        <f>timeseries!F64</f>
        <v>1028200</v>
      </c>
    </row>
    <row r="65" spans="1:5" x14ac:dyDescent="0.35">
      <c r="A65">
        <f>timeseries!A65</f>
        <v>2083</v>
      </c>
      <c r="B65">
        <f>timeseries!D65</f>
        <v>837800</v>
      </c>
      <c r="C65">
        <v>0</v>
      </c>
      <c r="D65">
        <f>timeseries!E65</f>
        <v>61892320</v>
      </c>
      <c r="E65">
        <f>timeseries!F65</f>
        <v>1028200</v>
      </c>
    </row>
    <row r="66" spans="1:5" x14ac:dyDescent="0.35">
      <c r="A66">
        <f>timeseries!A66</f>
        <v>2084</v>
      </c>
      <c r="B66">
        <f>timeseries!D66</f>
        <v>837800</v>
      </c>
      <c r="C66">
        <v>0</v>
      </c>
      <c r="D66">
        <f>timeseries!E66</f>
        <v>61892320</v>
      </c>
      <c r="E66">
        <f>timeseries!F66</f>
        <v>1028200</v>
      </c>
    </row>
    <row r="67" spans="1:5" x14ac:dyDescent="0.35">
      <c r="A67">
        <f>timeseries!A67</f>
        <v>2085</v>
      </c>
      <c r="B67">
        <f>timeseries!D67</f>
        <v>837800</v>
      </c>
      <c r="C67">
        <v>0</v>
      </c>
      <c r="D67">
        <f>timeseries!E67</f>
        <v>61892320</v>
      </c>
      <c r="E67">
        <f>timeseries!F67</f>
        <v>1028200</v>
      </c>
    </row>
    <row r="68" spans="1:5" x14ac:dyDescent="0.35">
      <c r="A68">
        <f>timeseries!A68</f>
        <v>2086</v>
      </c>
      <c r="B68">
        <f>timeseries!D68</f>
        <v>837800</v>
      </c>
      <c r="C68">
        <v>0</v>
      </c>
      <c r="D68">
        <f>timeseries!E68</f>
        <v>61892320</v>
      </c>
      <c r="E68">
        <f>timeseries!F68</f>
        <v>1028200</v>
      </c>
    </row>
    <row r="69" spans="1:5" x14ac:dyDescent="0.35">
      <c r="A69">
        <f>timeseries!A69</f>
        <v>2087</v>
      </c>
      <c r="B69">
        <f>timeseries!D69</f>
        <v>837800</v>
      </c>
      <c r="C69">
        <v>0</v>
      </c>
      <c r="D69">
        <f>timeseries!E69</f>
        <v>61892320</v>
      </c>
      <c r="E69">
        <f>timeseries!F69</f>
        <v>1028200</v>
      </c>
    </row>
    <row r="70" spans="1:5" x14ac:dyDescent="0.35">
      <c r="A70">
        <f>timeseries!A70</f>
        <v>2088</v>
      </c>
      <c r="B70">
        <f>timeseries!D70</f>
        <v>837800</v>
      </c>
      <c r="C70">
        <v>0</v>
      </c>
      <c r="D70">
        <f>timeseries!E70</f>
        <v>61892320</v>
      </c>
      <c r="E70">
        <f>timeseries!F70</f>
        <v>1028200</v>
      </c>
    </row>
    <row r="71" spans="1:5" x14ac:dyDescent="0.35">
      <c r="A71">
        <f>timeseries!A71</f>
        <v>2089</v>
      </c>
      <c r="B71">
        <f>timeseries!D71</f>
        <v>837800</v>
      </c>
      <c r="C71">
        <v>0</v>
      </c>
      <c r="D71">
        <f>timeseries!E71</f>
        <v>61892320</v>
      </c>
      <c r="E71">
        <f>timeseries!F71</f>
        <v>1028200</v>
      </c>
    </row>
    <row r="72" spans="1:5" x14ac:dyDescent="0.35">
      <c r="A72">
        <f>timeseries!A72</f>
        <v>2090</v>
      </c>
      <c r="B72">
        <f>timeseries!D72</f>
        <v>837800</v>
      </c>
      <c r="C72">
        <v>0</v>
      </c>
      <c r="D72">
        <f>timeseries!E72</f>
        <v>61892320</v>
      </c>
      <c r="E72">
        <f>timeseries!F72</f>
        <v>1028200</v>
      </c>
    </row>
    <row r="73" spans="1:5" x14ac:dyDescent="0.35">
      <c r="A73">
        <f>timeseries!A73</f>
        <v>2091</v>
      </c>
      <c r="B73">
        <f>timeseries!D73</f>
        <v>837800</v>
      </c>
      <c r="C73">
        <v>0</v>
      </c>
      <c r="D73">
        <f>timeseries!E73</f>
        <v>61892320</v>
      </c>
      <c r="E73">
        <f>timeseries!F73</f>
        <v>1028200</v>
      </c>
    </row>
    <row r="74" spans="1:5" x14ac:dyDescent="0.35">
      <c r="A74">
        <f>timeseries!A74</f>
        <v>2092</v>
      </c>
      <c r="B74">
        <f>timeseries!D74</f>
        <v>837800</v>
      </c>
      <c r="C74">
        <v>0</v>
      </c>
      <c r="D74">
        <f>timeseries!E74</f>
        <v>61892320</v>
      </c>
      <c r="E74">
        <f>timeseries!F74</f>
        <v>1028200</v>
      </c>
    </row>
    <row r="75" spans="1:5" x14ac:dyDescent="0.35">
      <c r="A75">
        <f>timeseries!A75</f>
        <v>2093</v>
      </c>
      <c r="B75">
        <f>timeseries!D75</f>
        <v>837800</v>
      </c>
      <c r="C75">
        <v>0</v>
      </c>
      <c r="D75">
        <f>timeseries!E75</f>
        <v>61892320</v>
      </c>
      <c r="E75">
        <f>timeseries!F75</f>
        <v>1028200</v>
      </c>
    </row>
    <row r="76" spans="1:5" x14ac:dyDescent="0.35">
      <c r="A76">
        <f>timeseries!A76</f>
        <v>2094</v>
      </c>
      <c r="B76">
        <f>timeseries!D76</f>
        <v>837800</v>
      </c>
      <c r="C76">
        <v>0</v>
      </c>
      <c r="D76">
        <f>timeseries!E76</f>
        <v>61892320</v>
      </c>
      <c r="E76">
        <f>timeseries!F76</f>
        <v>1028200</v>
      </c>
    </row>
    <row r="77" spans="1:5" x14ac:dyDescent="0.35">
      <c r="A77">
        <f>timeseries!A77</f>
        <v>2095</v>
      </c>
      <c r="B77">
        <f>timeseries!D77</f>
        <v>837800</v>
      </c>
      <c r="C77">
        <v>0</v>
      </c>
      <c r="D77">
        <f>timeseries!E77</f>
        <v>61892320</v>
      </c>
      <c r="E77">
        <f>timeseries!F77</f>
        <v>1028200</v>
      </c>
    </row>
    <row r="78" spans="1:5" x14ac:dyDescent="0.35">
      <c r="A78">
        <f>timeseries!A78</f>
        <v>2096</v>
      </c>
      <c r="B78">
        <f>timeseries!D78</f>
        <v>837800</v>
      </c>
      <c r="C78">
        <v>0</v>
      </c>
      <c r="D78">
        <f>timeseries!E78</f>
        <v>61892320</v>
      </c>
      <c r="E78">
        <f>timeseries!F78</f>
        <v>1028200</v>
      </c>
    </row>
    <row r="79" spans="1:5" x14ac:dyDescent="0.35">
      <c r="A79">
        <f>timeseries!A79</f>
        <v>2097</v>
      </c>
      <c r="B79">
        <f>timeseries!D79</f>
        <v>837800</v>
      </c>
      <c r="C79">
        <v>0</v>
      </c>
      <c r="D79">
        <f>timeseries!E79</f>
        <v>61892320</v>
      </c>
      <c r="E79">
        <f>timeseries!F79</f>
        <v>1028200</v>
      </c>
    </row>
    <row r="80" spans="1:5" x14ac:dyDescent="0.35">
      <c r="A80">
        <f>timeseries!A80</f>
        <v>2098</v>
      </c>
      <c r="B80">
        <f>timeseries!D80</f>
        <v>837800</v>
      </c>
      <c r="C80">
        <v>0</v>
      </c>
      <c r="D80">
        <f>timeseries!E80</f>
        <v>61892320</v>
      </c>
      <c r="E80">
        <f>timeseries!F80</f>
        <v>1028200</v>
      </c>
    </row>
    <row r="81" spans="1:5" x14ac:dyDescent="0.35">
      <c r="A81">
        <f>timeseries!A81</f>
        <v>2099</v>
      </c>
      <c r="B81">
        <f>timeseries!D81</f>
        <v>837800</v>
      </c>
      <c r="C81">
        <v>0</v>
      </c>
      <c r="D81">
        <f>timeseries!E81</f>
        <v>61892320</v>
      </c>
      <c r="E81">
        <f>timeseries!F81</f>
        <v>1028200</v>
      </c>
    </row>
    <row r="82" spans="1:5" x14ac:dyDescent="0.35">
      <c r="A82">
        <f>timeseries!A82</f>
        <v>2100</v>
      </c>
      <c r="B82">
        <f>timeseries!D82</f>
        <v>837800</v>
      </c>
      <c r="C82">
        <v>0</v>
      </c>
      <c r="D82">
        <f>timeseries!E82</f>
        <v>61892320</v>
      </c>
      <c r="E82">
        <f>timeseries!F82</f>
        <v>1028200</v>
      </c>
    </row>
    <row r="83" spans="1:5" x14ac:dyDescent="0.35">
      <c r="A83">
        <f>timeseries!A83</f>
        <v>2101</v>
      </c>
      <c r="B83">
        <f>timeseries!D83</f>
        <v>837800</v>
      </c>
      <c r="C83">
        <v>0</v>
      </c>
      <c r="D83">
        <f>timeseries!E83</f>
        <v>61892320</v>
      </c>
      <c r="E83">
        <f>timeseries!F83</f>
        <v>1028200</v>
      </c>
    </row>
    <row r="84" spans="1:5" x14ac:dyDescent="0.35">
      <c r="A84">
        <f>timeseries!A84</f>
        <v>2102</v>
      </c>
      <c r="B84">
        <f>timeseries!D84</f>
        <v>837800</v>
      </c>
      <c r="C84">
        <v>0</v>
      </c>
      <c r="D84">
        <f>timeseries!E84</f>
        <v>61892320</v>
      </c>
      <c r="E84">
        <f>timeseries!F84</f>
        <v>1028200</v>
      </c>
    </row>
    <row r="85" spans="1:5" x14ac:dyDescent="0.35">
      <c r="A85">
        <f>timeseries!A85</f>
        <v>2103</v>
      </c>
      <c r="B85">
        <f>timeseries!D85</f>
        <v>837800</v>
      </c>
      <c r="C85">
        <v>0</v>
      </c>
      <c r="D85">
        <f>timeseries!E85</f>
        <v>61892320</v>
      </c>
      <c r="E85">
        <f>timeseries!F85</f>
        <v>1028200</v>
      </c>
    </row>
    <row r="86" spans="1:5" x14ac:dyDescent="0.35">
      <c r="A86">
        <f>timeseries!A86</f>
        <v>2104</v>
      </c>
      <c r="B86">
        <f>timeseries!D86</f>
        <v>837800</v>
      </c>
      <c r="C86">
        <v>0</v>
      </c>
      <c r="D86">
        <f>timeseries!E86</f>
        <v>61892320</v>
      </c>
      <c r="E86">
        <f>timeseries!F86</f>
        <v>1028200</v>
      </c>
    </row>
    <row r="87" spans="1:5" x14ac:dyDescent="0.35">
      <c r="A87">
        <f>timeseries!A87</f>
        <v>2105</v>
      </c>
      <c r="B87">
        <f>timeseries!D87</f>
        <v>837800</v>
      </c>
      <c r="C87">
        <v>0</v>
      </c>
      <c r="D87">
        <f>timeseries!E87</f>
        <v>61892320</v>
      </c>
      <c r="E87">
        <f>timeseries!F87</f>
        <v>1028200</v>
      </c>
    </row>
    <row r="88" spans="1:5" x14ac:dyDescent="0.35">
      <c r="A88">
        <f>timeseries!A88</f>
        <v>2106</v>
      </c>
      <c r="B88">
        <f>timeseries!D88</f>
        <v>837800</v>
      </c>
      <c r="C88">
        <v>0</v>
      </c>
      <c r="D88">
        <f>timeseries!E88</f>
        <v>61892320</v>
      </c>
      <c r="E88">
        <f>timeseries!F88</f>
        <v>1028200</v>
      </c>
    </row>
    <row r="89" spans="1:5" x14ac:dyDescent="0.35">
      <c r="A89">
        <f>timeseries!A89</f>
        <v>2107</v>
      </c>
      <c r="B89">
        <f>timeseries!D89</f>
        <v>837800</v>
      </c>
      <c r="C89">
        <v>0</v>
      </c>
      <c r="D89">
        <f>timeseries!E89</f>
        <v>61892320</v>
      </c>
      <c r="E89">
        <f>timeseries!F89</f>
        <v>1028200</v>
      </c>
    </row>
    <row r="90" spans="1:5" x14ac:dyDescent="0.35">
      <c r="A90">
        <f>timeseries!A90</f>
        <v>2108</v>
      </c>
      <c r="B90">
        <f>timeseries!D90</f>
        <v>837800</v>
      </c>
      <c r="C90">
        <v>0</v>
      </c>
      <c r="D90">
        <f>timeseries!E90</f>
        <v>61892320</v>
      </c>
      <c r="E90">
        <f>timeseries!F90</f>
        <v>1028200</v>
      </c>
    </row>
    <row r="91" spans="1:5" x14ac:dyDescent="0.35">
      <c r="A91">
        <f>timeseries!A91</f>
        <v>2109</v>
      </c>
      <c r="B91">
        <f>timeseries!D91</f>
        <v>837800</v>
      </c>
      <c r="C91">
        <v>0</v>
      </c>
      <c r="D91">
        <f>timeseries!E91</f>
        <v>61892320</v>
      </c>
      <c r="E91">
        <f>timeseries!F91</f>
        <v>1028200</v>
      </c>
    </row>
    <row r="92" spans="1:5" x14ac:dyDescent="0.35">
      <c r="A92">
        <f>timeseries!A92</f>
        <v>2110</v>
      </c>
      <c r="B92">
        <f>timeseries!D92</f>
        <v>837800</v>
      </c>
      <c r="C92">
        <v>0</v>
      </c>
      <c r="D92">
        <f>timeseries!E92</f>
        <v>61892320</v>
      </c>
      <c r="E92">
        <f>timeseries!F92</f>
        <v>1028200</v>
      </c>
    </row>
    <row r="93" spans="1:5" x14ac:dyDescent="0.35">
      <c r="A93">
        <f>timeseries!A93</f>
        <v>2111</v>
      </c>
      <c r="B93">
        <f>timeseries!D93</f>
        <v>837800</v>
      </c>
      <c r="C93">
        <v>0</v>
      </c>
      <c r="D93">
        <f>timeseries!E93</f>
        <v>61892320</v>
      </c>
      <c r="E93">
        <f>timeseries!F93</f>
        <v>1028200</v>
      </c>
    </row>
    <row r="94" spans="1:5" x14ac:dyDescent="0.35">
      <c r="A94">
        <f>timeseries!A94</f>
        <v>2112</v>
      </c>
      <c r="B94">
        <f>timeseries!D94</f>
        <v>837800</v>
      </c>
      <c r="C94">
        <v>0</v>
      </c>
      <c r="D94">
        <f>timeseries!E94</f>
        <v>61892320</v>
      </c>
      <c r="E94">
        <f>timeseries!F94</f>
        <v>1028200</v>
      </c>
    </row>
    <row r="95" spans="1:5" x14ac:dyDescent="0.35">
      <c r="A95">
        <f>timeseries!A95</f>
        <v>2113</v>
      </c>
      <c r="B95">
        <f>timeseries!D95</f>
        <v>837800</v>
      </c>
      <c r="C95">
        <v>0</v>
      </c>
      <c r="D95">
        <f>timeseries!E95</f>
        <v>61892320</v>
      </c>
      <c r="E95">
        <f>timeseries!F95</f>
        <v>1028200</v>
      </c>
    </row>
    <row r="96" spans="1:5" x14ac:dyDescent="0.35">
      <c r="A96">
        <f>timeseries!A96</f>
        <v>2114</v>
      </c>
      <c r="B96">
        <f>timeseries!D96</f>
        <v>837800</v>
      </c>
      <c r="C96">
        <v>0</v>
      </c>
      <c r="D96">
        <f>timeseries!E96</f>
        <v>61892320</v>
      </c>
      <c r="E96">
        <f>timeseries!F96</f>
        <v>1028200</v>
      </c>
    </row>
    <row r="97" spans="1:5" x14ac:dyDescent="0.35">
      <c r="A97">
        <f>timeseries!A97</f>
        <v>2115</v>
      </c>
      <c r="B97">
        <f>timeseries!D97</f>
        <v>837800</v>
      </c>
      <c r="C97">
        <v>0</v>
      </c>
      <c r="D97">
        <f>timeseries!E97</f>
        <v>61892320</v>
      </c>
      <c r="E97">
        <f>timeseries!F97</f>
        <v>1028200</v>
      </c>
    </row>
    <row r="98" spans="1:5" x14ac:dyDescent="0.35">
      <c r="A98">
        <f>timeseries!A98</f>
        <v>2116</v>
      </c>
      <c r="B98">
        <f>timeseries!D98</f>
        <v>837800</v>
      </c>
      <c r="C98">
        <v>0</v>
      </c>
      <c r="D98">
        <f>timeseries!E98</f>
        <v>61892320</v>
      </c>
      <c r="E98">
        <f>timeseries!F98</f>
        <v>1028200</v>
      </c>
    </row>
    <row r="99" spans="1:5" x14ac:dyDescent="0.35">
      <c r="A99">
        <f>timeseries!A99</f>
        <v>2117</v>
      </c>
      <c r="B99">
        <f>timeseries!D99</f>
        <v>837800</v>
      </c>
      <c r="C99">
        <v>0</v>
      </c>
      <c r="D99">
        <f>timeseries!E99</f>
        <v>61892320</v>
      </c>
      <c r="E99">
        <f>timeseries!F99</f>
        <v>1028200</v>
      </c>
    </row>
    <row r="100" spans="1:5" x14ac:dyDescent="0.35">
      <c r="A100">
        <f>timeseries!A100</f>
        <v>2118</v>
      </c>
      <c r="B100">
        <f>timeseries!D100</f>
        <v>837800</v>
      </c>
      <c r="C100">
        <v>0</v>
      </c>
      <c r="D100">
        <f>timeseries!E100</f>
        <v>61892320</v>
      </c>
      <c r="E100">
        <f>timeseries!F100</f>
        <v>1028200</v>
      </c>
    </row>
    <row r="101" spans="1:5" x14ac:dyDescent="0.35">
      <c r="A101">
        <f>timeseries!A101</f>
        <v>2119</v>
      </c>
      <c r="B101">
        <f>timeseries!D101</f>
        <v>837800</v>
      </c>
      <c r="C101">
        <v>0</v>
      </c>
      <c r="D101">
        <f>timeseries!E101</f>
        <v>61892320</v>
      </c>
      <c r="E101">
        <f>timeseries!F101</f>
        <v>1028200</v>
      </c>
    </row>
    <row r="102" spans="1:5" x14ac:dyDescent="0.35">
      <c r="A102">
        <f>timeseries!A102</f>
        <v>2120</v>
      </c>
      <c r="B102">
        <f>timeseries!D102</f>
        <v>837800</v>
      </c>
      <c r="C102">
        <v>0</v>
      </c>
      <c r="D102">
        <f>timeseries!E102</f>
        <v>61892320</v>
      </c>
      <c r="E102">
        <f>timeseries!F102</f>
        <v>1028200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2"/>
  <sheetViews>
    <sheetView workbookViewId="0">
      <selection activeCell="I34" sqref="I34"/>
    </sheetView>
  </sheetViews>
  <sheetFormatPr defaultRowHeight="14.5" x14ac:dyDescent="0.35"/>
  <cols>
    <col min="3" max="3" width="10.08984375" customWidth="1"/>
    <col min="4" max="4" width="19.453125" customWidth="1"/>
    <col min="5" max="5" width="10.90625" customWidth="1"/>
    <col min="6" max="6" width="12.36328125" customWidth="1"/>
  </cols>
  <sheetData>
    <row r="1" spans="1:6" x14ac:dyDescent="0.35">
      <c r="A1" s="20" t="s">
        <v>40</v>
      </c>
      <c r="B1" s="20" t="s">
        <v>29</v>
      </c>
      <c r="C1" s="20" t="s">
        <v>105</v>
      </c>
      <c r="D1" s="20" t="s">
        <v>106</v>
      </c>
      <c r="E1" s="20" t="s">
        <v>107</v>
      </c>
      <c r="F1" s="20" t="s">
        <v>114</v>
      </c>
    </row>
    <row r="2" spans="1:6" x14ac:dyDescent="0.35">
      <c r="A2">
        <f>timeseries!A2</f>
        <v>2020</v>
      </c>
      <c r="B2">
        <f>timeseries!B2</f>
        <v>0</v>
      </c>
      <c r="C2">
        <f>timeseries!D2</f>
        <v>0</v>
      </c>
      <c r="D2">
        <v>0</v>
      </c>
      <c r="E2">
        <f>timeseries!E2</f>
        <v>0</v>
      </c>
      <c r="F2">
        <f>timeseries!F2</f>
        <v>0</v>
      </c>
    </row>
    <row r="3" spans="1:6" x14ac:dyDescent="0.35">
      <c r="A3">
        <f>timeseries!A3</f>
        <v>2021</v>
      </c>
      <c r="B3">
        <f>timeseries!B3</f>
        <v>1</v>
      </c>
      <c r="C3">
        <f>timeseries!D3-timeseries!D2</f>
        <v>0</v>
      </c>
      <c r="D3">
        <v>0</v>
      </c>
      <c r="E3">
        <f>timeseries!E3</f>
        <v>0</v>
      </c>
      <c r="F3">
        <f>timeseries!F3-timeseries!F2</f>
        <v>0</v>
      </c>
    </row>
    <row r="4" spans="1:6" x14ac:dyDescent="0.35">
      <c r="A4">
        <f>timeseries!A4</f>
        <v>2022</v>
      </c>
      <c r="B4">
        <f>timeseries!B4</f>
        <v>2</v>
      </c>
      <c r="C4">
        <f>timeseries!D4-timeseries!D3</f>
        <v>0</v>
      </c>
      <c r="D4">
        <v>0</v>
      </c>
      <c r="E4">
        <f>timeseries!E4</f>
        <v>0</v>
      </c>
      <c r="F4">
        <f>timeseries!F4-timeseries!F3</f>
        <v>0</v>
      </c>
    </row>
    <row r="5" spans="1:6" x14ac:dyDescent="0.35">
      <c r="A5">
        <f>timeseries!A5</f>
        <v>2023</v>
      </c>
      <c r="B5">
        <f>timeseries!B5</f>
        <v>3</v>
      </c>
      <c r="C5">
        <f>timeseries!D5-timeseries!D4</f>
        <v>0</v>
      </c>
      <c r="D5">
        <v>0</v>
      </c>
      <c r="E5">
        <f>timeseries!E5</f>
        <v>0</v>
      </c>
      <c r="F5">
        <f>timeseries!F5-timeseries!F4</f>
        <v>51410</v>
      </c>
    </row>
    <row r="6" spans="1:6" x14ac:dyDescent="0.35">
      <c r="A6">
        <f>timeseries!A6</f>
        <v>2024</v>
      </c>
      <c r="B6">
        <f>timeseries!B6</f>
        <v>4</v>
      </c>
      <c r="C6">
        <f>timeseries!D6-timeseries!D5</f>
        <v>0</v>
      </c>
      <c r="D6">
        <v>0</v>
      </c>
      <c r="E6">
        <f>timeseries!E6</f>
        <v>0</v>
      </c>
      <c r="F6">
        <f>timeseries!F6-timeseries!F5</f>
        <v>51410</v>
      </c>
    </row>
    <row r="7" spans="1:6" x14ac:dyDescent="0.35">
      <c r="A7">
        <f>timeseries!A7</f>
        <v>2025</v>
      </c>
      <c r="B7">
        <f>timeseries!B7</f>
        <v>5</v>
      </c>
      <c r="C7">
        <f>timeseries!D7-timeseries!D6</f>
        <v>33512</v>
      </c>
      <c r="D7">
        <v>0</v>
      </c>
      <c r="E7">
        <f>timeseries!E7</f>
        <v>2475692.8000000003</v>
      </c>
      <c r="F7">
        <f>timeseries!F7-timeseries!F6</f>
        <v>51410</v>
      </c>
    </row>
    <row r="8" spans="1:6" x14ac:dyDescent="0.35">
      <c r="A8">
        <f>timeseries!A8</f>
        <v>2026</v>
      </c>
      <c r="B8">
        <f>timeseries!B8</f>
        <v>6</v>
      </c>
      <c r="C8">
        <f>timeseries!D8-timeseries!D7</f>
        <v>33512</v>
      </c>
      <c r="D8">
        <v>0</v>
      </c>
      <c r="E8">
        <f>timeseries!E8</f>
        <v>4951385.6000000006</v>
      </c>
      <c r="F8">
        <f>timeseries!F8-timeseries!F7</f>
        <v>51410</v>
      </c>
    </row>
    <row r="9" spans="1:6" x14ac:dyDescent="0.35">
      <c r="A9">
        <f>timeseries!A9</f>
        <v>2027</v>
      </c>
      <c r="B9">
        <f>timeseries!B9</f>
        <v>7</v>
      </c>
      <c r="C9">
        <f>timeseries!D9-timeseries!D8</f>
        <v>33512</v>
      </c>
      <c r="D9">
        <v>0</v>
      </c>
      <c r="E9">
        <f>timeseries!E9</f>
        <v>7427078.4000000004</v>
      </c>
      <c r="F9">
        <f>timeseries!F9-timeseries!F8</f>
        <v>51410</v>
      </c>
    </row>
    <row r="10" spans="1:6" x14ac:dyDescent="0.35">
      <c r="A10">
        <f>timeseries!A10</f>
        <v>2028</v>
      </c>
      <c r="B10">
        <f>timeseries!B10</f>
        <v>8</v>
      </c>
      <c r="C10">
        <f>timeseries!D10-timeseries!D9</f>
        <v>33512</v>
      </c>
      <c r="D10">
        <v>0</v>
      </c>
      <c r="E10">
        <f>timeseries!E10</f>
        <v>9902771.2000000011</v>
      </c>
      <c r="F10">
        <f>timeseries!F10-timeseries!F9</f>
        <v>51410</v>
      </c>
    </row>
    <row r="11" spans="1:6" x14ac:dyDescent="0.35">
      <c r="A11">
        <f>timeseries!A11</f>
        <v>2029</v>
      </c>
      <c r="B11">
        <f>timeseries!B11</f>
        <v>9</v>
      </c>
      <c r="C11">
        <f>timeseries!D11-timeseries!D10</f>
        <v>33512</v>
      </c>
      <c r="D11">
        <v>0</v>
      </c>
      <c r="E11">
        <f>timeseries!E11</f>
        <v>12378464</v>
      </c>
      <c r="F11">
        <f>timeseries!F11-timeseries!F10</f>
        <v>51410</v>
      </c>
    </row>
    <row r="12" spans="1:6" x14ac:dyDescent="0.35">
      <c r="A12">
        <f>timeseries!A12</f>
        <v>2030</v>
      </c>
      <c r="B12">
        <f>timeseries!B12</f>
        <v>10</v>
      </c>
      <c r="C12">
        <f>timeseries!D12-timeseries!D11</f>
        <v>33512</v>
      </c>
      <c r="D12">
        <v>0</v>
      </c>
      <c r="E12">
        <f>timeseries!E12</f>
        <v>14854156.800000001</v>
      </c>
      <c r="F12">
        <f>timeseries!F12-timeseries!F11</f>
        <v>51410</v>
      </c>
    </row>
    <row r="13" spans="1:6" x14ac:dyDescent="0.35">
      <c r="A13">
        <f>timeseries!A13</f>
        <v>2031</v>
      </c>
      <c r="B13">
        <f>timeseries!B13</f>
        <v>11</v>
      </c>
      <c r="C13">
        <f>timeseries!D13-timeseries!D12</f>
        <v>33512</v>
      </c>
      <c r="D13">
        <v>0</v>
      </c>
      <c r="E13">
        <f>timeseries!E13</f>
        <v>17329849.600000001</v>
      </c>
      <c r="F13">
        <f>timeseries!F13-timeseries!F12</f>
        <v>51410</v>
      </c>
    </row>
    <row r="14" spans="1:6" x14ac:dyDescent="0.35">
      <c r="A14">
        <f>timeseries!A14</f>
        <v>2032</v>
      </c>
      <c r="B14">
        <f>timeseries!B14</f>
        <v>12</v>
      </c>
      <c r="C14">
        <f>timeseries!D14-timeseries!D13</f>
        <v>33512</v>
      </c>
      <c r="D14">
        <v>0</v>
      </c>
      <c r="E14">
        <f>timeseries!E14</f>
        <v>19805542.400000002</v>
      </c>
      <c r="F14">
        <f>timeseries!F14-timeseries!F13</f>
        <v>51410</v>
      </c>
    </row>
    <row r="15" spans="1:6" x14ac:dyDescent="0.35">
      <c r="A15">
        <f>timeseries!A15</f>
        <v>2033</v>
      </c>
      <c r="B15">
        <f>timeseries!B15</f>
        <v>13</v>
      </c>
      <c r="C15">
        <f>timeseries!D15-timeseries!D14</f>
        <v>33512</v>
      </c>
      <c r="D15">
        <v>0</v>
      </c>
      <c r="E15">
        <f>timeseries!E15</f>
        <v>22281235.199999999</v>
      </c>
      <c r="F15">
        <f>timeseries!F15-timeseries!F14</f>
        <v>51410</v>
      </c>
    </row>
    <row r="16" spans="1:6" x14ac:dyDescent="0.35">
      <c r="A16">
        <f>timeseries!A16</f>
        <v>2034</v>
      </c>
      <c r="B16">
        <f>timeseries!B16</f>
        <v>14</v>
      </c>
      <c r="C16">
        <f>timeseries!D16-timeseries!D15</f>
        <v>33512</v>
      </c>
      <c r="D16">
        <v>0</v>
      </c>
      <c r="E16">
        <f>timeseries!E16</f>
        <v>24756928</v>
      </c>
      <c r="F16">
        <f>timeseries!F16-timeseries!F15</f>
        <v>51410</v>
      </c>
    </row>
    <row r="17" spans="1:6" x14ac:dyDescent="0.35">
      <c r="A17">
        <f>timeseries!A17</f>
        <v>2035</v>
      </c>
      <c r="B17">
        <f>timeseries!B17</f>
        <v>15</v>
      </c>
      <c r="C17">
        <f>timeseries!D17-timeseries!D16</f>
        <v>33512</v>
      </c>
      <c r="D17">
        <v>0</v>
      </c>
      <c r="E17">
        <f>timeseries!E17</f>
        <v>27232620.800000001</v>
      </c>
      <c r="F17">
        <f>timeseries!F17-timeseries!F16</f>
        <v>51410</v>
      </c>
    </row>
    <row r="18" spans="1:6" x14ac:dyDescent="0.35">
      <c r="A18">
        <f>timeseries!A18</f>
        <v>2036</v>
      </c>
      <c r="B18">
        <f>timeseries!B18</f>
        <v>16</v>
      </c>
      <c r="C18">
        <f>timeseries!D18-timeseries!D17</f>
        <v>33512</v>
      </c>
      <c r="D18">
        <v>0</v>
      </c>
      <c r="E18">
        <f>timeseries!E18</f>
        <v>29708313.600000001</v>
      </c>
      <c r="F18">
        <f>timeseries!F18-timeseries!F17</f>
        <v>51410</v>
      </c>
    </row>
    <row r="19" spans="1:6" x14ac:dyDescent="0.35">
      <c r="A19">
        <f>timeseries!A19</f>
        <v>2037</v>
      </c>
      <c r="B19">
        <f>timeseries!B19</f>
        <v>17</v>
      </c>
      <c r="C19">
        <f>timeseries!D19-timeseries!D18</f>
        <v>33512</v>
      </c>
      <c r="D19">
        <v>0</v>
      </c>
      <c r="E19">
        <f>timeseries!E19</f>
        <v>32184006.400000002</v>
      </c>
      <c r="F19">
        <f>timeseries!F19-timeseries!F18</f>
        <v>51410</v>
      </c>
    </row>
    <row r="20" spans="1:6" x14ac:dyDescent="0.35">
      <c r="A20">
        <f>timeseries!A20</f>
        <v>2038</v>
      </c>
      <c r="B20">
        <f>timeseries!B20</f>
        <v>18</v>
      </c>
      <c r="C20">
        <f>timeseries!D20-timeseries!D19</f>
        <v>33512</v>
      </c>
      <c r="D20">
        <v>0</v>
      </c>
      <c r="E20">
        <f>timeseries!E20</f>
        <v>34659699.200000003</v>
      </c>
      <c r="F20">
        <f>timeseries!F20-timeseries!F19</f>
        <v>51410</v>
      </c>
    </row>
    <row r="21" spans="1:6" x14ac:dyDescent="0.35">
      <c r="A21">
        <f>timeseries!A21</f>
        <v>2039</v>
      </c>
      <c r="B21">
        <f>timeseries!B21</f>
        <v>19</v>
      </c>
      <c r="C21">
        <f>timeseries!D21-timeseries!D20</f>
        <v>33512</v>
      </c>
      <c r="D21">
        <v>0</v>
      </c>
      <c r="E21">
        <f>timeseries!E21</f>
        <v>37135392</v>
      </c>
      <c r="F21">
        <f>timeseries!F21-timeseries!F20</f>
        <v>51410</v>
      </c>
    </row>
    <row r="22" spans="1:6" x14ac:dyDescent="0.35">
      <c r="A22">
        <f>timeseries!A22</f>
        <v>2040</v>
      </c>
      <c r="B22">
        <f>timeseries!B22</f>
        <v>20</v>
      </c>
      <c r="C22">
        <f>timeseries!D22-timeseries!D21</f>
        <v>33512</v>
      </c>
      <c r="D22">
        <v>0</v>
      </c>
      <c r="E22">
        <f>timeseries!E22</f>
        <v>39611084.800000004</v>
      </c>
      <c r="F22">
        <f>timeseries!F22-timeseries!F21</f>
        <v>51410</v>
      </c>
    </row>
    <row r="23" spans="1:6" x14ac:dyDescent="0.35">
      <c r="A23">
        <f>timeseries!A23</f>
        <v>2041</v>
      </c>
      <c r="B23">
        <f>timeseries!B23</f>
        <v>21</v>
      </c>
      <c r="C23">
        <f>timeseries!D23-timeseries!D22</f>
        <v>33512</v>
      </c>
      <c r="D23">
        <v>0</v>
      </c>
      <c r="E23">
        <f>timeseries!E23</f>
        <v>42086777.600000001</v>
      </c>
      <c r="F23">
        <f>timeseries!F23-timeseries!F22</f>
        <v>51410</v>
      </c>
    </row>
    <row r="24" spans="1:6" x14ac:dyDescent="0.35">
      <c r="A24">
        <f>timeseries!A24</f>
        <v>2042</v>
      </c>
      <c r="B24">
        <f>timeseries!B24</f>
        <v>22</v>
      </c>
      <c r="C24">
        <f>timeseries!D24-timeseries!D23</f>
        <v>33512</v>
      </c>
      <c r="D24">
        <v>0</v>
      </c>
      <c r="E24">
        <f>timeseries!E24</f>
        <v>44562470.399999999</v>
      </c>
      <c r="F24">
        <f>timeseries!F24-timeseries!F23</f>
        <v>51410</v>
      </c>
    </row>
    <row r="25" spans="1:6" x14ac:dyDescent="0.35">
      <c r="A25">
        <f>timeseries!A25</f>
        <v>2043</v>
      </c>
      <c r="B25">
        <f>timeseries!B25</f>
        <v>23</v>
      </c>
      <c r="C25">
        <f>timeseries!D25-timeseries!D24</f>
        <v>33512</v>
      </c>
      <c r="D25">
        <v>0</v>
      </c>
      <c r="E25">
        <f>timeseries!E25</f>
        <v>47038163.200000003</v>
      </c>
      <c r="F25">
        <f>timeseries!F25-timeseries!F24</f>
        <v>0</v>
      </c>
    </row>
    <row r="26" spans="1:6" x14ac:dyDescent="0.35">
      <c r="A26">
        <f>timeseries!A26</f>
        <v>2044</v>
      </c>
      <c r="B26">
        <f>timeseries!B26</f>
        <v>24</v>
      </c>
      <c r="C26">
        <f>timeseries!D26-timeseries!D25</f>
        <v>33512</v>
      </c>
      <c r="D26">
        <v>0</v>
      </c>
      <c r="E26">
        <f>timeseries!E26</f>
        <v>49513856</v>
      </c>
      <c r="F26">
        <f>timeseries!F26-timeseries!F25</f>
        <v>0</v>
      </c>
    </row>
    <row r="27" spans="1:6" x14ac:dyDescent="0.35">
      <c r="A27">
        <f>timeseries!A27</f>
        <v>2045</v>
      </c>
      <c r="B27">
        <f>timeseries!B27</f>
        <v>25</v>
      </c>
      <c r="C27">
        <f>timeseries!D27-timeseries!D26</f>
        <v>33512</v>
      </c>
      <c r="D27">
        <v>0</v>
      </c>
      <c r="E27">
        <f>timeseries!E27</f>
        <v>51989548.800000004</v>
      </c>
      <c r="F27">
        <f>timeseries!F27-timeseries!F26</f>
        <v>0</v>
      </c>
    </row>
    <row r="28" spans="1:6" x14ac:dyDescent="0.35">
      <c r="A28">
        <f>timeseries!A28</f>
        <v>2046</v>
      </c>
      <c r="B28">
        <f>timeseries!B28</f>
        <v>26</v>
      </c>
      <c r="C28">
        <f>timeseries!D28-timeseries!D27</f>
        <v>33512</v>
      </c>
      <c r="D28">
        <v>0</v>
      </c>
      <c r="E28">
        <f>timeseries!E28</f>
        <v>54465241.600000001</v>
      </c>
      <c r="F28">
        <f>timeseries!F28-timeseries!F27</f>
        <v>0</v>
      </c>
    </row>
    <row r="29" spans="1:6" x14ac:dyDescent="0.35">
      <c r="A29">
        <f>timeseries!A29</f>
        <v>2047</v>
      </c>
      <c r="B29">
        <f>timeseries!B29</f>
        <v>27</v>
      </c>
      <c r="C29">
        <f>timeseries!D29-timeseries!D28</f>
        <v>33512</v>
      </c>
      <c r="D29">
        <v>0</v>
      </c>
      <c r="E29">
        <f>timeseries!E29</f>
        <v>56940934.399999999</v>
      </c>
      <c r="F29">
        <f>timeseries!F29-timeseries!F28</f>
        <v>0</v>
      </c>
    </row>
    <row r="30" spans="1:6" x14ac:dyDescent="0.35">
      <c r="A30">
        <f>timeseries!A30</f>
        <v>2048</v>
      </c>
      <c r="B30">
        <f>timeseries!B30</f>
        <v>28</v>
      </c>
      <c r="C30">
        <f>timeseries!D30-timeseries!D29</f>
        <v>33512</v>
      </c>
      <c r="D30">
        <v>0</v>
      </c>
      <c r="E30">
        <f>timeseries!E30</f>
        <v>59416627.200000003</v>
      </c>
      <c r="F30">
        <f>timeseries!F30-timeseries!F29</f>
        <v>0</v>
      </c>
    </row>
    <row r="31" spans="1:6" x14ac:dyDescent="0.35">
      <c r="A31">
        <f>timeseries!A31</f>
        <v>2049</v>
      </c>
      <c r="B31">
        <f>timeseries!B31</f>
        <v>29</v>
      </c>
      <c r="C31">
        <f>timeseries!D31-timeseries!D30</f>
        <v>33512</v>
      </c>
      <c r="D31">
        <v>0</v>
      </c>
      <c r="E31">
        <f>timeseries!E31</f>
        <v>61892320</v>
      </c>
      <c r="F31">
        <f>timeseries!F31-timeseries!F30</f>
        <v>0</v>
      </c>
    </row>
    <row r="32" spans="1:6" x14ac:dyDescent="0.35">
      <c r="A32">
        <f>timeseries!A32</f>
        <v>2050</v>
      </c>
      <c r="B32">
        <f>timeseries!B32</f>
        <v>30</v>
      </c>
      <c r="C32">
        <f>timeseries!D32-timeseries!D31</f>
        <v>0</v>
      </c>
      <c r="D32">
        <v>0</v>
      </c>
      <c r="E32">
        <f>timeseries!E32</f>
        <v>61892320</v>
      </c>
      <c r="F32">
        <f>timeseries!F32-timeseries!F31</f>
        <v>0</v>
      </c>
    </row>
    <row r="33" spans="1:6" x14ac:dyDescent="0.35">
      <c r="A33">
        <f>timeseries!A33</f>
        <v>2051</v>
      </c>
      <c r="B33">
        <f>timeseries!B33</f>
        <v>31</v>
      </c>
      <c r="C33">
        <f>timeseries!D33-timeseries!D32</f>
        <v>0</v>
      </c>
      <c r="D33">
        <v>0</v>
      </c>
      <c r="E33">
        <f>timeseries!E33</f>
        <v>61892320</v>
      </c>
      <c r="F33">
        <f>timeseries!F33-timeseries!F32</f>
        <v>0</v>
      </c>
    </row>
    <row r="34" spans="1:6" x14ac:dyDescent="0.35">
      <c r="A34">
        <f>timeseries!A34</f>
        <v>2052</v>
      </c>
      <c r="B34">
        <f>timeseries!B34</f>
        <v>32</v>
      </c>
      <c r="C34">
        <f>timeseries!D34-timeseries!D33</f>
        <v>0</v>
      </c>
      <c r="D34">
        <v>0</v>
      </c>
      <c r="E34">
        <f>timeseries!E34</f>
        <v>61892320</v>
      </c>
      <c r="F34">
        <f>timeseries!F34-timeseries!F33</f>
        <v>0</v>
      </c>
    </row>
    <row r="35" spans="1:6" x14ac:dyDescent="0.35">
      <c r="A35">
        <f>timeseries!A35</f>
        <v>2053</v>
      </c>
      <c r="B35">
        <f>timeseries!B35</f>
        <v>33</v>
      </c>
      <c r="C35">
        <f>timeseries!D35-timeseries!D34</f>
        <v>0</v>
      </c>
      <c r="D35">
        <v>0</v>
      </c>
      <c r="E35">
        <f>timeseries!E35</f>
        <v>61892320</v>
      </c>
      <c r="F35">
        <f>timeseries!F35-timeseries!F34</f>
        <v>0</v>
      </c>
    </row>
    <row r="36" spans="1:6" x14ac:dyDescent="0.35">
      <c r="A36">
        <f>timeseries!A36</f>
        <v>2054</v>
      </c>
      <c r="B36">
        <f>timeseries!B36</f>
        <v>34</v>
      </c>
      <c r="C36">
        <f>timeseries!D36-timeseries!D35</f>
        <v>0</v>
      </c>
      <c r="D36">
        <v>0</v>
      </c>
      <c r="E36">
        <f>timeseries!E36</f>
        <v>61892320</v>
      </c>
      <c r="F36">
        <f>timeseries!F36-timeseries!F35</f>
        <v>0</v>
      </c>
    </row>
    <row r="37" spans="1:6" x14ac:dyDescent="0.35">
      <c r="A37">
        <f>timeseries!A37</f>
        <v>2055</v>
      </c>
      <c r="B37">
        <f>timeseries!B37</f>
        <v>35</v>
      </c>
      <c r="C37">
        <f>timeseries!D37-timeseries!D36</f>
        <v>0</v>
      </c>
      <c r="D37">
        <v>0</v>
      </c>
      <c r="E37">
        <f>timeseries!E37</f>
        <v>61892320</v>
      </c>
      <c r="F37">
        <f>timeseries!F37-timeseries!F36</f>
        <v>0</v>
      </c>
    </row>
    <row r="38" spans="1:6" x14ac:dyDescent="0.35">
      <c r="A38">
        <f>timeseries!A38</f>
        <v>2056</v>
      </c>
      <c r="B38">
        <f>timeseries!B38</f>
        <v>36</v>
      </c>
      <c r="C38">
        <f>timeseries!D38-timeseries!D37</f>
        <v>0</v>
      </c>
      <c r="D38">
        <v>0</v>
      </c>
      <c r="E38">
        <f>timeseries!E38</f>
        <v>61892320</v>
      </c>
      <c r="F38">
        <f>timeseries!F38-timeseries!F37</f>
        <v>0</v>
      </c>
    </row>
    <row r="39" spans="1:6" x14ac:dyDescent="0.35">
      <c r="A39">
        <f>timeseries!A39</f>
        <v>2057</v>
      </c>
      <c r="B39">
        <f>timeseries!B39</f>
        <v>37</v>
      </c>
      <c r="C39">
        <f>timeseries!D39-timeseries!D38</f>
        <v>0</v>
      </c>
      <c r="D39">
        <v>0</v>
      </c>
      <c r="E39">
        <f>timeseries!E39</f>
        <v>61892320</v>
      </c>
      <c r="F39">
        <f>timeseries!F39-timeseries!F38</f>
        <v>0</v>
      </c>
    </row>
    <row r="40" spans="1:6" x14ac:dyDescent="0.35">
      <c r="A40">
        <f>timeseries!A40</f>
        <v>2058</v>
      </c>
      <c r="B40">
        <f>timeseries!B40</f>
        <v>38</v>
      </c>
      <c r="C40">
        <f>timeseries!D40-timeseries!D39</f>
        <v>0</v>
      </c>
      <c r="D40">
        <v>0</v>
      </c>
      <c r="E40">
        <f>timeseries!E40</f>
        <v>61892320</v>
      </c>
      <c r="F40">
        <f>timeseries!F40-timeseries!F39</f>
        <v>0</v>
      </c>
    </row>
    <row r="41" spans="1:6" x14ac:dyDescent="0.35">
      <c r="A41">
        <f>timeseries!A41</f>
        <v>2059</v>
      </c>
      <c r="B41">
        <f>timeseries!B41</f>
        <v>39</v>
      </c>
      <c r="C41">
        <f>timeseries!D41-timeseries!D40</f>
        <v>0</v>
      </c>
      <c r="D41">
        <v>0</v>
      </c>
      <c r="E41">
        <f>timeseries!E41</f>
        <v>61892320</v>
      </c>
      <c r="F41">
        <f>timeseries!F41-timeseries!F40</f>
        <v>0</v>
      </c>
    </row>
    <row r="42" spans="1:6" x14ac:dyDescent="0.35">
      <c r="A42">
        <f>timeseries!A42</f>
        <v>2060</v>
      </c>
      <c r="B42">
        <f>timeseries!B42</f>
        <v>40</v>
      </c>
      <c r="C42">
        <f>timeseries!D42-timeseries!D41</f>
        <v>0</v>
      </c>
      <c r="D42">
        <v>0</v>
      </c>
      <c r="E42">
        <f>timeseries!E42</f>
        <v>61892320</v>
      </c>
      <c r="F42">
        <f>timeseries!F42-timeseries!F41</f>
        <v>0</v>
      </c>
    </row>
    <row r="43" spans="1:6" x14ac:dyDescent="0.35">
      <c r="A43">
        <f>timeseries!A43</f>
        <v>2061</v>
      </c>
      <c r="B43">
        <f>timeseries!B43</f>
        <v>41</v>
      </c>
      <c r="C43">
        <f>timeseries!D43-timeseries!D42</f>
        <v>0</v>
      </c>
      <c r="D43">
        <v>0</v>
      </c>
      <c r="E43">
        <f>timeseries!E43</f>
        <v>61892320</v>
      </c>
      <c r="F43">
        <f>timeseries!F43-timeseries!F42</f>
        <v>0</v>
      </c>
    </row>
    <row r="44" spans="1:6" x14ac:dyDescent="0.35">
      <c r="A44">
        <f>timeseries!A44</f>
        <v>2062</v>
      </c>
      <c r="B44">
        <f>timeseries!B44</f>
        <v>42</v>
      </c>
      <c r="C44">
        <f>timeseries!D44-timeseries!D43</f>
        <v>0</v>
      </c>
      <c r="D44">
        <v>0</v>
      </c>
      <c r="E44">
        <f>timeseries!E44</f>
        <v>61892320</v>
      </c>
      <c r="F44">
        <f>timeseries!F44-timeseries!F43</f>
        <v>0</v>
      </c>
    </row>
    <row r="45" spans="1:6" x14ac:dyDescent="0.35">
      <c r="A45">
        <f>timeseries!A45</f>
        <v>2063</v>
      </c>
      <c r="B45">
        <f>timeseries!B45</f>
        <v>43</v>
      </c>
      <c r="C45">
        <f>timeseries!D45-timeseries!D44</f>
        <v>0</v>
      </c>
      <c r="D45">
        <v>0</v>
      </c>
      <c r="E45">
        <f>timeseries!E45</f>
        <v>61892320</v>
      </c>
      <c r="F45">
        <f>timeseries!F45-timeseries!F44</f>
        <v>0</v>
      </c>
    </row>
    <row r="46" spans="1:6" x14ac:dyDescent="0.35">
      <c r="A46">
        <f>timeseries!A46</f>
        <v>2064</v>
      </c>
      <c r="B46">
        <f>timeseries!B46</f>
        <v>44</v>
      </c>
      <c r="C46">
        <f>timeseries!D46-timeseries!D45</f>
        <v>0</v>
      </c>
      <c r="D46">
        <v>0</v>
      </c>
      <c r="E46">
        <f>timeseries!E46</f>
        <v>61892320</v>
      </c>
      <c r="F46">
        <f>timeseries!F46-timeseries!F45</f>
        <v>0</v>
      </c>
    </row>
    <row r="47" spans="1:6" x14ac:dyDescent="0.35">
      <c r="A47">
        <f>timeseries!A47</f>
        <v>2065</v>
      </c>
      <c r="B47">
        <f>timeseries!B47</f>
        <v>45</v>
      </c>
      <c r="C47">
        <f>timeseries!D47-timeseries!D46</f>
        <v>0</v>
      </c>
      <c r="D47">
        <v>0</v>
      </c>
      <c r="E47">
        <f>timeseries!E47</f>
        <v>61892320</v>
      </c>
      <c r="F47">
        <f>timeseries!F47-timeseries!F46</f>
        <v>0</v>
      </c>
    </row>
    <row r="48" spans="1:6" x14ac:dyDescent="0.35">
      <c r="A48">
        <f>timeseries!A48</f>
        <v>2066</v>
      </c>
      <c r="B48">
        <f>timeseries!B48</f>
        <v>46</v>
      </c>
      <c r="C48">
        <f>timeseries!D48-timeseries!D47</f>
        <v>0</v>
      </c>
      <c r="D48">
        <v>0</v>
      </c>
      <c r="E48">
        <f>timeseries!E48</f>
        <v>61892320</v>
      </c>
      <c r="F48">
        <f>timeseries!F48-timeseries!F47</f>
        <v>0</v>
      </c>
    </row>
    <row r="49" spans="1:6" x14ac:dyDescent="0.35">
      <c r="A49">
        <f>timeseries!A49</f>
        <v>2067</v>
      </c>
      <c r="B49">
        <f>timeseries!B49</f>
        <v>47</v>
      </c>
      <c r="C49">
        <f>timeseries!D49-timeseries!D48</f>
        <v>0</v>
      </c>
      <c r="D49">
        <v>0</v>
      </c>
      <c r="E49">
        <f>timeseries!E49</f>
        <v>61892320</v>
      </c>
      <c r="F49">
        <f>timeseries!F49-timeseries!F48</f>
        <v>0</v>
      </c>
    </row>
    <row r="50" spans="1:6" x14ac:dyDescent="0.35">
      <c r="A50">
        <f>timeseries!A50</f>
        <v>2068</v>
      </c>
      <c r="B50">
        <f>timeseries!B50</f>
        <v>48</v>
      </c>
      <c r="C50">
        <f>timeseries!D50-timeseries!D49</f>
        <v>0</v>
      </c>
      <c r="D50">
        <v>0</v>
      </c>
      <c r="E50">
        <f>timeseries!E50</f>
        <v>61892320</v>
      </c>
      <c r="F50">
        <f>timeseries!F50-timeseries!F49</f>
        <v>0</v>
      </c>
    </row>
    <row r="51" spans="1:6" x14ac:dyDescent="0.35">
      <c r="A51">
        <f>timeseries!A51</f>
        <v>2069</v>
      </c>
      <c r="B51">
        <f>timeseries!B51</f>
        <v>49</v>
      </c>
      <c r="C51">
        <f>timeseries!D51-timeseries!D50</f>
        <v>0</v>
      </c>
      <c r="D51">
        <v>0</v>
      </c>
      <c r="E51">
        <f>timeseries!E51</f>
        <v>61892320</v>
      </c>
      <c r="F51">
        <f>timeseries!F51-timeseries!F50</f>
        <v>0</v>
      </c>
    </row>
    <row r="52" spans="1:6" x14ac:dyDescent="0.35">
      <c r="A52">
        <f>timeseries!A52</f>
        <v>2070</v>
      </c>
      <c r="B52">
        <f>timeseries!B52</f>
        <v>50</v>
      </c>
      <c r="C52">
        <f>timeseries!D52-timeseries!D51</f>
        <v>0</v>
      </c>
      <c r="D52">
        <v>0</v>
      </c>
      <c r="E52">
        <f>timeseries!E52</f>
        <v>61892320</v>
      </c>
      <c r="F52">
        <f>timeseries!F52-timeseries!F51</f>
        <v>0</v>
      </c>
    </row>
    <row r="53" spans="1:6" x14ac:dyDescent="0.35">
      <c r="A53">
        <f>timeseries!A53</f>
        <v>2071</v>
      </c>
      <c r="B53">
        <f>timeseries!B53</f>
        <v>51</v>
      </c>
      <c r="C53">
        <f>timeseries!D53-timeseries!D52</f>
        <v>0</v>
      </c>
      <c r="D53">
        <v>0</v>
      </c>
      <c r="E53">
        <f>timeseries!E53</f>
        <v>61892320</v>
      </c>
      <c r="F53">
        <f>timeseries!F53-timeseries!F52</f>
        <v>0</v>
      </c>
    </row>
    <row r="54" spans="1:6" x14ac:dyDescent="0.35">
      <c r="A54">
        <f>timeseries!A54</f>
        <v>2072</v>
      </c>
      <c r="B54">
        <f>timeseries!B54</f>
        <v>52</v>
      </c>
      <c r="C54">
        <f>timeseries!D54-timeseries!D53</f>
        <v>0</v>
      </c>
      <c r="D54">
        <v>0</v>
      </c>
      <c r="E54">
        <f>timeseries!E54</f>
        <v>61892320</v>
      </c>
      <c r="F54">
        <f>timeseries!F54-timeseries!F53</f>
        <v>0</v>
      </c>
    </row>
    <row r="55" spans="1:6" x14ac:dyDescent="0.35">
      <c r="A55">
        <f>timeseries!A55</f>
        <v>2073</v>
      </c>
      <c r="B55">
        <f>timeseries!B55</f>
        <v>53</v>
      </c>
      <c r="C55">
        <f>timeseries!D55-timeseries!D54</f>
        <v>0</v>
      </c>
      <c r="D55">
        <v>0</v>
      </c>
      <c r="E55">
        <f>timeseries!E55</f>
        <v>61892320</v>
      </c>
      <c r="F55">
        <f>timeseries!F55-timeseries!F54</f>
        <v>0</v>
      </c>
    </row>
    <row r="56" spans="1:6" x14ac:dyDescent="0.35">
      <c r="A56">
        <f>timeseries!A56</f>
        <v>2074</v>
      </c>
      <c r="B56">
        <f>timeseries!B56</f>
        <v>54</v>
      </c>
      <c r="C56">
        <f>timeseries!D56-timeseries!D55</f>
        <v>0</v>
      </c>
      <c r="D56">
        <v>0</v>
      </c>
      <c r="E56">
        <f>timeseries!E56</f>
        <v>61892320</v>
      </c>
      <c r="F56">
        <f>timeseries!F56-timeseries!F55</f>
        <v>0</v>
      </c>
    </row>
    <row r="57" spans="1:6" x14ac:dyDescent="0.35">
      <c r="A57">
        <f>timeseries!A57</f>
        <v>2075</v>
      </c>
      <c r="B57">
        <f>timeseries!B57</f>
        <v>55</v>
      </c>
      <c r="C57">
        <f>timeseries!D57-timeseries!D56</f>
        <v>0</v>
      </c>
      <c r="D57">
        <v>0</v>
      </c>
      <c r="E57">
        <f>timeseries!E57</f>
        <v>61892320</v>
      </c>
      <c r="F57">
        <f>timeseries!F57-timeseries!F56</f>
        <v>0</v>
      </c>
    </row>
    <row r="58" spans="1:6" x14ac:dyDescent="0.35">
      <c r="A58">
        <f>timeseries!A58</f>
        <v>2076</v>
      </c>
      <c r="B58">
        <f>timeseries!B58</f>
        <v>56</v>
      </c>
      <c r="C58">
        <f>timeseries!D58-timeseries!D57</f>
        <v>0</v>
      </c>
      <c r="D58">
        <v>0</v>
      </c>
      <c r="E58">
        <f>timeseries!E58</f>
        <v>61892320</v>
      </c>
      <c r="F58">
        <f>timeseries!F58-timeseries!F57</f>
        <v>0</v>
      </c>
    </row>
    <row r="59" spans="1:6" x14ac:dyDescent="0.35">
      <c r="A59">
        <f>timeseries!A59</f>
        <v>2077</v>
      </c>
      <c r="B59">
        <f>timeseries!B59</f>
        <v>57</v>
      </c>
      <c r="C59">
        <f>timeseries!D59-timeseries!D58</f>
        <v>0</v>
      </c>
      <c r="D59">
        <v>0</v>
      </c>
      <c r="E59">
        <f>timeseries!E59</f>
        <v>61892320</v>
      </c>
      <c r="F59">
        <f>timeseries!F59-timeseries!F58</f>
        <v>0</v>
      </c>
    </row>
    <row r="60" spans="1:6" x14ac:dyDescent="0.35">
      <c r="A60">
        <f>timeseries!A60</f>
        <v>2078</v>
      </c>
      <c r="B60">
        <f>timeseries!B60</f>
        <v>58</v>
      </c>
      <c r="C60">
        <f>timeseries!D60-timeseries!D59</f>
        <v>0</v>
      </c>
      <c r="D60">
        <v>0</v>
      </c>
      <c r="E60">
        <f>timeseries!E60</f>
        <v>61892320</v>
      </c>
      <c r="F60">
        <f>timeseries!F60-timeseries!F59</f>
        <v>0</v>
      </c>
    </row>
    <row r="61" spans="1:6" x14ac:dyDescent="0.35">
      <c r="A61">
        <f>timeseries!A61</f>
        <v>2079</v>
      </c>
      <c r="B61">
        <f>timeseries!B61</f>
        <v>59</v>
      </c>
      <c r="C61">
        <f>timeseries!D61-timeseries!D60</f>
        <v>0</v>
      </c>
      <c r="D61">
        <v>0</v>
      </c>
      <c r="E61">
        <f>timeseries!E61</f>
        <v>61892320</v>
      </c>
      <c r="F61">
        <f>timeseries!F61-timeseries!F60</f>
        <v>0</v>
      </c>
    </row>
    <row r="62" spans="1:6" x14ac:dyDescent="0.35">
      <c r="A62">
        <f>timeseries!A62</f>
        <v>2080</v>
      </c>
      <c r="B62">
        <f>timeseries!B62</f>
        <v>60</v>
      </c>
      <c r="C62">
        <f>timeseries!D62-timeseries!D61</f>
        <v>0</v>
      </c>
      <c r="D62">
        <v>0</v>
      </c>
      <c r="E62">
        <f>timeseries!E62</f>
        <v>61892320</v>
      </c>
      <c r="F62">
        <f>timeseries!F62-timeseries!F61</f>
        <v>0</v>
      </c>
    </row>
    <row r="63" spans="1:6" x14ac:dyDescent="0.35">
      <c r="A63">
        <f>timeseries!A63</f>
        <v>2081</v>
      </c>
      <c r="B63">
        <f>timeseries!B63</f>
        <v>61</v>
      </c>
      <c r="C63">
        <f>timeseries!D63-timeseries!D62</f>
        <v>0</v>
      </c>
      <c r="D63">
        <v>0</v>
      </c>
      <c r="E63">
        <f>timeseries!E63</f>
        <v>61892320</v>
      </c>
      <c r="F63">
        <f>timeseries!F63-timeseries!F62</f>
        <v>0</v>
      </c>
    </row>
    <row r="64" spans="1:6" x14ac:dyDescent="0.35">
      <c r="A64">
        <f>timeseries!A64</f>
        <v>2082</v>
      </c>
      <c r="B64">
        <f>timeseries!B64</f>
        <v>62</v>
      </c>
      <c r="C64">
        <f>timeseries!D64-timeseries!D63</f>
        <v>0</v>
      </c>
      <c r="D64">
        <v>0</v>
      </c>
      <c r="E64">
        <f>timeseries!E64</f>
        <v>61892320</v>
      </c>
      <c r="F64">
        <f>timeseries!F64-timeseries!F63</f>
        <v>0</v>
      </c>
    </row>
    <row r="65" spans="1:6" x14ac:dyDescent="0.35">
      <c r="A65">
        <f>timeseries!A65</f>
        <v>2083</v>
      </c>
      <c r="B65">
        <f>timeseries!B65</f>
        <v>63</v>
      </c>
      <c r="C65">
        <f>timeseries!D65-timeseries!D64</f>
        <v>0</v>
      </c>
      <c r="D65">
        <v>0</v>
      </c>
      <c r="E65">
        <f>timeseries!E65</f>
        <v>61892320</v>
      </c>
      <c r="F65">
        <f>timeseries!F65-timeseries!F64</f>
        <v>0</v>
      </c>
    </row>
    <row r="66" spans="1:6" x14ac:dyDescent="0.35">
      <c r="A66">
        <f>timeseries!A66</f>
        <v>2084</v>
      </c>
      <c r="B66">
        <f>timeseries!B66</f>
        <v>64</v>
      </c>
      <c r="C66">
        <f>timeseries!D66-timeseries!D65</f>
        <v>0</v>
      </c>
      <c r="D66">
        <v>0</v>
      </c>
      <c r="E66">
        <f>timeseries!E66</f>
        <v>61892320</v>
      </c>
      <c r="F66">
        <f>timeseries!F66-timeseries!F65</f>
        <v>0</v>
      </c>
    </row>
    <row r="67" spans="1:6" x14ac:dyDescent="0.35">
      <c r="A67">
        <f>timeseries!A67</f>
        <v>2085</v>
      </c>
      <c r="B67">
        <f>timeseries!B67</f>
        <v>65</v>
      </c>
      <c r="C67">
        <f>timeseries!D67-timeseries!D66</f>
        <v>0</v>
      </c>
      <c r="D67">
        <v>0</v>
      </c>
      <c r="E67">
        <f>timeseries!E67</f>
        <v>61892320</v>
      </c>
      <c r="F67">
        <f>timeseries!F67-timeseries!F66</f>
        <v>0</v>
      </c>
    </row>
    <row r="68" spans="1:6" x14ac:dyDescent="0.35">
      <c r="A68">
        <f>timeseries!A68</f>
        <v>2086</v>
      </c>
      <c r="B68">
        <f>timeseries!B68</f>
        <v>66</v>
      </c>
      <c r="C68">
        <f>timeseries!D68-timeseries!D67</f>
        <v>0</v>
      </c>
      <c r="D68">
        <v>0</v>
      </c>
      <c r="E68">
        <f>timeseries!E68</f>
        <v>61892320</v>
      </c>
      <c r="F68">
        <f>timeseries!F68-timeseries!F67</f>
        <v>0</v>
      </c>
    </row>
    <row r="69" spans="1:6" x14ac:dyDescent="0.35">
      <c r="A69">
        <f>timeseries!A69</f>
        <v>2087</v>
      </c>
      <c r="B69">
        <f>timeseries!B69</f>
        <v>67</v>
      </c>
      <c r="C69">
        <f>timeseries!D69-timeseries!D68</f>
        <v>0</v>
      </c>
      <c r="D69">
        <v>0</v>
      </c>
      <c r="E69">
        <f>timeseries!E69</f>
        <v>61892320</v>
      </c>
      <c r="F69">
        <f>timeseries!F69-timeseries!F68</f>
        <v>0</v>
      </c>
    </row>
    <row r="70" spans="1:6" x14ac:dyDescent="0.35">
      <c r="A70">
        <f>timeseries!A70</f>
        <v>2088</v>
      </c>
      <c r="B70">
        <f>timeseries!B70</f>
        <v>68</v>
      </c>
      <c r="C70">
        <f>timeseries!D70-timeseries!D69</f>
        <v>0</v>
      </c>
      <c r="D70">
        <v>0</v>
      </c>
      <c r="E70">
        <f>timeseries!E70</f>
        <v>61892320</v>
      </c>
      <c r="F70">
        <f>timeseries!F70-timeseries!F69</f>
        <v>0</v>
      </c>
    </row>
    <row r="71" spans="1:6" x14ac:dyDescent="0.35">
      <c r="A71">
        <f>timeseries!A71</f>
        <v>2089</v>
      </c>
      <c r="B71">
        <f>timeseries!B71</f>
        <v>69</v>
      </c>
      <c r="C71">
        <f>timeseries!D71-timeseries!D70</f>
        <v>0</v>
      </c>
      <c r="D71">
        <v>0</v>
      </c>
      <c r="E71">
        <f>timeseries!E71</f>
        <v>61892320</v>
      </c>
      <c r="F71">
        <f>timeseries!F71-timeseries!F70</f>
        <v>0</v>
      </c>
    </row>
    <row r="72" spans="1:6" x14ac:dyDescent="0.35">
      <c r="A72">
        <f>timeseries!A72</f>
        <v>2090</v>
      </c>
      <c r="B72">
        <f>timeseries!B72</f>
        <v>70</v>
      </c>
      <c r="C72">
        <f>timeseries!D72-timeseries!D71</f>
        <v>0</v>
      </c>
      <c r="D72">
        <v>0</v>
      </c>
      <c r="E72">
        <f>timeseries!E72</f>
        <v>61892320</v>
      </c>
      <c r="F72">
        <f>timeseries!F72-timeseries!F71</f>
        <v>0</v>
      </c>
    </row>
    <row r="73" spans="1:6" x14ac:dyDescent="0.35">
      <c r="A73">
        <f>timeseries!A73</f>
        <v>2091</v>
      </c>
      <c r="B73">
        <f>timeseries!B73</f>
        <v>71</v>
      </c>
      <c r="C73">
        <f>timeseries!D73-timeseries!D72</f>
        <v>0</v>
      </c>
      <c r="D73">
        <v>0</v>
      </c>
      <c r="E73">
        <f>timeseries!E73</f>
        <v>61892320</v>
      </c>
      <c r="F73">
        <f>timeseries!F73-timeseries!F72</f>
        <v>0</v>
      </c>
    </row>
    <row r="74" spans="1:6" x14ac:dyDescent="0.35">
      <c r="A74">
        <f>timeseries!A74</f>
        <v>2092</v>
      </c>
      <c r="B74">
        <f>timeseries!B74</f>
        <v>72</v>
      </c>
      <c r="C74">
        <f>timeseries!D74-timeseries!D73</f>
        <v>0</v>
      </c>
      <c r="D74">
        <v>0</v>
      </c>
      <c r="E74">
        <f>timeseries!E74</f>
        <v>61892320</v>
      </c>
      <c r="F74">
        <f>timeseries!F74-timeseries!F73</f>
        <v>0</v>
      </c>
    </row>
    <row r="75" spans="1:6" x14ac:dyDescent="0.35">
      <c r="A75">
        <f>timeseries!A75</f>
        <v>2093</v>
      </c>
      <c r="B75">
        <f>timeseries!B75</f>
        <v>73</v>
      </c>
      <c r="C75">
        <f>timeseries!D75-timeseries!D74</f>
        <v>0</v>
      </c>
      <c r="D75">
        <v>0</v>
      </c>
      <c r="E75">
        <f>timeseries!E75</f>
        <v>61892320</v>
      </c>
      <c r="F75">
        <f>timeseries!F75-timeseries!F74</f>
        <v>0</v>
      </c>
    </row>
    <row r="76" spans="1:6" x14ac:dyDescent="0.35">
      <c r="A76">
        <f>timeseries!A76</f>
        <v>2094</v>
      </c>
      <c r="B76">
        <f>timeseries!B76</f>
        <v>74</v>
      </c>
      <c r="C76">
        <f>timeseries!D76-timeseries!D75</f>
        <v>0</v>
      </c>
      <c r="D76">
        <v>0</v>
      </c>
      <c r="E76">
        <f>timeseries!E76</f>
        <v>61892320</v>
      </c>
      <c r="F76">
        <f>timeseries!F76-timeseries!F75</f>
        <v>0</v>
      </c>
    </row>
    <row r="77" spans="1:6" x14ac:dyDescent="0.35">
      <c r="A77">
        <f>timeseries!A77</f>
        <v>2095</v>
      </c>
      <c r="B77">
        <f>timeseries!B77</f>
        <v>75</v>
      </c>
      <c r="C77">
        <f>timeseries!D77-timeseries!D76</f>
        <v>0</v>
      </c>
      <c r="D77">
        <v>0</v>
      </c>
      <c r="E77">
        <f>timeseries!E77</f>
        <v>61892320</v>
      </c>
      <c r="F77">
        <f>timeseries!F77-timeseries!F76</f>
        <v>0</v>
      </c>
    </row>
    <row r="78" spans="1:6" x14ac:dyDescent="0.35">
      <c r="A78">
        <f>timeseries!A78</f>
        <v>2096</v>
      </c>
      <c r="B78">
        <f>timeseries!B78</f>
        <v>76</v>
      </c>
      <c r="C78">
        <f>timeseries!D78-timeseries!D77</f>
        <v>0</v>
      </c>
      <c r="D78">
        <v>0</v>
      </c>
      <c r="E78">
        <f>timeseries!E78</f>
        <v>61892320</v>
      </c>
      <c r="F78">
        <f>timeseries!F78-timeseries!F77</f>
        <v>0</v>
      </c>
    </row>
    <row r="79" spans="1:6" x14ac:dyDescent="0.35">
      <c r="A79">
        <f>timeseries!A79</f>
        <v>2097</v>
      </c>
      <c r="B79">
        <f>timeseries!B79</f>
        <v>77</v>
      </c>
      <c r="C79">
        <f>timeseries!D79-timeseries!D78</f>
        <v>0</v>
      </c>
      <c r="D79">
        <v>0</v>
      </c>
      <c r="E79">
        <f>timeseries!E79</f>
        <v>61892320</v>
      </c>
      <c r="F79">
        <f>timeseries!F79-timeseries!F78</f>
        <v>0</v>
      </c>
    </row>
    <row r="80" spans="1:6" x14ac:dyDescent="0.35">
      <c r="A80">
        <f>timeseries!A80</f>
        <v>2098</v>
      </c>
      <c r="B80">
        <f>timeseries!B80</f>
        <v>78</v>
      </c>
      <c r="C80">
        <f>timeseries!D80-timeseries!D79</f>
        <v>0</v>
      </c>
      <c r="D80">
        <v>0</v>
      </c>
      <c r="E80">
        <f>timeseries!E80</f>
        <v>61892320</v>
      </c>
      <c r="F80">
        <f>timeseries!F80-timeseries!F79</f>
        <v>0</v>
      </c>
    </row>
    <row r="81" spans="1:6" x14ac:dyDescent="0.35">
      <c r="A81">
        <f>timeseries!A81</f>
        <v>2099</v>
      </c>
      <c r="B81">
        <f>timeseries!B81</f>
        <v>79</v>
      </c>
      <c r="C81">
        <f>timeseries!D81-timeseries!D80</f>
        <v>0</v>
      </c>
      <c r="D81">
        <v>0</v>
      </c>
      <c r="E81">
        <f>timeseries!E81</f>
        <v>61892320</v>
      </c>
      <c r="F81">
        <f>timeseries!F81-timeseries!F80</f>
        <v>0</v>
      </c>
    </row>
    <row r="82" spans="1:6" x14ac:dyDescent="0.35">
      <c r="A82">
        <f>timeseries!A82</f>
        <v>2100</v>
      </c>
      <c r="B82">
        <f>timeseries!B82</f>
        <v>80</v>
      </c>
      <c r="C82">
        <f>timeseries!D82-timeseries!D81</f>
        <v>0</v>
      </c>
      <c r="D82">
        <v>0</v>
      </c>
      <c r="E82">
        <f>timeseries!E82</f>
        <v>61892320</v>
      </c>
      <c r="F82">
        <f>timeseries!F82-timeseries!F81</f>
        <v>0</v>
      </c>
    </row>
    <row r="83" spans="1:6" x14ac:dyDescent="0.35">
      <c r="A83">
        <f>timeseries!A83</f>
        <v>2101</v>
      </c>
      <c r="B83">
        <f>timeseries!B83</f>
        <v>81</v>
      </c>
      <c r="C83">
        <f>timeseries!D83-timeseries!D82</f>
        <v>0</v>
      </c>
      <c r="D83">
        <v>0</v>
      </c>
      <c r="E83">
        <f>timeseries!E83</f>
        <v>61892320</v>
      </c>
      <c r="F83">
        <f>timeseries!F83-timeseries!F82</f>
        <v>0</v>
      </c>
    </row>
    <row r="84" spans="1:6" x14ac:dyDescent="0.35">
      <c r="A84">
        <f>timeseries!A84</f>
        <v>2102</v>
      </c>
      <c r="B84">
        <f>timeseries!B84</f>
        <v>82</v>
      </c>
      <c r="C84">
        <f>timeseries!D84-timeseries!D83</f>
        <v>0</v>
      </c>
      <c r="D84">
        <v>0</v>
      </c>
      <c r="E84">
        <f>timeseries!E84</f>
        <v>61892320</v>
      </c>
      <c r="F84">
        <f>timeseries!F84-timeseries!F83</f>
        <v>0</v>
      </c>
    </row>
    <row r="85" spans="1:6" x14ac:dyDescent="0.35">
      <c r="A85">
        <f>timeseries!A85</f>
        <v>2103</v>
      </c>
      <c r="B85">
        <f>timeseries!B85</f>
        <v>83</v>
      </c>
      <c r="C85">
        <f>timeseries!D85-timeseries!D84</f>
        <v>0</v>
      </c>
      <c r="D85">
        <v>0</v>
      </c>
      <c r="E85">
        <f>timeseries!E85</f>
        <v>61892320</v>
      </c>
      <c r="F85">
        <f>timeseries!F85-timeseries!F84</f>
        <v>0</v>
      </c>
    </row>
    <row r="86" spans="1:6" x14ac:dyDescent="0.35">
      <c r="A86">
        <f>timeseries!A86</f>
        <v>2104</v>
      </c>
      <c r="B86">
        <f>timeseries!B86</f>
        <v>84</v>
      </c>
      <c r="C86">
        <f>timeseries!D86-timeseries!D85</f>
        <v>0</v>
      </c>
      <c r="D86">
        <v>0</v>
      </c>
      <c r="E86">
        <f>timeseries!E86</f>
        <v>61892320</v>
      </c>
      <c r="F86">
        <f>timeseries!F86-timeseries!F85</f>
        <v>0</v>
      </c>
    </row>
    <row r="87" spans="1:6" x14ac:dyDescent="0.35">
      <c r="A87">
        <f>timeseries!A87</f>
        <v>2105</v>
      </c>
      <c r="B87">
        <f>timeseries!B87</f>
        <v>85</v>
      </c>
      <c r="C87">
        <f>timeseries!D87-timeseries!D86</f>
        <v>0</v>
      </c>
      <c r="D87">
        <v>0</v>
      </c>
      <c r="E87">
        <f>timeseries!E87</f>
        <v>61892320</v>
      </c>
      <c r="F87">
        <f>timeseries!F87-timeseries!F86</f>
        <v>0</v>
      </c>
    </row>
    <row r="88" spans="1:6" x14ac:dyDescent="0.35">
      <c r="A88">
        <f>timeseries!A88</f>
        <v>2106</v>
      </c>
      <c r="B88">
        <f>timeseries!B88</f>
        <v>86</v>
      </c>
      <c r="C88">
        <f>timeseries!D88-timeseries!D87</f>
        <v>0</v>
      </c>
      <c r="D88">
        <v>0</v>
      </c>
      <c r="E88">
        <f>timeseries!E88</f>
        <v>61892320</v>
      </c>
      <c r="F88">
        <f>timeseries!F88-timeseries!F87</f>
        <v>0</v>
      </c>
    </row>
    <row r="89" spans="1:6" x14ac:dyDescent="0.35">
      <c r="A89">
        <f>timeseries!A89</f>
        <v>2107</v>
      </c>
      <c r="B89">
        <f>timeseries!B89</f>
        <v>87</v>
      </c>
      <c r="C89">
        <f>timeseries!D89-timeseries!D88</f>
        <v>0</v>
      </c>
      <c r="D89">
        <v>0</v>
      </c>
      <c r="E89">
        <f>timeseries!E89</f>
        <v>61892320</v>
      </c>
      <c r="F89">
        <f>timeseries!F89-timeseries!F88</f>
        <v>0</v>
      </c>
    </row>
    <row r="90" spans="1:6" x14ac:dyDescent="0.35">
      <c r="A90">
        <f>timeseries!A90</f>
        <v>2108</v>
      </c>
      <c r="B90">
        <f>timeseries!B90</f>
        <v>88</v>
      </c>
      <c r="C90">
        <f>timeseries!D90-timeseries!D89</f>
        <v>0</v>
      </c>
      <c r="D90">
        <v>0</v>
      </c>
      <c r="E90">
        <f>timeseries!E90</f>
        <v>61892320</v>
      </c>
      <c r="F90">
        <f>timeseries!F90-timeseries!F89</f>
        <v>0</v>
      </c>
    </row>
    <row r="91" spans="1:6" x14ac:dyDescent="0.35">
      <c r="A91">
        <f>timeseries!A91</f>
        <v>2109</v>
      </c>
      <c r="B91">
        <f>timeseries!B91</f>
        <v>89</v>
      </c>
      <c r="C91">
        <f>timeseries!D91-timeseries!D90</f>
        <v>0</v>
      </c>
      <c r="D91">
        <v>0</v>
      </c>
      <c r="E91">
        <f>timeseries!E91</f>
        <v>61892320</v>
      </c>
      <c r="F91">
        <f>timeseries!F91-timeseries!F90</f>
        <v>0</v>
      </c>
    </row>
    <row r="92" spans="1:6" x14ac:dyDescent="0.35">
      <c r="A92">
        <f>timeseries!A92</f>
        <v>2110</v>
      </c>
      <c r="B92">
        <f>timeseries!B92</f>
        <v>90</v>
      </c>
      <c r="C92">
        <f>timeseries!D92-timeseries!D91</f>
        <v>0</v>
      </c>
      <c r="D92">
        <v>0</v>
      </c>
      <c r="E92">
        <f>timeseries!E92</f>
        <v>61892320</v>
      </c>
      <c r="F92">
        <f>timeseries!F92-timeseries!F91</f>
        <v>0</v>
      </c>
    </row>
    <row r="93" spans="1:6" x14ac:dyDescent="0.35">
      <c r="A93">
        <f>timeseries!A93</f>
        <v>2111</v>
      </c>
      <c r="B93">
        <f>timeseries!B93</f>
        <v>91</v>
      </c>
      <c r="C93">
        <f>timeseries!D93-timeseries!D92</f>
        <v>0</v>
      </c>
      <c r="D93">
        <v>0</v>
      </c>
      <c r="E93">
        <f>timeseries!E93</f>
        <v>61892320</v>
      </c>
      <c r="F93">
        <f>timeseries!F93-timeseries!F92</f>
        <v>0</v>
      </c>
    </row>
    <row r="94" spans="1:6" x14ac:dyDescent="0.35">
      <c r="A94">
        <f>timeseries!A94</f>
        <v>2112</v>
      </c>
      <c r="B94">
        <f>timeseries!B94</f>
        <v>92</v>
      </c>
      <c r="C94">
        <f>timeseries!D94-timeseries!D93</f>
        <v>0</v>
      </c>
      <c r="D94">
        <v>0</v>
      </c>
      <c r="E94">
        <f>timeseries!E94</f>
        <v>61892320</v>
      </c>
      <c r="F94">
        <f>timeseries!F94-timeseries!F93</f>
        <v>0</v>
      </c>
    </row>
    <row r="95" spans="1:6" x14ac:dyDescent="0.35">
      <c r="A95">
        <f>timeseries!A95</f>
        <v>2113</v>
      </c>
      <c r="B95">
        <f>timeseries!B95</f>
        <v>93</v>
      </c>
      <c r="C95">
        <f>timeseries!D95-timeseries!D94</f>
        <v>0</v>
      </c>
      <c r="D95">
        <v>0</v>
      </c>
      <c r="E95">
        <f>timeseries!E95</f>
        <v>61892320</v>
      </c>
      <c r="F95">
        <f>timeseries!F95-timeseries!F94</f>
        <v>0</v>
      </c>
    </row>
    <row r="96" spans="1:6" x14ac:dyDescent="0.35">
      <c r="A96">
        <f>timeseries!A96</f>
        <v>2114</v>
      </c>
      <c r="B96">
        <f>timeseries!B96</f>
        <v>94</v>
      </c>
      <c r="C96">
        <f>timeseries!D96-timeseries!D95</f>
        <v>0</v>
      </c>
      <c r="D96">
        <v>0</v>
      </c>
      <c r="E96">
        <f>timeseries!E96</f>
        <v>61892320</v>
      </c>
      <c r="F96">
        <f>timeseries!F96-timeseries!F95</f>
        <v>0</v>
      </c>
    </row>
    <row r="97" spans="1:6" x14ac:dyDescent="0.35">
      <c r="A97">
        <f>timeseries!A97</f>
        <v>2115</v>
      </c>
      <c r="B97">
        <f>timeseries!B97</f>
        <v>95</v>
      </c>
      <c r="C97">
        <f>timeseries!D97-timeseries!D96</f>
        <v>0</v>
      </c>
      <c r="D97">
        <v>0</v>
      </c>
      <c r="E97">
        <f>timeseries!E97</f>
        <v>61892320</v>
      </c>
      <c r="F97">
        <f>timeseries!F97-timeseries!F96</f>
        <v>0</v>
      </c>
    </row>
    <row r="98" spans="1:6" x14ac:dyDescent="0.35">
      <c r="A98">
        <f>timeseries!A98</f>
        <v>2116</v>
      </c>
      <c r="B98">
        <f>timeseries!B98</f>
        <v>96</v>
      </c>
      <c r="C98">
        <f>timeseries!D98-timeseries!D97</f>
        <v>0</v>
      </c>
      <c r="D98">
        <v>0</v>
      </c>
      <c r="E98">
        <f>timeseries!E98</f>
        <v>61892320</v>
      </c>
      <c r="F98">
        <f>timeseries!F98-timeseries!F97</f>
        <v>0</v>
      </c>
    </row>
    <row r="99" spans="1:6" x14ac:dyDescent="0.35">
      <c r="A99">
        <f>timeseries!A99</f>
        <v>2117</v>
      </c>
      <c r="B99">
        <f>timeseries!B99</f>
        <v>97</v>
      </c>
      <c r="C99">
        <f>timeseries!D99-timeseries!D98</f>
        <v>0</v>
      </c>
      <c r="D99">
        <v>0</v>
      </c>
      <c r="E99">
        <f>timeseries!E99</f>
        <v>61892320</v>
      </c>
      <c r="F99">
        <f>timeseries!F99-timeseries!F98</f>
        <v>0</v>
      </c>
    </row>
    <row r="100" spans="1:6" x14ac:dyDescent="0.35">
      <c r="A100">
        <f>timeseries!A100</f>
        <v>2118</v>
      </c>
      <c r="B100">
        <f>timeseries!B100</f>
        <v>98</v>
      </c>
      <c r="C100">
        <f>timeseries!D100-timeseries!D99</f>
        <v>0</v>
      </c>
      <c r="D100">
        <v>0</v>
      </c>
      <c r="E100">
        <f>timeseries!E100</f>
        <v>61892320</v>
      </c>
      <c r="F100">
        <f>timeseries!F100-timeseries!F99</f>
        <v>0</v>
      </c>
    </row>
    <row r="101" spans="1:6" x14ac:dyDescent="0.35">
      <c r="A101">
        <f>timeseries!A101</f>
        <v>2119</v>
      </c>
      <c r="B101">
        <f>timeseries!B101</f>
        <v>99</v>
      </c>
      <c r="C101">
        <f>timeseries!D101-timeseries!D100</f>
        <v>0</v>
      </c>
      <c r="D101">
        <v>0</v>
      </c>
      <c r="E101">
        <f>timeseries!E101</f>
        <v>61892320</v>
      </c>
      <c r="F101">
        <f>timeseries!F101-timeseries!F100</f>
        <v>0</v>
      </c>
    </row>
    <row r="102" spans="1:6" x14ac:dyDescent="0.35">
      <c r="A102">
        <f>timeseries!A102</f>
        <v>2120</v>
      </c>
      <c r="B102">
        <f>timeseries!B102</f>
        <v>100</v>
      </c>
      <c r="C102">
        <f>timeseries!D102-timeseries!D101</f>
        <v>0</v>
      </c>
      <c r="D102">
        <v>0</v>
      </c>
      <c r="E102">
        <f>timeseries!E102</f>
        <v>61892320</v>
      </c>
      <c r="F102">
        <f>timeseries!F102-timeseries!F101</f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2"/>
  <sheetViews>
    <sheetView workbookViewId="0">
      <selection activeCell="C6" sqref="C6"/>
    </sheetView>
  </sheetViews>
  <sheetFormatPr defaultRowHeight="14.5" x14ac:dyDescent="0.35"/>
  <cols>
    <col min="3" max="6" width="11.81640625" customWidth="1"/>
  </cols>
  <sheetData>
    <row r="1" spans="1:6" x14ac:dyDescent="0.35">
      <c r="A1" s="20" t="s">
        <v>40</v>
      </c>
      <c r="B1" s="20" t="s">
        <v>29</v>
      </c>
      <c r="C1" s="20" t="s">
        <v>105</v>
      </c>
      <c r="D1" s="20" t="s">
        <v>106</v>
      </c>
      <c r="E1" s="20" t="s">
        <v>107</v>
      </c>
      <c r="F1" s="20" t="s">
        <v>114</v>
      </c>
    </row>
    <row r="2" spans="1:6" x14ac:dyDescent="0.35">
      <c r="A2">
        <f>timeseries!A2</f>
        <v>2020</v>
      </c>
      <c r="B2">
        <f>timeseries!B2</f>
        <v>0</v>
      </c>
    </row>
    <row r="3" spans="1:6" x14ac:dyDescent="0.35">
      <c r="A3">
        <f>timeseries!A3</f>
        <v>2021</v>
      </c>
      <c r="B3">
        <f>timeseries!B3</f>
        <v>1</v>
      </c>
    </row>
    <row r="4" spans="1:6" x14ac:dyDescent="0.35">
      <c r="A4">
        <f>timeseries!A4</f>
        <v>2022</v>
      </c>
      <c r="B4">
        <f>timeseries!B4</f>
        <v>2</v>
      </c>
    </row>
    <row r="5" spans="1:6" x14ac:dyDescent="0.35">
      <c r="A5">
        <f>timeseries!A5</f>
        <v>2023</v>
      </c>
      <c r="B5">
        <f>timeseries!B5</f>
        <v>3</v>
      </c>
    </row>
    <row r="6" spans="1:6" x14ac:dyDescent="0.35">
      <c r="A6">
        <f>timeseries!A6</f>
        <v>2024</v>
      </c>
      <c r="B6">
        <f>timeseries!B6</f>
        <v>4</v>
      </c>
    </row>
    <row r="7" spans="1:6" x14ac:dyDescent="0.35">
      <c r="A7">
        <f>timeseries!A7</f>
        <v>2025</v>
      </c>
      <c r="B7">
        <f>timeseries!B7</f>
        <v>5</v>
      </c>
    </row>
    <row r="8" spans="1:6" x14ac:dyDescent="0.35">
      <c r="A8">
        <f>timeseries!A8</f>
        <v>2026</v>
      </c>
      <c r="B8">
        <f>timeseries!B8</f>
        <v>6</v>
      </c>
    </row>
    <row r="9" spans="1:6" x14ac:dyDescent="0.35">
      <c r="A9">
        <f>timeseries!A9</f>
        <v>2027</v>
      </c>
      <c r="B9">
        <f>timeseries!B9</f>
        <v>7</v>
      </c>
    </row>
    <row r="10" spans="1:6" x14ac:dyDescent="0.35">
      <c r="A10">
        <f>timeseries!A10</f>
        <v>2028</v>
      </c>
      <c r="B10">
        <f>timeseries!B10</f>
        <v>8</v>
      </c>
    </row>
    <row r="11" spans="1:6" x14ac:dyDescent="0.35">
      <c r="A11">
        <f>timeseries!A11</f>
        <v>2029</v>
      </c>
      <c r="B11">
        <f>timeseries!B11</f>
        <v>9</v>
      </c>
    </row>
    <row r="12" spans="1:6" x14ac:dyDescent="0.35">
      <c r="A12">
        <f>timeseries!A12</f>
        <v>2030</v>
      </c>
      <c r="B12">
        <f>timeseries!B12</f>
        <v>10</v>
      </c>
    </row>
    <row r="13" spans="1:6" x14ac:dyDescent="0.35">
      <c r="A13">
        <f>timeseries!A13</f>
        <v>2031</v>
      </c>
      <c r="B13">
        <f>timeseries!B13</f>
        <v>11</v>
      </c>
    </row>
    <row r="14" spans="1:6" x14ac:dyDescent="0.35">
      <c r="A14">
        <f>timeseries!A14</f>
        <v>2032</v>
      </c>
      <c r="B14">
        <f>timeseries!B14</f>
        <v>12</v>
      </c>
    </row>
    <row r="15" spans="1:6" x14ac:dyDescent="0.35">
      <c r="A15">
        <f>timeseries!A15</f>
        <v>2033</v>
      </c>
      <c r="B15">
        <f>timeseries!B15</f>
        <v>13</v>
      </c>
    </row>
    <row r="16" spans="1:6" x14ac:dyDescent="0.35">
      <c r="A16">
        <f>timeseries!A16</f>
        <v>2034</v>
      </c>
      <c r="B16">
        <f>timeseries!B16</f>
        <v>14</v>
      </c>
    </row>
    <row r="17" spans="1:2" x14ac:dyDescent="0.35">
      <c r="A17">
        <f>timeseries!A17</f>
        <v>2035</v>
      </c>
      <c r="B17">
        <f>timeseries!B17</f>
        <v>15</v>
      </c>
    </row>
    <row r="18" spans="1:2" x14ac:dyDescent="0.35">
      <c r="A18">
        <f>timeseries!A18</f>
        <v>2036</v>
      </c>
      <c r="B18">
        <f>timeseries!B18</f>
        <v>16</v>
      </c>
    </row>
    <row r="19" spans="1:2" x14ac:dyDescent="0.35">
      <c r="A19">
        <f>timeseries!A19</f>
        <v>2037</v>
      </c>
      <c r="B19">
        <f>timeseries!B19</f>
        <v>17</v>
      </c>
    </row>
    <row r="20" spans="1:2" x14ac:dyDescent="0.35">
      <c r="A20">
        <f>timeseries!A20</f>
        <v>2038</v>
      </c>
      <c r="B20">
        <f>timeseries!B20</f>
        <v>18</v>
      </c>
    </row>
    <row r="21" spans="1:2" x14ac:dyDescent="0.35">
      <c r="A21">
        <f>timeseries!A21</f>
        <v>2039</v>
      </c>
      <c r="B21">
        <f>timeseries!B21</f>
        <v>19</v>
      </c>
    </row>
    <row r="22" spans="1:2" x14ac:dyDescent="0.35">
      <c r="A22">
        <f>timeseries!A22</f>
        <v>2040</v>
      </c>
      <c r="B22">
        <f>timeseries!B22</f>
        <v>20</v>
      </c>
    </row>
    <row r="23" spans="1:2" x14ac:dyDescent="0.35">
      <c r="A23">
        <f>timeseries!A23</f>
        <v>2041</v>
      </c>
      <c r="B23">
        <f>timeseries!B23</f>
        <v>21</v>
      </c>
    </row>
    <row r="24" spans="1:2" x14ac:dyDescent="0.35">
      <c r="A24">
        <f>timeseries!A24</f>
        <v>2042</v>
      </c>
      <c r="B24">
        <f>timeseries!B24</f>
        <v>22</v>
      </c>
    </row>
    <row r="25" spans="1:2" x14ac:dyDescent="0.35">
      <c r="A25">
        <f>timeseries!A25</f>
        <v>2043</v>
      </c>
      <c r="B25">
        <f>timeseries!B25</f>
        <v>23</v>
      </c>
    </row>
    <row r="26" spans="1:2" x14ac:dyDescent="0.35">
      <c r="A26">
        <f>timeseries!A26</f>
        <v>2044</v>
      </c>
      <c r="B26">
        <f>timeseries!B26</f>
        <v>24</v>
      </c>
    </row>
    <row r="27" spans="1:2" x14ac:dyDescent="0.35">
      <c r="A27">
        <f>timeseries!A27</f>
        <v>2045</v>
      </c>
      <c r="B27">
        <f>timeseries!B27</f>
        <v>25</v>
      </c>
    </row>
    <row r="28" spans="1:2" x14ac:dyDescent="0.35">
      <c r="A28">
        <f>timeseries!A28</f>
        <v>2046</v>
      </c>
      <c r="B28">
        <f>timeseries!B28</f>
        <v>26</v>
      </c>
    </row>
    <row r="29" spans="1:2" x14ac:dyDescent="0.35">
      <c r="A29">
        <f>timeseries!A29</f>
        <v>2047</v>
      </c>
      <c r="B29">
        <f>timeseries!B29</f>
        <v>27</v>
      </c>
    </row>
    <row r="30" spans="1:2" x14ac:dyDescent="0.35">
      <c r="A30">
        <f>timeseries!A30</f>
        <v>2048</v>
      </c>
      <c r="B30">
        <f>timeseries!B30</f>
        <v>28</v>
      </c>
    </row>
    <row r="31" spans="1:2" x14ac:dyDescent="0.35">
      <c r="A31">
        <f>timeseries!A31</f>
        <v>2049</v>
      </c>
      <c r="B31">
        <f>timeseries!B31</f>
        <v>29</v>
      </c>
    </row>
    <row r="32" spans="1:2" x14ac:dyDescent="0.35">
      <c r="A32">
        <f>timeseries!A32</f>
        <v>2050</v>
      </c>
      <c r="B32">
        <f>timeseries!B32</f>
        <v>30</v>
      </c>
    </row>
    <row r="33" spans="1:2" x14ac:dyDescent="0.35">
      <c r="A33">
        <f>timeseries!A33</f>
        <v>2051</v>
      </c>
      <c r="B33">
        <f>timeseries!B33</f>
        <v>31</v>
      </c>
    </row>
    <row r="34" spans="1:2" x14ac:dyDescent="0.35">
      <c r="A34">
        <f>timeseries!A34</f>
        <v>2052</v>
      </c>
      <c r="B34">
        <f>timeseries!B34</f>
        <v>32</v>
      </c>
    </row>
    <row r="35" spans="1:2" x14ac:dyDescent="0.35">
      <c r="A35">
        <f>timeseries!A35</f>
        <v>2053</v>
      </c>
      <c r="B35">
        <f>timeseries!B35</f>
        <v>33</v>
      </c>
    </row>
    <row r="36" spans="1:2" x14ac:dyDescent="0.35">
      <c r="A36">
        <f>timeseries!A36</f>
        <v>2054</v>
      </c>
      <c r="B36">
        <f>timeseries!B36</f>
        <v>34</v>
      </c>
    </row>
    <row r="37" spans="1:2" x14ac:dyDescent="0.35">
      <c r="A37">
        <f>timeseries!A37</f>
        <v>2055</v>
      </c>
      <c r="B37">
        <f>timeseries!B37</f>
        <v>35</v>
      </c>
    </row>
    <row r="38" spans="1:2" x14ac:dyDescent="0.35">
      <c r="A38">
        <f>timeseries!A38</f>
        <v>2056</v>
      </c>
      <c r="B38">
        <f>timeseries!B38</f>
        <v>36</v>
      </c>
    </row>
    <row r="39" spans="1:2" x14ac:dyDescent="0.35">
      <c r="A39">
        <f>timeseries!A39</f>
        <v>2057</v>
      </c>
      <c r="B39">
        <f>timeseries!B39</f>
        <v>37</v>
      </c>
    </row>
    <row r="40" spans="1:2" x14ac:dyDescent="0.35">
      <c r="A40">
        <f>timeseries!A40</f>
        <v>2058</v>
      </c>
      <c r="B40">
        <f>timeseries!B40</f>
        <v>38</v>
      </c>
    </row>
    <row r="41" spans="1:2" x14ac:dyDescent="0.35">
      <c r="A41">
        <f>timeseries!A41</f>
        <v>2059</v>
      </c>
      <c r="B41">
        <f>timeseries!B41</f>
        <v>39</v>
      </c>
    </row>
    <row r="42" spans="1:2" x14ac:dyDescent="0.35">
      <c r="A42">
        <f>timeseries!A42</f>
        <v>2060</v>
      </c>
      <c r="B42">
        <f>timeseries!B42</f>
        <v>40</v>
      </c>
    </row>
    <row r="43" spans="1:2" x14ac:dyDescent="0.35">
      <c r="A43">
        <f>timeseries!A43</f>
        <v>2061</v>
      </c>
      <c r="B43">
        <f>timeseries!B43</f>
        <v>41</v>
      </c>
    </row>
    <row r="44" spans="1:2" x14ac:dyDescent="0.35">
      <c r="A44">
        <f>timeseries!A44</f>
        <v>2062</v>
      </c>
      <c r="B44">
        <f>timeseries!B44</f>
        <v>42</v>
      </c>
    </row>
    <row r="45" spans="1:2" x14ac:dyDescent="0.35">
      <c r="A45">
        <f>timeseries!A45</f>
        <v>2063</v>
      </c>
      <c r="B45">
        <f>timeseries!B45</f>
        <v>43</v>
      </c>
    </row>
    <row r="46" spans="1:2" x14ac:dyDescent="0.35">
      <c r="A46">
        <f>timeseries!A46</f>
        <v>2064</v>
      </c>
      <c r="B46">
        <f>timeseries!B46</f>
        <v>44</v>
      </c>
    </row>
    <row r="47" spans="1:2" x14ac:dyDescent="0.35">
      <c r="A47">
        <f>timeseries!A47</f>
        <v>2065</v>
      </c>
      <c r="B47">
        <f>timeseries!B47</f>
        <v>45</v>
      </c>
    </row>
    <row r="48" spans="1:2" x14ac:dyDescent="0.35">
      <c r="A48">
        <f>timeseries!A48</f>
        <v>2066</v>
      </c>
      <c r="B48">
        <f>timeseries!B48</f>
        <v>46</v>
      </c>
    </row>
    <row r="49" spans="1:2" x14ac:dyDescent="0.35">
      <c r="A49">
        <f>timeseries!A49</f>
        <v>2067</v>
      </c>
      <c r="B49">
        <f>timeseries!B49</f>
        <v>47</v>
      </c>
    </row>
    <row r="50" spans="1:2" x14ac:dyDescent="0.35">
      <c r="A50">
        <f>timeseries!A50</f>
        <v>2068</v>
      </c>
      <c r="B50">
        <f>timeseries!B50</f>
        <v>48</v>
      </c>
    </row>
    <row r="51" spans="1:2" x14ac:dyDescent="0.35">
      <c r="A51">
        <f>timeseries!A51</f>
        <v>2069</v>
      </c>
      <c r="B51">
        <f>timeseries!B51</f>
        <v>49</v>
      </c>
    </row>
    <row r="52" spans="1:2" x14ac:dyDescent="0.35">
      <c r="A52">
        <f>timeseries!A52</f>
        <v>2070</v>
      </c>
      <c r="B52">
        <f>timeseries!B52</f>
        <v>50</v>
      </c>
    </row>
    <row r="53" spans="1:2" x14ac:dyDescent="0.35">
      <c r="A53">
        <f>timeseries!A53</f>
        <v>2071</v>
      </c>
      <c r="B53">
        <f>timeseries!B53</f>
        <v>51</v>
      </c>
    </row>
    <row r="54" spans="1:2" x14ac:dyDescent="0.35">
      <c r="A54">
        <f>timeseries!A54</f>
        <v>2072</v>
      </c>
      <c r="B54">
        <f>timeseries!B54</f>
        <v>52</v>
      </c>
    </row>
    <row r="55" spans="1:2" x14ac:dyDescent="0.35">
      <c r="A55">
        <f>timeseries!A55</f>
        <v>2073</v>
      </c>
      <c r="B55">
        <f>timeseries!B55</f>
        <v>53</v>
      </c>
    </row>
    <row r="56" spans="1:2" x14ac:dyDescent="0.35">
      <c r="A56">
        <f>timeseries!A56</f>
        <v>2074</v>
      </c>
      <c r="B56">
        <f>timeseries!B56</f>
        <v>54</v>
      </c>
    </row>
    <row r="57" spans="1:2" x14ac:dyDescent="0.35">
      <c r="A57">
        <f>timeseries!A57</f>
        <v>2075</v>
      </c>
      <c r="B57">
        <f>timeseries!B57</f>
        <v>55</v>
      </c>
    </row>
    <row r="58" spans="1:2" x14ac:dyDescent="0.35">
      <c r="A58">
        <f>timeseries!A58</f>
        <v>2076</v>
      </c>
      <c r="B58">
        <f>timeseries!B58</f>
        <v>56</v>
      </c>
    </row>
    <row r="59" spans="1:2" x14ac:dyDescent="0.35">
      <c r="A59">
        <f>timeseries!A59</f>
        <v>2077</v>
      </c>
      <c r="B59">
        <f>timeseries!B59</f>
        <v>57</v>
      </c>
    </row>
    <row r="60" spans="1:2" x14ac:dyDescent="0.35">
      <c r="A60">
        <f>timeseries!A60</f>
        <v>2078</v>
      </c>
      <c r="B60">
        <f>timeseries!B60</f>
        <v>58</v>
      </c>
    </row>
    <row r="61" spans="1:2" x14ac:dyDescent="0.35">
      <c r="A61">
        <f>timeseries!A61</f>
        <v>2079</v>
      </c>
      <c r="B61">
        <f>timeseries!B61</f>
        <v>59</v>
      </c>
    </row>
    <row r="62" spans="1:2" x14ac:dyDescent="0.35">
      <c r="A62">
        <f>timeseries!A62</f>
        <v>2080</v>
      </c>
      <c r="B62">
        <f>timeseries!B62</f>
        <v>60</v>
      </c>
    </row>
    <row r="63" spans="1:2" x14ac:dyDescent="0.35">
      <c r="A63">
        <f>timeseries!A63</f>
        <v>2081</v>
      </c>
      <c r="B63">
        <f>timeseries!B63</f>
        <v>61</v>
      </c>
    </row>
    <row r="64" spans="1:2" x14ac:dyDescent="0.35">
      <c r="A64">
        <f>timeseries!A64</f>
        <v>2082</v>
      </c>
      <c r="B64">
        <f>timeseries!B64</f>
        <v>62</v>
      </c>
    </row>
    <row r="65" spans="1:2" x14ac:dyDescent="0.35">
      <c r="A65">
        <f>timeseries!A65</f>
        <v>2083</v>
      </c>
      <c r="B65">
        <f>timeseries!B65</f>
        <v>63</v>
      </c>
    </row>
    <row r="66" spans="1:2" x14ac:dyDescent="0.35">
      <c r="A66">
        <f>timeseries!A66</f>
        <v>2084</v>
      </c>
      <c r="B66">
        <f>timeseries!B66</f>
        <v>64</v>
      </c>
    </row>
    <row r="67" spans="1:2" x14ac:dyDescent="0.35">
      <c r="A67">
        <f>timeseries!A67</f>
        <v>2085</v>
      </c>
      <c r="B67">
        <f>timeseries!B67</f>
        <v>65</v>
      </c>
    </row>
    <row r="68" spans="1:2" x14ac:dyDescent="0.35">
      <c r="A68">
        <f>timeseries!A68</f>
        <v>2086</v>
      </c>
      <c r="B68">
        <f>timeseries!B68</f>
        <v>66</v>
      </c>
    </row>
    <row r="69" spans="1:2" x14ac:dyDescent="0.35">
      <c r="A69">
        <f>timeseries!A69</f>
        <v>2087</v>
      </c>
      <c r="B69">
        <f>timeseries!B69</f>
        <v>67</v>
      </c>
    </row>
    <row r="70" spans="1:2" x14ac:dyDescent="0.35">
      <c r="A70">
        <f>timeseries!A70</f>
        <v>2088</v>
      </c>
      <c r="B70">
        <f>timeseries!B70</f>
        <v>68</v>
      </c>
    </row>
    <row r="71" spans="1:2" x14ac:dyDescent="0.35">
      <c r="A71">
        <f>timeseries!A71</f>
        <v>2089</v>
      </c>
      <c r="B71">
        <f>timeseries!B71</f>
        <v>69</v>
      </c>
    </row>
    <row r="72" spans="1:2" x14ac:dyDescent="0.35">
      <c r="A72">
        <f>timeseries!A72</f>
        <v>2090</v>
      </c>
      <c r="B72">
        <f>timeseries!B72</f>
        <v>70</v>
      </c>
    </row>
    <row r="73" spans="1:2" x14ac:dyDescent="0.35">
      <c r="A73">
        <f>timeseries!A73</f>
        <v>2091</v>
      </c>
      <c r="B73">
        <f>timeseries!B73</f>
        <v>71</v>
      </c>
    </row>
    <row r="74" spans="1:2" x14ac:dyDescent="0.35">
      <c r="A74">
        <f>timeseries!A74</f>
        <v>2092</v>
      </c>
      <c r="B74">
        <f>timeseries!B74</f>
        <v>72</v>
      </c>
    </row>
    <row r="75" spans="1:2" x14ac:dyDescent="0.35">
      <c r="A75">
        <f>timeseries!A75</f>
        <v>2093</v>
      </c>
      <c r="B75">
        <f>timeseries!B75</f>
        <v>73</v>
      </c>
    </row>
    <row r="76" spans="1:2" x14ac:dyDescent="0.35">
      <c r="A76">
        <f>timeseries!A76</f>
        <v>2094</v>
      </c>
      <c r="B76">
        <f>timeseries!B76</f>
        <v>74</v>
      </c>
    </row>
    <row r="77" spans="1:2" x14ac:dyDescent="0.35">
      <c r="A77">
        <f>timeseries!A77</f>
        <v>2095</v>
      </c>
      <c r="B77">
        <f>timeseries!B77</f>
        <v>75</v>
      </c>
    </row>
    <row r="78" spans="1:2" x14ac:dyDescent="0.35">
      <c r="A78">
        <f>timeseries!A78</f>
        <v>2096</v>
      </c>
      <c r="B78">
        <f>timeseries!B78</f>
        <v>76</v>
      </c>
    </row>
    <row r="79" spans="1:2" x14ac:dyDescent="0.35">
      <c r="A79">
        <f>timeseries!A79</f>
        <v>2097</v>
      </c>
      <c r="B79">
        <f>timeseries!B79</f>
        <v>77</v>
      </c>
    </row>
    <row r="80" spans="1:2" x14ac:dyDescent="0.35">
      <c r="A80">
        <f>timeseries!A80</f>
        <v>2098</v>
      </c>
      <c r="B80">
        <f>timeseries!B80</f>
        <v>78</v>
      </c>
    </row>
    <row r="81" spans="1:2" x14ac:dyDescent="0.35">
      <c r="A81">
        <f>timeseries!A81</f>
        <v>2099</v>
      </c>
      <c r="B81">
        <f>timeseries!B81</f>
        <v>79</v>
      </c>
    </row>
    <row r="82" spans="1:2" x14ac:dyDescent="0.35">
      <c r="A82">
        <f>timeseries!A82</f>
        <v>2100</v>
      </c>
      <c r="B82">
        <f>timeseries!B82</f>
        <v>80</v>
      </c>
    </row>
    <row r="83" spans="1:2" x14ac:dyDescent="0.35">
      <c r="A83">
        <f>timeseries!A83</f>
        <v>2101</v>
      </c>
      <c r="B83">
        <f>timeseries!B83</f>
        <v>81</v>
      </c>
    </row>
    <row r="84" spans="1:2" x14ac:dyDescent="0.35">
      <c r="A84">
        <f>timeseries!A84</f>
        <v>2102</v>
      </c>
      <c r="B84">
        <f>timeseries!B84</f>
        <v>82</v>
      </c>
    </row>
    <row r="85" spans="1:2" x14ac:dyDescent="0.35">
      <c r="A85">
        <f>timeseries!A85</f>
        <v>2103</v>
      </c>
      <c r="B85">
        <f>timeseries!B85</f>
        <v>83</v>
      </c>
    </row>
    <row r="86" spans="1:2" x14ac:dyDescent="0.35">
      <c r="A86">
        <f>timeseries!A86</f>
        <v>2104</v>
      </c>
      <c r="B86">
        <f>timeseries!B86</f>
        <v>84</v>
      </c>
    </row>
    <row r="87" spans="1:2" x14ac:dyDescent="0.35">
      <c r="A87">
        <f>timeseries!A87</f>
        <v>2105</v>
      </c>
      <c r="B87">
        <f>timeseries!B87</f>
        <v>85</v>
      </c>
    </row>
    <row r="88" spans="1:2" x14ac:dyDescent="0.35">
      <c r="A88">
        <f>timeseries!A88</f>
        <v>2106</v>
      </c>
      <c r="B88">
        <f>timeseries!B88</f>
        <v>86</v>
      </c>
    </row>
    <row r="89" spans="1:2" x14ac:dyDescent="0.35">
      <c r="A89">
        <f>timeseries!A89</f>
        <v>2107</v>
      </c>
      <c r="B89">
        <f>timeseries!B89</f>
        <v>87</v>
      </c>
    </row>
    <row r="90" spans="1:2" x14ac:dyDescent="0.35">
      <c r="A90">
        <f>timeseries!A90</f>
        <v>2108</v>
      </c>
      <c r="B90">
        <f>timeseries!B90</f>
        <v>88</v>
      </c>
    </row>
    <row r="91" spans="1:2" x14ac:dyDescent="0.35">
      <c r="A91">
        <f>timeseries!A91</f>
        <v>2109</v>
      </c>
      <c r="B91">
        <f>timeseries!B91</f>
        <v>89</v>
      </c>
    </row>
    <row r="92" spans="1:2" x14ac:dyDescent="0.35">
      <c r="A92">
        <f>timeseries!A92</f>
        <v>2110</v>
      </c>
      <c r="B92">
        <f>timeseries!B92</f>
        <v>90</v>
      </c>
    </row>
    <row r="93" spans="1:2" x14ac:dyDescent="0.35">
      <c r="A93">
        <f>timeseries!A93</f>
        <v>2111</v>
      </c>
      <c r="B93">
        <f>timeseries!B93</f>
        <v>91</v>
      </c>
    </row>
    <row r="94" spans="1:2" x14ac:dyDescent="0.35">
      <c r="A94">
        <f>timeseries!A94</f>
        <v>2112</v>
      </c>
      <c r="B94">
        <f>timeseries!B94</f>
        <v>92</v>
      </c>
    </row>
    <row r="95" spans="1:2" x14ac:dyDescent="0.35">
      <c r="A95">
        <f>timeseries!A95</f>
        <v>2113</v>
      </c>
      <c r="B95">
        <f>timeseries!B95</f>
        <v>93</v>
      </c>
    </row>
    <row r="96" spans="1:2" x14ac:dyDescent="0.35">
      <c r="A96">
        <f>timeseries!A96</f>
        <v>2114</v>
      </c>
      <c r="B96">
        <f>timeseries!B96</f>
        <v>94</v>
      </c>
    </row>
    <row r="97" spans="1:2" x14ac:dyDescent="0.35">
      <c r="A97">
        <f>timeseries!A97</f>
        <v>2115</v>
      </c>
      <c r="B97">
        <f>timeseries!B97</f>
        <v>95</v>
      </c>
    </row>
    <row r="98" spans="1:2" x14ac:dyDescent="0.35">
      <c r="A98">
        <f>timeseries!A98</f>
        <v>2116</v>
      </c>
      <c r="B98">
        <f>timeseries!B98</f>
        <v>96</v>
      </c>
    </row>
    <row r="99" spans="1:2" x14ac:dyDescent="0.35">
      <c r="A99">
        <f>timeseries!A99</f>
        <v>2117</v>
      </c>
      <c r="B99">
        <f>timeseries!B99</f>
        <v>97</v>
      </c>
    </row>
    <row r="100" spans="1:2" x14ac:dyDescent="0.35">
      <c r="A100">
        <f>timeseries!A100</f>
        <v>2118</v>
      </c>
      <c r="B100">
        <f>timeseries!B100</f>
        <v>98</v>
      </c>
    </row>
    <row r="101" spans="1:2" x14ac:dyDescent="0.35">
      <c r="A101">
        <f>timeseries!A101</f>
        <v>2119</v>
      </c>
      <c r="B101">
        <f>timeseries!B101</f>
        <v>99</v>
      </c>
    </row>
    <row r="102" spans="1:2" x14ac:dyDescent="0.35">
      <c r="A102">
        <f>timeseries!A102</f>
        <v>2120</v>
      </c>
      <c r="B102">
        <f>timeseries!B102</f>
        <v>100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2"/>
  <sheetViews>
    <sheetView workbookViewId="0">
      <selection activeCell="C2" sqref="C2"/>
    </sheetView>
  </sheetViews>
  <sheetFormatPr defaultRowHeight="14.5" x14ac:dyDescent="0.35"/>
  <cols>
    <col min="3" max="6" width="13.08984375" customWidth="1"/>
  </cols>
  <sheetData>
    <row r="1" spans="1:6" x14ac:dyDescent="0.35">
      <c r="A1" s="20" t="s">
        <v>40</v>
      </c>
      <c r="B1" s="20" t="s">
        <v>29</v>
      </c>
      <c r="C1" s="20" t="s">
        <v>105</v>
      </c>
      <c r="D1" s="20" t="s">
        <v>106</v>
      </c>
      <c r="E1" s="20" t="s">
        <v>107</v>
      </c>
      <c r="F1" s="20" t="s">
        <v>114</v>
      </c>
    </row>
    <row r="2" spans="1:6" x14ac:dyDescent="0.35">
      <c r="A2">
        <f>timeseries!A2</f>
        <v>2020</v>
      </c>
      <c r="B2">
        <f>timeseries!B2</f>
        <v>0</v>
      </c>
    </row>
    <row r="3" spans="1:6" x14ac:dyDescent="0.35">
      <c r="A3">
        <f>timeseries!A3</f>
        <v>2021</v>
      </c>
      <c r="B3">
        <f>timeseries!B3</f>
        <v>1</v>
      </c>
    </row>
    <row r="4" spans="1:6" x14ac:dyDescent="0.35">
      <c r="A4">
        <f>timeseries!A4</f>
        <v>2022</v>
      </c>
      <c r="B4">
        <f>timeseries!B4</f>
        <v>2</v>
      </c>
    </row>
    <row r="5" spans="1:6" x14ac:dyDescent="0.35">
      <c r="A5">
        <f>timeseries!A5</f>
        <v>2023</v>
      </c>
      <c r="B5">
        <f>timeseries!B5</f>
        <v>3</v>
      </c>
    </row>
    <row r="6" spans="1:6" x14ac:dyDescent="0.35">
      <c r="A6">
        <f>timeseries!A6</f>
        <v>2024</v>
      </c>
      <c r="B6">
        <f>timeseries!B6</f>
        <v>4</v>
      </c>
    </row>
    <row r="7" spans="1:6" x14ac:dyDescent="0.35">
      <c r="A7">
        <f>timeseries!A7</f>
        <v>2025</v>
      </c>
      <c r="B7">
        <f>timeseries!B7</f>
        <v>5</v>
      </c>
    </row>
    <row r="8" spans="1:6" x14ac:dyDescent="0.35">
      <c r="A8">
        <f>timeseries!A8</f>
        <v>2026</v>
      </c>
      <c r="B8">
        <f>timeseries!B8</f>
        <v>6</v>
      </c>
    </row>
    <row r="9" spans="1:6" x14ac:dyDescent="0.35">
      <c r="A9">
        <f>timeseries!A9</f>
        <v>2027</v>
      </c>
      <c r="B9">
        <f>timeseries!B9</f>
        <v>7</v>
      </c>
    </row>
    <row r="10" spans="1:6" x14ac:dyDescent="0.35">
      <c r="A10">
        <f>timeseries!A10</f>
        <v>2028</v>
      </c>
      <c r="B10">
        <f>timeseries!B10</f>
        <v>8</v>
      </c>
    </row>
    <row r="11" spans="1:6" x14ac:dyDescent="0.35">
      <c r="A11">
        <f>timeseries!A11</f>
        <v>2029</v>
      </c>
      <c r="B11">
        <f>timeseries!B11</f>
        <v>9</v>
      </c>
    </row>
    <row r="12" spans="1:6" x14ac:dyDescent="0.35">
      <c r="A12">
        <f>timeseries!A12</f>
        <v>2030</v>
      </c>
      <c r="B12">
        <f>timeseries!B12</f>
        <v>10</v>
      </c>
    </row>
    <row r="13" spans="1:6" x14ac:dyDescent="0.35">
      <c r="A13">
        <f>timeseries!A13</f>
        <v>2031</v>
      </c>
      <c r="B13">
        <f>timeseries!B13</f>
        <v>11</v>
      </c>
    </row>
    <row r="14" spans="1:6" x14ac:dyDescent="0.35">
      <c r="A14">
        <f>timeseries!A14</f>
        <v>2032</v>
      </c>
      <c r="B14">
        <f>timeseries!B14</f>
        <v>12</v>
      </c>
    </row>
    <row r="15" spans="1:6" x14ac:dyDescent="0.35">
      <c r="A15">
        <f>timeseries!A15</f>
        <v>2033</v>
      </c>
      <c r="B15">
        <f>timeseries!B15</f>
        <v>13</v>
      </c>
    </row>
    <row r="16" spans="1:6" x14ac:dyDescent="0.35">
      <c r="A16">
        <f>timeseries!A16</f>
        <v>2034</v>
      </c>
      <c r="B16">
        <f>timeseries!B16</f>
        <v>14</v>
      </c>
    </row>
    <row r="17" spans="1:2" x14ac:dyDescent="0.35">
      <c r="A17">
        <f>timeseries!A17</f>
        <v>2035</v>
      </c>
      <c r="B17">
        <f>timeseries!B17</f>
        <v>15</v>
      </c>
    </row>
    <row r="18" spans="1:2" x14ac:dyDescent="0.35">
      <c r="A18">
        <f>timeseries!A18</f>
        <v>2036</v>
      </c>
      <c r="B18">
        <f>timeseries!B18</f>
        <v>16</v>
      </c>
    </row>
    <row r="19" spans="1:2" x14ac:dyDescent="0.35">
      <c r="A19">
        <f>timeseries!A19</f>
        <v>2037</v>
      </c>
      <c r="B19">
        <f>timeseries!B19</f>
        <v>17</v>
      </c>
    </row>
    <row r="20" spans="1:2" x14ac:dyDescent="0.35">
      <c r="A20">
        <f>timeseries!A20</f>
        <v>2038</v>
      </c>
      <c r="B20">
        <f>timeseries!B20</f>
        <v>18</v>
      </c>
    </row>
    <row r="21" spans="1:2" x14ac:dyDescent="0.35">
      <c r="A21">
        <f>timeseries!A21</f>
        <v>2039</v>
      </c>
      <c r="B21">
        <f>timeseries!B21</f>
        <v>19</v>
      </c>
    </row>
    <row r="22" spans="1:2" x14ac:dyDescent="0.35">
      <c r="A22">
        <f>timeseries!A22</f>
        <v>2040</v>
      </c>
      <c r="B22">
        <f>timeseries!B22</f>
        <v>20</v>
      </c>
    </row>
    <row r="23" spans="1:2" x14ac:dyDescent="0.35">
      <c r="A23">
        <f>timeseries!A23</f>
        <v>2041</v>
      </c>
      <c r="B23">
        <f>timeseries!B23</f>
        <v>21</v>
      </c>
    </row>
    <row r="24" spans="1:2" x14ac:dyDescent="0.35">
      <c r="A24">
        <f>timeseries!A24</f>
        <v>2042</v>
      </c>
      <c r="B24">
        <f>timeseries!B24</f>
        <v>22</v>
      </c>
    </row>
    <row r="25" spans="1:2" x14ac:dyDescent="0.35">
      <c r="A25">
        <f>timeseries!A25</f>
        <v>2043</v>
      </c>
      <c r="B25">
        <f>timeseries!B25</f>
        <v>23</v>
      </c>
    </row>
    <row r="26" spans="1:2" x14ac:dyDescent="0.35">
      <c r="A26">
        <f>timeseries!A26</f>
        <v>2044</v>
      </c>
      <c r="B26">
        <f>timeseries!B26</f>
        <v>24</v>
      </c>
    </row>
    <row r="27" spans="1:2" x14ac:dyDescent="0.35">
      <c r="A27">
        <f>timeseries!A27</f>
        <v>2045</v>
      </c>
      <c r="B27">
        <f>timeseries!B27</f>
        <v>25</v>
      </c>
    </row>
    <row r="28" spans="1:2" x14ac:dyDescent="0.35">
      <c r="A28">
        <f>timeseries!A28</f>
        <v>2046</v>
      </c>
      <c r="B28">
        <f>timeseries!B28</f>
        <v>26</v>
      </c>
    </row>
    <row r="29" spans="1:2" x14ac:dyDescent="0.35">
      <c r="A29">
        <f>timeseries!A29</f>
        <v>2047</v>
      </c>
      <c r="B29">
        <f>timeseries!B29</f>
        <v>27</v>
      </c>
    </row>
    <row r="30" spans="1:2" x14ac:dyDescent="0.35">
      <c r="A30">
        <f>timeseries!A30</f>
        <v>2048</v>
      </c>
      <c r="B30">
        <f>timeseries!B30</f>
        <v>28</v>
      </c>
    </row>
    <row r="31" spans="1:2" x14ac:dyDescent="0.35">
      <c r="A31">
        <f>timeseries!A31</f>
        <v>2049</v>
      </c>
      <c r="B31">
        <f>timeseries!B31</f>
        <v>29</v>
      </c>
    </row>
    <row r="32" spans="1:2" x14ac:dyDescent="0.35">
      <c r="A32">
        <f>timeseries!A32</f>
        <v>2050</v>
      </c>
      <c r="B32">
        <f>timeseries!B32</f>
        <v>30</v>
      </c>
    </row>
    <row r="33" spans="1:2" x14ac:dyDescent="0.35">
      <c r="A33">
        <f>timeseries!A33</f>
        <v>2051</v>
      </c>
      <c r="B33">
        <f>timeseries!B33</f>
        <v>31</v>
      </c>
    </row>
    <row r="34" spans="1:2" x14ac:dyDescent="0.35">
      <c r="A34">
        <f>timeseries!A34</f>
        <v>2052</v>
      </c>
      <c r="B34">
        <f>timeseries!B34</f>
        <v>32</v>
      </c>
    </row>
    <row r="35" spans="1:2" x14ac:dyDescent="0.35">
      <c r="A35">
        <f>timeseries!A35</f>
        <v>2053</v>
      </c>
      <c r="B35">
        <f>timeseries!B35</f>
        <v>33</v>
      </c>
    </row>
    <row r="36" spans="1:2" x14ac:dyDescent="0.35">
      <c r="A36">
        <f>timeseries!A36</f>
        <v>2054</v>
      </c>
      <c r="B36">
        <f>timeseries!B36</f>
        <v>34</v>
      </c>
    </row>
    <row r="37" spans="1:2" x14ac:dyDescent="0.35">
      <c r="A37">
        <f>timeseries!A37</f>
        <v>2055</v>
      </c>
      <c r="B37">
        <f>timeseries!B37</f>
        <v>35</v>
      </c>
    </row>
    <row r="38" spans="1:2" x14ac:dyDescent="0.35">
      <c r="A38">
        <f>timeseries!A38</f>
        <v>2056</v>
      </c>
      <c r="B38">
        <f>timeseries!B38</f>
        <v>36</v>
      </c>
    </row>
    <row r="39" spans="1:2" x14ac:dyDescent="0.35">
      <c r="A39">
        <f>timeseries!A39</f>
        <v>2057</v>
      </c>
      <c r="B39">
        <f>timeseries!B39</f>
        <v>37</v>
      </c>
    </row>
    <row r="40" spans="1:2" x14ac:dyDescent="0.35">
      <c r="A40">
        <f>timeseries!A40</f>
        <v>2058</v>
      </c>
      <c r="B40">
        <f>timeseries!B40</f>
        <v>38</v>
      </c>
    </row>
    <row r="41" spans="1:2" x14ac:dyDescent="0.35">
      <c r="A41">
        <f>timeseries!A41</f>
        <v>2059</v>
      </c>
      <c r="B41">
        <f>timeseries!B41</f>
        <v>39</v>
      </c>
    </row>
    <row r="42" spans="1:2" x14ac:dyDescent="0.35">
      <c r="A42">
        <f>timeseries!A42</f>
        <v>2060</v>
      </c>
      <c r="B42">
        <f>timeseries!B42</f>
        <v>40</v>
      </c>
    </row>
    <row r="43" spans="1:2" x14ac:dyDescent="0.35">
      <c r="A43">
        <f>timeseries!A43</f>
        <v>2061</v>
      </c>
      <c r="B43">
        <f>timeseries!B43</f>
        <v>41</v>
      </c>
    </row>
    <row r="44" spans="1:2" x14ac:dyDescent="0.35">
      <c r="A44">
        <f>timeseries!A44</f>
        <v>2062</v>
      </c>
      <c r="B44">
        <f>timeseries!B44</f>
        <v>42</v>
      </c>
    </row>
    <row r="45" spans="1:2" x14ac:dyDescent="0.35">
      <c r="A45">
        <f>timeseries!A45</f>
        <v>2063</v>
      </c>
      <c r="B45">
        <f>timeseries!B45</f>
        <v>43</v>
      </c>
    </row>
    <row r="46" spans="1:2" x14ac:dyDescent="0.35">
      <c r="A46">
        <f>timeseries!A46</f>
        <v>2064</v>
      </c>
      <c r="B46">
        <f>timeseries!B46</f>
        <v>44</v>
      </c>
    </row>
    <row r="47" spans="1:2" x14ac:dyDescent="0.35">
      <c r="A47">
        <f>timeseries!A47</f>
        <v>2065</v>
      </c>
      <c r="B47">
        <f>timeseries!B47</f>
        <v>45</v>
      </c>
    </row>
    <row r="48" spans="1:2" x14ac:dyDescent="0.35">
      <c r="A48">
        <f>timeseries!A48</f>
        <v>2066</v>
      </c>
      <c r="B48">
        <f>timeseries!B48</f>
        <v>46</v>
      </c>
    </row>
    <row r="49" spans="1:2" x14ac:dyDescent="0.35">
      <c r="A49">
        <f>timeseries!A49</f>
        <v>2067</v>
      </c>
      <c r="B49">
        <f>timeseries!B49</f>
        <v>47</v>
      </c>
    </row>
    <row r="50" spans="1:2" x14ac:dyDescent="0.35">
      <c r="A50">
        <f>timeseries!A50</f>
        <v>2068</v>
      </c>
      <c r="B50">
        <f>timeseries!B50</f>
        <v>48</v>
      </c>
    </row>
    <row r="51" spans="1:2" x14ac:dyDescent="0.35">
      <c r="A51">
        <f>timeseries!A51</f>
        <v>2069</v>
      </c>
      <c r="B51">
        <f>timeseries!B51</f>
        <v>49</v>
      </c>
    </row>
    <row r="52" spans="1:2" x14ac:dyDescent="0.35">
      <c r="A52">
        <f>timeseries!A52</f>
        <v>2070</v>
      </c>
      <c r="B52">
        <f>timeseries!B52</f>
        <v>50</v>
      </c>
    </row>
    <row r="53" spans="1:2" x14ac:dyDescent="0.35">
      <c r="A53">
        <f>timeseries!A53</f>
        <v>2071</v>
      </c>
      <c r="B53">
        <f>timeseries!B53</f>
        <v>51</v>
      </c>
    </row>
    <row r="54" spans="1:2" x14ac:dyDescent="0.35">
      <c r="A54">
        <f>timeseries!A54</f>
        <v>2072</v>
      </c>
      <c r="B54">
        <f>timeseries!B54</f>
        <v>52</v>
      </c>
    </row>
    <row r="55" spans="1:2" x14ac:dyDescent="0.35">
      <c r="A55">
        <f>timeseries!A55</f>
        <v>2073</v>
      </c>
      <c r="B55">
        <f>timeseries!B55</f>
        <v>53</v>
      </c>
    </row>
    <row r="56" spans="1:2" x14ac:dyDescent="0.35">
      <c r="A56">
        <f>timeseries!A56</f>
        <v>2074</v>
      </c>
      <c r="B56">
        <f>timeseries!B56</f>
        <v>54</v>
      </c>
    </row>
    <row r="57" spans="1:2" x14ac:dyDescent="0.35">
      <c r="A57">
        <f>timeseries!A57</f>
        <v>2075</v>
      </c>
      <c r="B57">
        <f>timeseries!B57</f>
        <v>55</v>
      </c>
    </row>
    <row r="58" spans="1:2" x14ac:dyDescent="0.35">
      <c r="A58">
        <f>timeseries!A58</f>
        <v>2076</v>
      </c>
      <c r="B58">
        <f>timeseries!B58</f>
        <v>56</v>
      </c>
    </row>
    <row r="59" spans="1:2" x14ac:dyDescent="0.35">
      <c r="A59">
        <f>timeseries!A59</f>
        <v>2077</v>
      </c>
      <c r="B59">
        <f>timeseries!B59</f>
        <v>57</v>
      </c>
    </row>
    <row r="60" spans="1:2" x14ac:dyDescent="0.35">
      <c r="A60">
        <f>timeseries!A60</f>
        <v>2078</v>
      </c>
      <c r="B60">
        <f>timeseries!B60</f>
        <v>58</v>
      </c>
    </row>
    <row r="61" spans="1:2" x14ac:dyDescent="0.35">
      <c r="A61">
        <f>timeseries!A61</f>
        <v>2079</v>
      </c>
      <c r="B61">
        <f>timeseries!B61</f>
        <v>59</v>
      </c>
    </row>
    <row r="62" spans="1:2" x14ac:dyDescent="0.35">
      <c r="A62">
        <f>timeseries!A62</f>
        <v>2080</v>
      </c>
      <c r="B62">
        <f>timeseries!B62</f>
        <v>60</v>
      </c>
    </row>
    <row r="63" spans="1:2" x14ac:dyDescent="0.35">
      <c r="A63">
        <f>timeseries!A63</f>
        <v>2081</v>
      </c>
      <c r="B63">
        <f>timeseries!B63</f>
        <v>61</v>
      </c>
    </row>
    <row r="64" spans="1:2" x14ac:dyDescent="0.35">
      <c r="A64">
        <f>timeseries!A64</f>
        <v>2082</v>
      </c>
      <c r="B64">
        <f>timeseries!B64</f>
        <v>62</v>
      </c>
    </row>
    <row r="65" spans="1:2" x14ac:dyDescent="0.35">
      <c r="A65">
        <f>timeseries!A65</f>
        <v>2083</v>
      </c>
      <c r="B65">
        <f>timeseries!B65</f>
        <v>63</v>
      </c>
    </row>
    <row r="66" spans="1:2" x14ac:dyDescent="0.35">
      <c r="A66">
        <f>timeseries!A66</f>
        <v>2084</v>
      </c>
      <c r="B66">
        <f>timeseries!B66</f>
        <v>64</v>
      </c>
    </row>
    <row r="67" spans="1:2" x14ac:dyDescent="0.35">
      <c r="A67">
        <f>timeseries!A67</f>
        <v>2085</v>
      </c>
      <c r="B67">
        <f>timeseries!B67</f>
        <v>65</v>
      </c>
    </row>
    <row r="68" spans="1:2" x14ac:dyDescent="0.35">
      <c r="A68">
        <f>timeseries!A68</f>
        <v>2086</v>
      </c>
      <c r="B68">
        <f>timeseries!B68</f>
        <v>66</v>
      </c>
    </row>
    <row r="69" spans="1:2" x14ac:dyDescent="0.35">
      <c r="A69">
        <f>timeseries!A69</f>
        <v>2087</v>
      </c>
      <c r="B69">
        <f>timeseries!B69</f>
        <v>67</v>
      </c>
    </row>
    <row r="70" spans="1:2" x14ac:dyDescent="0.35">
      <c r="A70">
        <f>timeseries!A70</f>
        <v>2088</v>
      </c>
      <c r="B70">
        <f>timeseries!B70</f>
        <v>68</v>
      </c>
    </row>
    <row r="71" spans="1:2" x14ac:dyDescent="0.35">
      <c r="A71">
        <f>timeseries!A71</f>
        <v>2089</v>
      </c>
      <c r="B71">
        <f>timeseries!B71</f>
        <v>69</v>
      </c>
    </row>
    <row r="72" spans="1:2" x14ac:dyDescent="0.35">
      <c r="A72">
        <f>timeseries!A72</f>
        <v>2090</v>
      </c>
      <c r="B72">
        <f>timeseries!B72</f>
        <v>70</v>
      </c>
    </row>
    <row r="73" spans="1:2" x14ac:dyDescent="0.35">
      <c r="A73">
        <f>timeseries!A73</f>
        <v>2091</v>
      </c>
      <c r="B73">
        <f>timeseries!B73</f>
        <v>71</v>
      </c>
    </row>
    <row r="74" spans="1:2" x14ac:dyDescent="0.35">
      <c r="A74">
        <f>timeseries!A74</f>
        <v>2092</v>
      </c>
      <c r="B74">
        <f>timeseries!B74</f>
        <v>72</v>
      </c>
    </row>
    <row r="75" spans="1:2" x14ac:dyDescent="0.35">
      <c r="A75">
        <f>timeseries!A75</f>
        <v>2093</v>
      </c>
      <c r="B75">
        <f>timeseries!B75</f>
        <v>73</v>
      </c>
    </row>
    <row r="76" spans="1:2" x14ac:dyDescent="0.35">
      <c r="A76">
        <f>timeseries!A76</f>
        <v>2094</v>
      </c>
      <c r="B76">
        <f>timeseries!B76</f>
        <v>74</v>
      </c>
    </row>
    <row r="77" spans="1:2" x14ac:dyDescent="0.35">
      <c r="A77">
        <f>timeseries!A77</f>
        <v>2095</v>
      </c>
      <c r="B77">
        <f>timeseries!B77</f>
        <v>75</v>
      </c>
    </row>
    <row r="78" spans="1:2" x14ac:dyDescent="0.35">
      <c r="A78">
        <f>timeseries!A78</f>
        <v>2096</v>
      </c>
      <c r="B78">
        <f>timeseries!B78</f>
        <v>76</v>
      </c>
    </row>
    <row r="79" spans="1:2" x14ac:dyDescent="0.35">
      <c r="A79">
        <f>timeseries!A79</f>
        <v>2097</v>
      </c>
      <c r="B79">
        <f>timeseries!B79</f>
        <v>77</v>
      </c>
    </row>
    <row r="80" spans="1:2" x14ac:dyDescent="0.35">
      <c r="A80">
        <f>timeseries!A80</f>
        <v>2098</v>
      </c>
      <c r="B80">
        <f>timeseries!B80</f>
        <v>78</v>
      </c>
    </row>
    <row r="81" spans="1:2" x14ac:dyDescent="0.35">
      <c r="A81">
        <f>timeseries!A81</f>
        <v>2099</v>
      </c>
      <c r="B81">
        <f>timeseries!B81</f>
        <v>79</v>
      </c>
    </row>
    <row r="82" spans="1:2" x14ac:dyDescent="0.35">
      <c r="A82">
        <f>timeseries!A82</f>
        <v>2100</v>
      </c>
      <c r="B82">
        <f>timeseries!B82</f>
        <v>80</v>
      </c>
    </row>
    <row r="83" spans="1:2" x14ac:dyDescent="0.35">
      <c r="A83">
        <f>timeseries!A83</f>
        <v>2101</v>
      </c>
      <c r="B83">
        <f>timeseries!B83</f>
        <v>81</v>
      </c>
    </row>
    <row r="84" spans="1:2" x14ac:dyDescent="0.35">
      <c r="A84">
        <f>timeseries!A84</f>
        <v>2102</v>
      </c>
      <c r="B84">
        <f>timeseries!B84</f>
        <v>82</v>
      </c>
    </row>
    <row r="85" spans="1:2" x14ac:dyDescent="0.35">
      <c r="A85">
        <f>timeseries!A85</f>
        <v>2103</v>
      </c>
      <c r="B85">
        <f>timeseries!B85</f>
        <v>83</v>
      </c>
    </row>
    <row r="86" spans="1:2" x14ac:dyDescent="0.35">
      <c r="A86">
        <f>timeseries!A86</f>
        <v>2104</v>
      </c>
      <c r="B86">
        <f>timeseries!B86</f>
        <v>84</v>
      </c>
    </row>
    <row r="87" spans="1:2" x14ac:dyDescent="0.35">
      <c r="A87">
        <f>timeseries!A87</f>
        <v>2105</v>
      </c>
      <c r="B87">
        <f>timeseries!B87</f>
        <v>85</v>
      </c>
    </row>
    <row r="88" spans="1:2" x14ac:dyDescent="0.35">
      <c r="A88">
        <f>timeseries!A88</f>
        <v>2106</v>
      </c>
      <c r="B88">
        <f>timeseries!B88</f>
        <v>86</v>
      </c>
    </row>
    <row r="89" spans="1:2" x14ac:dyDescent="0.35">
      <c r="A89">
        <f>timeseries!A89</f>
        <v>2107</v>
      </c>
      <c r="B89">
        <f>timeseries!B89</f>
        <v>87</v>
      </c>
    </row>
    <row r="90" spans="1:2" x14ac:dyDescent="0.35">
      <c r="A90">
        <f>timeseries!A90</f>
        <v>2108</v>
      </c>
      <c r="B90">
        <f>timeseries!B90</f>
        <v>88</v>
      </c>
    </row>
    <row r="91" spans="1:2" x14ac:dyDescent="0.35">
      <c r="A91">
        <f>timeseries!A91</f>
        <v>2109</v>
      </c>
      <c r="B91">
        <f>timeseries!B91</f>
        <v>89</v>
      </c>
    </row>
    <row r="92" spans="1:2" x14ac:dyDescent="0.35">
      <c r="A92">
        <f>timeseries!A92</f>
        <v>2110</v>
      </c>
      <c r="B92">
        <f>timeseries!B92</f>
        <v>90</v>
      </c>
    </row>
    <row r="93" spans="1:2" x14ac:dyDescent="0.35">
      <c r="A93">
        <f>timeseries!A93</f>
        <v>2111</v>
      </c>
      <c r="B93">
        <f>timeseries!B93</f>
        <v>91</v>
      </c>
    </row>
    <row r="94" spans="1:2" x14ac:dyDescent="0.35">
      <c r="A94">
        <f>timeseries!A94</f>
        <v>2112</v>
      </c>
      <c r="B94">
        <f>timeseries!B94</f>
        <v>92</v>
      </c>
    </row>
    <row r="95" spans="1:2" x14ac:dyDescent="0.35">
      <c r="A95">
        <f>timeseries!A95</f>
        <v>2113</v>
      </c>
      <c r="B95">
        <f>timeseries!B95</f>
        <v>93</v>
      </c>
    </row>
    <row r="96" spans="1:2" x14ac:dyDescent="0.35">
      <c r="A96">
        <f>timeseries!A96</f>
        <v>2114</v>
      </c>
      <c r="B96">
        <f>timeseries!B96</f>
        <v>94</v>
      </c>
    </row>
    <row r="97" spans="1:2" x14ac:dyDescent="0.35">
      <c r="A97">
        <f>timeseries!A97</f>
        <v>2115</v>
      </c>
      <c r="B97">
        <f>timeseries!B97</f>
        <v>95</v>
      </c>
    </row>
    <row r="98" spans="1:2" x14ac:dyDescent="0.35">
      <c r="A98">
        <f>timeseries!A98</f>
        <v>2116</v>
      </c>
      <c r="B98">
        <f>timeseries!B98</f>
        <v>96</v>
      </c>
    </row>
    <row r="99" spans="1:2" x14ac:dyDescent="0.35">
      <c r="A99">
        <f>timeseries!A99</f>
        <v>2117</v>
      </c>
      <c r="B99">
        <f>timeseries!B99</f>
        <v>97</v>
      </c>
    </row>
    <row r="100" spans="1:2" x14ac:dyDescent="0.35">
      <c r="A100">
        <f>timeseries!A100</f>
        <v>2118</v>
      </c>
      <c r="B100">
        <f>timeseries!B100</f>
        <v>98</v>
      </c>
    </row>
    <row r="101" spans="1:2" x14ac:dyDescent="0.35">
      <c r="A101">
        <f>timeseries!A101</f>
        <v>2119</v>
      </c>
      <c r="B101">
        <f>timeseries!B101</f>
        <v>99</v>
      </c>
    </row>
    <row r="102" spans="1:2" x14ac:dyDescent="0.35">
      <c r="A102">
        <f>timeseries!A102</f>
        <v>2120</v>
      </c>
      <c r="B102">
        <f>timeseries!B102</f>
        <v>100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54" workbookViewId="0">
      <selection activeCell="A2" sqref="A2:B5"/>
    </sheetView>
  </sheetViews>
  <sheetFormatPr defaultRowHeight="14.5" x14ac:dyDescent="0.35"/>
  <cols>
    <col min="1" max="1" width="18.90625" customWidth="1"/>
    <col min="2" max="2" width="13.81640625" customWidth="1"/>
    <col min="3" max="3" width="11.453125" customWidth="1"/>
  </cols>
  <sheetData>
    <row r="1" spans="1:3" x14ac:dyDescent="0.35">
      <c r="A1" s="20" t="s">
        <v>98</v>
      </c>
      <c r="B1" s="20" t="s">
        <v>124</v>
      </c>
      <c r="C1" s="20" t="s">
        <v>104</v>
      </c>
    </row>
    <row r="2" spans="1:3" x14ac:dyDescent="0.35">
      <c r="A2" s="19" t="s">
        <v>105</v>
      </c>
      <c r="B2">
        <v>50</v>
      </c>
    </row>
    <row r="3" spans="1:3" x14ac:dyDescent="0.35">
      <c r="A3" s="19" t="s">
        <v>106</v>
      </c>
      <c r="B3">
        <v>75</v>
      </c>
    </row>
    <row r="4" spans="1:3" x14ac:dyDescent="0.35">
      <c r="A4" s="19" t="s">
        <v>107</v>
      </c>
      <c r="B4">
        <v>1</v>
      </c>
    </row>
    <row r="5" spans="1:3" x14ac:dyDescent="0.35">
      <c r="A5" s="19" t="s">
        <v>114</v>
      </c>
      <c r="B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Table_BiocharContents</vt:lpstr>
      <vt:lpstr>StaticParameter</vt:lpstr>
      <vt:lpstr>TimeFrame</vt:lpstr>
      <vt:lpstr>timeseries</vt:lpstr>
      <vt:lpstr>FU</vt:lpstr>
      <vt:lpstr>FU_manufacturing</vt:lpstr>
      <vt:lpstr>FU_use</vt:lpstr>
      <vt:lpstr>FU_disposal</vt:lpstr>
      <vt:lpstr>GoodLifetimes</vt:lpstr>
      <vt:lpstr>BiocharDemandFunctions</vt:lpstr>
      <vt:lpstr>BiocharProperties</vt:lpstr>
      <vt:lpstr>PlantFleet</vt:lpstr>
      <vt:lpstr>PlantProperties</vt:lpstr>
      <vt:lpstr>PlantFeedingRegime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2021-05-04T07:02:17Z</dcterms:modified>
</cp:coreProperties>
</file>