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azzi\Box Sync\KTH_PhD_HeavyData\P5_uppsala\img\"/>
    </mc:Choice>
  </mc:AlternateContent>
  <bookViews>
    <workbookView xWindow="0" yWindow="0" windowWidth="19200" windowHeight="6470" activeTab="4"/>
  </bookViews>
  <sheets>
    <sheet name="WP-S" sheetId="1" r:id="rId1"/>
    <sheet name="GW-S" sheetId="2" r:id="rId2"/>
    <sheet name="LR-S" sheetId="3" r:id="rId3"/>
    <sheet name="WL-S" sheetId="4" r:id="rId4"/>
    <sheet name="PaperAnalysis" sheetId="5" r:id="rId5"/>
  </sheets>
  <calcPr calcId="162913"/>
</workbook>
</file>

<file path=xl/calcChain.xml><?xml version="1.0" encoding="utf-8"?>
<calcChain xmlns="http://schemas.openxmlformats.org/spreadsheetml/2006/main">
  <c r="H10" i="5" l="1"/>
  <c r="F28" i="5"/>
  <c r="S24" i="5" l="1"/>
  <c r="Q24" i="5"/>
  <c r="Q25" i="5"/>
  <c r="O23" i="5"/>
  <c r="O24" i="5"/>
  <c r="O25" i="5"/>
  <c r="O22" i="5"/>
  <c r="N23" i="5"/>
  <c r="N24" i="5"/>
  <c r="N25" i="5"/>
  <c r="N22" i="5"/>
  <c r="M23" i="5"/>
  <c r="M24" i="5"/>
  <c r="M25" i="5"/>
  <c r="M22" i="5"/>
  <c r="L23" i="5"/>
  <c r="L24" i="5"/>
  <c r="L25" i="5"/>
  <c r="L22" i="5"/>
  <c r="P40" i="5"/>
  <c r="M49" i="5"/>
  <c r="C29" i="5"/>
  <c r="H45" i="5"/>
  <c r="I45" i="5" s="1"/>
  <c r="L45" i="5" s="1"/>
  <c r="G45" i="5"/>
  <c r="F45" i="5"/>
  <c r="E45" i="5"/>
  <c r="D45" i="5"/>
  <c r="M45" i="5" s="1"/>
  <c r="C45" i="5"/>
  <c r="H44" i="5"/>
  <c r="I44" i="5" s="1"/>
  <c r="G44" i="5"/>
  <c r="F44" i="5"/>
  <c r="E44" i="5"/>
  <c r="D44" i="5"/>
  <c r="C44" i="5"/>
  <c r="I43" i="5"/>
  <c r="L43" i="5" s="1"/>
  <c r="H43" i="5"/>
  <c r="Q43" i="5" s="1"/>
  <c r="G43" i="5"/>
  <c r="P43" i="5" s="1"/>
  <c r="F43" i="5"/>
  <c r="E43" i="5"/>
  <c r="D43" i="5"/>
  <c r="C43" i="5"/>
  <c r="H42" i="5"/>
  <c r="I42" i="5" s="1"/>
  <c r="G42" i="5"/>
  <c r="F42" i="5"/>
  <c r="O42" i="5" s="1"/>
  <c r="E42" i="5"/>
  <c r="N42" i="5" s="1"/>
  <c r="D42" i="5"/>
  <c r="M42" i="5" s="1"/>
  <c r="C42" i="5"/>
  <c r="H35" i="5"/>
  <c r="G35" i="5"/>
  <c r="F35" i="5"/>
  <c r="E35" i="5"/>
  <c r="D35" i="5"/>
  <c r="C35" i="5"/>
  <c r="G34" i="5"/>
  <c r="F34" i="5"/>
  <c r="E34" i="5"/>
  <c r="D34" i="5"/>
  <c r="C34" i="5"/>
  <c r="H34" i="5" s="1"/>
  <c r="C33" i="5"/>
  <c r="H33" i="5" s="1"/>
  <c r="H32" i="5"/>
  <c r="H37" i="5" s="1"/>
  <c r="C32" i="5"/>
  <c r="G32" i="5" s="1"/>
  <c r="H25" i="5"/>
  <c r="G25" i="5"/>
  <c r="F25" i="5"/>
  <c r="E25" i="5"/>
  <c r="D25" i="5"/>
  <c r="C25" i="5"/>
  <c r="G24" i="5"/>
  <c r="F24" i="5"/>
  <c r="E24" i="5"/>
  <c r="D24" i="5"/>
  <c r="C24" i="5"/>
  <c r="H24" i="5" s="1"/>
  <c r="C23" i="5"/>
  <c r="H23" i="5" s="1"/>
  <c r="H22" i="5"/>
  <c r="H27" i="5" s="1"/>
  <c r="C22" i="5"/>
  <c r="G22" i="5" s="1"/>
  <c r="C14" i="5"/>
  <c r="D10" i="5"/>
  <c r="I10" i="5" s="1"/>
  <c r="C10" i="5"/>
  <c r="C16" i="5" s="1"/>
  <c r="D9" i="5"/>
  <c r="I9" i="5" s="1"/>
  <c r="C9" i="5"/>
  <c r="C15" i="5" s="1"/>
  <c r="I8" i="5"/>
  <c r="D8" i="5"/>
  <c r="H8" i="5" s="1"/>
  <c r="C8" i="5"/>
  <c r="I7" i="5"/>
  <c r="H7" i="5"/>
  <c r="D7" i="5"/>
  <c r="G7" i="5" s="1"/>
  <c r="C7" i="5"/>
  <c r="C13" i="5" s="1"/>
  <c r="Q44" i="5" l="1"/>
  <c r="P44" i="5"/>
  <c r="M43" i="5"/>
  <c r="M47" i="5" s="1"/>
  <c r="N43" i="5"/>
  <c r="N47" i="5" s="1"/>
  <c r="Q45" i="5"/>
  <c r="N44" i="5"/>
  <c r="O43" i="5"/>
  <c r="O47" i="5" s="1"/>
  <c r="L42" i="5"/>
  <c r="P42" i="5"/>
  <c r="O44" i="5"/>
  <c r="Q42" i="5"/>
  <c r="Q47" i="5" s="1"/>
  <c r="L44" i="5"/>
  <c r="N45" i="5"/>
  <c r="M44" i="5"/>
  <c r="O45" i="5"/>
  <c r="P45" i="5"/>
  <c r="E8" i="5"/>
  <c r="F9" i="5"/>
  <c r="G10" i="5"/>
  <c r="D22" i="5"/>
  <c r="F23" i="5"/>
  <c r="D32" i="5"/>
  <c r="F33" i="5"/>
  <c r="E10" i="5"/>
  <c r="D23" i="5"/>
  <c r="D33" i="5"/>
  <c r="F10" i="5"/>
  <c r="E23" i="5"/>
  <c r="C27" i="5"/>
  <c r="C28" i="5" s="1"/>
  <c r="E33" i="5"/>
  <c r="E7" i="5"/>
  <c r="F8" i="5"/>
  <c r="G9" i="5"/>
  <c r="E22" i="5"/>
  <c r="E27" i="5" s="1"/>
  <c r="G23" i="5"/>
  <c r="G27" i="5" s="1"/>
  <c r="E32" i="5"/>
  <c r="E37" i="5" s="1"/>
  <c r="G33" i="5"/>
  <c r="G37" i="5" s="1"/>
  <c r="E9" i="5"/>
  <c r="C37" i="5"/>
  <c r="C38" i="5" s="1"/>
  <c r="F7" i="5"/>
  <c r="G8" i="5"/>
  <c r="H9" i="5"/>
  <c r="F22" i="5"/>
  <c r="F27" i="5" s="1"/>
  <c r="F32" i="5"/>
  <c r="F37" i="5" s="1"/>
  <c r="P47" i="5" l="1"/>
  <c r="D37" i="5"/>
  <c r="M40" i="5"/>
  <c r="L47" i="5"/>
  <c r="F38" i="5"/>
  <c r="D27" i="5"/>
</calcChain>
</file>

<file path=xl/sharedStrings.xml><?xml version="1.0" encoding="utf-8"?>
<sst xmlns="http://schemas.openxmlformats.org/spreadsheetml/2006/main" count="247" uniqueCount="49">
  <si>
    <t>Construction</t>
  </si>
  <si>
    <t>Use</t>
  </si>
  <si>
    <t>Landscaping soil for parks</t>
  </si>
  <si>
    <t>Landscaping soil for yards</t>
  </si>
  <si>
    <t>Tree planting</t>
  </si>
  <si>
    <t>Green roof</t>
  </si>
  <si>
    <t>Water filter</t>
  </si>
  <si>
    <t>Charcrete</t>
  </si>
  <si>
    <t xml:space="preserve">&gt;&gt; Table 7 </t>
  </si>
  <si>
    <t>C-sink</t>
  </si>
  <si>
    <t>Climate change mitigation</t>
  </si>
  <si>
    <t>Total</t>
  </si>
  <si>
    <t>Soil</t>
  </si>
  <si>
    <t>Tree</t>
  </si>
  <si>
    <t>Roof</t>
  </si>
  <si>
    <t>Biofilm</t>
  </si>
  <si>
    <t>WP-S</t>
  </si>
  <si>
    <t>GW-S</t>
  </si>
  <si>
    <t>LR-S</t>
  </si>
  <si>
    <t>WL-S</t>
  </si>
  <si>
    <t>Delta</t>
  </si>
  <si>
    <t>&gt;&gt; In Text</t>
  </si>
  <si>
    <t xml:space="preserve">&gt;&gt; Biochar volume, variation, product shares </t>
  </si>
  <si>
    <t>Volume</t>
  </si>
  <si>
    <t>Average</t>
  </si>
  <si>
    <t>StdDev</t>
  </si>
  <si>
    <t>Maintenance</t>
  </si>
  <si>
    <t>Landfill stock</t>
  </si>
  <si>
    <t>Sum</t>
  </si>
  <si>
    <t>at period end 2100</t>
  </si>
  <si>
    <t>In-parks</t>
  </si>
  <si>
    <t>In-use, roof</t>
  </si>
  <si>
    <t>In-use, tree</t>
  </si>
  <si>
    <t>In-use, other</t>
  </si>
  <si>
    <t>Landfilled</t>
  </si>
  <si>
    <t>In-use, Total</t>
  </si>
  <si>
    <t>Total produced</t>
  </si>
  <si>
    <t>as %</t>
  </si>
  <si>
    <t>AVG</t>
  </si>
  <si>
    <t>Annual</t>
  </si>
  <si>
    <t>&gt;&gt; Mass units</t>
  </si>
  <si>
    <t>Density</t>
  </si>
  <si>
    <t>Tonnes</t>
  </si>
  <si>
    <t>&gt;&gt; Biomass demand</t>
  </si>
  <si>
    <t>Yield</t>
  </si>
  <si>
    <t>&gt;&gt; Land requirement</t>
  </si>
  <si>
    <t>NA</t>
  </si>
  <si>
    <t>per year</t>
  </si>
  <si>
    <t>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</si>
</sst>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0.0"/>
    <numFmt numFmtId="165" formatCode="0.0%"/>
    <numFmt numFmtId="166" formatCode="_-* #,##0_-;\-* #,##0_-;_-* &quot;-&quot;??_-;_-@_-"/>
    <numFmt numFmtId="167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/>
    <xf numFmtId="43" fontId="1" fillId="0" borderId="0"/>
  </cellStyleXfs>
  <cellXfs count="19">
    <xf numFmtId="0" fontId="0" fillId="0" borderId="0" xfId="0"/>
    <xf numFmtId="0" fontId="2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/>
    <xf numFmtId="165" fontId="0" fillId="0" borderId="0" xfId="1" applyNumberFormat="1" applyFont="1"/>
    <xf numFmtId="10" fontId="0" fillId="0" borderId="0" xfId="1" applyNumberFormat="1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3" fontId="0" fillId="0" borderId="0" xfId="0" applyNumberFormat="1"/>
    <xf numFmtId="10" fontId="0" fillId="0" borderId="0" xfId="1" applyNumberFormat="1" applyFont="1" applyAlignment="1">
      <alignment horizontal="center"/>
    </xf>
    <xf numFmtId="10" fontId="0" fillId="0" borderId="0" xfId="0" applyNumberFormat="1"/>
    <xf numFmtId="10" fontId="0" fillId="0" borderId="0" xfId="0" applyNumberFormat="1" applyAlignment="1">
      <alignment horizontal="center"/>
    </xf>
    <xf numFmtId="0" fontId="3" fillId="0" borderId="1" xfId="0" applyFont="1" applyBorder="1" applyAlignment="1">
      <alignment horizontal="center" vertical="top"/>
    </xf>
    <xf numFmtId="166" fontId="0" fillId="0" borderId="0" xfId="2" applyNumberFormat="1" applyFont="1"/>
    <xf numFmtId="167" fontId="0" fillId="0" borderId="0" xfId="1" applyNumberFormat="1" applyFont="1"/>
    <xf numFmtId="167" fontId="0" fillId="0" borderId="0" xfId="0" applyNumberFormat="1"/>
    <xf numFmtId="166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opLeftCell="A25" workbookViewId="0">
      <selection activeCell="D30" sqref="D30"/>
    </sheetView>
  </sheetViews>
  <sheetFormatPr defaultRowHeight="14.5" x14ac:dyDescent="0.35"/>
  <cols>
    <col min="1" max="1" width="26.90625" customWidth="1"/>
  </cols>
  <sheetData>
    <row r="1" spans="1:3" x14ac:dyDescent="0.35">
      <c r="B1" s="14" t="s">
        <v>0</v>
      </c>
      <c r="C1" s="14" t="s">
        <v>1</v>
      </c>
    </row>
    <row r="2" spans="1:3" x14ac:dyDescent="0.35">
      <c r="A2" s="14" t="s">
        <v>2</v>
      </c>
      <c r="B2">
        <v>62647.378230797251</v>
      </c>
      <c r="C2">
        <v>10120</v>
      </c>
    </row>
    <row r="3" spans="1:3" x14ac:dyDescent="0.35">
      <c r="A3" s="14" t="s">
        <v>3</v>
      </c>
      <c r="B3">
        <v>148674.03167091371</v>
      </c>
      <c r="C3">
        <v>24016.66666666669</v>
      </c>
    </row>
    <row r="4" spans="1:3" x14ac:dyDescent="0.35">
      <c r="A4" s="14" t="s">
        <v>4</v>
      </c>
      <c r="B4">
        <v>10093.333395732039</v>
      </c>
      <c r="C4">
        <v>9951.0686460680281</v>
      </c>
    </row>
    <row r="5" spans="1:3" x14ac:dyDescent="0.35">
      <c r="A5" s="14" t="s">
        <v>5</v>
      </c>
      <c r="B5">
        <v>837800.00517942256</v>
      </c>
      <c r="C5">
        <v>825991.27922811732</v>
      </c>
    </row>
    <row r="6" spans="1:3" x14ac:dyDescent="0.35">
      <c r="A6" s="14" t="s">
        <v>6</v>
      </c>
      <c r="B6">
        <v>39321450</v>
      </c>
      <c r="C6">
        <v>160198500</v>
      </c>
    </row>
    <row r="7" spans="1:3" x14ac:dyDescent="0.35">
      <c r="A7" s="14" t="s">
        <v>7</v>
      </c>
      <c r="B7">
        <v>2664.6400000000031</v>
      </c>
      <c r="C7">
        <v>8.212962971224897</v>
      </c>
    </row>
    <row r="9" spans="1:3" x14ac:dyDescent="0.35">
      <c r="B9" s="14" t="s">
        <v>0</v>
      </c>
      <c r="C9" s="14" t="s">
        <v>1</v>
      </c>
    </row>
    <row r="10" spans="1:3" x14ac:dyDescent="0.35">
      <c r="A10" s="14" t="s">
        <v>2</v>
      </c>
      <c r="B10">
        <v>9040.0885641234017</v>
      </c>
      <c r="C10">
        <v>1460.327612304688</v>
      </c>
    </row>
    <row r="11" spans="1:3" x14ac:dyDescent="0.35">
      <c r="A11" s="14" t="s">
        <v>3</v>
      </c>
      <c r="B11">
        <v>21453.833367756612</v>
      </c>
      <c r="C11">
        <v>3465.6325581868518</v>
      </c>
    </row>
    <row r="12" spans="1:3" x14ac:dyDescent="0.35">
      <c r="A12" s="14" t="s">
        <v>4</v>
      </c>
      <c r="B12">
        <v>10283.122143650909</v>
      </c>
      <c r="C12">
        <v>10138.18233633714</v>
      </c>
    </row>
    <row r="13" spans="1:3" x14ac:dyDescent="0.35">
      <c r="A13" s="14" t="s">
        <v>5</v>
      </c>
      <c r="B13">
        <v>673.9451285199857</v>
      </c>
      <c r="C13">
        <v>664.44592431885246</v>
      </c>
    </row>
    <row r="14" spans="1:3" x14ac:dyDescent="0.35">
      <c r="A14" s="14" t="s">
        <v>6</v>
      </c>
      <c r="B14">
        <v>617.9085048261187</v>
      </c>
      <c r="C14">
        <v>2517.4050196619669</v>
      </c>
    </row>
    <row r="15" spans="1:3" x14ac:dyDescent="0.35">
      <c r="A15" s="14" t="s">
        <v>7</v>
      </c>
      <c r="B15">
        <v>596.9294370296692</v>
      </c>
      <c r="C15">
        <v>1.8398580531549451</v>
      </c>
    </row>
    <row r="17" spans="1:3" x14ac:dyDescent="0.35">
      <c r="B17" s="14" t="s">
        <v>0</v>
      </c>
      <c r="C17" s="14" t="s">
        <v>1</v>
      </c>
    </row>
    <row r="18" spans="1:3" x14ac:dyDescent="0.35">
      <c r="A18" s="14" t="s">
        <v>2</v>
      </c>
      <c r="B18">
        <v>0</v>
      </c>
      <c r="C18">
        <v>0</v>
      </c>
    </row>
    <row r="19" spans="1:3" x14ac:dyDescent="0.35">
      <c r="A19" s="14" t="s">
        <v>3</v>
      </c>
      <c r="B19">
        <v>0</v>
      </c>
      <c r="C19">
        <v>0</v>
      </c>
    </row>
    <row r="20" spans="1:3" x14ac:dyDescent="0.35">
      <c r="A20" s="14" t="s">
        <v>4</v>
      </c>
      <c r="B20">
        <v>6.3572015958999903E-5</v>
      </c>
      <c r="C20">
        <v>10138.18233633715</v>
      </c>
    </row>
    <row r="21" spans="1:3" x14ac:dyDescent="0.35">
      <c r="A21" s="14" t="s">
        <v>5</v>
      </c>
      <c r="B21">
        <v>4.1664437985775802E-6</v>
      </c>
      <c r="C21">
        <v>664.44592431885258</v>
      </c>
    </row>
    <row r="22" spans="1:3" x14ac:dyDescent="0.35">
      <c r="A22" s="14" t="s">
        <v>6</v>
      </c>
      <c r="B22">
        <v>617.9085048261187</v>
      </c>
      <c r="C22">
        <v>2517.4050196619669</v>
      </c>
    </row>
    <row r="23" spans="1:3" x14ac:dyDescent="0.35">
      <c r="A23" s="14" t="s">
        <v>7</v>
      </c>
      <c r="B23">
        <v>6.7330993765650612E-13</v>
      </c>
      <c r="C23">
        <v>1.839858053154936</v>
      </c>
    </row>
    <row r="25" spans="1:3" x14ac:dyDescent="0.35">
      <c r="B25" s="14" t="s">
        <v>0</v>
      </c>
      <c r="C25" s="14" t="s">
        <v>1</v>
      </c>
    </row>
    <row r="26" spans="1:3" x14ac:dyDescent="0.35">
      <c r="A26" s="14" t="s">
        <v>2</v>
      </c>
      <c r="B26">
        <v>-14201.79410631744</v>
      </c>
      <c r="C26">
        <v>-2294.1447896901659</v>
      </c>
    </row>
    <row r="27" spans="1:3" x14ac:dyDescent="0.35">
      <c r="A27" s="14" t="s">
        <v>3</v>
      </c>
      <c r="B27">
        <v>-33703.53311463014</v>
      </c>
      <c r="C27">
        <v>-5444.4378161125269</v>
      </c>
    </row>
    <row r="28" spans="1:3" x14ac:dyDescent="0.35">
      <c r="A28" s="14" t="s">
        <v>4</v>
      </c>
      <c r="B28">
        <v>-12803.539987276419</v>
      </c>
      <c r="C28">
        <v>-12623.07508636734</v>
      </c>
    </row>
    <row r="29" spans="1:3" x14ac:dyDescent="0.35">
      <c r="A29" s="14" t="s">
        <v>5</v>
      </c>
      <c r="B29">
        <v>-1110.816245963963</v>
      </c>
      <c r="C29">
        <v>-1095.159377320191</v>
      </c>
    </row>
    <row r="30" spans="1:3" x14ac:dyDescent="0.35">
      <c r="A30" s="14" t="s">
        <v>6</v>
      </c>
      <c r="B30">
        <v>-880.77758095897184</v>
      </c>
      <c r="C30">
        <v>-3588.353107610626</v>
      </c>
    </row>
    <row r="31" spans="1:3" x14ac:dyDescent="0.35">
      <c r="A31" s="14" t="s">
        <v>7</v>
      </c>
      <c r="B31">
        <v>-341.65522836135642</v>
      </c>
      <c r="C31">
        <v>-1.0530509710344369</v>
      </c>
    </row>
    <row r="33" spans="1:3" x14ac:dyDescent="0.35">
      <c r="B33" s="14" t="s">
        <v>0</v>
      </c>
      <c r="C33" s="14" t="s">
        <v>1</v>
      </c>
    </row>
    <row r="34" spans="1:3" x14ac:dyDescent="0.35">
      <c r="A34" s="14" t="s">
        <v>2</v>
      </c>
      <c r="B34">
        <v>-12383.715873569179</v>
      </c>
      <c r="C34">
        <v>-2000.454100071368</v>
      </c>
    </row>
    <row r="35" spans="1:3" x14ac:dyDescent="0.35">
      <c r="A35" s="14" t="s">
        <v>3</v>
      </c>
      <c r="B35">
        <v>-29388.890931839891</v>
      </c>
      <c r="C35">
        <v>-4747.4544766186491</v>
      </c>
    </row>
    <row r="36" spans="1:3" x14ac:dyDescent="0.35">
      <c r="A36" s="14" t="s">
        <v>4</v>
      </c>
      <c r="B36">
        <v>-14086.50640226374</v>
      </c>
      <c r="C36">
        <v>-13887.958189459639</v>
      </c>
    </row>
    <row r="37" spans="1:3" x14ac:dyDescent="0.35">
      <c r="A37" s="14" t="s">
        <v>5</v>
      </c>
      <c r="B37">
        <v>-923.21496856649946</v>
      </c>
      <c r="C37">
        <v>-910.2023253455078</v>
      </c>
    </row>
    <row r="38" spans="1:3" x14ac:dyDescent="0.35">
      <c r="A38" s="14" t="s">
        <v>6</v>
      </c>
      <c r="B38">
        <v>-846.4522572000003</v>
      </c>
      <c r="C38">
        <v>-3448.5091960000009</v>
      </c>
    </row>
    <row r="39" spans="1:3" x14ac:dyDescent="0.35">
      <c r="A39" s="14" t="s">
        <v>7</v>
      </c>
      <c r="B39">
        <v>-971.03510743412505</v>
      </c>
      <c r="C39">
        <v>-2.992927893117213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/>
  </sheetViews>
  <sheetFormatPr defaultRowHeight="14.5" x14ac:dyDescent="0.35"/>
  <sheetData>
    <row r="1" spans="1:3" x14ac:dyDescent="0.35">
      <c r="B1" s="14" t="s">
        <v>0</v>
      </c>
      <c r="C1" s="14" t="s">
        <v>1</v>
      </c>
    </row>
    <row r="2" spans="1:3" x14ac:dyDescent="0.35">
      <c r="A2" s="14" t="s">
        <v>2</v>
      </c>
      <c r="B2">
        <v>62647.378230797251</v>
      </c>
      <c r="C2">
        <v>10120</v>
      </c>
    </row>
    <row r="3" spans="1:3" x14ac:dyDescent="0.35">
      <c r="A3" s="14" t="s">
        <v>3</v>
      </c>
      <c r="B3">
        <v>148674.03167091371</v>
      </c>
      <c r="C3">
        <v>24016.66666666669</v>
      </c>
    </row>
    <row r="4" spans="1:3" x14ac:dyDescent="0.35">
      <c r="A4" s="14" t="s">
        <v>4</v>
      </c>
      <c r="B4">
        <v>10093.333395732039</v>
      </c>
      <c r="C4">
        <v>9951.0686460680281</v>
      </c>
    </row>
    <row r="5" spans="1:3" x14ac:dyDescent="0.35">
      <c r="A5" s="14" t="s">
        <v>5</v>
      </c>
      <c r="B5">
        <v>837800.00517942256</v>
      </c>
      <c r="C5">
        <v>825991.27922811732</v>
      </c>
    </row>
    <row r="6" spans="1:3" x14ac:dyDescent="0.35">
      <c r="A6" s="14" t="s">
        <v>6</v>
      </c>
      <c r="B6">
        <v>39321450</v>
      </c>
      <c r="C6">
        <v>160198500</v>
      </c>
    </row>
    <row r="7" spans="1:3" x14ac:dyDescent="0.35">
      <c r="A7" s="14" t="s">
        <v>7</v>
      </c>
      <c r="B7">
        <v>2664.6400000000031</v>
      </c>
      <c r="C7">
        <v>8.212962971224897</v>
      </c>
    </row>
    <row r="9" spans="1:3" x14ac:dyDescent="0.35">
      <c r="B9" s="14" t="s">
        <v>0</v>
      </c>
      <c r="C9" s="14" t="s">
        <v>1</v>
      </c>
    </row>
    <row r="10" spans="1:3" x14ac:dyDescent="0.35">
      <c r="A10" s="14" t="s">
        <v>2</v>
      </c>
      <c r="B10">
        <v>9040.0880111100196</v>
      </c>
      <c r="C10">
        <v>1460.327522971415</v>
      </c>
    </row>
    <row r="11" spans="1:3" x14ac:dyDescent="0.35">
      <c r="A11" s="14" t="s">
        <v>3</v>
      </c>
      <c r="B11">
        <v>21453.832055351671</v>
      </c>
      <c r="C11">
        <v>3465.6323461821662</v>
      </c>
    </row>
    <row r="12" spans="1:3" x14ac:dyDescent="0.35">
      <c r="A12" s="14" t="s">
        <v>4</v>
      </c>
      <c r="B12">
        <v>10304.31633301607</v>
      </c>
      <c r="C12">
        <v>10159.077795250611</v>
      </c>
    </row>
    <row r="13" spans="1:3" x14ac:dyDescent="0.35">
      <c r="A13" s="14" t="s">
        <v>5</v>
      </c>
      <c r="B13">
        <v>673.94514469111107</v>
      </c>
      <c r="C13">
        <v>664.44594026204743</v>
      </c>
    </row>
    <row r="14" spans="1:3" x14ac:dyDescent="0.35">
      <c r="A14" s="14" t="s">
        <v>6</v>
      </c>
      <c r="B14">
        <v>617.9085048261187</v>
      </c>
      <c r="C14">
        <v>2517.4050196619669</v>
      </c>
    </row>
    <row r="15" spans="1:3" x14ac:dyDescent="0.35">
      <c r="A15" s="14" t="s">
        <v>7</v>
      </c>
      <c r="B15">
        <v>1233.325283119151</v>
      </c>
      <c r="C15">
        <v>3.8013596139564969</v>
      </c>
    </row>
    <row r="17" spans="1:3" x14ac:dyDescent="0.35">
      <c r="B17" s="14" t="s">
        <v>0</v>
      </c>
      <c r="C17" s="14" t="s">
        <v>1</v>
      </c>
    </row>
    <row r="18" spans="1:3" x14ac:dyDescent="0.35">
      <c r="A18" s="14" t="s">
        <v>2</v>
      </c>
      <c r="B18">
        <v>0</v>
      </c>
      <c r="C18">
        <v>0</v>
      </c>
    </row>
    <row r="19" spans="1:3" x14ac:dyDescent="0.35">
      <c r="A19" s="14" t="s">
        <v>3</v>
      </c>
      <c r="B19">
        <v>0</v>
      </c>
      <c r="C19">
        <v>0</v>
      </c>
    </row>
    <row r="20" spans="1:3" x14ac:dyDescent="0.35">
      <c r="A20" s="14" t="s">
        <v>4</v>
      </c>
      <c r="B20">
        <v>6.3703042054551271E-5</v>
      </c>
      <c r="C20">
        <v>10159.07779525062</v>
      </c>
    </row>
    <row r="21" spans="1:3" x14ac:dyDescent="0.35">
      <c r="A21" s="14" t="s">
        <v>5</v>
      </c>
      <c r="B21">
        <v>4.1664438985502379E-6</v>
      </c>
      <c r="C21">
        <v>664.44594026204743</v>
      </c>
    </row>
    <row r="22" spans="1:3" x14ac:dyDescent="0.35">
      <c r="A22" s="14" t="s">
        <v>6</v>
      </c>
      <c r="B22">
        <v>617.9085048261187</v>
      </c>
      <c r="C22">
        <v>2517.4050196619669</v>
      </c>
    </row>
    <row r="23" spans="1:3" x14ac:dyDescent="0.35">
      <c r="A23" s="14" t="s">
        <v>7</v>
      </c>
      <c r="B23">
        <v>1.391136234827492E-12</v>
      </c>
      <c r="C23">
        <v>3.80135961395648</v>
      </c>
    </row>
    <row r="25" spans="1:3" x14ac:dyDescent="0.35">
      <c r="B25" s="14" t="s">
        <v>0</v>
      </c>
      <c r="C25" s="14" t="s">
        <v>1</v>
      </c>
    </row>
    <row r="26" spans="1:3" x14ac:dyDescent="0.35">
      <c r="A26" s="14" t="s">
        <v>2</v>
      </c>
      <c r="B26">
        <v>-8165.0195044993134</v>
      </c>
      <c r="C26">
        <v>-1318.969759294929</v>
      </c>
    </row>
    <row r="27" spans="1:3" x14ac:dyDescent="0.35">
      <c r="A27" s="14" t="s">
        <v>3</v>
      </c>
      <c r="B27">
        <v>-19377.129621184959</v>
      </c>
      <c r="C27">
        <v>-3130.163740355727</v>
      </c>
    </row>
    <row r="28" spans="1:3" x14ac:dyDescent="0.35">
      <c r="A28" s="14" t="s">
        <v>4</v>
      </c>
      <c r="B28">
        <v>-6007.1679693463657</v>
      </c>
      <c r="C28">
        <v>-5922.497403752036</v>
      </c>
    </row>
    <row r="29" spans="1:3" x14ac:dyDescent="0.35">
      <c r="A29" s="14" t="s">
        <v>5</v>
      </c>
      <c r="B29">
        <v>-666.23192998843444</v>
      </c>
      <c r="C29">
        <v>-656.8414427210613</v>
      </c>
    </row>
    <row r="30" spans="1:3" x14ac:dyDescent="0.35">
      <c r="A30" s="14" t="s">
        <v>6</v>
      </c>
      <c r="B30">
        <v>-471.9530767777573</v>
      </c>
      <c r="C30">
        <v>-1922.7717942797531</v>
      </c>
    </row>
    <row r="31" spans="1:3" x14ac:dyDescent="0.35">
      <c r="A31" s="14" t="s">
        <v>7</v>
      </c>
      <c r="B31">
        <v>-137.6390740422809</v>
      </c>
      <c r="C31">
        <v>-0.42423164799107349</v>
      </c>
    </row>
    <row r="33" spans="1:3" x14ac:dyDescent="0.35">
      <c r="B33" s="14" t="s">
        <v>0</v>
      </c>
      <c r="C33" s="14" t="s">
        <v>1</v>
      </c>
    </row>
    <row r="34" spans="1:3" x14ac:dyDescent="0.35">
      <c r="A34" s="14" t="s">
        <v>2</v>
      </c>
      <c r="B34">
        <v>-4485.6629758912504</v>
      </c>
      <c r="C34">
        <v>-724.60988149865534</v>
      </c>
    </row>
    <row r="35" spans="1:3" x14ac:dyDescent="0.35">
      <c r="A35" s="14" t="s">
        <v>3</v>
      </c>
      <c r="B35">
        <v>-10645.323366698431</v>
      </c>
      <c r="C35">
        <v>-1719.6357694986229</v>
      </c>
    </row>
    <row r="36" spans="1:3" x14ac:dyDescent="0.35">
      <c r="A36" s="14" t="s">
        <v>4</v>
      </c>
      <c r="B36">
        <v>-5111.2556679984818</v>
      </c>
      <c r="C36">
        <v>-5039.2129166529176</v>
      </c>
    </row>
    <row r="37" spans="1:3" x14ac:dyDescent="0.35">
      <c r="A37" s="14" t="s">
        <v>5</v>
      </c>
      <c r="B37">
        <v>-334.4094168153573</v>
      </c>
      <c r="C37">
        <v>-329.69594207879112</v>
      </c>
    </row>
    <row r="38" spans="1:3" x14ac:dyDescent="0.35">
      <c r="A38" s="14" t="s">
        <v>6</v>
      </c>
      <c r="B38">
        <v>-306.60422039280007</v>
      </c>
      <c r="C38">
        <v>-1249.1283053040011</v>
      </c>
    </row>
    <row r="39" spans="1:3" x14ac:dyDescent="0.35">
      <c r="A39" s="14" t="s">
        <v>7</v>
      </c>
      <c r="B39">
        <v>-713.85799682100696</v>
      </c>
      <c r="C39">
        <v>-2.2002556797930319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/>
  </sheetViews>
  <sheetFormatPr defaultRowHeight="14.5" x14ac:dyDescent="0.35"/>
  <sheetData>
    <row r="1" spans="1:3" x14ac:dyDescent="0.35">
      <c r="B1" s="14" t="s">
        <v>0</v>
      </c>
      <c r="C1" s="14" t="s">
        <v>1</v>
      </c>
    </row>
    <row r="2" spans="1:3" x14ac:dyDescent="0.35">
      <c r="A2" s="14" t="s">
        <v>2</v>
      </c>
      <c r="B2">
        <v>62647.378230797251</v>
      </c>
      <c r="C2">
        <v>10120</v>
      </c>
    </row>
    <row r="3" spans="1:3" x14ac:dyDescent="0.35">
      <c r="A3" s="14" t="s">
        <v>3</v>
      </c>
      <c r="B3">
        <v>148674.03167091371</v>
      </c>
      <c r="C3">
        <v>24016.66666666669</v>
      </c>
    </row>
    <row r="4" spans="1:3" x14ac:dyDescent="0.35">
      <c r="A4" s="14" t="s">
        <v>4</v>
      </c>
      <c r="B4">
        <v>10093.333395732039</v>
      </c>
      <c r="C4">
        <v>9951.0686460680281</v>
      </c>
    </row>
    <row r="5" spans="1:3" x14ac:dyDescent="0.35">
      <c r="A5" s="14" t="s">
        <v>5</v>
      </c>
      <c r="B5">
        <v>837800.00517942256</v>
      </c>
      <c r="C5">
        <v>825991.27922811732</v>
      </c>
    </row>
    <row r="6" spans="1:3" x14ac:dyDescent="0.35">
      <c r="A6" s="14" t="s">
        <v>6</v>
      </c>
      <c r="B6">
        <v>39321450</v>
      </c>
      <c r="C6">
        <v>160198500</v>
      </c>
    </row>
    <row r="7" spans="1:3" x14ac:dyDescent="0.35">
      <c r="A7" s="14" t="s">
        <v>7</v>
      </c>
      <c r="B7">
        <v>2664.6400000000031</v>
      </c>
      <c r="C7">
        <v>8.212962971224897</v>
      </c>
    </row>
    <row r="9" spans="1:3" x14ac:dyDescent="0.35">
      <c r="B9" s="14" t="s">
        <v>0</v>
      </c>
      <c r="C9" s="14" t="s">
        <v>1</v>
      </c>
    </row>
    <row r="10" spans="1:3" x14ac:dyDescent="0.35">
      <c r="A10" s="14" t="s">
        <v>2</v>
      </c>
      <c r="B10">
        <v>9040.0886626721749</v>
      </c>
      <c r="C10">
        <v>1460.327628224165</v>
      </c>
    </row>
    <row r="11" spans="1:3" x14ac:dyDescent="0.35">
      <c r="A11" s="14" t="s">
        <v>3</v>
      </c>
      <c r="B11">
        <v>21453.833601631421</v>
      </c>
      <c r="C11">
        <v>3465.6325959667752</v>
      </c>
    </row>
    <row r="12" spans="1:3" x14ac:dyDescent="0.35">
      <c r="A12" s="14" t="s">
        <v>4</v>
      </c>
      <c r="B12">
        <v>10314.478092107091</v>
      </c>
      <c r="C12">
        <v>10169.09632513711</v>
      </c>
    </row>
    <row r="13" spans="1:3" x14ac:dyDescent="0.35">
      <c r="A13" s="14" t="s">
        <v>5</v>
      </c>
      <c r="B13">
        <v>673.9451436491571</v>
      </c>
      <c r="C13">
        <v>664.4459392347793</v>
      </c>
    </row>
    <row r="14" spans="1:3" x14ac:dyDescent="0.35">
      <c r="A14" s="14" t="s">
        <v>6</v>
      </c>
      <c r="B14">
        <v>617.9085048261187</v>
      </c>
      <c r="C14">
        <v>2517.4050196619669</v>
      </c>
    </row>
    <row r="15" spans="1:3" x14ac:dyDescent="0.35">
      <c r="A15" s="14" t="s">
        <v>7</v>
      </c>
      <c r="B15">
        <v>1538.4779304888391</v>
      </c>
      <c r="C15">
        <v>4.7419021988529524</v>
      </c>
    </row>
    <row r="17" spans="1:3" x14ac:dyDescent="0.35">
      <c r="B17" s="14" t="s">
        <v>0</v>
      </c>
      <c r="C17" s="14" t="s">
        <v>1</v>
      </c>
    </row>
    <row r="18" spans="1:3" x14ac:dyDescent="0.35">
      <c r="A18" s="14" t="s">
        <v>2</v>
      </c>
      <c r="B18">
        <v>0</v>
      </c>
      <c r="C18">
        <v>0</v>
      </c>
    </row>
    <row r="19" spans="1:3" x14ac:dyDescent="0.35">
      <c r="A19" s="14" t="s">
        <v>3</v>
      </c>
      <c r="B19">
        <v>0</v>
      </c>
      <c r="C19">
        <v>0</v>
      </c>
    </row>
    <row r="20" spans="1:3" x14ac:dyDescent="0.35">
      <c r="A20" s="14" t="s">
        <v>4</v>
      </c>
      <c r="B20">
        <v>6.3765863783407645E-5</v>
      </c>
      <c r="C20">
        <v>10169.09632513711</v>
      </c>
    </row>
    <row r="21" spans="1:3" x14ac:dyDescent="0.35">
      <c r="A21" s="14" t="s">
        <v>5</v>
      </c>
      <c r="B21">
        <v>4.1664438921086998E-6</v>
      </c>
      <c r="C21">
        <v>664.44593923477953</v>
      </c>
    </row>
    <row r="22" spans="1:3" x14ac:dyDescent="0.35">
      <c r="A22" s="14" t="s">
        <v>6</v>
      </c>
      <c r="B22">
        <v>617.9085048261187</v>
      </c>
      <c r="C22">
        <v>2517.4050196619669</v>
      </c>
    </row>
    <row r="23" spans="1:3" x14ac:dyDescent="0.35">
      <c r="A23" s="14" t="s">
        <v>7</v>
      </c>
      <c r="B23">
        <v>1.7353348908672841E-12</v>
      </c>
      <c r="C23">
        <v>4.7419021988529302</v>
      </c>
    </row>
    <row r="25" spans="1:3" x14ac:dyDescent="0.35">
      <c r="B25" s="14" t="s">
        <v>0</v>
      </c>
      <c r="C25" s="14" t="s">
        <v>1</v>
      </c>
    </row>
    <row r="26" spans="1:3" x14ac:dyDescent="0.35">
      <c r="A26" s="14" t="s">
        <v>2</v>
      </c>
      <c r="B26">
        <v>-8962.4036170175168</v>
      </c>
      <c r="C26">
        <v>-1447.778457225678</v>
      </c>
    </row>
    <row r="27" spans="1:3" x14ac:dyDescent="0.35">
      <c r="A27" s="14" t="s">
        <v>3</v>
      </c>
      <c r="B27">
        <v>-21269.47235197997</v>
      </c>
      <c r="C27">
        <v>-3435.8510488508032</v>
      </c>
    </row>
    <row r="28" spans="1:3" x14ac:dyDescent="0.35">
      <c r="A28" s="14" t="s">
        <v>4</v>
      </c>
      <c r="B28">
        <v>-6938.0734465917994</v>
      </c>
      <c r="C28">
        <v>-6840.2818406544266</v>
      </c>
    </row>
    <row r="29" spans="1:3" x14ac:dyDescent="0.35">
      <c r="A29" s="14" t="s">
        <v>5</v>
      </c>
      <c r="B29">
        <v>-726.94379274667915</v>
      </c>
      <c r="C29">
        <v>-716.69757649282531</v>
      </c>
    </row>
    <row r="30" spans="1:3" x14ac:dyDescent="0.35">
      <c r="A30" s="14" t="s">
        <v>6</v>
      </c>
      <c r="B30">
        <v>-527.39252639425195</v>
      </c>
      <c r="C30">
        <v>-2148.6362186432489</v>
      </c>
    </row>
    <row r="31" spans="1:3" x14ac:dyDescent="0.35">
      <c r="A31" s="14" t="s">
        <v>7</v>
      </c>
      <c r="B31">
        <v>-438.21181785293822</v>
      </c>
      <c r="C31">
        <v>-1.3506580377009001</v>
      </c>
    </row>
    <row r="33" spans="1:3" x14ac:dyDescent="0.35">
      <c r="B33" s="14" t="s">
        <v>0</v>
      </c>
      <c r="C33" s="14" t="s">
        <v>1</v>
      </c>
    </row>
    <row r="34" spans="1:3" x14ac:dyDescent="0.35">
      <c r="A34" s="14" t="s">
        <v>2</v>
      </c>
      <c r="B34">
        <v>-4712.2823246182788</v>
      </c>
      <c r="C34">
        <v>-761.21776316719934</v>
      </c>
    </row>
    <row r="35" spans="1:3" x14ac:dyDescent="0.35">
      <c r="A35" s="14" t="s">
        <v>3</v>
      </c>
      <c r="B35">
        <v>-11183.13377762671</v>
      </c>
      <c r="C35">
        <v>-1806.513169835205</v>
      </c>
    </row>
    <row r="36" spans="1:3" x14ac:dyDescent="0.35">
      <c r="A36" s="14" t="s">
        <v>4</v>
      </c>
      <c r="B36">
        <v>-5376.4460545171514</v>
      </c>
      <c r="C36">
        <v>-5300.6654652867019</v>
      </c>
    </row>
    <row r="37" spans="1:3" x14ac:dyDescent="0.35">
      <c r="A37" s="14" t="s">
        <v>5</v>
      </c>
      <c r="B37">
        <v>-351.30405304955298</v>
      </c>
      <c r="C37">
        <v>-346.35244972847568</v>
      </c>
    </row>
    <row r="38" spans="1:3" x14ac:dyDescent="0.35">
      <c r="A38" s="14" t="s">
        <v>6</v>
      </c>
      <c r="B38">
        <v>-322.09411544639988</v>
      </c>
      <c r="C38">
        <v>-1312.235285152</v>
      </c>
    </row>
    <row r="39" spans="1:3" x14ac:dyDescent="0.35">
      <c r="A39" s="14" t="s">
        <v>7</v>
      </c>
      <c r="B39">
        <v>-951.33643513184336</v>
      </c>
      <c r="C39">
        <v>-2.9322125746498271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/>
  </sheetViews>
  <sheetFormatPr defaultRowHeight="14.5" x14ac:dyDescent="0.35"/>
  <sheetData>
    <row r="1" spans="1:3" x14ac:dyDescent="0.35">
      <c r="B1" s="14" t="s">
        <v>0</v>
      </c>
      <c r="C1" s="14" t="s">
        <v>1</v>
      </c>
    </row>
    <row r="2" spans="1:3" x14ac:dyDescent="0.35">
      <c r="A2" s="14" t="s">
        <v>2</v>
      </c>
      <c r="B2">
        <v>62647.378230797251</v>
      </c>
      <c r="C2">
        <v>10120</v>
      </c>
    </row>
    <row r="3" spans="1:3" x14ac:dyDescent="0.35">
      <c r="A3" s="14" t="s">
        <v>3</v>
      </c>
      <c r="B3">
        <v>148674.03167091371</v>
      </c>
      <c r="C3">
        <v>24016.66666666669</v>
      </c>
    </row>
    <row r="4" spans="1:3" x14ac:dyDescent="0.35">
      <c r="A4" s="14" t="s">
        <v>4</v>
      </c>
      <c r="B4">
        <v>10093.333395732039</v>
      </c>
      <c r="C4">
        <v>9951.0686460680281</v>
      </c>
    </row>
    <row r="5" spans="1:3" x14ac:dyDescent="0.35">
      <c r="A5" s="14" t="s">
        <v>5</v>
      </c>
      <c r="B5">
        <v>837800.00517942256</v>
      </c>
      <c r="C5">
        <v>825991.27922811732</v>
      </c>
    </row>
    <row r="6" spans="1:3" x14ac:dyDescent="0.35">
      <c r="A6" s="14" t="s">
        <v>6</v>
      </c>
      <c r="B6">
        <v>39321450</v>
      </c>
      <c r="C6">
        <v>160198500</v>
      </c>
    </row>
    <row r="7" spans="1:3" x14ac:dyDescent="0.35">
      <c r="A7" s="14" t="s">
        <v>7</v>
      </c>
      <c r="B7">
        <v>2664.6400000000031</v>
      </c>
      <c r="C7">
        <v>8.212962971224897</v>
      </c>
    </row>
    <row r="9" spans="1:3" x14ac:dyDescent="0.35">
      <c r="B9" s="14" t="s">
        <v>0</v>
      </c>
      <c r="C9" s="14" t="s">
        <v>1</v>
      </c>
    </row>
    <row r="10" spans="1:3" x14ac:dyDescent="0.35">
      <c r="A10" s="14" t="s">
        <v>2</v>
      </c>
      <c r="B10">
        <v>9040.0889181690036</v>
      </c>
      <c r="C10">
        <v>1460.327669496889</v>
      </c>
    </row>
    <row r="11" spans="1:3" x14ac:dyDescent="0.35">
      <c r="A11" s="14" t="s">
        <v>3</v>
      </c>
      <c r="B11">
        <v>21453.83420797353</v>
      </c>
      <c r="C11">
        <v>3465.632693914722</v>
      </c>
    </row>
    <row r="12" spans="1:3" x14ac:dyDescent="0.35">
      <c r="A12" s="14" t="s">
        <v>4</v>
      </c>
      <c r="B12">
        <v>10300.056244584241</v>
      </c>
      <c r="C12">
        <v>10154.8777524341</v>
      </c>
    </row>
    <row r="13" spans="1:3" x14ac:dyDescent="0.35">
      <c r="A13" s="14" t="s">
        <v>5</v>
      </c>
      <c r="B13">
        <v>673.9451375788102</v>
      </c>
      <c r="C13">
        <v>664.4459332499938</v>
      </c>
    </row>
    <row r="14" spans="1:3" x14ac:dyDescent="0.35">
      <c r="A14" s="14" t="s">
        <v>6</v>
      </c>
      <c r="B14">
        <v>617.9085048261187</v>
      </c>
      <c r="C14">
        <v>2517.4050196619628</v>
      </c>
    </row>
    <row r="15" spans="1:3" x14ac:dyDescent="0.35">
      <c r="A15" s="14" t="s">
        <v>7</v>
      </c>
      <c r="B15">
        <v>1105.4248833882759</v>
      </c>
      <c r="C15">
        <v>3.4071445428795282</v>
      </c>
    </row>
    <row r="17" spans="1:3" x14ac:dyDescent="0.35">
      <c r="B17" s="14" t="s">
        <v>0</v>
      </c>
      <c r="C17" s="14" t="s">
        <v>1</v>
      </c>
    </row>
    <row r="18" spans="1:3" x14ac:dyDescent="0.35">
      <c r="A18" s="14" t="s">
        <v>2</v>
      </c>
      <c r="B18">
        <v>0</v>
      </c>
      <c r="C18">
        <v>0</v>
      </c>
    </row>
    <row r="19" spans="1:3" x14ac:dyDescent="0.35">
      <c r="A19" s="14" t="s">
        <v>3</v>
      </c>
      <c r="B19">
        <v>0</v>
      </c>
      <c r="C19">
        <v>0</v>
      </c>
    </row>
    <row r="20" spans="1:3" x14ac:dyDescent="0.35">
      <c r="A20" s="14" t="s">
        <v>4</v>
      </c>
      <c r="B20">
        <v>6.3676705460860008E-5</v>
      </c>
      <c r="C20">
        <v>10154.8777524341</v>
      </c>
    </row>
    <row r="21" spans="1:3" x14ac:dyDescent="0.35">
      <c r="A21" s="14" t="s">
        <v>5</v>
      </c>
      <c r="B21">
        <v>4.1664438545807797E-6</v>
      </c>
      <c r="C21">
        <v>664.44593324999346</v>
      </c>
    </row>
    <row r="22" spans="1:3" x14ac:dyDescent="0.35">
      <c r="A22" s="14" t="s">
        <v>6</v>
      </c>
      <c r="B22">
        <v>617.9085048261187</v>
      </c>
      <c r="C22">
        <v>2517.4050196619628</v>
      </c>
    </row>
    <row r="23" spans="1:3" x14ac:dyDescent="0.35">
      <c r="A23" s="14" t="s">
        <v>7</v>
      </c>
      <c r="B23">
        <v>1.246870254919456E-12</v>
      </c>
      <c r="C23">
        <v>3.4071445428795122</v>
      </c>
    </row>
    <row r="25" spans="1:3" x14ac:dyDescent="0.35">
      <c r="B25" s="14" t="s">
        <v>0</v>
      </c>
      <c r="C25" s="14" t="s">
        <v>1</v>
      </c>
    </row>
    <row r="26" spans="1:3" x14ac:dyDescent="0.35">
      <c r="A26" s="14" t="s">
        <v>2</v>
      </c>
      <c r="B26">
        <v>-12938.374230377591</v>
      </c>
      <c r="C26">
        <v>-2090.053102127315</v>
      </c>
    </row>
    <row r="27" spans="1:3" x14ac:dyDescent="0.35">
      <c r="A27" s="14" t="s">
        <v>3</v>
      </c>
      <c r="B27">
        <v>-30705.199713396079</v>
      </c>
      <c r="C27">
        <v>-4960.0897894688187</v>
      </c>
    </row>
    <row r="28" spans="1:3" x14ac:dyDescent="0.35">
      <c r="A28" s="14" t="s">
        <v>4</v>
      </c>
      <c r="B28">
        <v>-11436.777984002711</v>
      </c>
      <c r="C28">
        <v>-11275.57748729217</v>
      </c>
    </row>
    <row r="29" spans="1:3" x14ac:dyDescent="0.35">
      <c r="A29" s="14" t="s">
        <v>5</v>
      </c>
      <c r="B29">
        <v>-1021.408778130758</v>
      </c>
      <c r="C29">
        <v>-1007.012100796505</v>
      </c>
    </row>
    <row r="30" spans="1:3" x14ac:dyDescent="0.35">
      <c r="A30" s="14" t="s">
        <v>6</v>
      </c>
      <c r="B30">
        <v>-797.72887163732412</v>
      </c>
      <c r="C30">
        <v>-3250.0065140779861</v>
      </c>
    </row>
    <row r="31" spans="1:3" x14ac:dyDescent="0.35">
      <c r="A31" s="14" t="s">
        <v>7</v>
      </c>
      <c r="B31">
        <v>-697.63303755270965</v>
      </c>
      <c r="C31">
        <v>-2.15024705210593</v>
      </c>
    </row>
    <row r="33" spans="1:3" x14ac:dyDescent="0.35">
      <c r="B33" s="14" t="s">
        <v>0</v>
      </c>
      <c r="C33" s="14" t="s">
        <v>1</v>
      </c>
    </row>
    <row r="34" spans="1:3" x14ac:dyDescent="0.35">
      <c r="A34" s="14" t="s">
        <v>2</v>
      </c>
      <c r="B34">
        <v>-5842.3560626654389</v>
      </c>
      <c r="C34">
        <v>-943.76883796086258</v>
      </c>
    </row>
    <row r="35" spans="1:3" x14ac:dyDescent="0.35">
      <c r="A35" s="14" t="s">
        <v>3</v>
      </c>
      <c r="B35">
        <v>-13865.011670456021</v>
      </c>
      <c r="C35">
        <v>-2239.7412640013299</v>
      </c>
    </row>
    <row r="36" spans="1:3" x14ac:dyDescent="0.35">
      <c r="A36" s="14" t="s">
        <v>4</v>
      </c>
      <c r="B36">
        <v>-6655.778021209765</v>
      </c>
      <c r="C36">
        <v>-6561.9653473505005</v>
      </c>
    </row>
    <row r="37" spans="1:3" x14ac:dyDescent="0.35">
      <c r="A37" s="14" t="s">
        <v>5</v>
      </c>
      <c r="B37">
        <v>-435.55186696910289</v>
      </c>
      <c r="C37">
        <v>-429.41279725936221</v>
      </c>
    </row>
    <row r="38" spans="1:3" x14ac:dyDescent="0.35">
      <c r="A38" s="14" t="s">
        <v>6</v>
      </c>
      <c r="B38">
        <v>-399.33696211199998</v>
      </c>
      <c r="C38">
        <v>-1626.9283641599991</v>
      </c>
    </row>
    <row r="39" spans="1:3" x14ac:dyDescent="0.35">
      <c r="A39" s="14" t="s">
        <v>7</v>
      </c>
      <c r="B39">
        <v>-841.8993667858357</v>
      </c>
      <c r="C39">
        <v>-2.5949052498310272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49"/>
  <sheetViews>
    <sheetView tabSelected="1" topLeftCell="A17" workbookViewId="0">
      <selection activeCell="H11" sqref="H11"/>
    </sheetView>
  </sheetViews>
  <sheetFormatPr defaultRowHeight="14.5" x14ac:dyDescent="0.35"/>
  <cols>
    <col min="3" max="3" width="9.36328125" customWidth="1"/>
    <col min="4" max="4" width="11.81640625" customWidth="1"/>
    <col min="5" max="5" width="10.90625" customWidth="1"/>
    <col min="6" max="6" width="11.7265625" customWidth="1"/>
    <col min="7" max="7" width="9.7265625" customWidth="1"/>
    <col min="8" max="8" width="9.54296875" customWidth="1"/>
    <col min="9" max="9" width="12.54296875" customWidth="1"/>
    <col min="13" max="13" width="10.6328125" customWidth="1"/>
    <col min="14" max="14" width="10.1796875" customWidth="1"/>
    <col min="15" max="15" width="10.81640625" customWidth="1"/>
  </cols>
  <sheetData>
    <row r="3" spans="1:9" x14ac:dyDescent="0.35">
      <c r="A3" s="1" t="s">
        <v>8</v>
      </c>
    </row>
    <row r="5" spans="1:9" x14ac:dyDescent="0.35">
      <c r="C5" t="s">
        <v>9</v>
      </c>
      <c r="D5" t="s">
        <v>10</v>
      </c>
    </row>
    <row r="6" spans="1:9" x14ac:dyDescent="0.35">
      <c r="C6" s="4" t="s">
        <v>11</v>
      </c>
      <c r="D6" s="4" t="s">
        <v>11</v>
      </c>
      <c r="E6" t="s">
        <v>12</v>
      </c>
      <c r="F6" t="s">
        <v>13</v>
      </c>
      <c r="G6" t="s">
        <v>14</v>
      </c>
      <c r="H6" t="s">
        <v>7</v>
      </c>
      <c r="I6" t="s">
        <v>15</v>
      </c>
    </row>
    <row r="7" spans="1:9" x14ac:dyDescent="0.35">
      <c r="B7" t="s">
        <v>16</v>
      </c>
      <c r="C7" s="3">
        <f>SUM('WP-S'!B34:B39)/1000</f>
        <v>-58.599815540873429</v>
      </c>
      <c r="D7" s="3">
        <f>SUM('WP-S'!B26:B31)/1000</f>
        <v>-63.042116263508298</v>
      </c>
      <c r="E7" s="5">
        <f>('WP-S'!$B$26+'WP-S'!$B$27)/PaperAnalysis!D7/1000</f>
        <v>0.75989402101777803</v>
      </c>
      <c r="F7" s="5">
        <f>'WP-S'!$B$28/PaperAnalysis!D7/1000</f>
        <v>0.20309502196530327</v>
      </c>
      <c r="G7" s="6">
        <f>'WP-S'!$B$29/PaperAnalysis!D7/1000</f>
        <v>1.7620224570521835E-2</v>
      </c>
      <c r="H7" s="7">
        <f>'WP-S'!$B$31/PaperAnalysis!D7/1000</f>
        <v>5.4194758775749146E-3</v>
      </c>
      <c r="I7" s="6">
        <f>'WP-S'!$B$30/PaperAnalysis!D7/1000</f>
        <v>1.3971256568821861E-2</v>
      </c>
    </row>
    <row r="8" spans="1:9" x14ac:dyDescent="0.35">
      <c r="B8" t="s">
        <v>17</v>
      </c>
      <c r="C8" s="3">
        <f>SUM('GW-S'!B34:B39)/1000</f>
        <v>-21.597113644617327</v>
      </c>
      <c r="D8" s="3">
        <f>SUM('GW-S'!B26:B31)/1000</f>
        <v>-34.825141175839107</v>
      </c>
      <c r="E8" s="5">
        <f>('GW-S'!$B$26+'GW-S'!$B$27)/PaperAnalysis!D8/1000</f>
        <v>0.7908697049243375</v>
      </c>
      <c r="F8" s="5">
        <f>'GW-S'!$B$28/PaperAnalysis!D8/1000</f>
        <v>0.17249515052975584</v>
      </c>
      <c r="G8" s="6">
        <f>'GW-S'!$B$29/PaperAnalysis!D8/1000</f>
        <v>1.9130774707401644E-2</v>
      </c>
      <c r="H8" s="7">
        <f>'GW-S'!$B$31/PaperAnalysis!D8/1000</f>
        <v>3.95229048311143E-3</v>
      </c>
      <c r="I8" s="6">
        <f>'GW-S'!$B$30/PaperAnalysis!D8/1000</f>
        <v>1.3552079355393615E-2</v>
      </c>
    </row>
    <row r="9" spans="1:9" x14ac:dyDescent="0.35">
      <c r="B9" t="s">
        <v>18</v>
      </c>
      <c r="C9" s="3">
        <f>SUM('LR-S'!B34:B39)/1000</f>
        <v>-22.896596760389933</v>
      </c>
      <c r="D9" s="3">
        <f>SUM('LR-S'!B26:B31)/1000</f>
        <v>-38.862497552583164</v>
      </c>
      <c r="E9" s="5">
        <f>('LR-S'!$B$26+'LR-S'!$B$27)/PaperAnalysis!D9/1000</f>
        <v>0.77791901892285853</v>
      </c>
      <c r="F9" s="5">
        <f>'LR-S'!$B$28/PaperAnalysis!D9/1000</f>
        <v>0.1785287586626205</v>
      </c>
      <c r="G9" s="6">
        <f>'LR-S'!$B$29/PaperAnalysis!D9/1000</f>
        <v>1.8705534603458848E-2</v>
      </c>
      <c r="H9" s="6">
        <f>'LR-S'!$B$31/PaperAnalysis!D9/1000</f>
        <v>1.1275956138948938E-2</v>
      </c>
      <c r="I9" s="6">
        <f>'LR-S'!$B$30/PaperAnalysis!D9/1000</f>
        <v>1.3570731672112939E-2</v>
      </c>
    </row>
    <row r="10" spans="1:9" x14ac:dyDescent="0.35">
      <c r="B10" t="s">
        <v>19</v>
      </c>
      <c r="C10" s="3">
        <f>SUM('WL-S'!B34:B39)/1000</f>
        <v>-28.039933950198161</v>
      </c>
      <c r="D10" s="3">
        <f>SUM('WL-S'!B26:B31)/1000</f>
        <v>-57.597122615097177</v>
      </c>
      <c r="E10" s="5">
        <f>('WL-S'!$B$26+'WL-S'!$B$27)/PaperAnalysis!D10/1000</f>
        <v>0.75773878906120828</v>
      </c>
      <c r="F10" s="5">
        <f>'WL-S'!$B$28/PaperAnalysis!D10/1000</f>
        <v>0.19856509257295674</v>
      </c>
      <c r="G10" s="6">
        <f>'WL-S'!$B$29/PaperAnalysis!D10/1000</f>
        <v>1.7733677165724066E-2</v>
      </c>
      <c r="H10" s="6">
        <f>'WL-S'!$B$31/PaperAnalysis!D10/1000</f>
        <v>1.2112289744311781E-2</v>
      </c>
      <c r="I10" s="6">
        <f>'WL-S'!$B$30/PaperAnalysis!D10/1000</f>
        <v>1.3850151455799044E-2</v>
      </c>
    </row>
    <row r="12" spans="1:9" x14ac:dyDescent="0.35">
      <c r="C12" t="s">
        <v>20</v>
      </c>
    </row>
    <row r="13" spans="1:9" x14ac:dyDescent="0.35">
      <c r="B13" t="s">
        <v>16</v>
      </c>
      <c r="C13" s="2">
        <f>C7-D7</f>
        <v>4.4423007226348687</v>
      </c>
    </row>
    <row r="14" spans="1:9" x14ac:dyDescent="0.35">
      <c r="B14" t="s">
        <v>17</v>
      </c>
      <c r="C14" s="2">
        <f>C8-D8</f>
        <v>13.22802753122178</v>
      </c>
    </row>
    <row r="15" spans="1:9" x14ac:dyDescent="0.35">
      <c r="B15" t="s">
        <v>18</v>
      </c>
      <c r="C15" s="2">
        <f>C9-D9</f>
        <v>15.965900792193231</v>
      </c>
    </row>
    <row r="16" spans="1:9" x14ac:dyDescent="0.35">
      <c r="B16" t="s">
        <v>19</v>
      </c>
      <c r="C16" s="2">
        <f>C10-D10</f>
        <v>29.557188664899016</v>
      </c>
    </row>
    <row r="19" spans="1:19" x14ac:dyDescent="0.35">
      <c r="A19" s="1" t="s">
        <v>21</v>
      </c>
    </row>
    <row r="20" spans="1:19" x14ac:dyDescent="0.35">
      <c r="B20" s="1" t="s">
        <v>22</v>
      </c>
    </row>
    <row r="21" spans="1:19" x14ac:dyDescent="0.35">
      <c r="B21" s="9" t="s">
        <v>0</v>
      </c>
      <c r="C21" t="s">
        <v>23</v>
      </c>
      <c r="D21" t="s">
        <v>12</v>
      </c>
      <c r="E21" t="s">
        <v>13</v>
      </c>
      <c r="F21" t="s">
        <v>14</v>
      </c>
      <c r="G21" t="s">
        <v>7</v>
      </c>
      <c r="H21" t="s">
        <v>15</v>
      </c>
      <c r="J21" s="1" t="s">
        <v>40</v>
      </c>
      <c r="K21" t="s">
        <v>41</v>
      </c>
      <c r="L21" t="s">
        <v>42</v>
      </c>
      <c r="M21" t="s">
        <v>44</v>
      </c>
      <c r="N21" s="1" t="s">
        <v>43</v>
      </c>
      <c r="O21" t="s">
        <v>47</v>
      </c>
      <c r="P21" t="s">
        <v>44</v>
      </c>
      <c r="Q21" s="1" t="s">
        <v>45</v>
      </c>
    </row>
    <row r="22" spans="1:19" x14ac:dyDescent="0.35">
      <c r="B22" t="s">
        <v>16</v>
      </c>
      <c r="C22" s="15">
        <f>SUM('WP-S'!$B$10:$B$15)</f>
        <v>42665.827145906696</v>
      </c>
      <c r="D22" s="16">
        <f>('WP-S'!$B$10+'WP-S'!$B$11)/PaperAnalysis!C22</f>
        <v>0.71471535820923515</v>
      </c>
      <c r="E22" s="16">
        <f>'WP-S'!$B$12/PaperAnalysis!C22</f>
        <v>0.2410154175257202</v>
      </c>
      <c r="F22" s="16">
        <f>'WP-S'!$B$13/PaperAnalysis!C22</f>
        <v>1.5795899754041054E-2</v>
      </c>
      <c r="G22" s="16">
        <f>'WP-S'!$B$15/PaperAnalysis!C22</f>
        <v>1.3990808967287017E-2</v>
      </c>
      <c r="H22" s="16">
        <f>'WP-S'!$B$14/PaperAnalysis!C22</f>
        <v>1.4482515543716584E-2</v>
      </c>
      <c r="J22" t="s">
        <v>16</v>
      </c>
      <c r="K22">
        <v>0.5</v>
      </c>
      <c r="L22" s="18">
        <f>C22*K22</f>
        <v>21332.913572953348</v>
      </c>
      <c r="M22">
        <f>0.25</f>
        <v>0.25</v>
      </c>
      <c r="N22" s="18">
        <f>L22/M22</f>
        <v>85331.654291813393</v>
      </c>
      <c r="O22" s="18">
        <f>N22/25</f>
        <v>3413.2661716725356</v>
      </c>
      <c r="P22" t="s">
        <v>46</v>
      </c>
    </row>
    <row r="23" spans="1:19" x14ac:dyDescent="0.35">
      <c r="B23" t="s">
        <v>17</v>
      </c>
      <c r="C23" s="15">
        <f>SUM('GW-S'!$B$10:$B$15)</f>
        <v>43323.415332114142</v>
      </c>
      <c r="D23" s="16">
        <f>('GW-S'!$B$10+'GW-S'!$B$11)/PaperAnalysis!C23</f>
        <v>0.70386694660837623</v>
      </c>
      <c r="E23" s="16">
        <f>'GW-S'!$B$12/PaperAnalysis!C23</f>
        <v>0.2378463529254084</v>
      </c>
      <c r="F23" s="16">
        <f>'GW-S'!$B$13/PaperAnalysis!C23</f>
        <v>1.5556140704159558E-2</v>
      </c>
      <c r="G23" s="16">
        <f>'GW-S'!$B$15/PaperAnalysis!C23</f>
        <v>2.8467868326275049E-2</v>
      </c>
      <c r="H23" s="16">
        <f>'GW-S'!$B$14/PaperAnalysis!C23</f>
        <v>1.4262691435780794E-2</v>
      </c>
      <c r="J23" t="s">
        <v>17</v>
      </c>
      <c r="K23">
        <v>0.24199999999999999</v>
      </c>
      <c r="L23" s="18">
        <f t="shared" ref="L23:L25" si="0">C23*K23</f>
        <v>10484.266510371623</v>
      </c>
      <c r="M23">
        <f t="shared" ref="M23:M25" si="1">0.25</f>
        <v>0.25</v>
      </c>
      <c r="N23" s="18">
        <f t="shared" ref="N23:N25" si="2">L23/M23</f>
        <v>41937.066041486491</v>
      </c>
      <c r="O23" s="18">
        <f t="shared" ref="O23:O25" si="3">N23/25</f>
        <v>1677.4826416594597</v>
      </c>
      <c r="P23" t="s">
        <v>46</v>
      </c>
    </row>
    <row r="24" spans="1:19" x14ac:dyDescent="0.35">
      <c r="B24" t="s">
        <v>18</v>
      </c>
      <c r="C24" s="15">
        <f>SUM('LR-S'!$B$10:$B$15)</f>
        <v>43638.731935374803</v>
      </c>
      <c r="D24" s="16">
        <f>('LR-S'!$B$10+'LR-S'!$B$11)/PaperAnalysis!C24</f>
        <v>0.69878112657953639</v>
      </c>
      <c r="E24" s="16">
        <f>'LR-S'!$B$12/PaperAnalysis!C24</f>
        <v>0.23636062815440978</v>
      </c>
      <c r="F24" s="16">
        <f>'LR-S'!$B$13/PaperAnalysis!C24</f>
        <v>1.5443738022617424E-2</v>
      </c>
      <c r="G24" s="16">
        <f>'LR-S'!$B$15/PaperAnalysis!C24</f>
        <v>3.5254872501043158E-2</v>
      </c>
      <c r="H24" s="16">
        <f>'LR-S'!$B$14/PaperAnalysis!C24</f>
        <v>1.4159634742393247E-2</v>
      </c>
      <c r="J24" t="s">
        <v>18</v>
      </c>
      <c r="K24">
        <v>0.19400000000000001</v>
      </c>
      <c r="L24" s="18">
        <f t="shared" si="0"/>
        <v>8465.9139954627117</v>
      </c>
      <c r="M24">
        <f t="shared" si="1"/>
        <v>0.25</v>
      </c>
      <c r="N24" s="18">
        <f t="shared" si="2"/>
        <v>33863.655981850847</v>
      </c>
      <c r="O24" s="18">
        <f t="shared" si="3"/>
        <v>1354.546239274034</v>
      </c>
      <c r="P24">
        <v>0.5</v>
      </c>
      <c r="Q24" s="18">
        <f>N24/P24</f>
        <v>67727.311963701693</v>
      </c>
      <c r="R24" t="s">
        <v>48</v>
      </c>
      <c r="S24" s="18">
        <f>Q24/25</f>
        <v>2709.0924785480679</v>
      </c>
    </row>
    <row r="25" spans="1:19" x14ac:dyDescent="0.35">
      <c r="B25" t="s">
        <v>19</v>
      </c>
      <c r="C25" s="15">
        <f>SUM('WL-S'!$B$10:$B$15)</f>
        <v>43191.257896519979</v>
      </c>
      <c r="D25" s="16">
        <f>('WL-S'!$B$10+'WL-S'!$B$11)/PaperAnalysis!C25</f>
        <v>0.70602072297133767</v>
      </c>
      <c r="E25" s="16">
        <f>'WL-S'!$B$12/PaperAnalysis!C25</f>
        <v>0.23847548661957679</v>
      </c>
      <c r="F25" s="16">
        <f>'WL-S'!$B$13/PaperAnalysis!C25</f>
        <v>1.5603739515841042E-2</v>
      </c>
      <c r="G25" s="16">
        <f>'WL-S'!$B$15/PaperAnalysis!C25</f>
        <v>2.5593718201880444E-2</v>
      </c>
      <c r="H25" s="16">
        <f>'WL-S'!$B$14/PaperAnalysis!C25</f>
        <v>1.4306332691364033E-2</v>
      </c>
      <c r="J25" t="s">
        <v>19</v>
      </c>
      <c r="K25">
        <v>0.27</v>
      </c>
      <c r="L25" s="18">
        <f t="shared" si="0"/>
        <v>11661.639632060394</v>
      </c>
      <c r="M25">
        <f t="shared" si="1"/>
        <v>0.25</v>
      </c>
      <c r="N25" s="18">
        <f t="shared" si="2"/>
        <v>46646.558528241578</v>
      </c>
      <c r="O25" s="18">
        <f t="shared" si="3"/>
        <v>1865.862341129663</v>
      </c>
      <c r="P25">
        <v>9.1999999999999993</v>
      </c>
      <c r="Q25" s="18">
        <f>N25/P25/25</f>
        <v>202.81112403583293</v>
      </c>
      <c r="R25" t="s">
        <v>48</v>
      </c>
    </row>
    <row r="26" spans="1:19" x14ac:dyDescent="0.35">
      <c r="C26" s="15"/>
    </row>
    <row r="27" spans="1:19" x14ac:dyDescent="0.35">
      <c r="B27" t="s">
        <v>24</v>
      </c>
      <c r="C27" s="15">
        <f t="shared" ref="C27:H27" si="4">AVERAGE(C22:C25)</f>
        <v>43204.808077478905</v>
      </c>
      <c r="D27" s="17">
        <f t="shared" si="4"/>
        <v>0.70584603859212136</v>
      </c>
      <c r="E27" s="17">
        <f t="shared" si="4"/>
        <v>0.23842447130627881</v>
      </c>
      <c r="F27" s="17">
        <f t="shared" si="4"/>
        <v>1.5599879499164769E-2</v>
      </c>
      <c r="G27" s="17">
        <f t="shared" si="4"/>
        <v>2.5826816999121417E-2</v>
      </c>
      <c r="H27" s="17">
        <f t="shared" si="4"/>
        <v>1.4302793603313664E-2</v>
      </c>
    </row>
    <row r="28" spans="1:19" x14ac:dyDescent="0.35">
      <c r="B28" t="s">
        <v>25</v>
      </c>
      <c r="C28" s="16">
        <f>_xlfn.STDEV.P(C22:C25)/C27</f>
        <v>8.1260544289683857E-3</v>
      </c>
      <c r="F28" s="17">
        <f>SUM(F27:H27)</f>
        <v>5.5729490101599853E-2</v>
      </c>
    </row>
    <row r="29" spans="1:19" x14ac:dyDescent="0.35">
      <c r="B29" t="s">
        <v>39</v>
      </c>
      <c r="C29" s="15">
        <f>C27/25</f>
        <v>1728.1923230991563</v>
      </c>
    </row>
    <row r="31" spans="1:19" x14ac:dyDescent="0.35">
      <c r="B31" s="9" t="s">
        <v>26</v>
      </c>
      <c r="C31" t="s">
        <v>23</v>
      </c>
      <c r="D31" t="s">
        <v>12</v>
      </c>
      <c r="E31" t="s">
        <v>13</v>
      </c>
      <c r="F31" t="s">
        <v>14</v>
      </c>
      <c r="G31" t="s">
        <v>7</v>
      </c>
      <c r="H31" t="s">
        <v>15</v>
      </c>
    </row>
    <row r="32" spans="1:19" x14ac:dyDescent="0.35">
      <c r="B32" t="s">
        <v>16</v>
      </c>
      <c r="C32" s="15">
        <f>SUM('WP-S'!$C$10:$C$15)</f>
        <v>18247.833308862653</v>
      </c>
      <c r="D32" s="16">
        <f>('WP-S'!$C$10+'WP-S'!$C$11)/PaperAnalysis!C32</f>
        <v>0.2699476747247076</v>
      </c>
      <c r="E32" s="16">
        <f>'WP-S'!$C$12/PaperAnalysis!C32</f>
        <v>0.55558280069410781</v>
      </c>
      <c r="F32" s="16">
        <f>'WP-S'!$C$13/PaperAnalysis!C32</f>
        <v>3.641231882560779E-2</v>
      </c>
      <c r="G32" s="16">
        <f>'WP-S'!$C$15/PaperAnalysis!C32</f>
        <v>1.0082611025723028E-4</v>
      </c>
      <c r="H32" s="16">
        <f>'WP-S'!$C$14/PaperAnalysis!C32</f>
        <v>0.1379563796453197</v>
      </c>
    </row>
    <row r="33" spans="2:17" x14ac:dyDescent="0.35">
      <c r="B33" t="s">
        <v>17</v>
      </c>
      <c r="C33" s="15">
        <f>SUM('GW-S'!$C$10:$C$15)</f>
        <v>18270.689983942164</v>
      </c>
      <c r="D33" s="16">
        <f>('GW-S'!$C$10+'GW-S'!$C$11)/PaperAnalysis!C33</f>
        <v>0.26960995307144575</v>
      </c>
      <c r="E33" s="16">
        <f>'GW-S'!$C$12/PaperAnalysis!C33</f>
        <v>0.55603142542395889</v>
      </c>
      <c r="F33" s="16">
        <f>'GW-S'!$C$13/PaperAnalysis!C33</f>
        <v>3.6366767803844242E-2</v>
      </c>
      <c r="G33" s="16">
        <f>'GW-S'!$C$15/PaperAnalysis!C33</f>
        <v>2.0805780281409487E-4</v>
      </c>
      <c r="H33" s="16">
        <f>'GW-S'!$C$14/PaperAnalysis!C33</f>
        <v>0.13778379589793688</v>
      </c>
    </row>
    <row r="34" spans="2:17" x14ac:dyDescent="0.35">
      <c r="B34" t="s">
        <v>18</v>
      </c>
      <c r="C34" s="15">
        <f>SUM('LR-S'!$C$10:$C$15)</f>
        <v>18281.649410423652</v>
      </c>
      <c r="D34" s="16">
        <f>('LR-S'!$C$10+'LR-S'!$C$11)/PaperAnalysis!C34</f>
        <v>0.26944834755349284</v>
      </c>
      <c r="E34" s="16">
        <f>'LR-S'!$C$12/PaperAnalysis!C34</f>
        <v>0.55624610760443716</v>
      </c>
      <c r="F34" s="16">
        <f>'LR-S'!$C$13/PaperAnalysis!C34</f>
        <v>3.6344966710494517E-2</v>
      </c>
      <c r="G34" s="16">
        <f>'LR-S'!$C$15/PaperAnalysis!C34</f>
        <v>2.5938043621760194E-4</v>
      </c>
      <c r="H34" s="16">
        <f>'LR-S'!$C$14/PaperAnalysis!C34</f>
        <v>0.13770119769535771</v>
      </c>
    </row>
    <row r="35" spans="2:17" x14ac:dyDescent="0.35">
      <c r="B35" t="s">
        <v>19</v>
      </c>
      <c r="C35" s="15">
        <f>SUM('WL-S'!$C$10:$C$15)</f>
        <v>18266.096213300545</v>
      </c>
      <c r="D35" s="16">
        <f>('WL-S'!$C$10+'WL-S'!$C$11)/PaperAnalysis!C35</f>
        <v>0.26967778478166282</v>
      </c>
      <c r="E35" s="16">
        <f>'WL-S'!$C$12/PaperAnalysis!C35</f>
        <v>0.55594132615154945</v>
      </c>
      <c r="F35" s="16">
        <f>'WL-S'!$C$13/PaperAnalysis!C35</f>
        <v>3.6375913358332929E-2</v>
      </c>
      <c r="G35" s="16">
        <f>'WL-S'!$C$15/PaperAnalysis!C35</f>
        <v>1.8652833660202665E-4</v>
      </c>
      <c r="H35" s="16">
        <f>'WL-S'!$C$14/PaperAnalysis!C35</f>
        <v>0.13781844737185289</v>
      </c>
    </row>
    <row r="37" spans="2:17" x14ac:dyDescent="0.35">
      <c r="B37" t="s">
        <v>24</v>
      </c>
      <c r="C37" s="15">
        <f t="shared" ref="C37:H37" si="5">AVERAGE(C32:C35)</f>
        <v>18266.567229132255</v>
      </c>
      <c r="D37" s="17">
        <f t="shared" si="5"/>
        <v>0.26967094003282721</v>
      </c>
      <c r="E37" s="17">
        <f t="shared" si="5"/>
        <v>0.55595041496851338</v>
      </c>
      <c r="F37" s="17">
        <f t="shared" si="5"/>
        <v>3.6374991674569868E-2</v>
      </c>
      <c r="G37" s="17">
        <f t="shared" si="5"/>
        <v>1.8869817147273846E-4</v>
      </c>
      <c r="H37" s="17">
        <f t="shared" si="5"/>
        <v>0.1378149551526168</v>
      </c>
    </row>
    <row r="38" spans="2:17" x14ac:dyDescent="0.35">
      <c r="B38" t="s">
        <v>25</v>
      </c>
      <c r="C38" s="16">
        <f>_xlfn.STDEV.P(C32:C35)/C37</f>
        <v>6.6805000987581653E-4</v>
      </c>
      <c r="F38" s="17">
        <f>SUM(F37:H37)</f>
        <v>0.1743786449986594</v>
      </c>
    </row>
    <row r="40" spans="2:17" x14ac:dyDescent="0.35">
      <c r="B40" s="9" t="s">
        <v>27</v>
      </c>
      <c r="L40" t="s">
        <v>28</v>
      </c>
      <c r="M40" s="12">
        <f>L42+M42+N42+O42+P42</f>
        <v>1.0000000000000002</v>
      </c>
      <c r="P40" s="12">
        <f>SUM(P42,Q42)</f>
        <v>1</v>
      </c>
    </row>
    <row r="41" spans="2:17" x14ac:dyDescent="0.35">
      <c r="B41" s="9" t="s">
        <v>29</v>
      </c>
      <c r="C41" t="s">
        <v>30</v>
      </c>
      <c r="D41" t="s">
        <v>31</v>
      </c>
      <c r="E41" t="s">
        <v>32</v>
      </c>
      <c r="F41" t="s">
        <v>33</v>
      </c>
      <c r="G41" t="s">
        <v>34</v>
      </c>
      <c r="H41" t="s">
        <v>35</v>
      </c>
      <c r="I41" t="s">
        <v>36</v>
      </c>
      <c r="K41" t="s">
        <v>37</v>
      </c>
      <c r="L41" t="s">
        <v>30</v>
      </c>
      <c r="M41" t="s">
        <v>31</v>
      </c>
      <c r="N41" t="s">
        <v>32</v>
      </c>
      <c r="O41" t="s">
        <v>33</v>
      </c>
      <c r="P41" t="s">
        <v>34</v>
      </c>
      <c r="Q41" t="s">
        <v>35</v>
      </c>
    </row>
    <row r="42" spans="2:17" x14ac:dyDescent="0.35">
      <c r="B42" s="8" t="s">
        <v>16</v>
      </c>
      <c r="C42" s="10">
        <f>'WP-S'!$B$10+'WP-S'!$C$10+'WP-S'!$B$11+'WP-S'!$C$11</f>
        <v>35419.882102371557</v>
      </c>
      <c r="D42" s="10">
        <f>'WP-S'!$B$13-'WP-S'!$B$21+'WP-S'!$C$13-'WP-S'!$C$21</f>
        <v>673.94512435354181</v>
      </c>
      <c r="E42" s="10">
        <f>'WP-S'!$B$12+'WP-S'!$C$12-'WP-S'!$B$20-'WP-S'!$C$20</f>
        <v>10283.122080078885</v>
      </c>
      <c r="F42" s="10">
        <f>'WP-S'!$B$14+'WP-S'!$B$15+'WP-S'!$C$14+'WP-S'!$C$15-'WP-S'!$B$22-'WP-S'!$C$22-'WP-S'!$B$23-'WP-S'!$C$23</f>
        <v>596.92943702966852</v>
      </c>
      <c r="G42" s="10">
        <f>SUM('WP-S'!$B$20:$B$23)+SUM('WP-S'!$C$20:$C$23)</f>
        <v>13939.781710935702</v>
      </c>
      <c r="H42" s="10">
        <f>SUM('WP-S'!$B$10:$B$15)-SUM('WP-S'!$B$18:$B$23)+SUM('WP-S'!$C$10:$C$15)-SUM('WP-S'!$C$18:$C$23)</f>
        <v>46973.878743833644</v>
      </c>
      <c r="I42" s="10">
        <f>H42+G42</f>
        <v>60913.660454769342</v>
      </c>
      <c r="L42" s="11">
        <f>C42/I42</f>
        <v>0.58147682864457206</v>
      </c>
      <c r="M42" s="11">
        <f t="shared" ref="M42:Q45" si="6">D42/$I$42</f>
        <v>1.1063940655051769E-2</v>
      </c>
      <c r="N42" s="11">
        <f t="shared" si="6"/>
        <v>0.16881471255063527</v>
      </c>
      <c r="O42" s="11">
        <f t="shared" si="6"/>
        <v>9.7995988514417189E-3</v>
      </c>
      <c r="P42" s="11">
        <f t="shared" si="6"/>
        <v>0.22884491929829939</v>
      </c>
      <c r="Q42" s="11">
        <f t="shared" si="6"/>
        <v>0.77115508070170069</v>
      </c>
    </row>
    <row r="43" spans="2:17" x14ac:dyDescent="0.35">
      <c r="B43" s="8" t="s">
        <v>17</v>
      </c>
      <c r="C43" s="10">
        <f>'GW-S'!$B$10+'GW-S'!$C$10+'GW-S'!$B$11+'GW-S'!$C$11</f>
        <v>35419.879935615274</v>
      </c>
      <c r="D43" s="10">
        <f>'GW-S'!$B$13-'GW-S'!$B$21+'GW-S'!$C$13-'GW-S'!$C$21</f>
        <v>673.94514052466718</v>
      </c>
      <c r="E43" s="10">
        <f>'GW-S'!$B$12+'GW-S'!$C$12-'GW-S'!$B$20-'GW-S'!$C$20</f>
        <v>10304.316269313016</v>
      </c>
      <c r="F43" s="10">
        <f>'GW-S'!$B$14+'GW-S'!$B$15+'GW-S'!$C$14+'GW-S'!$C$15-'GW-S'!$B$22-'GW-S'!$C$22-'GW-S'!$B$23-'GW-S'!$C$23</f>
        <v>1233.3252831191492</v>
      </c>
      <c r="G43" s="10">
        <f>SUM('GW-S'!$B$20:$B$23)+SUM('GW-S'!$C$20:$C$23)</f>
        <v>13962.638687484196</v>
      </c>
      <c r="H43" s="10">
        <f>SUM('GW-S'!$B$10:$B$15)-SUM('GW-S'!$B$18:$B$23)+SUM('GW-S'!$C$10:$C$15)-SUM('GW-S'!$C$18:$C$23)</f>
        <v>47631.466628572118</v>
      </c>
      <c r="I43" s="10">
        <f>H43+G43</f>
        <v>61594.105316056317</v>
      </c>
      <c r="L43" s="11">
        <f>C43/I43</f>
        <v>0.57505307941183847</v>
      </c>
      <c r="M43" s="11">
        <f t="shared" si="6"/>
        <v>1.1063940920527942E-2</v>
      </c>
      <c r="N43" s="11">
        <f t="shared" si="6"/>
        <v>0.16916265074833836</v>
      </c>
      <c r="O43" s="11">
        <f t="shared" si="6"/>
        <v>2.0247105064962218E-2</v>
      </c>
      <c r="P43" s="11">
        <f t="shared" si="6"/>
        <v>0.22922015494130374</v>
      </c>
      <c r="Q43" s="11">
        <f t="shared" si="6"/>
        <v>0.78195048980745874</v>
      </c>
    </row>
    <row r="44" spans="2:17" x14ac:dyDescent="0.35">
      <c r="B44" s="8" t="s">
        <v>18</v>
      </c>
      <c r="C44" s="10">
        <f>'LR-S'!$B$10+'LR-S'!$C$10+'LR-S'!$B$11+'LR-S'!$C$11</f>
        <v>35419.882488494535</v>
      </c>
      <c r="D44" s="10">
        <f>'LR-S'!$B$13-'LR-S'!$B$21+'LR-S'!$C$13-'LR-S'!$C$21</f>
        <v>673.94513948271299</v>
      </c>
      <c r="E44" s="10">
        <f>'LR-S'!$B$12+'LR-S'!$C$12-'LR-S'!$B$20-'LR-S'!$C$20</f>
        <v>10314.478028341226</v>
      </c>
      <c r="F44" s="10">
        <f>'LR-S'!$B$14+'LR-S'!$B$15+'LR-S'!$C$14+'LR-S'!$C$15-'LR-S'!$B$22-'LR-S'!$C$22-'LR-S'!$B$23-'LR-S'!$C$23</f>
        <v>1538.477930488837</v>
      </c>
      <c r="G44" s="10">
        <f>SUM('LR-S'!$B$20:$B$23)+SUM('LR-S'!$C$20:$C$23)</f>
        <v>13973.597758991138</v>
      </c>
      <c r="H44" s="10">
        <f>SUM('LR-S'!$B$10:$B$15)-SUM('LR-S'!$B$18:$B$23)+SUM('LR-S'!$C$10:$C$15)-SUM('LR-S'!$C$18:$C$23)</f>
        <v>47946.783586807309</v>
      </c>
      <c r="I44" s="10">
        <f>H44+G44</f>
        <v>61920.381345798451</v>
      </c>
      <c r="L44" s="11">
        <f>C44/I44</f>
        <v>0.57202300306727549</v>
      </c>
      <c r="M44" s="11">
        <f t="shared" si="6"/>
        <v>1.1063940903422513E-2</v>
      </c>
      <c r="N44" s="11">
        <f t="shared" si="6"/>
        <v>0.16932947308264473</v>
      </c>
      <c r="O44" s="11">
        <f t="shared" si="6"/>
        <v>2.5256698070726093E-2</v>
      </c>
      <c r="P44" s="11">
        <f t="shared" si="6"/>
        <v>0.22940006649850003</v>
      </c>
      <c r="Q44" s="11">
        <f t="shared" si="6"/>
        <v>0.78712694704022224</v>
      </c>
    </row>
    <row r="45" spans="2:17" x14ac:dyDescent="0.35">
      <c r="B45" s="8" t="s">
        <v>19</v>
      </c>
      <c r="C45" s="10">
        <f>'WL-S'!$B$10+'WL-S'!$C$10+'WL-S'!$B$11+'WL-S'!$C$11</f>
        <v>35419.883489554144</v>
      </c>
      <c r="D45" s="10">
        <f>'WL-S'!$B$13-'WL-S'!$B$21+'WL-S'!$C$13-'WL-S'!$C$21</f>
        <v>673.94513341236666</v>
      </c>
      <c r="E45" s="10">
        <f>'WL-S'!$B$12+'WL-S'!$C$12-'WL-S'!$B$20-'WL-S'!$C$20</f>
        <v>10300.056180907535</v>
      </c>
      <c r="F45" s="10">
        <f>'WL-S'!$B$14+'WL-S'!$B$15+'WL-S'!$C$14+'WL-S'!$C$15-'WL-S'!$B$22-'WL-S'!$C$22-'WL-S'!$B$23-'WL-S'!$C$23</f>
        <v>1105.424883388275</v>
      </c>
      <c r="G45" s="10">
        <f>SUM('WL-S'!$B$20:$B$23)+SUM('WL-S'!$C$20:$C$23)</f>
        <v>13958.044422558207</v>
      </c>
      <c r="H45" s="10">
        <f>SUM('WL-S'!$B$10:$B$15)-SUM('WL-S'!$B$18:$B$23)+SUM('WL-S'!$C$10:$C$15)-SUM('WL-S'!$C$18:$C$23)</f>
        <v>47499.309687262314</v>
      </c>
      <c r="I45" s="10">
        <f>H45+G45</f>
        <v>61457.354109820517</v>
      </c>
      <c r="L45" s="11">
        <f>C45/I45</f>
        <v>0.57633271074867598</v>
      </c>
      <c r="M45" s="11">
        <f t="shared" si="6"/>
        <v>1.1063940803767588E-2</v>
      </c>
      <c r="N45" s="11">
        <f t="shared" si="6"/>
        <v>0.16909271424520136</v>
      </c>
      <c r="O45" s="11">
        <f t="shared" si="6"/>
        <v>1.8147405280447629E-2</v>
      </c>
      <c r="P45" s="11">
        <f t="shared" si="6"/>
        <v>0.22914473236955729</v>
      </c>
      <c r="Q45" s="11">
        <f t="shared" si="6"/>
        <v>0.77978091174691955</v>
      </c>
    </row>
    <row r="47" spans="2:17" x14ac:dyDescent="0.35">
      <c r="B47" s="8" t="s">
        <v>37</v>
      </c>
      <c r="K47" t="s">
        <v>38</v>
      </c>
      <c r="L47" s="13">
        <f t="shared" ref="L47:Q47" si="7">AVERAGE(L42:L45)</f>
        <v>0.57622140546809053</v>
      </c>
      <c r="M47" s="13">
        <f t="shared" si="7"/>
        <v>1.1063940820692453E-2</v>
      </c>
      <c r="N47" s="13">
        <f t="shared" si="7"/>
        <v>0.16909988765670494</v>
      </c>
      <c r="O47" s="13">
        <f t="shared" si="7"/>
        <v>1.8362701816894415E-2</v>
      </c>
      <c r="P47" s="13">
        <f t="shared" si="7"/>
        <v>0.2291524682769151</v>
      </c>
      <c r="Q47" s="13">
        <f t="shared" si="7"/>
        <v>0.78000335732407522</v>
      </c>
    </row>
    <row r="49" spans="13:13" x14ac:dyDescent="0.35">
      <c r="M49" s="12">
        <f>SUM(M47:O47)</f>
        <v>0.19852653029429182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WP-S</vt:lpstr>
      <vt:lpstr>GW-S</vt:lpstr>
      <vt:lpstr>LR-S</vt:lpstr>
      <vt:lpstr>WL-S</vt:lpstr>
      <vt:lpstr>PaperAnalysis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Sebastian Azzi</cp:lastModifiedBy>
  <dcterms:created xsi:type="dcterms:W3CDTF">2021-05-03T12:22:05Z</dcterms:created>
  <dcterms:modified xsi:type="dcterms:W3CDTF">2021-09-01T10:32:10Z</dcterms:modified>
</cp:coreProperties>
</file>