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oilMixes" sheetId="1" r:id="rId1"/>
    <sheet name="SoilMixes_7bc" sheetId="2" r:id="rId2"/>
    <sheet name="RecipesBiocharX" sheetId="3" r:id="rId3"/>
    <sheet name="Calculator" sheetId="4" r:id="rId4"/>
    <sheet name="MethodX" sheetId="5" r:id="rId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F3" i="2"/>
  <c r="C3" i="2"/>
  <c r="AD23" i="5"/>
  <c r="AD19" i="5"/>
  <c r="AD20" i="5"/>
  <c r="AD21" i="5"/>
  <c r="AD18" i="5"/>
  <c r="W23" i="5"/>
  <c r="AC18" i="5"/>
  <c r="AC19" i="5"/>
  <c r="AC20" i="5"/>
  <c r="AC21" i="5"/>
  <c r="AC17" i="5"/>
  <c r="AB18" i="5"/>
  <c r="AB19" i="5"/>
  <c r="AB20" i="5"/>
  <c r="AB21" i="5"/>
  <c r="AB17" i="5"/>
  <c r="Z19" i="5"/>
  <c r="AA19" i="5"/>
  <c r="Z20" i="5"/>
  <c r="AA20" i="5"/>
  <c r="Z21" i="5"/>
  <c r="AA21" i="5"/>
  <c r="AA18" i="5"/>
  <c r="Z18" i="5"/>
  <c r="AA17" i="5"/>
  <c r="Z17" i="5"/>
  <c r="X19" i="5"/>
  <c r="Y19" i="5"/>
  <c r="X20" i="5"/>
  <c r="Y20" i="5"/>
  <c r="X21" i="5"/>
  <c r="Y21" i="5"/>
  <c r="Y18" i="5"/>
  <c r="X18" i="5"/>
  <c r="Y17" i="5"/>
  <c r="X17" i="5"/>
  <c r="W19" i="5"/>
  <c r="W20" i="5"/>
  <c r="W21" i="5"/>
  <c r="W18" i="5"/>
  <c r="V21" i="5"/>
  <c r="V18" i="5"/>
  <c r="V17" i="5"/>
  <c r="D33" i="5"/>
  <c r="D27" i="5"/>
  <c r="D20" i="5"/>
  <c r="D15" i="5"/>
  <c r="H13" i="5"/>
  <c r="D10" i="5"/>
  <c r="J1" i="4" l="1"/>
  <c r="J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3" i="4"/>
  <c r="A2" i="4"/>
  <c r="B2" i="4"/>
  <c r="C2" i="4"/>
  <c r="D2" i="4"/>
  <c r="E2" i="4"/>
  <c r="F2" i="4"/>
  <c r="G2" i="4"/>
  <c r="A3" i="4"/>
  <c r="B3" i="4"/>
  <c r="C3" i="4"/>
  <c r="D3" i="4"/>
  <c r="E3" i="4"/>
  <c r="F3" i="4"/>
  <c r="G3" i="4"/>
  <c r="A4" i="4"/>
  <c r="B4" i="4"/>
  <c r="C4" i="4"/>
  <c r="D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D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C33" i="3"/>
  <c r="D33" i="3"/>
  <c r="E33" i="3"/>
  <c r="F33" i="3"/>
  <c r="G33" i="3"/>
  <c r="I33" i="3"/>
  <c r="J33" i="3"/>
  <c r="K33" i="3"/>
  <c r="L33" i="3"/>
  <c r="M33" i="3"/>
  <c r="N33" i="3"/>
  <c r="O33" i="3"/>
  <c r="P33" i="3"/>
  <c r="Q33" i="3"/>
  <c r="B33" i="3"/>
  <c r="G6" i="3"/>
  <c r="J27" i="4" l="1"/>
  <c r="M29" i="4" s="1"/>
  <c r="R31" i="4"/>
  <c r="R25" i="4" s="1"/>
  <c r="M31" i="4"/>
  <c r="M4" i="4" s="1"/>
  <c r="L4" i="4" s="1"/>
  <c r="M24" i="4" l="1"/>
  <c r="L24" i="4" s="1"/>
  <c r="Q25" i="4"/>
  <c r="R14" i="4"/>
  <c r="R20" i="4"/>
  <c r="R5" i="4"/>
  <c r="R24" i="4"/>
  <c r="R22" i="4"/>
  <c r="R12" i="4"/>
  <c r="R16" i="4"/>
  <c r="R3" i="4"/>
  <c r="R13" i="4"/>
  <c r="R10" i="4"/>
  <c r="R15" i="4"/>
  <c r="R23" i="4"/>
  <c r="R7" i="4"/>
  <c r="R18" i="4"/>
  <c r="R26" i="4"/>
  <c r="R11" i="4"/>
  <c r="R21" i="4"/>
  <c r="R9" i="4"/>
  <c r="R4" i="4"/>
  <c r="R8" i="4"/>
  <c r="R19" i="4"/>
  <c r="R6" i="4"/>
  <c r="R17" i="4"/>
  <c r="M3" i="4"/>
  <c r="M13" i="4"/>
  <c r="L13" i="4" s="1"/>
  <c r="M21" i="4"/>
  <c r="L21" i="4" s="1"/>
  <c r="M14" i="4"/>
  <c r="L14" i="4" s="1"/>
  <c r="M11" i="4"/>
  <c r="L11" i="4" s="1"/>
  <c r="M5" i="4"/>
  <c r="L5" i="4" s="1"/>
  <c r="M7" i="4"/>
  <c r="L7" i="4" s="1"/>
  <c r="M9" i="4"/>
  <c r="L9" i="4" s="1"/>
  <c r="M17" i="4"/>
  <c r="L17" i="4" s="1"/>
  <c r="M12" i="4"/>
  <c r="L12" i="4" s="1"/>
  <c r="M15" i="4"/>
  <c r="L15" i="4" s="1"/>
  <c r="M23" i="4"/>
  <c r="L23" i="4" s="1"/>
  <c r="M26" i="4"/>
  <c r="L26" i="4" s="1"/>
  <c r="M25" i="4"/>
  <c r="L25" i="4" s="1"/>
  <c r="M22" i="4"/>
  <c r="L22" i="4" s="1"/>
  <c r="M19" i="4"/>
  <c r="L19" i="4" s="1"/>
  <c r="M10" i="4"/>
  <c r="L10" i="4" s="1"/>
  <c r="M20" i="4"/>
  <c r="L20" i="4" s="1"/>
  <c r="M8" i="4"/>
  <c r="L8" i="4" s="1"/>
  <c r="M18" i="4"/>
  <c r="L18" i="4" s="1"/>
  <c r="M6" i="4"/>
  <c r="L6" i="4" s="1"/>
  <c r="M16" i="4"/>
  <c r="L16" i="4" s="1"/>
  <c r="L3" i="4" l="1"/>
  <c r="M30" i="4"/>
  <c r="R29" i="4"/>
  <c r="Q19" i="4"/>
  <c r="Q7" i="4"/>
  <c r="Q22" i="4"/>
  <c r="Q18" i="4"/>
  <c r="Q8" i="4"/>
  <c r="Q23" i="4"/>
  <c r="Q24" i="4"/>
  <c r="Q6" i="4"/>
  <c r="Q15" i="4"/>
  <c r="Q9" i="4"/>
  <c r="Q10" i="4"/>
  <c r="Q20" i="4"/>
  <c r="Q12" i="4"/>
  <c r="Q5" i="4"/>
  <c r="Q21" i="4"/>
  <c r="Q13" i="4"/>
  <c r="Q14" i="4"/>
  <c r="Q11" i="4"/>
  <c r="Q3" i="4"/>
  <c r="Q4" i="4"/>
  <c r="Q17" i="4"/>
  <c r="Q26" i="4"/>
  <c r="Q16" i="4"/>
  <c r="R32" i="4"/>
  <c r="S25" i="4" s="1"/>
  <c r="M32" i="4"/>
  <c r="M28" i="4"/>
  <c r="R28" i="4" l="1"/>
  <c r="T25" i="4" s="1"/>
  <c r="S23" i="4"/>
  <c r="S10" i="4"/>
  <c r="S26" i="4"/>
  <c r="S13" i="4"/>
  <c r="S9" i="4"/>
  <c r="S18" i="4"/>
  <c r="S16" i="4"/>
  <c r="S11" i="4"/>
  <c r="S20" i="4"/>
  <c r="S6" i="4"/>
  <c r="S3" i="4"/>
  <c r="S21" i="4"/>
  <c r="S24" i="4"/>
  <c r="S22" i="4"/>
  <c r="S7" i="4"/>
  <c r="S17" i="4"/>
  <c r="S5" i="4"/>
  <c r="S14" i="4"/>
  <c r="S12" i="4"/>
  <c r="S15" i="4"/>
  <c r="S8" i="4"/>
  <c r="S4" i="4"/>
  <c r="S19" i="4"/>
  <c r="O3" i="4"/>
  <c r="N4" i="4"/>
  <c r="N12" i="4"/>
  <c r="N20" i="4"/>
  <c r="N6" i="4"/>
  <c r="N14" i="4"/>
  <c r="N22" i="4"/>
  <c r="N7" i="4"/>
  <c r="N15" i="4"/>
  <c r="N23" i="4"/>
  <c r="N5" i="4"/>
  <c r="N8" i="4"/>
  <c r="N16" i="4"/>
  <c r="N24" i="4"/>
  <c r="N9" i="4"/>
  <c r="N17" i="4"/>
  <c r="N25" i="4"/>
  <c r="N13" i="4"/>
  <c r="N10" i="4"/>
  <c r="N18" i="4"/>
  <c r="N26" i="4"/>
  <c r="N11" i="4"/>
  <c r="N19" i="4"/>
  <c r="N3" i="4"/>
  <c r="N21" i="4"/>
  <c r="T19" i="4" l="1"/>
  <c r="T21" i="4"/>
  <c r="T5" i="4"/>
  <c r="T3" i="4"/>
  <c r="T7" i="4"/>
  <c r="T4" i="4"/>
  <c r="T8" i="4"/>
  <c r="T15" i="4"/>
  <c r="T20" i="4"/>
  <c r="T23" i="4"/>
  <c r="T18" i="4"/>
  <c r="T10" i="4"/>
  <c r="T6" i="4"/>
  <c r="T12" i="4"/>
  <c r="T17" i="4"/>
  <c r="T11" i="4"/>
  <c r="T13" i="4"/>
  <c r="T24" i="4"/>
  <c r="T9" i="4"/>
  <c r="T14" i="4"/>
  <c r="T26" i="4"/>
  <c r="T16" i="4"/>
  <c r="T22" i="4"/>
  <c r="O24" i="4"/>
  <c r="O14" i="4"/>
  <c r="O6" i="4"/>
  <c r="O8" i="4"/>
  <c r="O23" i="4"/>
  <c r="O12" i="4"/>
  <c r="O18" i="4"/>
  <c r="O4" i="4"/>
  <c r="O10" i="4"/>
  <c r="O9" i="4"/>
  <c r="O17" i="4"/>
  <c r="O20" i="4"/>
  <c r="O25" i="4"/>
  <c r="O13" i="4"/>
  <c r="O26" i="4"/>
  <c r="O7" i="4"/>
  <c r="O15" i="4"/>
  <c r="O21" i="4"/>
  <c r="O22" i="4"/>
  <c r="O16" i="4"/>
  <c r="O19" i="4"/>
  <c r="O5" i="4"/>
  <c r="O11" i="4"/>
  <c r="F13" i="2" l="1"/>
  <c r="D19" i="2" l="1"/>
  <c r="F19" i="2" s="1"/>
  <c r="D13" i="2"/>
  <c r="D14" i="2"/>
  <c r="F14" i="2" s="1"/>
  <c r="D15" i="2"/>
  <c r="F15" i="2" s="1"/>
  <c r="D16" i="2"/>
  <c r="F16" i="2" s="1"/>
  <c r="D17" i="2"/>
  <c r="F17" i="2" s="1"/>
  <c r="D18" i="2"/>
  <c r="F18" i="2" s="1"/>
  <c r="F12" i="2"/>
  <c r="D12" i="2"/>
  <c r="F25" i="2"/>
  <c r="C25" i="2"/>
  <c r="E24" i="2"/>
  <c r="F24" i="2" s="1"/>
  <c r="C24" i="2"/>
  <c r="D23" i="2"/>
  <c r="F23" i="2" s="1"/>
  <c r="D22" i="2"/>
  <c r="F22" i="2" s="1"/>
  <c r="D21" i="2"/>
  <c r="F21" i="2" s="1"/>
  <c r="F20" i="2"/>
  <c r="D20" i="2"/>
  <c r="F11" i="2"/>
  <c r="C11" i="2"/>
  <c r="E10" i="2"/>
  <c r="C11" i="4"/>
  <c r="E9" i="2"/>
  <c r="F9" i="2" s="1"/>
  <c r="D9" i="2"/>
  <c r="D8" i="2"/>
  <c r="D7" i="2"/>
  <c r="F6" i="2"/>
  <c r="E6" i="2"/>
  <c r="C6" i="2"/>
  <c r="D5" i="2"/>
  <c r="D4" i="2"/>
  <c r="E4" i="4"/>
  <c r="F2" i="2"/>
  <c r="C2" i="2"/>
  <c r="F10" i="2" l="1"/>
  <c r="F11" i="4" s="1"/>
  <c r="E11" i="4"/>
  <c r="F4" i="4"/>
  <c r="F8" i="2"/>
  <c r="F4" i="2"/>
  <c r="F7" i="2"/>
  <c r="F5" i="2"/>
  <c r="E4" i="2"/>
  <c r="E7" i="2"/>
  <c r="E5" i="2"/>
  <c r="E8" i="2"/>
  <c r="F17" i="1"/>
  <c r="C17" i="1"/>
  <c r="E16" i="1"/>
  <c r="F16" i="1" s="1"/>
  <c r="C16" i="1"/>
  <c r="D15" i="1"/>
  <c r="F15" i="1" s="1"/>
  <c r="D14" i="1"/>
  <c r="F14" i="1" s="1"/>
  <c r="F13" i="1"/>
  <c r="D13" i="1"/>
  <c r="F12" i="1"/>
  <c r="D12" i="1"/>
  <c r="F11" i="1"/>
  <c r="C11" i="1"/>
  <c r="E10" i="1"/>
  <c r="F10" i="1" s="1"/>
  <c r="C10" i="1"/>
  <c r="E9" i="1"/>
  <c r="D9" i="1"/>
  <c r="F9" i="1" s="1"/>
  <c r="D8" i="1"/>
  <c r="E8" i="1" s="1"/>
  <c r="F7" i="1"/>
  <c r="E7" i="1"/>
  <c r="D7" i="1"/>
  <c r="F6" i="1"/>
  <c r="E6" i="1"/>
  <c r="C6" i="1"/>
  <c r="D5" i="1"/>
  <c r="D4" i="1"/>
  <c r="E3" i="1"/>
  <c r="F3" i="1" s="1"/>
  <c r="C3" i="1"/>
  <c r="F2" i="1"/>
  <c r="C2" i="1"/>
  <c r="R30" i="4" l="1"/>
  <c r="S30" i="4" s="1"/>
  <c r="F5" i="1"/>
  <c r="E5" i="1"/>
  <c r="F8" i="1"/>
  <c r="E4" i="1"/>
  <c r="F4" i="1" s="1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180 kg/m3 &lt;=&gt; 60% moiture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IPO Peat https://iopscience.iop.org/article/10.1088/1755-1315/393/1/012056/pdf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1600 - clay poweder
1200 - dry caly granulated 2-6 mm form Hasselfors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       - mass composition with bulk density &gt;&gt; compo_type = 'm-b'
        - volume parts, with bulk density    &gt;&gt; compo_type = 'v-b'
        - volume parts, with porosity        &gt;&gt; compo_type = 'v-p'</t>
        </r>
      </text>
    </comment>
  </commentList>
</comments>
</file>

<file path=xl/sharedStrings.xml><?xml version="1.0" encoding="utf-8"?>
<sst xmlns="http://schemas.openxmlformats.org/spreadsheetml/2006/main" count="342" uniqueCount="213">
  <si>
    <t>Material</t>
  </si>
  <si>
    <t>Bulk density, dry</t>
  </si>
  <si>
    <t>Particle density, dry</t>
  </si>
  <si>
    <t>Total porosity</t>
  </si>
  <si>
    <t>Bulk porosity [assumed]</t>
  </si>
  <si>
    <t>Internal porosity</t>
  </si>
  <si>
    <t>Pumice</t>
  </si>
  <si>
    <t>Horticultural peat</t>
  </si>
  <si>
    <t>Sand</t>
  </si>
  <si>
    <t>Gravel</t>
  </si>
  <si>
    <t>Crushed rock 0-16/25</t>
  </si>
  <si>
    <t>Macadam 32-64</t>
  </si>
  <si>
    <t>Clay</t>
  </si>
  <si>
    <t>Biochar 4 - VegTech</t>
  </si>
  <si>
    <t>Compost</t>
  </si>
  <si>
    <t>Water</t>
  </si>
  <si>
    <t>Biochar C content</t>
  </si>
  <si>
    <t>Macadam 2-11</t>
  </si>
  <si>
    <t>Macadam 8-32</t>
  </si>
  <si>
    <t>LECA 8-20</t>
  </si>
  <si>
    <t>Biochar 1 - ETC/Edv</t>
  </si>
  <si>
    <t>Biochar 2 - Skanefro</t>
  </si>
  <si>
    <t>Biochar 3 - Circular Carbon</t>
  </si>
  <si>
    <t>key</t>
  </si>
  <si>
    <t>('material', '57802704acee9e524e4365da2ebb18c6_copy1')</t>
  </si>
  <si>
    <t>('material', '4d1222652c73460ebc073db10653a50f_copy3')</t>
  </si>
  <si>
    <t>('material', '4d1222652c73460ebc073db10653a50f_copy8')</t>
  </si>
  <si>
    <t>('material', '4d1222652c73460ebc073db10653a50f_copy5')</t>
  </si>
  <si>
    <t>('material', '4d1222652c73460ebc073db10653a50f_copy16')</t>
  </si>
  <si>
    <t>('material', '4d1222652c73460ebc073db10653a50f_copy2')</t>
  </si>
  <si>
    <t>('material', '4d1222652c73460ebc073db10653a50f_copy1')</t>
  </si>
  <si>
    <t>('material', '4d1222652c73460ebc073db10653a50f_copy7')</t>
  </si>
  <si>
    <t>NA</t>
  </si>
  <si>
    <t>('pro_biochar', '6bedad3b18634235a2f69378c4981e91_copy5')</t>
  </si>
  <si>
    <t>('pro_biochar', '6bedad3b18634235a2f69378c4981e91_copy6')</t>
  </si>
  <si>
    <t>('material', '13b5adce3e324474b5ca220e56f6154b')</t>
  </si>
  <si>
    <t>Biochar 1</t>
  </si>
  <si>
    <t>Biochar 2</t>
  </si>
  <si>
    <t>Biochar 3</t>
  </si>
  <si>
    <t>Biochar 4</t>
  </si>
  <si>
    <t>Biochar 5</t>
  </si>
  <si>
    <t>Biochar 6</t>
  </si>
  <si>
    <t>Biochar 7</t>
  </si>
  <si>
    <t>Biochar 8</t>
  </si>
  <si>
    <t>('pro_biochar', '6bedad3b18634235a2f69378c4981e91_copy4')</t>
  </si>
  <si>
    <t>('pro_biochar', '6bedad3b18634235a2f69378c4981e91_copy7')</t>
  </si>
  <si>
    <t>('pro_biochar', '6bedad3b18634235a2f69378c4981e91_copy8')</t>
  </si>
  <si>
    <t>('pro_biochar', '6bedad3b18634235a2f69378c4981e91_copy9')</t>
  </si>
  <si>
    <t>('pro_biochar', '6bedad3b18634235a2f69378c4981e91_copy10')</t>
  </si>
  <si>
    <t>('pro_biochar', '6bedad3b18634235a2f69378c4981e91_copy12')</t>
  </si>
  <si>
    <t>&gt;&gt; Recipes used in processes with biochar X, in manuscript version 2020-02-16</t>
  </si>
  <si>
    <t>Final Porosity</t>
  </si>
  <si>
    <t>Final Bulk Density</t>
  </si>
  <si>
    <t>Materials</t>
  </si>
  <si>
    <t>Product</t>
  </si>
  <si>
    <t>kolmakadam 32-64</t>
  </si>
  <si>
    <t>kolmakadam 2-4-8</t>
  </si>
  <si>
    <t>Recipe</t>
  </si>
  <si>
    <t>v-p</t>
  </si>
  <si>
    <t>v-b</t>
  </si>
  <si>
    <t xml:space="preserve">mineral soil biochar VegTech </t>
  </si>
  <si>
    <t>mineral soil ref VegTech</t>
  </si>
  <si>
    <t>landscaping soil B, reference</t>
  </si>
  <si>
    <t>landscaping soil B, biochar</t>
  </si>
  <si>
    <t>checksum</t>
  </si>
  <si>
    <t>Recipe selector</t>
  </si>
  <si>
    <t>Compo-type</t>
  </si>
  <si>
    <t>Target Value</t>
  </si>
  <si>
    <t>A - IF MASS &amp; BULK DENSITY
(m-b)</t>
  </si>
  <si>
    <t>C - IF PARTS &amp; POROSITY
(v-p)</t>
  </si>
  <si>
    <t>D - IF PARTS &amp; BULK DENSITY
(v-b)</t>
  </si>
  <si>
    <t>Mass, kg</t>
  </si>
  <si>
    <t>Bulk volume, m3</t>
  </si>
  <si>
    <t>Parts Volume</t>
  </si>
  <si>
    <t>% Mass</t>
  </si>
  <si>
    <t>Final bulk density</t>
  </si>
  <si>
    <t>aux:term</t>
  </si>
  <si>
    <t>Total bulk volumes</t>
  </si>
  <si>
    <t>Compilations of formulas, from methodsX article</t>
  </si>
  <si>
    <t>https://doi.org/10.1016/j.mex.2020.101205</t>
  </si>
  <si>
    <t>Preparing and characterizing repacked columns for experiments in biochar-amended soils</t>
  </si>
  <si>
    <t>Target biochar content, in soil mixture: volume to mass target</t>
  </si>
  <si>
    <t>t_v</t>
  </si>
  <si>
    <t>t_m</t>
  </si>
  <si>
    <t>%, vol/vol</t>
  </si>
  <si>
    <t>Volume target either particle (envelope or skeleta) or bulk density (sensitive to packing)</t>
  </si>
  <si>
    <t>rho_bc</t>
  </si>
  <si>
    <t>rho_soil</t>
  </si>
  <si>
    <t>v_soil</t>
  </si>
  <si>
    <t>v_bc</t>
  </si>
  <si>
    <t>kg/m3</t>
  </si>
  <si>
    <t>wood pellet</t>
  </si>
  <si>
    <t>sand</t>
  </si>
  <si>
    <t>m3</t>
  </si>
  <si>
    <t>% mass/mass</t>
  </si>
  <si>
    <t>Post-column packing properties</t>
  </si>
  <si>
    <t>rho_particle</t>
  </si>
  <si>
    <t>rho_bc_particle</t>
  </si>
  <si>
    <t>rho_soil_particle</t>
  </si>
  <si>
    <t>(envelope or skeletal)</t>
  </si>
  <si>
    <t>(auxiliary term)</t>
  </si>
  <si>
    <t>if assuming, bulk density of the mix, the porosity is determined by:</t>
  </si>
  <si>
    <t xml:space="preserve">theta </t>
  </si>
  <si>
    <t>rho_bulk</t>
  </si>
  <si>
    <t>if we used rho_envelope &gt; theta is internal porosity; if we used rho_skeletal &gt; theta is total porosity accessible</t>
  </si>
  <si>
    <t>if assuming, porosity of the mix, the bulk density can be calcualted as</t>
  </si>
  <si>
    <t>theta</t>
  </si>
  <si>
    <t>If both biochar envelope and skeletal densities are known, we can determine the internal accesssible pore volumes</t>
  </si>
  <si>
    <t>Data from associated article</t>
  </si>
  <si>
    <t>Type</t>
  </si>
  <si>
    <t>Diameter (mm)</t>
  </si>
  <si>
    <r>
      <t>Density (g/cm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</si>
  <si>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Loss on Ignition (% g/g)</t>
  </si>
  <si>
    <r>
      <t>Shape Parameters</t>
    </r>
    <r>
      <rPr>
        <b/>
        <vertAlign val="superscript"/>
        <sz val="11"/>
        <color theme="1"/>
        <rFont val="Calibri"/>
        <family val="2"/>
        <scheme val="minor"/>
      </rPr>
      <t>∗∗</t>
    </r>
  </si>
  <si>
    <t>Skeletal</t>
  </si>
  <si>
    <t>Envelope</t>
  </si>
  <si>
    <t>Circularity</t>
  </si>
  <si>
    <t>Aspect Ratio</t>
  </si>
  <si>
    <t>Roundness</t>
  </si>
  <si>
    <t>Solidity</t>
  </si>
  <si>
    <t>0.50–0.60</t>
  </si>
  <si>
    <t>2.64 (−)</t>
  </si>
  <si>
    <t>0.06 (−)</t>
  </si>
  <si>
    <r>
      <t>0.85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(0.03)</t>
    </r>
  </si>
  <si>
    <r>
      <t>1.25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(0.16)</t>
    </r>
  </si>
  <si>
    <r>
      <t>0.81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(0.09)</t>
    </r>
  </si>
  <si>
    <r>
      <t>0.979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(0.006)</t>
    </r>
  </si>
  <si>
    <t>Garnet</t>
  </si>
  <si>
    <t>3.74 (−)</t>
  </si>
  <si>
    <t>0.07 (−)</t>
  </si>
  <si>
    <r>
      <t>0.63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(0.12)</t>
    </r>
  </si>
  <si>
    <r>
      <t>1.5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(0.4)</t>
    </r>
  </si>
  <si>
    <r>
      <t>0.71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(0.14)</t>
    </r>
  </si>
  <si>
    <r>
      <t>0.90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(0.07)</t>
    </r>
  </si>
  <si>
    <t>Large Biochar</t>
  </si>
  <si>
    <t>1.41–2.00</t>
  </si>
  <si>
    <t>95.4 (0.4)</t>
  </si>
  <si>
    <t>Medium Biochar</t>
  </si>
  <si>
    <r>
      <t>1.2</t>
    </r>
    <r>
      <rPr>
        <vertAlign val="superscript"/>
        <sz val="11"/>
        <color theme="1"/>
        <rFont val="Calibri"/>
        <family val="2"/>
        <scheme val="minor"/>
      </rPr>
      <t>∗</t>
    </r>
    <r>
      <rPr>
        <sz val="11"/>
        <color theme="1"/>
        <rFont val="Calibri"/>
        <family val="2"/>
        <scheme val="minor"/>
      </rPr>
      <t xml:space="preserve"> (0.3)</t>
    </r>
  </si>
  <si>
    <r>
      <t xml:space="preserve">0.52 </t>
    </r>
    <r>
      <rPr>
        <vertAlign val="superscript"/>
        <sz val="11"/>
        <color theme="1"/>
        <rFont val="Calibri"/>
        <family val="2"/>
        <scheme val="minor"/>
      </rPr>
      <t>∗</t>
    </r>
    <r>
      <rPr>
        <sz val="11"/>
        <color theme="1"/>
        <rFont val="Calibri"/>
        <family val="2"/>
        <scheme val="minor"/>
      </rPr>
      <t>(0.04)</t>
    </r>
  </si>
  <si>
    <t>93.5 (0.3)</t>
  </si>
  <si>
    <r>
      <t>0.51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(0.12)</t>
    </r>
  </si>
  <si>
    <r>
      <t>2.0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(1.0)</t>
    </r>
  </si>
  <si>
    <r>
      <t>0.57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(0.19)</t>
    </r>
  </si>
  <si>
    <r>
      <t>0.91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(0.04)</t>
    </r>
  </si>
  <si>
    <t>Elongated Medium Biochar</t>
  </si>
  <si>
    <t>94.5 (0.4)</t>
  </si>
  <si>
    <r>
      <t>0.56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(0.12)</t>
    </r>
  </si>
  <si>
    <r>
      <t>2.3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(1.1)</t>
    </r>
  </si>
  <si>
    <r>
      <t>0.51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(0.19)</t>
    </r>
  </si>
  <si>
    <r>
      <t>0.92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(0.04)</t>
    </r>
  </si>
  <si>
    <t>Small Biochar</t>
  </si>
  <si>
    <t>0.21–0.30</t>
  </si>
  <si>
    <t>90.1 (0.7)</t>
  </si>
  <si>
    <r>
      <t>∗</t>
    </r>
    <r>
      <rPr>
        <sz val="11"/>
        <color theme="1"/>
        <rFont val="Calibri"/>
        <family val="2"/>
        <scheme val="minor"/>
      </rPr>
      <t>Biochar skeletal and envelope densities were quantified for unsieved (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&lt; 4.75 mm) biochar and are assumed to be size-independent.</t>
    </r>
  </si>
  <si>
    <t>Table 1</t>
  </si>
  <si>
    <t>Number of Replicates</t>
  </si>
  <si>
    <t>Biochar Content</t>
  </si>
  <si>
    <r>
      <t>Bulk Density (g/cm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</si>
  <si>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Porosity (cm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</si>
  <si>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% g/g</t>
  </si>
  <si>
    <r>
      <t>% 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/cm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</si>
  <si>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Total</t>
  </si>
  <si>
    <t>Inter</t>
  </si>
  <si>
    <t>0.00</t>
  </si>
  <si>
    <t>1.64 (−)</t>
  </si>
  <si>
    <t>0.38 (−)</t>
  </si>
  <si>
    <t>Sand + Large Biochar</t>
  </si>
  <si>
    <t>17.5</t>
  </si>
  <si>
    <t>1.25 (−)</t>
  </si>
  <si>
    <t>0.51 (−)</t>
  </si>
  <si>
    <t>0.45 (−)</t>
  </si>
  <si>
    <t>Sand + Medium Biochar</t>
  </si>
  <si>
    <t>1.21 (−)</t>
  </si>
  <si>
    <t>0.52 (−)</t>
  </si>
  <si>
    <t>0.47 (−)</t>
  </si>
  <si>
    <t>Sand + Elongated Medium Biochar</t>
  </si>
  <si>
    <t>1.09 (−)</t>
  </si>
  <si>
    <t>0.57 (−)</t>
  </si>
  <si>
    <t>Sand + Small Biochar</t>
  </si>
  <si>
    <t>1.33 (−)</t>
  </si>
  <si>
    <t>0.41 (−)</t>
  </si>
  <si>
    <t>1.96 (−)</t>
  </si>
  <si>
    <t>0.48 (−)</t>
  </si>
  <si>
    <t>Garnet + Medium Biochar</t>
  </si>
  <si>
    <t>1.42 (−)</t>
  </si>
  <si>
    <t>0.60 (−)</t>
  </si>
  <si>
    <t>0.55 (−)</t>
  </si>
  <si>
    <t>Table 2</t>
  </si>
  <si>
    <t>https://doi.org/10.1016/j.jenvman.2020.111588</t>
  </si>
  <si>
    <r>
      <t xml:space="preserve">1.2 </t>
    </r>
    <r>
      <rPr>
        <vertAlign val="superscript"/>
        <sz val="11"/>
        <color rgb="FFFF0000"/>
        <rFont val="Calibri"/>
        <family val="2"/>
        <scheme val="minor"/>
      </rPr>
      <t>∗</t>
    </r>
    <r>
      <rPr>
        <sz val="11"/>
        <color rgb="FFFF0000"/>
        <rFont val="Calibri"/>
        <family val="2"/>
        <scheme val="minor"/>
      </rPr>
      <t>(0.3)</t>
    </r>
  </si>
  <si>
    <r>
      <t>0.52</t>
    </r>
    <r>
      <rPr>
        <vertAlign val="superscript"/>
        <sz val="11"/>
        <color rgb="FFFF0000"/>
        <rFont val="Calibri"/>
        <family val="2"/>
        <scheme val="minor"/>
      </rPr>
      <t>∗</t>
    </r>
    <r>
      <rPr>
        <sz val="11"/>
        <color rgb="FFFF0000"/>
        <rFont val="Calibri"/>
        <family val="2"/>
        <scheme val="minor"/>
      </rPr>
      <t xml:space="preserve"> (0.04)</t>
    </r>
  </si>
  <si>
    <r>
      <t>0.66</t>
    </r>
    <r>
      <rPr>
        <vertAlign val="super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(0.10)</t>
    </r>
  </si>
  <si>
    <r>
      <t>1.6</t>
    </r>
    <r>
      <rPr>
        <vertAlign val="super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(0.6)</t>
    </r>
  </si>
  <si>
    <r>
      <t>0.67</t>
    </r>
    <r>
      <rPr>
        <vertAlign val="super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(0.16)</t>
    </r>
  </si>
  <si>
    <r>
      <t>0.96</t>
    </r>
    <r>
      <rPr>
        <vertAlign val="superscript"/>
        <sz val="11"/>
        <color rgb="FFFF0000"/>
        <rFont val="Calibri"/>
        <family val="2"/>
        <scheme val="minor"/>
      </rPr>
      <t>c</t>
    </r>
    <r>
      <rPr>
        <sz val="11"/>
        <color rgb="FFFF0000"/>
        <rFont val="Calibri"/>
        <family val="2"/>
        <scheme val="minor"/>
      </rPr>
      <t xml:space="preserve"> (0.02)</t>
    </r>
  </si>
  <si>
    <r>
      <t xml:space="preserve">0.52 </t>
    </r>
    <r>
      <rPr>
        <vertAlign val="superscript"/>
        <sz val="11"/>
        <color rgb="FFFF0000"/>
        <rFont val="Calibri"/>
        <family val="2"/>
        <scheme val="minor"/>
      </rPr>
      <t>∗</t>
    </r>
    <r>
      <rPr>
        <sz val="11"/>
        <color rgb="FFFF0000"/>
        <rFont val="Calibri"/>
        <family val="2"/>
        <scheme val="minor"/>
      </rPr>
      <t>(0.04)</t>
    </r>
  </si>
  <si>
    <r>
      <t>0.56</t>
    </r>
    <r>
      <rPr>
        <vertAlign val="superscript"/>
        <sz val="11"/>
        <color rgb="FFFF0000"/>
        <rFont val="Calibri"/>
        <family val="2"/>
        <scheme val="minor"/>
      </rPr>
      <t>e</t>
    </r>
    <r>
      <rPr>
        <sz val="11"/>
        <color rgb="FFFF0000"/>
        <rFont val="Calibri"/>
        <family val="2"/>
        <scheme val="minor"/>
      </rPr>
      <t xml:space="preserve"> (0.11)</t>
    </r>
  </si>
  <si>
    <r>
      <t>1.9</t>
    </r>
    <r>
      <rPr>
        <vertAlign val="superscript"/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"/>
        <family val="2"/>
        <scheme val="minor"/>
      </rPr>
      <t xml:space="preserve"> (0.8)</t>
    </r>
  </si>
  <si>
    <r>
      <t>0.60</t>
    </r>
    <r>
      <rPr>
        <vertAlign val="superscript"/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"/>
        <family val="2"/>
        <scheme val="minor"/>
      </rPr>
      <t xml:space="preserve"> (0.18)</t>
    </r>
  </si>
  <si>
    <r>
      <t>0.90</t>
    </r>
    <r>
      <rPr>
        <vertAlign val="superscript"/>
        <sz val="11"/>
        <color rgb="FFFF0000"/>
        <rFont val="Calibri"/>
        <family val="2"/>
        <scheme val="minor"/>
      </rPr>
      <t>b</t>
    </r>
    <r>
      <rPr>
        <sz val="11"/>
        <color rgb="FFFF0000"/>
        <rFont val="Calibri"/>
        <family val="2"/>
        <scheme val="minor"/>
      </rPr>
      <t xml:space="preserve"> (0.04)</t>
    </r>
  </si>
  <si>
    <t>reduction</t>
  </si>
  <si>
    <t>Bulk density</t>
  </si>
  <si>
    <t>Intra</t>
  </si>
  <si>
    <t>Intra-equ</t>
  </si>
  <si>
    <t>Total porosity increase</t>
  </si>
  <si>
    <t>&gt;&gt; average porosity increase, when mixing sand with biochar of various shapes and size: +36% in the porosity, based on porosity of the initial sand</t>
  </si>
  <si>
    <t>&gt;&gt; at given mass - volume biochar input</t>
  </si>
  <si>
    <t>&gt;&gt; usually, porosity should increase, due to : lower material particle density + increase inter particle space</t>
  </si>
  <si>
    <t>landscaping soil A, reference, växtjord</t>
  </si>
  <si>
    <t>landscaping soil A, biochar, växtjord</t>
  </si>
  <si>
    <t>landscaping soil A, reference, mineral</t>
  </si>
  <si>
    <t>('material', '4d1222652c73460ebc073db10653a50f_copy22')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</si>
</sst>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0.0"/>
    <numFmt numFmtId="167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/>
    </xf>
    <xf numFmtId="0" fontId="0" fillId="3" borderId="0" xfId="0" applyFont="1" applyFill="1" applyBorder="1" applyAlignment="1">
      <alignment horizontal="center" vertical="center"/>
    </xf>
    <xf numFmtId="1" fontId="0" fillId="3" borderId="0" xfId="1" applyNumberFormat="1" applyFont="1" applyFill="1" applyBorder="1" applyAlignment="1">
      <alignment horizontal="center" vertical="center"/>
    </xf>
    <xf numFmtId="9" fontId="0" fillId="3" borderId="0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/>
    </xf>
    <xf numFmtId="0" fontId="0" fillId="2" borderId="5" xfId="0" applyFont="1" applyFill="1" applyBorder="1" applyAlignment="1">
      <alignment horizontal="right"/>
    </xf>
    <xf numFmtId="9" fontId="0" fillId="3" borderId="0" xfId="0" applyNumberFormat="1" applyFont="1" applyFill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/>
    </xf>
    <xf numFmtId="0" fontId="0" fillId="2" borderId="7" xfId="0" applyFont="1" applyFill="1" applyBorder="1" applyAlignment="1">
      <alignment horizontal="right"/>
    </xf>
    <xf numFmtId="0" fontId="0" fillId="3" borderId="3" xfId="0" applyFont="1" applyFill="1" applyBorder="1" applyAlignment="1">
      <alignment horizontal="center" vertical="center"/>
    </xf>
    <xf numFmtId="1" fontId="0" fillId="3" borderId="3" xfId="1" applyNumberFormat="1" applyFont="1" applyFill="1" applyBorder="1" applyAlignment="1">
      <alignment horizontal="center" vertical="center"/>
    </xf>
    <xf numFmtId="9" fontId="0" fillId="3" borderId="3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3" borderId="0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right"/>
    </xf>
    <xf numFmtId="9" fontId="0" fillId="0" borderId="8" xfId="0" applyNumberForma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0" fillId="4" borderId="0" xfId="0" applyFill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5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textRotation="45"/>
    </xf>
    <xf numFmtId="0" fontId="0" fillId="2" borderId="10" xfId="0" applyFill="1" applyBorder="1" applyAlignment="1">
      <alignment horizontal="right"/>
    </xf>
    <xf numFmtId="0" fontId="0" fillId="2" borderId="10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9" fontId="0" fillId="3" borderId="0" xfId="0" applyNumberFormat="1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 vertical="center"/>
    </xf>
    <xf numFmtId="9" fontId="0" fillId="3" borderId="3" xfId="1" applyFont="1" applyFill="1" applyBorder="1" applyAlignment="1">
      <alignment horizontal="center" vertical="center"/>
    </xf>
    <xf numFmtId="9" fontId="0" fillId="3" borderId="3" xfId="0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10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12" xfId="0" applyFont="1" applyFill="1" applyBorder="1" applyAlignment="1">
      <alignment horizontal="center" vertical="center"/>
    </xf>
    <xf numFmtId="1" fontId="0" fillId="3" borderId="13" xfId="1" applyNumberFormat="1" applyFont="1" applyFill="1" applyBorder="1" applyAlignment="1">
      <alignment horizontal="center" vertical="center"/>
    </xf>
    <xf numFmtId="9" fontId="0" fillId="3" borderId="13" xfId="0" applyNumberFormat="1" applyFont="1" applyFill="1" applyBorder="1" applyAlignment="1">
      <alignment horizontal="center" vertical="center"/>
    </xf>
    <xf numFmtId="9" fontId="0" fillId="3" borderId="13" xfId="0" applyNumberFormat="1" applyFill="1" applyBorder="1" applyAlignment="1">
      <alignment horizontal="center"/>
    </xf>
    <xf numFmtId="0" fontId="0" fillId="3" borderId="9" xfId="0" applyFill="1" applyBorder="1"/>
    <xf numFmtId="0" fontId="3" fillId="2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/>
    <xf numFmtId="166" fontId="0" fillId="0" borderId="0" xfId="0" applyNumberFormat="1"/>
    <xf numFmtId="0" fontId="0" fillId="6" borderId="1" xfId="0" applyFill="1" applyBorder="1" applyAlignment="1">
      <alignment horizontal="left" textRotation="45"/>
    </xf>
    <xf numFmtId="0" fontId="3" fillId="0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/>
    <xf numFmtId="2" fontId="0" fillId="5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9" fontId="0" fillId="5" borderId="15" xfId="0" applyNumberFormat="1" applyFill="1" applyBorder="1" applyAlignment="1">
      <alignment horizontal="center"/>
    </xf>
    <xf numFmtId="9" fontId="2" fillId="5" borderId="15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8" fillId="2" borderId="0" xfId="0" applyFont="1" applyFill="1" applyBorder="1" applyAlignment="1">
      <alignment horizontal="right"/>
    </xf>
    <xf numFmtId="2" fontId="8" fillId="0" borderId="0" xfId="0" applyNumberFormat="1" applyFont="1" applyAlignment="1">
      <alignment horizontal="center"/>
    </xf>
    <xf numFmtId="0" fontId="3" fillId="0" borderId="0" xfId="0" applyFont="1"/>
    <xf numFmtId="0" fontId="9" fillId="0" borderId="0" xfId="2"/>
    <xf numFmtId="2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0" fontId="0" fillId="7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11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9" fontId="0" fillId="0" borderId="0" xfId="1" applyFont="1" applyAlignment="1">
      <alignment horizont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67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  <xf numFmtId="0" fontId="14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ont>
        <color theme="2" tint="-0.749961851863155"/>
      </font>
      <fill>
        <patternFill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oi.org/10.1016/j.jenvman.2020.111588" TargetMode="External"/><Relationship Id="rId1" Type="http://schemas.openxmlformats.org/officeDocument/2006/relationships/hyperlink" Target="https://doi.org/10.1016/j.mex.2020.1012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0" sqref="H10"/>
    </sheetView>
  </sheetViews>
  <sheetFormatPr defaultRowHeight="14.5" x14ac:dyDescent="0.35"/>
  <cols>
    <col min="1" max="1" width="29.81640625" customWidth="1"/>
    <col min="2" max="6" width="10.81640625" customWidth="1"/>
  </cols>
  <sheetData>
    <row r="1" spans="1:8" ht="33.6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2" t="s">
        <v>16</v>
      </c>
      <c r="H1" s="22" t="s">
        <v>23</v>
      </c>
    </row>
    <row r="2" spans="1:8" x14ac:dyDescent="0.35">
      <c r="A2" s="5" t="s">
        <v>6</v>
      </c>
      <c r="B2" s="6">
        <v>400</v>
      </c>
      <c r="C2" s="7">
        <f>B2/(1-D2)</f>
        <v>2666.6666666666661</v>
      </c>
      <c r="D2" s="8">
        <v>0.85</v>
      </c>
      <c r="E2" s="9">
        <v>0.45</v>
      </c>
      <c r="F2" s="10">
        <f>D2-E2</f>
        <v>0.39999999999999997</v>
      </c>
      <c r="G2">
        <v>0</v>
      </c>
      <c r="H2" t="s">
        <v>24</v>
      </c>
    </row>
    <row r="3" spans="1:8" x14ac:dyDescent="0.35">
      <c r="A3" s="11" t="s">
        <v>7</v>
      </c>
      <c r="B3" s="6">
        <v>100</v>
      </c>
      <c r="C3" s="7">
        <f>B3/(1-D3)</f>
        <v>166.66666666666669</v>
      </c>
      <c r="D3" s="12">
        <v>0.4</v>
      </c>
      <c r="E3" s="8">
        <f t="shared" ref="E3:E10" si="0">D3</f>
        <v>0.4</v>
      </c>
      <c r="F3" s="13">
        <f t="shared" ref="F3:F17" si="1">D3-E3</f>
        <v>0</v>
      </c>
      <c r="G3">
        <v>0</v>
      </c>
      <c r="H3" s="23" t="s">
        <v>35</v>
      </c>
    </row>
    <row r="4" spans="1:8" x14ac:dyDescent="0.35">
      <c r="A4" s="11" t="s">
        <v>8</v>
      </c>
      <c r="B4" s="6">
        <v>1600</v>
      </c>
      <c r="C4" s="7">
        <v>2670</v>
      </c>
      <c r="D4" s="12">
        <f>1-B4/C4</f>
        <v>0.40074906367041196</v>
      </c>
      <c r="E4" s="8">
        <f t="shared" si="0"/>
        <v>0.40074906367041196</v>
      </c>
      <c r="F4" s="13">
        <f t="shared" si="1"/>
        <v>0</v>
      </c>
      <c r="G4">
        <v>0</v>
      </c>
      <c r="H4" t="s">
        <v>25</v>
      </c>
    </row>
    <row r="5" spans="1:8" x14ac:dyDescent="0.35">
      <c r="A5" s="11" t="s">
        <v>9</v>
      </c>
      <c r="B5" s="6">
        <v>1522</v>
      </c>
      <c r="C5" s="7">
        <v>2670</v>
      </c>
      <c r="D5" s="12">
        <f>1-B5/C5</f>
        <v>0.42996254681647939</v>
      </c>
      <c r="E5" s="8">
        <f t="shared" si="0"/>
        <v>0.42996254681647939</v>
      </c>
      <c r="F5" s="13">
        <f t="shared" si="1"/>
        <v>0</v>
      </c>
      <c r="G5">
        <v>0</v>
      </c>
      <c r="H5" t="s">
        <v>26</v>
      </c>
    </row>
    <row r="6" spans="1:8" x14ac:dyDescent="0.35">
      <c r="A6" s="11" t="s">
        <v>10</v>
      </c>
      <c r="B6" s="6">
        <v>1700</v>
      </c>
      <c r="C6" s="7">
        <f>B6/(1-D6)</f>
        <v>2741.9354838709678</v>
      </c>
      <c r="D6" s="12">
        <v>0.38</v>
      </c>
      <c r="E6" s="8">
        <f t="shared" si="0"/>
        <v>0.38</v>
      </c>
      <c r="F6" s="13">
        <f t="shared" si="1"/>
        <v>0</v>
      </c>
      <c r="G6">
        <v>0</v>
      </c>
      <c r="H6" t="s">
        <v>26</v>
      </c>
    </row>
    <row r="7" spans="1:8" x14ac:dyDescent="0.35">
      <c r="A7" s="11" t="s">
        <v>17</v>
      </c>
      <c r="B7" s="6">
        <v>1300</v>
      </c>
      <c r="C7" s="7">
        <v>2750</v>
      </c>
      <c r="D7" s="12">
        <f>1-B7/C7</f>
        <v>0.52727272727272734</v>
      </c>
      <c r="E7" s="8">
        <f t="shared" si="0"/>
        <v>0.52727272727272734</v>
      </c>
      <c r="F7" s="13">
        <f t="shared" si="1"/>
        <v>0</v>
      </c>
      <c r="G7">
        <v>0</v>
      </c>
      <c r="H7" t="s">
        <v>28</v>
      </c>
    </row>
    <row r="8" spans="1:8" x14ac:dyDescent="0.35">
      <c r="A8" s="11" t="s">
        <v>18</v>
      </c>
      <c r="B8" s="6">
        <v>1400</v>
      </c>
      <c r="C8" s="7">
        <v>2750</v>
      </c>
      <c r="D8" s="12">
        <f>1-B8/C8</f>
        <v>0.49090909090909096</v>
      </c>
      <c r="E8" s="8">
        <f t="shared" si="0"/>
        <v>0.49090909090909096</v>
      </c>
      <c r="F8" s="13">
        <f t="shared" si="1"/>
        <v>0</v>
      </c>
      <c r="G8">
        <v>0</v>
      </c>
      <c r="H8" t="s">
        <v>29</v>
      </c>
    </row>
    <row r="9" spans="1:8" x14ac:dyDescent="0.35">
      <c r="A9" s="11" t="s">
        <v>11</v>
      </c>
      <c r="B9" s="6">
        <v>1430</v>
      </c>
      <c r="C9" s="7">
        <v>2750</v>
      </c>
      <c r="D9" s="12">
        <f>1-B9/C9</f>
        <v>0.48</v>
      </c>
      <c r="E9" s="8">
        <f t="shared" si="0"/>
        <v>0.48</v>
      </c>
      <c r="F9" s="13">
        <f t="shared" si="1"/>
        <v>0</v>
      </c>
      <c r="G9">
        <v>0</v>
      </c>
      <c r="H9" t="s">
        <v>30</v>
      </c>
    </row>
    <row r="10" spans="1:8" x14ac:dyDescent="0.35">
      <c r="A10" s="11" t="s">
        <v>12</v>
      </c>
      <c r="B10" s="6">
        <v>1600</v>
      </c>
      <c r="C10" s="7">
        <f>B10/(1-D10)</f>
        <v>2666.666666666667</v>
      </c>
      <c r="D10" s="12">
        <v>0.4</v>
      </c>
      <c r="E10" s="8">
        <f t="shared" si="0"/>
        <v>0.4</v>
      </c>
      <c r="F10" s="13">
        <f t="shared" si="1"/>
        <v>0</v>
      </c>
      <c r="G10">
        <v>0</v>
      </c>
      <c r="H10" t="s">
        <v>32</v>
      </c>
    </row>
    <row r="11" spans="1:8" x14ac:dyDescent="0.35">
      <c r="A11" s="14" t="s">
        <v>19</v>
      </c>
      <c r="B11" s="15">
        <v>320</v>
      </c>
      <c r="C11" s="16">
        <f>B11/(1-D11)</f>
        <v>2666.666666666667</v>
      </c>
      <c r="D11" s="17">
        <v>0.88</v>
      </c>
      <c r="E11" s="18">
        <v>0.45</v>
      </c>
      <c r="F11" s="10">
        <f t="shared" si="1"/>
        <v>0.43</v>
      </c>
      <c r="G11">
        <v>0</v>
      </c>
      <c r="H11" t="s">
        <v>27</v>
      </c>
    </row>
    <row r="12" spans="1:8" x14ac:dyDescent="0.35">
      <c r="A12" s="11" t="s">
        <v>20</v>
      </c>
      <c r="B12" s="6">
        <v>194</v>
      </c>
      <c r="C12" s="7">
        <v>1700</v>
      </c>
      <c r="D12" s="12">
        <f>1-B12/C12</f>
        <v>0.88588235294117645</v>
      </c>
      <c r="E12" s="19">
        <v>0.45</v>
      </c>
      <c r="F12" s="13">
        <f t="shared" si="1"/>
        <v>0.43588235294117644</v>
      </c>
      <c r="G12">
        <v>0.91600000000000004</v>
      </c>
      <c r="H12" s="23" t="s">
        <v>33</v>
      </c>
    </row>
    <row r="13" spans="1:8" x14ac:dyDescent="0.35">
      <c r="A13" s="11" t="s">
        <v>21</v>
      </c>
      <c r="B13" s="6">
        <v>376</v>
      </c>
      <c r="C13" s="7">
        <v>1600</v>
      </c>
      <c r="D13" s="12">
        <f t="shared" ref="D13:D15" si="2">1-B13/C13</f>
        <v>0.76500000000000001</v>
      </c>
      <c r="E13" s="19">
        <v>0.45</v>
      </c>
      <c r="F13" s="13">
        <f t="shared" si="1"/>
        <v>0.315</v>
      </c>
      <c r="G13">
        <v>0.64700000000000002</v>
      </c>
      <c r="H13" s="23" t="s">
        <v>34</v>
      </c>
    </row>
    <row r="14" spans="1:8" x14ac:dyDescent="0.35">
      <c r="A14" s="11" t="s">
        <v>22</v>
      </c>
      <c r="B14" s="6">
        <v>165</v>
      </c>
      <c r="C14" s="7">
        <v>1900</v>
      </c>
      <c r="D14" s="12">
        <f t="shared" si="2"/>
        <v>0.91315789473684206</v>
      </c>
      <c r="E14" s="19">
        <v>0.45</v>
      </c>
      <c r="F14" s="13">
        <f t="shared" si="1"/>
        <v>0.46315789473684205</v>
      </c>
      <c r="G14">
        <v>0.64600000000000002</v>
      </c>
      <c r="H14" s="23" t="s">
        <v>34</v>
      </c>
    </row>
    <row r="15" spans="1:8" x14ac:dyDescent="0.35">
      <c r="A15" s="11" t="s">
        <v>13</v>
      </c>
      <c r="B15" s="6">
        <v>500</v>
      </c>
      <c r="C15" s="7">
        <v>1800</v>
      </c>
      <c r="D15" s="12">
        <f t="shared" si="2"/>
        <v>0.72222222222222221</v>
      </c>
      <c r="E15" s="19">
        <v>0.45</v>
      </c>
      <c r="F15" s="13">
        <f t="shared" si="1"/>
        <v>0.2722222222222222</v>
      </c>
      <c r="G15">
        <v>0.93400000000000005</v>
      </c>
      <c r="H15" s="23" t="s">
        <v>33</v>
      </c>
    </row>
    <row r="16" spans="1:8" x14ac:dyDescent="0.35">
      <c r="A16" s="11" t="s">
        <v>14</v>
      </c>
      <c r="B16" s="6">
        <v>400</v>
      </c>
      <c r="C16" s="7">
        <f>B16/(1-D16)</f>
        <v>571.42857142857144</v>
      </c>
      <c r="D16" s="12">
        <v>0.3</v>
      </c>
      <c r="E16" s="12">
        <f>D16</f>
        <v>0.3</v>
      </c>
      <c r="F16" s="13">
        <f t="shared" si="1"/>
        <v>0</v>
      </c>
      <c r="G16">
        <v>0</v>
      </c>
      <c r="H16" t="s">
        <v>31</v>
      </c>
    </row>
    <row r="17" spans="1:8" x14ac:dyDescent="0.35">
      <c r="A17" s="20" t="s">
        <v>15</v>
      </c>
      <c r="B17" s="15">
        <v>1000</v>
      </c>
      <c r="C17" s="16">
        <f>B17/(1-D17)</f>
        <v>1000</v>
      </c>
      <c r="D17" s="17">
        <v>0</v>
      </c>
      <c r="E17" s="17">
        <v>0</v>
      </c>
      <c r="F17" s="21">
        <f t="shared" si="1"/>
        <v>0</v>
      </c>
      <c r="G17">
        <v>0</v>
      </c>
      <c r="H1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abSelected="1" zoomScale="83" workbookViewId="0">
      <selection activeCell="H6" sqref="H6"/>
    </sheetView>
  </sheetViews>
  <sheetFormatPr defaultRowHeight="14.5" x14ac:dyDescent="0.35"/>
  <cols>
    <col min="1" max="1" width="29.81640625" customWidth="1"/>
    <col min="2" max="6" width="10.81640625" customWidth="1"/>
  </cols>
  <sheetData>
    <row r="1" spans="1:8" ht="33.6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2" t="s">
        <v>16</v>
      </c>
      <c r="H1" s="22" t="s">
        <v>23</v>
      </c>
    </row>
    <row r="2" spans="1:8" x14ac:dyDescent="0.35">
      <c r="A2" s="5" t="s">
        <v>6</v>
      </c>
      <c r="B2" s="6">
        <v>400</v>
      </c>
      <c r="C2" s="7">
        <f>B2/(1-D2)</f>
        <v>2666.6666666666661</v>
      </c>
      <c r="D2" s="8">
        <v>0.85</v>
      </c>
      <c r="E2" s="9">
        <v>0.45</v>
      </c>
      <c r="F2" s="10">
        <f>D2-E2</f>
        <v>0.39999999999999997</v>
      </c>
      <c r="G2">
        <v>0</v>
      </c>
      <c r="H2" t="s">
        <v>24</v>
      </c>
    </row>
    <row r="3" spans="1:8" x14ac:dyDescent="0.35">
      <c r="A3" s="11" t="s">
        <v>7</v>
      </c>
      <c r="B3" s="6">
        <v>180</v>
      </c>
      <c r="C3" s="7">
        <f>B3/(1-D3)</f>
        <v>1500</v>
      </c>
      <c r="D3" s="12">
        <v>0.88</v>
      </c>
      <c r="E3" s="8">
        <v>0.44</v>
      </c>
      <c r="F3" s="13">
        <f>D3-E3</f>
        <v>0.44</v>
      </c>
      <c r="G3">
        <v>0</v>
      </c>
      <c r="H3" s="23" t="s">
        <v>35</v>
      </c>
    </row>
    <row r="4" spans="1:8" x14ac:dyDescent="0.35">
      <c r="A4" s="11" t="s">
        <v>8</v>
      </c>
      <c r="B4" s="6">
        <v>1600</v>
      </c>
      <c r="C4" s="7">
        <v>2670</v>
      </c>
      <c r="D4" s="12">
        <f>1-B4/C4</f>
        <v>0.40074906367041196</v>
      </c>
      <c r="E4" s="8">
        <f t="shared" ref="E4:E10" si="0">D4</f>
        <v>0.40074906367041196</v>
      </c>
      <c r="F4" s="13">
        <f t="shared" ref="F4:F25" si="1">D4-E4</f>
        <v>0</v>
      </c>
      <c r="G4">
        <v>0</v>
      </c>
      <c r="H4" t="s">
        <v>25</v>
      </c>
    </row>
    <row r="5" spans="1:8" x14ac:dyDescent="0.35">
      <c r="A5" s="11" t="s">
        <v>9</v>
      </c>
      <c r="B5" s="6">
        <v>1522</v>
      </c>
      <c r="C5" s="7">
        <v>2670</v>
      </c>
      <c r="D5" s="12">
        <f>1-B5/C5</f>
        <v>0.42996254681647939</v>
      </c>
      <c r="E5" s="8">
        <f t="shared" si="0"/>
        <v>0.42996254681647939</v>
      </c>
      <c r="F5" s="13">
        <f t="shared" si="1"/>
        <v>0</v>
      </c>
      <c r="G5">
        <v>0</v>
      </c>
      <c r="H5" t="s">
        <v>26</v>
      </c>
    </row>
    <row r="6" spans="1:8" x14ac:dyDescent="0.35">
      <c r="A6" s="11" t="s">
        <v>10</v>
      </c>
      <c r="B6" s="6">
        <v>1700</v>
      </c>
      <c r="C6" s="7">
        <f>B6/(1-D6)</f>
        <v>2741.9354838709678</v>
      </c>
      <c r="D6" s="12">
        <v>0.38</v>
      </c>
      <c r="E6" s="8">
        <f t="shared" si="0"/>
        <v>0.38</v>
      </c>
      <c r="F6" s="13">
        <f t="shared" si="1"/>
        <v>0</v>
      </c>
      <c r="G6">
        <v>0</v>
      </c>
      <c r="H6" t="s">
        <v>212</v>
      </c>
    </row>
    <row r="7" spans="1:8" x14ac:dyDescent="0.35">
      <c r="A7" s="11" t="s">
        <v>17</v>
      </c>
      <c r="B7" s="6">
        <v>1300</v>
      </c>
      <c r="C7" s="7">
        <v>2750</v>
      </c>
      <c r="D7" s="12">
        <f>1-B7/C7</f>
        <v>0.52727272727272734</v>
      </c>
      <c r="E7" s="8">
        <f t="shared" si="0"/>
        <v>0.52727272727272734</v>
      </c>
      <c r="F7" s="13">
        <f t="shared" si="1"/>
        <v>0</v>
      </c>
      <c r="G7">
        <v>0</v>
      </c>
      <c r="H7" t="s">
        <v>28</v>
      </c>
    </row>
    <row r="8" spans="1:8" x14ac:dyDescent="0.35">
      <c r="A8" s="11" t="s">
        <v>18</v>
      </c>
      <c r="B8" s="6">
        <v>1400</v>
      </c>
      <c r="C8" s="7">
        <v>2750</v>
      </c>
      <c r="D8" s="12">
        <f>1-B8/C8</f>
        <v>0.49090909090909096</v>
      </c>
      <c r="E8" s="8">
        <f t="shared" si="0"/>
        <v>0.49090909090909096</v>
      </c>
      <c r="F8" s="13">
        <f t="shared" si="1"/>
        <v>0</v>
      </c>
      <c r="G8">
        <v>0</v>
      </c>
      <c r="H8" t="s">
        <v>29</v>
      </c>
    </row>
    <row r="9" spans="1:8" x14ac:dyDescent="0.35">
      <c r="A9" s="11" t="s">
        <v>11</v>
      </c>
      <c r="B9" s="6">
        <v>1430</v>
      </c>
      <c r="C9" s="7">
        <v>2750</v>
      </c>
      <c r="D9" s="12">
        <f>1-B9/C9</f>
        <v>0.48</v>
      </c>
      <c r="E9" s="8">
        <f t="shared" si="0"/>
        <v>0.48</v>
      </c>
      <c r="F9" s="13">
        <f t="shared" si="1"/>
        <v>0</v>
      </c>
      <c r="G9">
        <v>0</v>
      </c>
      <c r="H9" t="s">
        <v>30</v>
      </c>
    </row>
    <row r="10" spans="1:8" x14ac:dyDescent="0.35">
      <c r="A10" s="11" t="s">
        <v>12</v>
      </c>
      <c r="B10" s="6">
        <v>1200</v>
      </c>
      <c r="C10" s="7">
        <v>2660</v>
      </c>
      <c r="D10" s="12">
        <f>1-B10/C10</f>
        <v>0.54887218045112784</v>
      </c>
      <c r="E10" s="8">
        <f t="shared" si="0"/>
        <v>0.54887218045112784</v>
      </c>
      <c r="F10" s="13">
        <f t="shared" si="1"/>
        <v>0</v>
      </c>
      <c r="G10">
        <v>0</v>
      </c>
      <c r="H10" t="s">
        <v>32</v>
      </c>
    </row>
    <row r="11" spans="1:8" x14ac:dyDescent="0.35">
      <c r="A11" s="14" t="s">
        <v>19</v>
      </c>
      <c r="B11" s="15">
        <v>320</v>
      </c>
      <c r="C11" s="16">
        <f>B11/(1-D11)</f>
        <v>2666.666666666667</v>
      </c>
      <c r="D11" s="17">
        <v>0.88</v>
      </c>
      <c r="E11" s="18">
        <v>0.45</v>
      </c>
      <c r="F11" s="10">
        <f t="shared" si="1"/>
        <v>0.43</v>
      </c>
      <c r="G11">
        <v>0</v>
      </c>
      <c r="H11" t="s">
        <v>27</v>
      </c>
    </row>
    <row r="12" spans="1:8" x14ac:dyDescent="0.35">
      <c r="A12" s="11" t="s">
        <v>36</v>
      </c>
      <c r="B12" s="6">
        <v>500</v>
      </c>
      <c r="C12" s="7">
        <v>1800</v>
      </c>
      <c r="D12" s="12">
        <f t="shared" ref="D12:D18" si="2">1-B12/C12</f>
        <v>0.72222222222222221</v>
      </c>
      <c r="E12" s="19">
        <v>0.45</v>
      </c>
      <c r="F12" s="10">
        <f t="shared" si="1"/>
        <v>0.2722222222222222</v>
      </c>
      <c r="G12">
        <v>0.93400000000000005</v>
      </c>
      <c r="H12" s="23" t="s">
        <v>33</v>
      </c>
    </row>
    <row r="13" spans="1:8" x14ac:dyDescent="0.35">
      <c r="A13" s="11" t="s">
        <v>37</v>
      </c>
      <c r="B13" s="6">
        <v>500</v>
      </c>
      <c r="C13" s="7">
        <v>1800</v>
      </c>
      <c r="D13" s="12">
        <f t="shared" si="2"/>
        <v>0.72222222222222221</v>
      </c>
      <c r="E13" s="19">
        <v>0.45</v>
      </c>
      <c r="F13" s="10">
        <f>D13-E13</f>
        <v>0.2722222222222222</v>
      </c>
      <c r="G13">
        <v>0.93400000000000005</v>
      </c>
      <c r="H13" t="s">
        <v>44</v>
      </c>
    </row>
    <row r="14" spans="1:8" x14ac:dyDescent="0.35">
      <c r="A14" s="11" t="s">
        <v>38</v>
      </c>
      <c r="B14" s="6">
        <v>242</v>
      </c>
      <c r="C14" s="7">
        <v>1660</v>
      </c>
      <c r="D14" s="12">
        <f t="shared" si="2"/>
        <v>0.85421686746987957</v>
      </c>
      <c r="E14" s="19">
        <v>0.45</v>
      </c>
      <c r="F14" s="10">
        <f t="shared" si="1"/>
        <v>0.40421686746987956</v>
      </c>
      <c r="G14">
        <v>0.69899999999999995</v>
      </c>
      <c r="H14" t="s">
        <v>34</v>
      </c>
    </row>
    <row r="15" spans="1:8" x14ac:dyDescent="0.35">
      <c r="A15" s="11" t="s">
        <v>39</v>
      </c>
      <c r="B15" s="6">
        <v>242</v>
      </c>
      <c r="C15" s="7">
        <v>1660</v>
      </c>
      <c r="D15" s="12">
        <f t="shared" si="2"/>
        <v>0.85421686746987957</v>
      </c>
      <c r="E15" s="19">
        <v>0.45</v>
      </c>
      <c r="F15" s="10">
        <f t="shared" si="1"/>
        <v>0.40421686746987956</v>
      </c>
      <c r="G15">
        <v>0.69899999999999995</v>
      </c>
      <c r="H15" t="s">
        <v>45</v>
      </c>
    </row>
    <row r="16" spans="1:8" x14ac:dyDescent="0.35">
      <c r="A16" s="11" t="s">
        <v>40</v>
      </c>
      <c r="B16" s="6">
        <v>194</v>
      </c>
      <c r="C16" s="7">
        <v>1700</v>
      </c>
      <c r="D16" s="12">
        <f t="shared" si="2"/>
        <v>0.88588235294117645</v>
      </c>
      <c r="E16" s="19">
        <v>0.45</v>
      </c>
      <c r="F16" s="10">
        <f t="shared" si="1"/>
        <v>0.43588235294117644</v>
      </c>
      <c r="G16">
        <v>0.91600000000000004</v>
      </c>
      <c r="H16" t="s">
        <v>46</v>
      </c>
    </row>
    <row r="17" spans="1:8" x14ac:dyDescent="0.35">
      <c r="A17" s="11" t="s">
        <v>41</v>
      </c>
      <c r="B17" s="6">
        <v>194</v>
      </c>
      <c r="C17" s="7">
        <v>1700</v>
      </c>
      <c r="D17" s="12">
        <f t="shared" si="2"/>
        <v>0.88588235294117645</v>
      </c>
      <c r="E17" s="19">
        <v>0.45</v>
      </c>
      <c r="F17" s="10">
        <f t="shared" si="1"/>
        <v>0.43588235294117644</v>
      </c>
      <c r="G17">
        <v>0.91600000000000004</v>
      </c>
      <c r="H17" t="s">
        <v>47</v>
      </c>
    </row>
    <row r="18" spans="1:8" x14ac:dyDescent="0.35">
      <c r="A18" s="11" t="s">
        <v>42</v>
      </c>
      <c r="B18" s="6">
        <v>270</v>
      </c>
      <c r="C18" s="7">
        <v>1660</v>
      </c>
      <c r="D18" s="12">
        <f t="shared" si="2"/>
        <v>0.83734939759036142</v>
      </c>
      <c r="E18" s="19">
        <v>0.45</v>
      </c>
      <c r="F18" s="10">
        <f t="shared" si="1"/>
        <v>0.38734939759036141</v>
      </c>
      <c r="G18">
        <v>0.81599999999999995</v>
      </c>
      <c r="H18" t="s">
        <v>48</v>
      </c>
    </row>
    <row r="19" spans="1:8" x14ac:dyDescent="0.35">
      <c r="A19" s="11" t="s">
        <v>43</v>
      </c>
      <c r="B19" s="6">
        <v>376</v>
      </c>
      <c r="C19" s="7">
        <v>1600</v>
      </c>
      <c r="D19" s="12">
        <f t="shared" ref="D19" si="3">1-B19/C19</f>
        <v>0.76500000000000001</v>
      </c>
      <c r="E19" s="19">
        <v>0.45</v>
      </c>
      <c r="F19" s="10">
        <f t="shared" ref="F19" si="4">D19-E19</f>
        <v>0.315</v>
      </c>
      <c r="G19">
        <v>0.64700000000000002</v>
      </c>
      <c r="H19" t="s">
        <v>49</v>
      </c>
    </row>
    <row r="20" spans="1:8" x14ac:dyDescent="0.35">
      <c r="A20" s="11" t="s">
        <v>20</v>
      </c>
      <c r="B20" s="6">
        <v>194</v>
      </c>
      <c r="C20" s="7">
        <v>1700</v>
      </c>
      <c r="D20" s="12">
        <f>1-B20/C20</f>
        <v>0.88588235294117645</v>
      </c>
      <c r="E20" s="19">
        <v>0.45</v>
      </c>
      <c r="F20" s="13">
        <f t="shared" si="1"/>
        <v>0.43588235294117644</v>
      </c>
      <c r="G20">
        <v>0.91600000000000004</v>
      </c>
      <c r="H20" s="23" t="s">
        <v>33</v>
      </c>
    </row>
    <row r="21" spans="1:8" x14ac:dyDescent="0.35">
      <c r="A21" s="11" t="s">
        <v>21</v>
      </c>
      <c r="B21" s="6">
        <v>376</v>
      </c>
      <c r="C21" s="7">
        <v>1600</v>
      </c>
      <c r="D21" s="12">
        <f t="shared" ref="D21:D23" si="5">1-B21/C21</f>
        <v>0.76500000000000001</v>
      </c>
      <c r="E21" s="19">
        <v>0.45</v>
      </c>
      <c r="F21" s="13">
        <f t="shared" si="1"/>
        <v>0.315</v>
      </c>
      <c r="G21">
        <v>0.64700000000000002</v>
      </c>
      <c r="H21" s="23" t="s">
        <v>34</v>
      </c>
    </row>
    <row r="22" spans="1:8" x14ac:dyDescent="0.35">
      <c r="A22" s="11" t="s">
        <v>22</v>
      </c>
      <c r="B22" s="6">
        <v>165</v>
      </c>
      <c r="C22" s="7">
        <v>1900</v>
      </c>
      <c r="D22" s="12">
        <f t="shared" si="5"/>
        <v>0.91315789473684206</v>
      </c>
      <c r="E22" s="19">
        <v>0.45</v>
      </c>
      <c r="F22" s="13">
        <f t="shared" si="1"/>
        <v>0.46315789473684205</v>
      </c>
      <c r="G22">
        <v>0.64600000000000002</v>
      </c>
      <c r="H22" s="23" t="s">
        <v>34</v>
      </c>
    </row>
    <row r="23" spans="1:8" x14ac:dyDescent="0.35">
      <c r="A23" s="11" t="s">
        <v>13</v>
      </c>
      <c r="B23" s="6">
        <v>500</v>
      </c>
      <c r="C23" s="7">
        <v>1800</v>
      </c>
      <c r="D23" s="12">
        <f t="shared" si="5"/>
        <v>0.72222222222222221</v>
      </c>
      <c r="E23" s="19">
        <v>0.45</v>
      </c>
      <c r="F23" s="13">
        <f t="shared" si="1"/>
        <v>0.2722222222222222</v>
      </c>
      <c r="G23">
        <v>0.93400000000000005</v>
      </c>
      <c r="H23" s="23" t="s">
        <v>33</v>
      </c>
    </row>
    <row r="24" spans="1:8" x14ac:dyDescent="0.35">
      <c r="A24" s="11" t="s">
        <v>14</v>
      </c>
      <c r="B24" s="6">
        <v>400</v>
      </c>
      <c r="C24" s="7">
        <f>B24/(1-D24)</f>
        <v>571.42857142857144</v>
      </c>
      <c r="D24" s="12">
        <v>0.3</v>
      </c>
      <c r="E24" s="12">
        <f>D24</f>
        <v>0.3</v>
      </c>
      <c r="F24" s="13">
        <f t="shared" si="1"/>
        <v>0</v>
      </c>
      <c r="G24">
        <v>0</v>
      </c>
      <c r="H24" t="s">
        <v>31</v>
      </c>
    </row>
    <row r="25" spans="1:8" x14ac:dyDescent="0.35">
      <c r="A25" s="20" t="s">
        <v>15</v>
      </c>
      <c r="B25" s="15">
        <v>1000</v>
      </c>
      <c r="C25" s="16">
        <f>B25/(1-D25)</f>
        <v>1000</v>
      </c>
      <c r="D25" s="17">
        <v>0</v>
      </c>
      <c r="E25" s="17">
        <v>0</v>
      </c>
      <c r="F25" s="21">
        <f t="shared" si="1"/>
        <v>0</v>
      </c>
      <c r="G25">
        <v>0</v>
      </c>
      <c r="H25" t="s">
        <v>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77" workbookViewId="0">
      <selection activeCell="A6" sqref="A6"/>
    </sheetView>
  </sheetViews>
  <sheetFormatPr defaultRowHeight="14.5" x14ac:dyDescent="0.35"/>
  <cols>
    <col min="1" max="1" width="25.26953125" customWidth="1"/>
    <col min="2" max="2" width="7.54296875" style="29" customWidth="1"/>
    <col min="3" max="3" width="8.7265625" style="29"/>
  </cols>
  <sheetData>
    <row r="1" spans="1:17" x14ac:dyDescent="0.35">
      <c r="A1" s="24" t="s">
        <v>50</v>
      </c>
    </row>
    <row r="2" spans="1:17" x14ac:dyDescent="0.35">
      <c r="A2" s="24"/>
    </row>
    <row r="3" spans="1:17" ht="134.5" x14ac:dyDescent="0.35">
      <c r="A3" s="26" t="s">
        <v>54</v>
      </c>
      <c r="B3" s="66" t="s">
        <v>56</v>
      </c>
      <c r="C3" s="66" t="s">
        <v>55</v>
      </c>
      <c r="D3" s="66" t="s">
        <v>60</v>
      </c>
      <c r="E3" s="66" t="s">
        <v>61</v>
      </c>
      <c r="F3" s="66" t="s">
        <v>209</v>
      </c>
      <c r="G3" s="66" t="s">
        <v>210</v>
      </c>
      <c r="H3" s="66" t="s">
        <v>211</v>
      </c>
      <c r="I3" s="66" t="s">
        <v>62</v>
      </c>
      <c r="J3" s="33" t="s">
        <v>63</v>
      </c>
      <c r="K3" s="33"/>
      <c r="L3" s="33"/>
      <c r="M3" s="33"/>
      <c r="N3" s="33"/>
      <c r="O3" s="33"/>
      <c r="P3" s="33"/>
      <c r="Q3" s="33"/>
    </row>
    <row r="4" spans="1:17" x14ac:dyDescent="0.35">
      <c r="A4" s="25" t="s">
        <v>57</v>
      </c>
      <c r="B4" s="27" t="s">
        <v>59</v>
      </c>
      <c r="C4" s="27" t="s">
        <v>59</v>
      </c>
      <c r="D4" s="27" t="s">
        <v>59</v>
      </c>
      <c r="E4" s="27" t="s">
        <v>59</v>
      </c>
      <c r="F4" s="27" t="s">
        <v>59</v>
      </c>
      <c r="G4" s="27" t="s">
        <v>58</v>
      </c>
      <c r="H4" s="27" t="s">
        <v>59</v>
      </c>
      <c r="I4" s="27" t="s">
        <v>59</v>
      </c>
      <c r="J4" s="27"/>
      <c r="K4" s="27"/>
      <c r="L4" s="27"/>
      <c r="M4" s="27"/>
      <c r="N4" s="27"/>
      <c r="O4" s="27"/>
      <c r="P4" s="27"/>
      <c r="Q4" s="27"/>
    </row>
    <row r="5" spans="1:17" x14ac:dyDescent="0.35">
      <c r="A5" s="28" t="s">
        <v>52</v>
      </c>
      <c r="B5" s="78">
        <v>1300</v>
      </c>
      <c r="C5" s="78">
        <v>1600</v>
      </c>
      <c r="D5" s="78">
        <v>800</v>
      </c>
      <c r="E5" s="78">
        <v>851.45888594164455</v>
      </c>
      <c r="F5" s="79">
        <v>1250</v>
      </c>
      <c r="G5" s="78"/>
      <c r="H5" s="78">
        <v>1500</v>
      </c>
      <c r="I5" s="79">
        <v>1250</v>
      </c>
      <c r="J5" s="78"/>
      <c r="K5" s="78"/>
      <c r="L5" s="78"/>
      <c r="M5" s="78"/>
      <c r="N5" s="78"/>
      <c r="O5" s="78"/>
      <c r="P5" s="78"/>
      <c r="Q5" s="78"/>
    </row>
    <row r="6" spans="1:17" x14ac:dyDescent="0.35">
      <c r="A6" s="25" t="s">
        <v>51</v>
      </c>
      <c r="B6" s="80">
        <v>0.45</v>
      </c>
      <c r="C6" s="80">
        <v>0.41333333333333333</v>
      </c>
      <c r="D6" s="80">
        <v>0.60338872596937121</v>
      </c>
      <c r="E6" s="80">
        <v>0.5</v>
      </c>
      <c r="F6" s="80"/>
      <c r="G6" s="81">
        <f>2.5*0.175582800804349</f>
        <v>0.43895700201087245</v>
      </c>
      <c r="H6" s="81"/>
      <c r="I6" s="80"/>
      <c r="J6" s="80"/>
      <c r="K6" s="80"/>
      <c r="L6" s="80"/>
      <c r="M6" s="80"/>
      <c r="N6" s="80"/>
      <c r="O6" s="80"/>
      <c r="P6" s="80"/>
      <c r="Q6" s="80"/>
    </row>
    <row r="7" spans="1:17" s="31" customFormat="1" x14ac:dyDescent="0.35">
      <c r="A7" s="30" t="s">
        <v>53</v>
      </c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</row>
    <row r="8" spans="1:17" x14ac:dyDescent="0.35">
      <c r="A8" s="34" t="s">
        <v>6</v>
      </c>
      <c r="B8" s="67"/>
      <c r="C8" s="68"/>
      <c r="D8" s="69">
        <v>0.42553191489361708</v>
      </c>
      <c r="E8" s="70">
        <v>0.4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x14ac:dyDescent="0.35">
      <c r="A9" s="35" t="s">
        <v>7</v>
      </c>
      <c r="B9" s="71"/>
      <c r="C9" s="71"/>
      <c r="D9" s="72">
        <v>5.31914893617021E-2</v>
      </c>
      <c r="E9" s="73">
        <v>0.25</v>
      </c>
      <c r="F9" s="72">
        <v>0.35</v>
      </c>
      <c r="G9" s="72">
        <v>0.15</v>
      </c>
      <c r="H9" s="72">
        <v>0</v>
      </c>
      <c r="I9" s="72">
        <v>0.45</v>
      </c>
      <c r="J9" s="72"/>
      <c r="K9" s="72"/>
      <c r="L9" s="72"/>
      <c r="M9" s="72"/>
      <c r="N9" s="72"/>
      <c r="O9" s="72"/>
      <c r="P9" s="72"/>
      <c r="Q9" s="72"/>
    </row>
    <row r="10" spans="1:17" x14ac:dyDescent="0.35">
      <c r="A10" s="35" t="s">
        <v>8</v>
      </c>
      <c r="B10" s="71"/>
      <c r="C10" s="71"/>
      <c r="D10" s="72"/>
      <c r="E10" s="72"/>
      <c r="F10" s="72">
        <v>0.35</v>
      </c>
      <c r="G10" s="72">
        <v>0.35</v>
      </c>
      <c r="H10" s="72">
        <v>0.7</v>
      </c>
      <c r="I10" s="72">
        <v>0.5</v>
      </c>
      <c r="J10" s="72"/>
      <c r="K10" s="72"/>
      <c r="L10" s="72"/>
      <c r="M10" s="72"/>
      <c r="N10" s="72"/>
      <c r="O10" s="72"/>
      <c r="P10" s="72"/>
      <c r="Q10" s="72"/>
    </row>
    <row r="11" spans="1:17" x14ac:dyDescent="0.35">
      <c r="A11" s="35" t="s">
        <v>9</v>
      </c>
      <c r="B11" s="71"/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</row>
    <row r="12" spans="1:17" x14ac:dyDescent="0.35">
      <c r="A12" s="35" t="s">
        <v>10</v>
      </c>
      <c r="B12" s="71"/>
      <c r="C12" s="71"/>
      <c r="D12" s="72">
        <v>0.26595744680851102</v>
      </c>
      <c r="E12" s="72">
        <v>0.25</v>
      </c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</row>
    <row r="13" spans="1:17" x14ac:dyDescent="0.35">
      <c r="A13" s="35" t="s">
        <v>17</v>
      </c>
      <c r="B13" s="74">
        <v>0.77500000000000002</v>
      </c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</row>
    <row r="14" spans="1:17" x14ac:dyDescent="0.35">
      <c r="A14" s="35" t="s">
        <v>18</v>
      </c>
      <c r="B14" s="71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</row>
    <row r="15" spans="1:17" x14ac:dyDescent="0.35">
      <c r="A15" s="35" t="s">
        <v>11</v>
      </c>
      <c r="B15" s="71"/>
      <c r="C15" s="74">
        <v>0.85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</row>
    <row r="16" spans="1:17" x14ac:dyDescent="0.35">
      <c r="A16" s="35" t="s">
        <v>12</v>
      </c>
      <c r="B16" s="71"/>
      <c r="C16" s="71"/>
      <c r="D16" s="72"/>
      <c r="E16" s="72"/>
      <c r="F16" s="72">
        <v>0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x14ac:dyDescent="0.35">
      <c r="A17" s="36" t="s">
        <v>19</v>
      </c>
      <c r="B17" s="71"/>
      <c r="C17" s="71"/>
      <c r="D17" s="72">
        <v>0.10638297872340401</v>
      </c>
      <c r="E17" s="72">
        <v>0.1</v>
      </c>
      <c r="F17" s="72">
        <v>0.3</v>
      </c>
      <c r="G17" s="72">
        <v>0.3</v>
      </c>
      <c r="H17" s="72">
        <v>0.3</v>
      </c>
      <c r="I17" s="72">
        <v>0.05</v>
      </c>
      <c r="J17" s="72"/>
      <c r="K17" s="72"/>
      <c r="L17" s="72"/>
      <c r="M17" s="72"/>
      <c r="N17" s="72"/>
      <c r="O17" s="72"/>
      <c r="P17" s="72"/>
      <c r="Q17" s="72"/>
    </row>
    <row r="18" spans="1:17" x14ac:dyDescent="0.35">
      <c r="A18" s="35" t="s">
        <v>36</v>
      </c>
      <c r="B18" s="71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1:17" x14ac:dyDescent="0.35">
      <c r="A19" s="35" t="s">
        <v>37</v>
      </c>
      <c r="B19" s="71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</row>
    <row r="20" spans="1:17" x14ac:dyDescent="0.35">
      <c r="A20" s="35" t="s">
        <v>38</v>
      </c>
      <c r="B20" s="74"/>
      <c r="C20" s="75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1:17" x14ac:dyDescent="0.35">
      <c r="A21" s="35" t="s">
        <v>39</v>
      </c>
      <c r="B21" s="71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</row>
    <row r="22" spans="1:17" x14ac:dyDescent="0.35">
      <c r="A22" s="35" t="s">
        <v>40</v>
      </c>
      <c r="B22" s="71"/>
      <c r="C22" s="71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</row>
    <row r="23" spans="1:17" x14ac:dyDescent="0.35">
      <c r="A23" s="35" t="s">
        <v>41</v>
      </c>
      <c r="B23" s="71"/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</row>
    <row r="24" spans="1:17" x14ac:dyDescent="0.35">
      <c r="A24" s="35" t="s">
        <v>42</v>
      </c>
      <c r="B24" s="74">
        <v>0.1125</v>
      </c>
      <c r="C24" s="75">
        <v>7.4999999999999997E-2</v>
      </c>
      <c r="D24" s="72">
        <v>4.2553191489361708E-2</v>
      </c>
      <c r="E24" s="72"/>
      <c r="F24" s="72"/>
      <c r="G24" s="72">
        <v>0.2</v>
      </c>
      <c r="H24" s="72"/>
      <c r="I24" s="72"/>
      <c r="J24" s="72"/>
      <c r="K24" s="72"/>
      <c r="L24" s="72"/>
      <c r="M24" s="72"/>
      <c r="N24" s="72"/>
      <c r="O24" s="72"/>
      <c r="P24" s="72"/>
      <c r="Q24" s="72"/>
    </row>
    <row r="25" spans="1:17" x14ac:dyDescent="0.35">
      <c r="A25" s="35" t="s">
        <v>43</v>
      </c>
      <c r="B25" s="71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</row>
    <row r="26" spans="1:17" x14ac:dyDescent="0.35">
      <c r="A26" s="35" t="s">
        <v>20</v>
      </c>
      <c r="B26" s="71"/>
      <c r="C26" s="71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</row>
    <row r="27" spans="1:17" x14ac:dyDescent="0.35">
      <c r="A27" s="35" t="s">
        <v>21</v>
      </c>
      <c r="B27" s="71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</row>
    <row r="28" spans="1:17" x14ac:dyDescent="0.35">
      <c r="A28" s="35" t="s">
        <v>22</v>
      </c>
      <c r="B28" s="71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</row>
    <row r="29" spans="1:17" x14ac:dyDescent="0.35">
      <c r="A29" s="35" t="s">
        <v>13</v>
      </c>
      <c r="B29" s="74"/>
      <c r="C29" s="75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</row>
    <row r="30" spans="1:17" x14ac:dyDescent="0.35">
      <c r="A30" s="35" t="s">
        <v>14</v>
      </c>
      <c r="B30" s="74">
        <v>0.1125</v>
      </c>
      <c r="C30" s="75">
        <v>7.4999999999999997E-2</v>
      </c>
      <c r="D30" s="72">
        <v>0.10638297872340401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</row>
    <row r="31" spans="1:17" x14ac:dyDescent="0.35">
      <c r="A31" s="37" t="s">
        <v>15</v>
      </c>
      <c r="B31" s="76"/>
      <c r="C31" s="76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3" spans="1:17" x14ac:dyDescent="0.35">
      <c r="A33" s="85" t="s">
        <v>64</v>
      </c>
      <c r="B33" s="86">
        <f>SUM(B8:B31)</f>
        <v>1</v>
      </c>
      <c r="C33" s="86">
        <f t="shared" ref="C33:Q33" si="0">SUM(C8:C31)</f>
        <v>0.99999999999999989</v>
      </c>
      <c r="D33" s="86">
        <f t="shared" si="0"/>
        <v>0.99999999999999989</v>
      </c>
      <c r="E33" s="86">
        <f t="shared" si="0"/>
        <v>1</v>
      </c>
      <c r="F33" s="86">
        <f t="shared" si="0"/>
        <v>1</v>
      </c>
      <c r="G33" s="86">
        <f t="shared" si="0"/>
        <v>1</v>
      </c>
      <c r="H33" s="86"/>
      <c r="I33" s="86">
        <f t="shared" si="0"/>
        <v>1</v>
      </c>
      <c r="J33" s="86">
        <f t="shared" si="0"/>
        <v>0</v>
      </c>
      <c r="K33" s="86">
        <f t="shared" si="0"/>
        <v>0</v>
      </c>
      <c r="L33" s="86">
        <f t="shared" si="0"/>
        <v>0</v>
      </c>
      <c r="M33" s="86">
        <f t="shared" si="0"/>
        <v>0</v>
      </c>
      <c r="N33" s="86">
        <f t="shared" si="0"/>
        <v>0</v>
      </c>
      <c r="O33" s="86">
        <f t="shared" si="0"/>
        <v>0</v>
      </c>
      <c r="P33" s="86">
        <f t="shared" si="0"/>
        <v>0</v>
      </c>
      <c r="Q33" s="86">
        <f t="shared" si="0"/>
        <v>0</v>
      </c>
    </row>
  </sheetData>
  <conditionalFormatting sqref="B8:Q31">
    <cfRule type="cellIs" dxfId="10" priority="1" operator="greaterThan">
      <formula>0</formula>
    </cfRule>
    <cfRule type="cellIs" dxfId="9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80" workbookViewId="0">
      <selection activeCell="L1" sqref="L1:O1"/>
    </sheetView>
  </sheetViews>
  <sheetFormatPr defaultRowHeight="14.5" x14ac:dyDescent="0.35"/>
  <cols>
    <col min="1" max="1" width="23.90625" customWidth="1"/>
    <col min="2" max="7" width="10.6328125" customWidth="1"/>
    <col min="8" max="8" width="2.54296875" customWidth="1"/>
    <col min="9" max="9" width="11.54296875" customWidth="1"/>
    <col min="11" max="11" width="9.7265625" customWidth="1"/>
    <col min="12" max="12" width="10.7265625" customWidth="1"/>
    <col min="13" max="13" width="13.08984375" customWidth="1"/>
    <col min="14" max="15" width="10.7265625" customWidth="1"/>
    <col min="16" max="16" width="2.453125" customWidth="1"/>
    <col min="18" max="18" width="11.08984375" customWidth="1"/>
    <col min="21" max="21" width="1.90625" customWidth="1"/>
    <col min="23" max="23" width="11.08984375" customWidth="1"/>
  </cols>
  <sheetData>
    <row r="1" spans="1:25" ht="30" customHeight="1" x14ac:dyDescent="0.35">
      <c r="H1" s="53" t="s">
        <v>65</v>
      </c>
      <c r="I1" s="54">
        <v>7</v>
      </c>
      <c r="J1" s="112" t="str">
        <f>INDEX(RecipesBiocharX!B3:Q3,1,Calculator!I1)</f>
        <v>landscaping soil A, reference, mineral</v>
      </c>
      <c r="K1" s="112"/>
      <c r="L1" s="109" t="s">
        <v>69</v>
      </c>
      <c r="M1" s="109"/>
      <c r="N1" s="109"/>
      <c r="O1" s="109"/>
      <c r="Q1" s="111" t="s">
        <v>70</v>
      </c>
      <c r="R1" s="111"/>
      <c r="S1" s="111"/>
      <c r="T1" s="111"/>
      <c r="V1" s="109" t="s">
        <v>68</v>
      </c>
      <c r="W1" s="110"/>
      <c r="X1" s="110"/>
      <c r="Y1" s="110"/>
    </row>
    <row r="2" spans="1:25" ht="31.5" customHeight="1" x14ac:dyDescent="0.35">
      <c r="A2" s="1" t="str">
        <f>SoilMixes_7bc!A1</f>
        <v>Material</v>
      </c>
      <c r="B2" s="107" t="str">
        <f>SoilMixes_7bc!B1</f>
        <v>Bulk density, dry</v>
      </c>
      <c r="C2" s="107" t="str">
        <f>SoilMixes_7bc!C1</f>
        <v>Particle density, dry</v>
      </c>
      <c r="D2" s="107" t="str">
        <f>SoilMixes_7bc!D1</f>
        <v>Total porosity</v>
      </c>
      <c r="E2" s="107" t="str">
        <f>SoilMixes_7bc!E1</f>
        <v>Bulk porosity [assumed]</v>
      </c>
      <c r="F2" s="107" t="str">
        <f>SoilMixes_7bc!F1</f>
        <v>Internal porosity</v>
      </c>
      <c r="G2" s="107" t="str">
        <f>SoilMixes_7bc!G1</f>
        <v>Biochar C content</v>
      </c>
      <c r="I2" s="53" t="s">
        <v>66</v>
      </c>
      <c r="J2" s="54" t="str">
        <f>INDEX(RecipesBiocharX!$B$4:$Q$4,1,Calculator!I1)</f>
        <v>v-b</v>
      </c>
      <c r="L2" s="50" t="s">
        <v>71</v>
      </c>
      <c r="M2" s="2" t="s">
        <v>72</v>
      </c>
      <c r="N2" s="2" t="s">
        <v>73</v>
      </c>
      <c r="O2" s="51" t="s">
        <v>74</v>
      </c>
      <c r="Q2" s="50" t="s">
        <v>71</v>
      </c>
      <c r="R2" s="2" t="s">
        <v>72</v>
      </c>
      <c r="S2" s="2" t="s">
        <v>73</v>
      </c>
      <c r="T2" s="51" t="s">
        <v>74</v>
      </c>
      <c r="V2" s="50" t="s">
        <v>71</v>
      </c>
      <c r="W2" s="2" t="s">
        <v>72</v>
      </c>
      <c r="X2" s="2" t="s">
        <v>73</v>
      </c>
      <c r="Y2" s="51" t="s">
        <v>74</v>
      </c>
    </row>
    <row r="3" spans="1:25" x14ac:dyDescent="0.35">
      <c r="A3" s="34" t="str">
        <f>SoilMixes_7bc!A2</f>
        <v>Pumice</v>
      </c>
      <c r="B3" s="39">
        <f>SoilMixes_7bc!B2</f>
        <v>400</v>
      </c>
      <c r="C3" s="16">
        <f>SoilMixes_7bc!C2</f>
        <v>2666.6666666666661</v>
      </c>
      <c r="D3" s="40">
        <f>SoilMixes_7bc!D2</f>
        <v>0.85</v>
      </c>
      <c r="E3" s="9">
        <f>SoilMixes_7bc!E2</f>
        <v>0.45</v>
      </c>
      <c r="F3" s="41">
        <f>SoilMixes_7bc!F2</f>
        <v>0.39999999999999997</v>
      </c>
      <c r="G3" s="42">
        <f>SoilMixes_7bc!G2</f>
        <v>0</v>
      </c>
      <c r="J3" s="32">
        <f>INDEX(RecipesBiocharX!$B$8:$Q$31,ROW(Calculator!A3)-3+1,Calculator!$I$1)</f>
        <v>0</v>
      </c>
      <c r="L3" s="62" t="e">
        <f>M3*B3</f>
        <v>#VALUE!</v>
      </c>
      <c r="M3" s="62" t="str">
        <f>IF($J$2="v-p",J3*(1-$J$27)/$M$31,"-")</f>
        <v>-</v>
      </c>
      <c r="N3" s="62" t="e">
        <f>M3/$M$32</f>
        <v>#VALUE!</v>
      </c>
      <c r="O3" s="63" t="e">
        <f>L3/$M$28</f>
        <v>#VALUE!</v>
      </c>
      <c r="Q3" s="62">
        <f>R3*B3</f>
        <v>0</v>
      </c>
      <c r="R3" s="62">
        <f>IF($J$2="v-b",J3/$R$31*$J$27,"-")</f>
        <v>0</v>
      </c>
      <c r="S3" s="62">
        <f>R3/$R$32</f>
        <v>0</v>
      </c>
      <c r="T3" s="63">
        <f>Q3/$R$28</f>
        <v>0</v>
      </c>
      <c r="V3" s="55"/>
      <c r="W3" s="56"/>
      <c r="X3" s="56"/>
      <c r="Y3" s="57"/>
    </row>
    <row r="4" spans="1:25" x14ac:dyDescent="0.35">
      <c r="A4" s="35" t="str">
        <f>SoilMixes_7bc!A3</f>
        <v>Horticultural peat</v>
      </c>
      <c r="B4" s="43">
        <f>SoilMixes_7bc!B3</f>
        <v>180</v>
      </c>
      <c r="C4" s="7">
        <f>SoilMixes_7bc!C3</f>
        <v>1500</v>
      </c>
      <c r="D4" s="12">
        <f>SoilMixes_7bc!D3</f>
        <v>0.88</v>
      </c>
      <c r="E4" s="8">
        <f>SoilMixes_7bc!E3</f>
        <v>0.44</v>
      </c>
      <c r="F4" s="38">
        <f>SoilMixes_7bc!F3</f>
        <v>0.44</v>
      </c>
      <c r="G4" s="44">
        <f>SoilMixes_7bc!G3</f>
        <v>0</v>
      </c>
      <c r="J4" s="32">
        <f>INDEX(RecipesBiocharX!$B$8:$Q$31,ROW(Calculator!A4)-3+1,Calculator!$I$1)</f>
        <v>0</v>
      </c>
      <c r="L4" s="62" t="e">
        <f>M4*B4</f>
        <v>#VALUE!</v>
      </c>
      <c r="M4" s="62" t="str">
        <f>IF($J$2="v-p",J4*(1-$J$27)/$M$31,"-")</f>
        <v>-</v>
      </c>
      <c r="N4" s="62" t="e">
        <f t="shared" ref="N4:N26" si="0">M4/$M$32</f>
        <v>#VALUE!</v>
      </c>
      <c r="O4" s="63" t="e">
        <f t="shared" ref="O4:O26" si="1">L4/$M$28</f>
        <v>#VALUE!</v>
      </c>
      <c r="Q4" s="62">
        <f t="shared" ref="Q4:Q26" si="2">R4*B4</f>
        <v>0</v>
      </c>
      <c r="R4" s="62">
        <f t="shared" ref="R4:R26" si="3">IF($J$2="v-b",J4/$R$31*$J$27,"-")</f>
        <v>0</v>
      </c>
      <c r="S4" s="62">
        <f t="shared" ref="S4:S26" si="4">R4/$R$32</f>
        <v>0</v>
      </c>
      <c r="T4" s="63">
        <f t="shared" ref="T4:T26" si="5">Q4/$R$28</f>
        <v>0</v>
      </c>
      <c r="V4" s="55"/>
      <c r="W4" s="56"/>
      <c r="X4" s="56"/>
      <c r="Y4" s="57"/>
    </row>
    <row r="5" spans="1:25" x14ac:dyDescent="0.35">
      <c r="A5" s="35" t="str">
        <f>SoilMixes_7bc!A4</f>
        <v>Sand</v>
      </c>
      <c r="B5" s="43">
        <f>SoilMixes_7bc!B4</f>
        <v>1600</v>
      </c>
      <c r="C5" s="7">
        <f>SoilMixes_7bc!C4</f>
        <v>2670</v>
      </c>
      <c r="D5" s="12">
        <f>SoilMixes_7bc!D4</f>
        <v>0.40074906367041196</v>
      </c>
      <c r="E5" s="8">
        <f>SoilMixes_7bc!E4</f>
        <v>0.40074906367041196</v>
      </c>
      <c r="F5" s="38">
        <f>SoilMixes_7bc!F4</f>
        <v>0</v>
      </c>
      <c r="G5" s="44">
        <f>SoilMixes_7bc!G4</f>
        <v>0</v>
      </c>
      <c r="J5" s="32">
        <f>INDEX(RecipesBiocharX!$B$8:$Q$31,ROW(Calculator!A5)-3+1,Calculator!$I$1)</f>
        <v>0.7</v>
      </c>
      <c r="L5" s="62" t="e">
        <f t="shared" ref="L5:L26" si="6">M5*B5</f>
        <v>#VALUE!</v>
      </c>
      <c r="M5" s="62" t="str">
        <f t="shared" ref="M5:M26" si="7">IF($J$2="v-p",J5*(1-$J$27)/$M$31,"-")</f>
        <v>-</v>
      </c>
      <c r="N5" s="62" t="e">
        <f t="shared" si="0"/>
        <v>#VALUE!</v>
      </c>
      <c r="O5" s="63" t="e">
        <f t="shared" si="1"/>
        <v>#VALUE!</v>
      </c>
      <c r="Q5" s="62">
        <f t="shared" si="2"/>
        <v>1381.5789473684208</v>
      </c>
      <c r="R5" s="62">
        <f t="shared" si="3"/>
        <v>0.86348684210526305</v>
      </c>
      <c r="S5" s="62">
        <f t="shared" si="4"/>
        <v>0.7</v>
      </c>
      <c r="T5" s="63">
        <f t="shared" si="5"/>
        <v>0.92105263157894735</v>
      </c>
      <c r="V5" s="55"/>
      <c r="W5" s="56"/>
      <c r="X5" s="56"/>
      <c r="Y5" s="57"/>
    </row>
    <row r="6" spans="1:25" x14ac:dyDescent="0.35">
      <c r="A6" s="35" t="str">
        <f>SoilMixes_7bc!A5</f>
        <v>Gravel</v>
      </c>
      <c r="B6" s="43">
        <f>SoilMixes_7bc!B5</f>
        <v>1522</v>
      </c>
      <c r="C6" s="7">
        <f>SoilMixes_7bc!C5</f>
        <v>2670</v>
      </c>
      <c r="D6" s="12">
        <f>SoilMixes_7bc!D5</f>
        <v>0.42996254681647939</v>
      </c>
      <c r="E6" s="8">
        <f>SoilMixes_7bc!E5</f>
        <v>0.42996254681647939</v>
      </c>
      <c r="F6" s="38">
        <f>SoilMixes_7bc!F5</f>
        <v>0</v>
      </c>
      <c r="G6" s="44">
        <f>SoilMixes_7bc!G5</f>
        <v>0</v>
      </c>
      <c r="J6" s="32">
        <f>INDEX(RecipesBiocharX!$B$8:$Q$31,ROW(Calculator!A6)-3+1,Calculator!$I$1)</f>
        <v>0</v>
      </c>
      <c r="L6" s="62" t="e">
        <f t="shared" si="6"/>
        <v>#VALUE!</v>
      </c>
      <c r="M6" s="62" t="str">
        <f t="shared" si="7"/>
        <v>-</v>
      </c>
      <c r="N6" s="62" t="e">
        <f t="shared" si="0"/>
        <v>#VALUE!</v>
      </c>
      <c r="O6" s="63" t="e">
        <f t="shared" si="1"/>
        <v>#VALUE!</v>
      </c>
      <c r="Q6" s="62">
        <f t="shared" si="2"/>
        <v>0</v>
      </c>
      <c r="R6" s="62">
        <f t="shared" si="3"/>
        <v>0</v>
      </c>
      <c r="S6" s="62">
        <f t="shared" si="4"/>
        <v>0</v>
      </c>
      <c r="T6" s="63">
        <f t="shared" si="5"/>
        <v>0</v>
      </c>
      <c r="V6" s="55"/>
      <c r="W6" s="56"/>
      <c r="X6" s="56"/>
      <c r="Y6" s="57"/>
    </row>
    <row r="7" spans="1:25" x14ac:dyDescent="0.35">
      <c r="A7" s="35" t="str">
        <f>SoilMixes_7bc!A6</f>
        <v>Crushed rock 0-16/25</v>
      </c>
      <c r="B7" s="43">
        <f>SoilMixes_7bc!B6</f>
        <v>1700</v>
      </c>
      <c r="C7" s="7">
        <f>SoilMixes_7bc!C6</f>
        <v>2741.9354838709678</v>
      </c>
      <c r="D7" s="12">
        <f>SoilMixes_7bc!D6</f>
        <v>0.38</v>
      </c>
      <c r="E7" s="8">
        <f>SoilMixes_7bc!E6</f>
        <v>0.38</v>
      </c>
      <c r="F7" s="38">
        <f>SoilMixes_7bc!F6</f>
        <v>0</v>
      </c>
      <c r="G7" s="44">
        <f>SoilMixes_7bc!G6</f>
        <v>0</v>
      </c>
      <c r="J7" s="32">
        <f>INDEX(RecipesBiocharX!$B$8:$Q$31,ROW(Calculator!A7)-3+1,Calculator!$I$1)</f>
        <v>0</v>
      </c>
      <c r="L7" s="62" t="e">
        <f t="shared" si="6"/>
        <v>#VALUE!</v>
      </c>
      <c r="M7" s="62" t="str">
        <f t="shared" si="7"/>
        <v>-</v>
      </c>
      <c r="N7" s="62" t="e">
        <f t="shared" si="0"/>
        <v>#VALUE!</v>
      </c>
      <c r="O7" s="63" t="e">
        <f t="shared" si="1"/>
        <v>#VALUE!</v>
      </c>
      <c r="Q7" s="62">
        <f t="shared" si="2"/>
        <v>0</v>
      </c>
      <c r="R7" s="62">
        <f t="shared" si="3"/>
        <v>0</v>
      </c>
      <c r="S7" s="62">
        <f t="shared" si="4"/>
        <v>0</v>
      </c>
      <c r="T7" s="63">
        <f t="shared" si="5"/>
        <v>0</v>
      </c>
      <c r="V7" s="55"/>
      <c r="W7" s="56"/>
      <c r="X7" s="56"/>
      <c r="Y7" s="57"/>
    </row>
    <row r="8" spans="1:25" x14ac:dyDescent="0.35">
      <c r="A8" s="35" t="str">
        <f>SoilMixes_7bc!A7</f>
        <v>Macadam 2-11</v>
      </c>
      <c r="B8" s="43">
        <f>SoilMixes_7bc!B7</f>
        <v>1300</v>
      </c>
      <c r="C8" s="7">
        <f>SoilMixes_7bc!C7</f>
        <v>2750</v>
      </c>
      <c r="D8" s="12">
        <f>SoilMixes_7bc!D7</f>
        <v>0.52727272727272734</v>
      </c>
      <c r="E8" s="8">
        <f>SoilMixes_7bc!E7</f>
        <v>0.52727272727272734</v>
      </c>
      <c r="F8" s="38">
        <f>SoilMixes_7bc!F7</f>
        <v>0</v>
      </c>
      <c r="G8" s="44">
        <f>SoilMixes_7bc!G7</f>
        <v>0</v>
      </c>
      <c r="J8" s="32">
        <f>INDEX(RecipesBiocharX!$B$8:$Q$31,ROW(Calculator!A8)-3+1,Calculator!$I$1)</f>
        <v>0</v>
      </c>
      <c r="L8" s="62" t="e">
        <f t="shared" si="6"/>
        <v>#VALUE!</v>
      </c>
      <c r="M8" s="62" t="str">
        <f t="shared" si="7"/>
        <v>-</v>
      </c>
      <c r="N8" s="62" t="e">
        <f t="shared" si="0"/>
        <v>#VALUE!</v>
      </c>
      <c r="O8" s="63" t="e">
        <f t="shared" si="1"/>
        <v>#VALUE!</v>
      </c>
      <c r="Q8" s="62">
        <f t="shared" si="2"/>
        <v>0</v>
      </c>
      <c r="R8" s="62">
        <f t="shared" si="3"/>
        <v>0</v>
      </c>
      <c r="S8" s="62">
        <f t="shared" si="4"/>
        <v>0</v>
      </c>
      <c r="T8" s="63">
        <f t="shared" si="5"/>
        <v>0</v>
      </c>
      <c r="V8" s="55"/>
      <c r="W8" s="56"/>
      <c r="X8" s="56"/>
      <c r="Y8" s="57"/>
    </row>
    <row r="9" spans="1:25" x14ac:dyDescent="0.35">
      <c r="A9" s="35" t="str">
        <f>SoilMixes_7bc!A8</f>
        <v>Macadam 8-32</v>
      </c>
      <c r="B9" s="43">
        <f>SoilMixes_7bc!B8</f>
        <v>1400</v>
      </c>
      <c r="C9" s="7">
        <f>SoilMixes_7bc!C8</f>
        <v>2750</v>
      </c>
      <c r="D9" s="12">
        <f>SoilMixes_7bc!D8</f>
        <v>0.49090909090909096</v>
      </c>
      <c r="E9" s="8">
        <f>SoilMixes_7bc!E8</f>
        <v>0.49090909090909096</v>
      </c>
      <c r="F9" s="38">
        <f>SoilMixes_7bc!F8</f>
        <v>0</v>
      </c>
      <c r="G9" s="44">
        <f>SoilMixes_7bc!G8</f>
        <v>0</v>
      </c>
      <c r="J9" s="32">
        <f>INDEX(RecipesBiocharX!$B$8:$Q$31,ROW(Calculator!A9)-3+1,Calculator!$I$1)</f>
        <v>0</v>
      </c>
      <c r="L9" s="62" t="e">
        <f t="shared" si="6"/>
        <v>#VALUE!</v>
      </c>
      <c r="M9" s="62" t="str">
        <f t="shared" si="7"/>
        <v>-</v>
      </c>
      <c r="N9" s="62" t="e">
        <f t="shared" si="0"/>
        <v>#VALUE!</v>
      </c>
      <c r="O9" s="63" t="e">
        <f t="shared" si="1"/>
        <v>#VALUE!</v>
      </c>
      <c r="Q9" s="62">
        <f t="shared" si="2"/>
        <v>0</v>
      </c>
      <c r="R9" s="62">
        <f t="shared" si="3"/>
        <v>0</v>
      </c>
      <c r="S9" s="62">
        <f t="shared" si="4"/>
        <v>0</v>
      </c>
      <c r="T9" s="63">
        <f t="shared" si="5"/>
        <v>0</v>
      </c>
      <c r="V9" s="55"/>
      <c r="W9" s="56"/>
      <c r="X9" s="56"/>
      <c r="Y9" s="57"/>
    </row>
    <row r="10" spans="1:25" x14ac:dyDescent="0.35">
      <c r="A10" s="35" t="str">
        <f>SoilMixes_7bc!A9</f>
        <v>Macadam 32-64</v>
      </c>
      <c r="B10" s="43">
        <f>SoilMixes_7bc!B9</f>
        <v>1430</v>
      </c>
      <c r="C10" s="7">
        <f>SoilMixes_7bc!C9</f>
        <v>2750</v>
      </c>
      <c r="D10" s="12">
        <f>SoilMixes_7bc!D9</f>
        <v>0.48</v>
      </c>
      <c r="E10" s="8">
        <f>SoilMixes_7bc!E9</f>
        <v>0.48</v>
      </c>
      <c r="F10" s="38">
        <f>SoilMixes_7bc!F9</f>
        <v>0</v>
      </c>
      <c r="G10" s="44">
        <f>SoilMixes_7bc!G9</f>
        <v>0</v>
      </c>
      <c r="J10" s="32">
        <f>INDEX(RecipesBiocharX!$B$8:$Q$31,ROW(Calculator!A10)-3+1,Calculator!$I$1)</f>
        <v>0</v>
      </c>
      <c r="L10" s="62" t="e">
        <f t="shared" si="6"/>
        <v>#VALUE!</v>
      </c>
      <c r="M10" s="62" t="str">
        <f t="shared" si="7"/>
        <v>-</v>
      </c>
      <c r="N10" s="62" t="e">
        <f t="shared" si="0"/>
        <v>#VALUE!</v>
      </c>
      <c r="O10" s="63" t="e">
        <f t="shared" si="1"/>
        <v>#VALUE!</v>
      </c>
      <c r="Q10" s="62">
        <f t="shared" si="2"/>
        <v>0</v>
      </c>
      <c r="R10" s="62">
        <f t="shared" si="3"/>
        <v>0</v>
      </c>
      <c r="S10" s="62">
        <f t="shared" si="4"/>
        <v>0</v>
      </c>
      <c r="T10" s="63">
        <f t="shared" si="5"/>
        <v>0</v>
      </c>
      <c r="V10" s="55"/>
      <c r="W10" s="56"/>
      <c r="X10" s="56"/>
      <c r="Y10" s="57"/>
    </row>
    <row r="11" spans="1:25" x14ac:dyDescent="0.35">
      <c r="A11" s="35" t="str">
        <f>SoilMixes_7bc!A10</f>
        <v>Clay</v>
      </c>
      <c r="B11" s="43">
        <f>SoilMixes_7bc!B10</f>
        <v>1200</v>
      </c>
      <c r="C11" s="7">
        <f>SoilMixes_7bc!C10</f>
        <v>2660</v>
      </c>
      <c r="D11" s="12">
        <f>SoilMixes_7bc!D10</f>
        <v>0.54887218045112784</v>
      </c>
      <c r="E11" s="8">
        <f>SoilMixes_7bc!E10</f>
        <v>0.54887218045112784</v>
      </c>
      <c r="F11" s="38">
        <f>SoilMixes_7bc!F10</f>
        <v>0</v>
      </c>
      <c r="G11" s="44">
        <f>SoilMixes_7bc!G10</f>
        <v>0</v>
      </c>
      <c r="J11" s="32">
        <f>INDEX(RecipesBiocharX!$B$8:$Q$31,ROW(Calculator!A11)-3+1,Calculator!$I$1)</f>
        <v>0</v>
      </c>
      <c r="L11" s="62" t="e">
        <f t="shared" si="6"/>
        <v>#VALUE!</v>
      </c>
      <c r="M11" s="62" t="str">
        <f t="shared" si="7"/>
        <v>-</v>
      </c>
      <c r="N11" s="62" t="e">
        <f t="shared" si="0"/>
        <v>#VALUE!</v>
      </c>
      <c r="O11" s="63" t="e">
        <f t="shared" si="1"/>
        <v>#VALUE!</v>
      </c>
      <c r="Q11" s="62">
        <f t="shared" si="2"/>
        <v>0</v>
      </c>
      <c r="R11" s="62">
        <f t="shared" si="3"/>
        <v>0</v>
      </c>
      <c r="S11" s="62">
        <f t="shared" si="4"/>
        <v>0</v>
      </c>
      <c r="T11" s="63">
        <f t="shared" si="5"/>
        <v>0</v>
      </c>
      <c r="V11" s="55"/>
      <c r="W11" s="56"/>
      <c r="X11" s="56"/>
      <c r="Y11" s="57"/>
    </row>
    <row r="12" spans="1:25" x14ac:dyDescent="0.35">
      <c r="A12" s="36" t="str">
        <f>SoilMixes_7bc!A11</f>
        <v>LECA 8-20</v>
      </c>
      <c r="B12" s="43">
        <f>SoilMixes_7bc!B11</f>
        <v>320</v>
      </c>
      <c r="C12" s="7">
        <f>SoilMixes_7bc!C11</f>
        <v>2666.666666666667</v>
      </c>
      <c r="D12" s="12">
        <f>SoilMixes_7bc!D11</f>
        <v>0.88</v>
      </c>
      <c r="E12" s="19">
        <f>SoilMixes_7bc!E11</f>
        <v>0.45</v>
      </c>
      <c r="F12" s="38">
        <f>SoilMixes_7bc!F11</f>
        <v>0.43</v>
      </c>
      <c r="G12" s="44">
        <f>SoilMixes_7bc!G11</f>
        <v>0</v>
      </c>
      <c r="J12" s="32">
        <f>INDEX(RecipesBiocharX!$B$8:$Q$31,ROW(Calculator!A12)-3+1,Calculator!$I$1)</f>
        <v>0.3</v>
      </c>
      <c r="L12" s="62" t="e">
        <f t="shared" si="6"/>
        <v>#VALUE!</v>
      </c>
      <c r="M12" s="62" t="str">
        <f t="shared" si="7"/>
        <v>-</v>
      </c>
      <c r="N12" s="62" t="e">
        <f t="shared" si="0"/>
        <v>#VALUE!</v>
      </c>
      <c r="O12" s="63" t="e">
        <f t="shared" si="1"/>
        <v>#VALUE!</v>
      </c>
      <c r="Q12" s="62">
        <f t="shared" si="2"/>
        <v>118.42105263157896</v>
      </c>
      <c r="R12" s="62">
        <f t="shared" si="3"/>
        <v>0.37006578947368424</v>
      </c>
      <c r="S12" s="62">
        <f t="shared" si="4"/>
        <v>0.30000000000000004</v>
      </c>
      <c r="T12" s="63">
        <f t="shared" si="5"/>
        <v>7.8947368421052655E-2</v>
      </c>
      <c r="V12" s="55"/>
      <c r="W12" s="56"/>
      <c r="X12" s="56"/>
      <c r="Y12" s="57"/>
    </row>
    <row r="13" spans="1:25" x14ac:dyDescent="0.35">
      <c r="A13" s="35" t="str">
        <f>SoilMixes_7bc!A12</f>
        <v>Biochar 1</v>
      </c>
      <c r="B13" s="43">
        <f>SoilMixes_7bc!B12</f>
        <v>500</v>
      </c>
      <c r="C13" s="7">
        <f>SoilMixes_7bc!C12</f>
        <v>1800</v>
      </c>
      <c r="D13" s="12">
        <f>SoilMixes_7bc!D12</f>
        <v>0.72222222222222221</v>
      </c>
      <c r="E13" s="19">
        <f>SoilMixes_7bc!E12</f>
        <v>0.45</v>
      </c>
      <c r="F13" s="38">
        <f>SoilMixes_7bc!F12</f>
        <v>0.2722222222222222</v>
      </c>
      <c r="G13" s="44">
        <f>SoilMixes_7bc!G12</f>
        <v>0.93400000000000005</v>
      </c>
      <c r="J13" s="32">
        <f>INDEX(RecipesBiocharX!$B$8:$Q$31,ROW(Calculator!A13)-3+1,Calculator!$I$1)</f>
        <v>0</v>
      </c>
      <c r="L13" s="62" t="e">
        <f t="shared" si="6"/>
        <v>#VALUE!</v>
      </c>
      <c r="M13" s="62" t="str">
        <f t="shared" si="7"/>
        <v>-</v>
      </c>
      <c r="N13" s="62" t="e">
        <f t="shared" si="0"/>
        <v>#VALUE!</v>
      </c>
      <c r="O13" s="63" t="e">
        <f t="shared" si="1"/>
        <v>#VALUE!</v>
      </c>
      <c r="Q13" s="62">
        <f t="shared" si="2"/>
        <v>0</v>
      </c>
      <c r="R13" s="62">
        <f t="shared" si="3"/>
        <v>0</v>
      </c>
      <c r="S13" s="62">
        <f t="shared" si="4"/>
        <v>0</v>
      </c>
      <c r="T13" s="63">
        <f t="shared" si="5"/>
        <v>0</v>
      </c>
      <c r="V13" s="55"/>
      <c r="W13" s="56"/>
      <c r="X13" s="56"/>
      <c r="Y13" s="57"/>
    </row>
    <row r="14" spans="1:25" x14ac:dyDescent="0.35">
      <c r="A14" s="35" t="str">
        <f>SoilMixes_7bc!A13</f>
        <v>Biochar 2</v>
      </c>
      <c r="B14" s="43">
        <f>SoilMixes_7bc!B13</f>
        <v>500</v>
      </c>
      <c r="C14" s="7">
        <f>SoilMixes_7bc!C13</f>
        <v>1800</v>
      </c>
      <c r="D14" s="12">
        <f>SoilMixes_7bc!D13</f>
        <v>0.72222222222222221</v>
      </c>
      <c r="E14" s="19">
        <f>SoilMixes_7bc!E13</f>
        <v>0.45</v>
      </c>
      <c r="F14" s="38">
        <f>SoilMixes_7bc!F13</f>
        <v>0.2722222222222222</v>
      </c>
      <c r="G14" s="44">
        <f>SoilMixes_7bc!G13</f>
        <v>0.93400000000000005</v>
      </c>
      <c r="J14" s="32">
        <f>INDEX(RecipesBiocharX!$B$8:$Q$31,ROW(Calculator!A14)-3+1,Calculator!$I$1)</f>
        <v>0</v>
      </c>
      <c r="L14" s="62" t="e">
        <f t="shared" si="6"/>
        <v>#VALUE!</v>
      </c>
      <c r="M14" s="62" t="str">
        <f t="shared" si="7"/>
        <v>-</v>
      </c>
      <c r="N14" s="62" t="e">
        <f t="shared" si="0"/>
        <v>#VALUE!</v>
      </c>
      <c r="O14" s="63" t="e">
        <f t="shared" si="1"/>
        <v>#VALUE!</v>
      </c>
      <c r="Q14" s="62">
        <f t="shared" si="2"/>
        <v>0</v>
      </c>
      <c r="R14" s="62">
        <f t="shared" si="3"/>
        <v>0</v>
      </c>
      <c r="S14" s="62">
        <f t="shared" si="4"/>
        <v>0</v>
      </c>
      <c r="T14" s="63">
        <f t="shared" si="5"/>
        <v>0</v>
      </c>
      <c r="V14" s="55"/>
      <c r="W14" s="56"/>
      <c r="X14" s="56"/>
      <c r="Y14" s="57"/>
    </row>
    <row r="15" spans="1:25" x14ac:dyDescent="0.35">
      <c r="A15" s="35" t="str">
        <f>SoilMixes_7bc!A14</f>
        <v>Biochar 3</v>
      </c>
      <c r="B15" s="43">
        <f>SoilMixes_7bc!B14</f>
        <v>242</v>
      </c>
      <c r="C15" s="7">
        <f>SoilMixes_7bc!C14</f>
        <v>1660</v>
      </c>
      <c r="D15" s="12">
        <f>SoilMixes_7bc!D14</f>
        <v>0.85421686746987957</v>
      </c>
      <c r="E15" s="19">
        <f>SoilMixes_7bc!E14</f>
        <v>0.45</v>
      </c>
      <c r="F15" s="38">
        <f>SoilMixes_7bc!F14</f>
        <v>0.40421686746987956</v>
      </c>
      <c r="G15" s="44">
        <f>SoilMixes_7bc!G14</f>
        <v>0.69899999999999995</v>
      </c>
      <c r="J15" s="32">
        <f>INDEX(RecipesBiocharX!$B$8:$Q$31,ROW(Calculator!A15)-3+1,Calculator!$I$1)</f>
        <v>0</v>
      </c>
      <c r="L15" s="62" t="e">
        <f t="shared" si="6"/>
        <v>#VALUE!</v>
      </c>
      <c r="M15" s="62" t="str">
        <f t="shared" si="7"/>
        <v>-</v>
      </c>
      <c r="N15" s="62" t="e">
        <f t="shared" si="0"/>
        <v>#VALUE!</v>
      </c>
      <c r="O15" s="63" t="e">
        <f t="shared" si="1"/>
        <v>#VALUE!</v>
      </c>
      <c r="Q15" s="62">
        <f t="shared" si="2"/>
        <v>0</v>
      </c>
      <c r="R15" s="62">
        <f t="shared" si="3"/>
        <v>0</v>
      </c>
      <c r="S15" s="62">
        <f t="shared" si="4"/>
        <v>0</v>
      </c>
      <c r="T15" s="63">
        <f t="shared" si="5"/>
        <v>0</v>
      </c>
      <c r="V15" s="55"/>
      <c r="W15" s="56"/>
      <c r="X15" s="56"/>
      <c r="Y15" s="57"/>
    </row>
    <row r="16" spans="1:25" x14ac:dyDescent="0.35">
      <c r="A16" s="35" t="str">
        <f>SoilMixes_7bc!A15</f>
        <v>Biochar 4</v>
      </c>
      <c r="B16" s="43">
        <f>SoilMixes_7bc!B15</f>
        <v>242</v>
      </c>
      <c r="C16" s="7">
        <f>SoilMixes_7bc!C15</f>
        <v>1660</v>
      </c>
      <c r="D16" s="12">
        <f>SoilMixes_7bc!D15</f>
        <v>0.85421686746987957</v>
      </c>
      <c r="E16" s="19">
        <f>SoilMixes_7bc!E15</f>
        <v>0.45</v>
      </c>
      <c r="F16" s="38">
        <f>SoilMixes_7bc!F15</f>
        <v>0.40421686746987956</v>
      </c>
      <c r="G16" s="44">
        <f>SoilMixes_7bc!G15</f>
        <v>0.69899999999999995</v>
      </c>
      <c r="J16" s="32">
        <f>INDEX(RecipesBiocharX!$B$8:$Q$31,ROW(Calculator!A16)-3+1,Calculator!$I$1)</f>
        <v>0</v>
      </c>
      <c r="L16" s="62" t="e">
        <f t="shared" si="6"/>
        <v>#VALUE!</v>
      </c>
      <c r="M16" s="62" t="str">
        <f t="shared" si="7"/>
        <v>-</v>
      </c>
      <c r="N16" s="62" t="e">
        <f t="shared" si="0"/>
        <v>#VALUE!</v>
      </c>
      <c r="O16" s="63" t="e">
        <f t="shared" si="1"/>
        <v>#VALUE!</v>
      </c>
      <c r="Q16" s="62">
        <f t="shared" si="2"/>
        <v>0</v>
      </c>
      <c r="R16" s="62">
        <f t="shared" si="3"/>
        <v>0</v>
      </c>
      <c r="S16" s="62">
        <f t="shared" si="4"/>
        <v>0</v>
      </c>
      <c r="T16" s="63">
        <f t="shared" si="5"/>
        <v>0</v>
      </c>
      <c r="V16" s="55"/>
      <c r="W16" s="56"/>
      <c r="X16" s="56"/>
      <c r="Y16" s="57"/>
    </row>
    <row r="17" spans="1:25" x14ac:dyDescent="0.35">
      <c r="A17" s="35" t="str">
        <f>SoilMixes_7bc!A16</f>
        <v>Biochar 5</v>
      </c>
      <c r="B17" s="43">
        <f>SoilMixes_7bc!B16</f>
        <v>194</v>
      </c>
      <c r="C17" s="7">
        <f>SoilMixes_7bc!C16</f>
        <v>1700</v>
      </c>
      <c r="D17" s="12">
        <f>SoilMixes_7bc!D16</f>
        <v>0.88588235294117645</v>
      </c>
      <c r="E17" s="19">
        <f>SoilMixes_7bc!E16</f>
        <v>0.45</v>
      </c>
      <c r="F17" s="38">
        <f>SoilMixes_7bc!F16</f>
        <v>0.43588235294117644</v>
      </c>
      <c r="G17" s="44">
        <f>SoilMixes_7bc!G16</f>
        <v>0.91600000000000004</v>
      </c>
      <c r="J17" s="32">
        <f>INDEX(RecipesBiocharX!$B$8:$Q$31,ROW(Calculator!A17)-3+1,Calculator!$I$1)</f>
        <v>0</v>
      </c>
      <c r="L17" s="62" t="e">
        <f t="shared" si="6"/>
        <v>#VALUE!</v>
      </c>
      <c r="M17" s="62" t="str">
        <f t="shared" si="7"/>
        <v>-</v>
      </c>
      <c r="N17" s="62" t="e">
        <f t="shared" si="0"/>
        <v>#VALUE!</v>
      </c>
      <c r="O17" s="63" t="e">
        <f t="shared" si="1"/>
        <v>#VALUE!</v>
      </c>
      <c r="Q17" s="62">
        <f t="shared" si="2"/>
        <v>0</v>
      </c>
      <c r="R17" s="62">
        <f t="shared" si="3"/>
        <v>0</v>
      </c>
      <c r="S17" s="62">
        <f t="shared" si="4"/>
        <v>0</v>
      </c>
      <c r="T17" s="63">
        <f t="shared" si="5"/>
        <v>0</v>
      </c>
      <c r="V17" s="55"/>
      <c r="W17" s="56"/>
      <c r="X17" s="56"/>
      <c r="Y17" s="57"/>
    </row>
    <row r="18" spans="1:25" x14ac:dyDescent="0.35">
      <c r="A18" s="35" t="str">
        <f>SoilMixes_7bc!A17</f>
        <v>Biochar 6</v>
      </c>
      <c r="B18" s="43">
        <f>SoilMixes_7bc!B17</f>
        <v>194</v>
      </c>
      <c r="C18" s="7">
        <f>SoilMixes_7bc!C17</f>
        <v>1700</v>
      </c>
      <c r="D18" s="12">
        <f>SoilMixes_7bc!D17</f>
        <v>0.88588235294117645</v>
      </c>
      <c r="E18" s="19">
        <f>SoilMixes_7bc!E17</f>
        <v>0.45</v>
      </c>
      <c r="F18" s="38">
        <f>SoilMixes_7bc!F17</f>
        <v>0.43588235294117644</v>
      </c>
      <c r="G18" s="44">
        <f>SoilMixes_7bc!G17</f>
        <v>0.91600000000000004</v>
      </c>
      <c r="J18" s="32">
        <f>INDEX(RecipesBiocharX!$B$8:$Q$31,ROW(Calculator!A18)-3+1,Calculator!$I$1)</f>
        <v>0</v>
      </c>
      <c r="L18" s="62" t="e">
        <f t="shared" si="6"/>
        <v>#VALUE!</v>
      </c>
      <c r="M18" s="62" t="str">
        <f t="shared" si="7"/>
        <v>-</v>
      </c>
      <c r="N18" s="62" t="e">
        <f t="shared" si="0"/>
        <v>#VALUE!</v>
      </c>
      <c r="O18" s="63" t="e">
        <f t="shared" si="1"/>
        <v>#VALUE!</v>
      </c>
      <c r="Q18" s="62">
        <f t="shared" si="2"/>
        <v>0</v>
      </c>
      <c r="R18" s="62">
        <f t="shared" si="3"/>
        <v>0</v>
      </c>
      <c r="S18" s="62">
        <f t="shared" si="4"/>
        <v>0</v>
      </c>
      <c r="T18" s="63">
        <f t="shared" si="5"/>
        <v>0</v>
      </c>
      <c r="V18" s="55"/>
      <c r="W18" s="56"/>
      <c r="X18" s="56"/>
      <c r="Y18" s="57"/>
    </row>
    <row r="19" spans="1:25" x14ac:dyDescent="0.35">
      <c r="A19" s="35" t="str">
        <f>SoilMixes_7bc!A18</f>
        <v>Biochar 7</v>
      </c>
      <c r="B19" s="43">
        <f>SoilMixes_7bc!B18</f>
        <v>270</v>
      </c>
      <c r="C19" s="7">
        <f>SoilMixes_7bc!C18</f>
        <v>1660</v>
      </c>
      <c r="D19" s="12">
        <f>SoilMixes_7bc!D18</f>
        <v>0.83734939759036142</v>
      </c>
      <c r="E19" s="19">
        <f>SoilMixes_7bc!E18</f>
        <v>0.45</v>
      </c>
      <c r="F19" s="38">
        <f>SoilMixes_7bc!F18</f>
        <v>0.38734939759036141</v>
      </c>
      <c r="G19" s="44">
        <f>SoilMixes_7bc!G18</f>
        <v>0.81599999999999995</v>
      </c>
      <c r="J19" s="32">
        <f>INDEX(RecipesBiocharX!$B$8:$Q$31,ROW(Calculator!A19)-3+1,Calculator!$I$1)</f>
        <v>0</v>
      </c>
      <c r="L19" s="62" t="e">
        <f t="shared" si="6"/>
        <v>#VALUE!</v>
      </c>
      <c r="M19" s="62" t="str">
        <f t="shared" si="7"/>
        <v>-</v>
      </c>
      <c r="N19" s="62" t="e">
        <f t="shared" si="0"/>
        <v>#VALUE!</v>
      </c>
      <c r="O19" s="63" t="e">
        <f t="shared" si="1"/>
        <v>#VALUE!</v>
      </c>
      <c r="Q19" s="62">
        <f t="shared" si="2"/>
        <v>0</v>
      </c>
      <c r="R19" s="62">
        <f t="shared" si="3"/>
        <v>0</v>
      </c>
      <c r="S19" s="62">
        <f t="shared" si="4"/>
        <v>0</v>
      </c>
      <c r="T19" s="63">
        <f t="shared" si="5"/>
        <v>0</v>
      </c>
      <c r="V19" s="55"/>
      <c r="W19" s="56"/>
      <c r="X19" s="56"/>
      <c r="Y19" s="57"/>
    </row>
    <row r="20" spans="1:25" x14ac:dyDescent="0.35">
      <c r="A20" s="35" t="str">
        <f>SoilMixes_7bc!A19</f>
        <v>Biochar 8</v>
      </c>
      <c r="B20" s="43">
        <f>SoilMixes_7bc!B19</f>
        <v>376</v>
      </c>
      <c r="C20" s="7">
        <f>SoilMixes_7bc!C19</f>
        <v>1600</v>
      </c>
      <c r="D20" s="12">
        <f>SoilMixes_7bc!D19</f>
        <v>0.76500000000000001</v>
      </c>
      <c r="E20" s="19">
        <f>SoilMixes_7bc!E19</f>
        <v>0.45</v>
      </c>
      <c r="F20" s="38">
        <f>SoilMixes_7bc!F19</f>
        <v>0.315</v>
      </c>
      <c r="G20" s="44">
        <f>SoilMixes_7bc!G19</f>
        <v>0.64700000000000002</v>
      </c>
      <c r="J20" s="32">
        <f>INDEX(RecipesBiocharX!$B$8:$Q$31,ROW(Calculator!A20)-3+1,Calculator!$I$1)</f>
        <v>0</v>
      </c>
      <c r="L20" s="62" t="e">
        <f t="shared" si="6"/>
        <v>#VALUE!</v>
      </c>
      <c r="M20" s="62" t="str">
        <f t="shared" si="7"/>
        <v>-</v>
      </c>
      <c r="N20" s="62" t="e">
        <f t="shared" si="0"/>
        <v>#VALUE!</v>
      </c>
      <c r="O20" s="63" t="e">
        <f t="shared" si="1"/>
        <v>#VALUE!</v>
      </c>
      <c r="Q20" s="62">
        <f t="shared" si="2"/>
        <v>0</v>
      </c>
      <c r="R20" s="62">
        <f t="shared" si="3"/>
        <v>0</v>
      </c>
      <c r="S20" s="62">
        <f t="shared" si="4"/>
        <v>0</v>
      </c>
      <c r="T20" s="63">
        <f t="shared" si="5"/>
        <v>0</v>
      </c>
      <c r="V20" s="55"/>
      <c r="W20" s="56"/>
      <c r="X20" s="56"/>
      <c r="Y20" s="57"/>
    </row>
    <row r="21" spans="1:25" x14ac:dyDescent="0.35">
      <c r="A21" s="35" t="str">
        <f>SoilMixes_7bc!A20</f>
        <v>Biochar 1 - ETC/Edv</v>
      </c>
      <c r="B21" s="43">
        <f>SoilMixes_7bc!B20</f>
        <v>194</v>
      </c>
      <c r="C21" s="7">
        <f>SoilMixes_7bc!C20</f>
        <v>1700</v>
      </c>
      <c r="D21" s="12">
        <f>SoilMixes_7bc!D20</f>
        <v>0.88588235294117645</v>
      </c>
      <c r="E21" s="19">
        <f>SoilMixes_7bc!E20</f>
        <v>0.45</v>
      </c>
      <c r="F21" s="38">
        <f>SoilMixes_7bc!F20</f>
        <v>0.43588235294117644</v>
      </c>
      <c r="G21" s="44">
        <f>SoilMixes_7bc!G20</f>
        <v>0.91600000000000004</v>
      </c>
      <c r="J21" s="32">
        <f>INDEX(RecipesBiocharX!$B$8:$Q$31,ROW(Calculator!A21)-3+1,Calculator!$I$1)</f>
        <v>0</v>
      </c>
      <c r="L21" s="62" t="e">
        <f t="shared" si="6"/>
        <v>#VALUE!</v>
      </c>
      <c r="M21" s="62" t="str">
        <f t="shared" si="7"/>
        <v>-</v>
      </c>
      <c r="N21" s="62" t="e">
        <f t="shared" si="0"/>
        <v>#VALUE!</v>
      </c>
      <c r="O21" s="63" t="e">
        <f t="shared" si="1"/>
        <v>#VALUE!</v>
      </c>
      <c r="Q21" s="62">
        <f t="shared" si="2"/>
        <v>0</v>
      </c>
      <c r="R21" s="62">
        <f t="shared" si="3"/>
        <v>0</v>
      </c>
      <c r="S21" s="62">
        <f t="shared" si="4"/>
        <v>0</v>
      </c>
      <c r="T21" s="63">
        <f t="shared" si="5"/>
        <v>0</v>
      </c>
      <c r="V21" s="55"/>
      <c r="W21" s="56"/>
      <c r="X21" s="56"/>
      <c r="Y21" s="57"/>
    </row>
    <row r="22" spans="1:25" x14ac:dyDescent="0.35">
      <c r="A22" s="35" t="str">
        <f>SoilMixes_7bc!A21</f>
        <v>Biochar 2 - Skanefro</v>
      </c>
      <c r="B22" s="43">
        <f>SoilMixes_7bc!B21</f>
        <v>376</v>
      </c>
      <c r="C22" s="7">
        <f>SoilMixes_7bc!C21</f>
        <v>1600</v>
      </c>
      <c r="D22" s="12">
        <f>SoilMixes_7bc!D21</f>
        <v>0.76500000000000001</v>
      </c>
      <c r="E22" s="19">
        <f>SoilMixes_7bc!E21</f>
        <v>0.45</v>
      </c>
      <c r="F22" s="38">
        <f>SoilMixes_7bc!F21</f>
        <v>0.315</v>
      </c>
      <c r="G22" s="44">
        <f>SoilMixes_7bc!G21</f>
        <v>0.64700000000000002</v>
      </c>
      <c r="J22" s="32">
        <f>INDEX(RecipesBiocharX!$B$8:$Q$31,ROW(Calculator!A22)-3+1,Calculator!$I$1)</f>
        <v>0</v>
      </c>
      <c r="L22" s="62" t="e">
        <f t="shared" si="6"/>
        <v>#VALUE!</v>
      </c>
      <c r="M22" s="62" t="str">
        <f t="shared" si="7"/>
        <v>-</v>
      </c>
      <c r="N22" s="62" t="e">
        <f t="shared" si="0"/>
        <v>#VALUE!</v>
      </c>
      <c r="O22" s="63" t="e">
        <f t="shared" si="1"/>
        <v>#VALUE!</v>
      </c>
      <c r="Q22" s="62">
        <f t="shared" si="2"/>
        <v>0</v>
      </c>
      <c r="R22" s="62">
        <f t="shared" si="3"/>
        <v>0</v>
      </c>
      <c r="S22" s="62">
        <f t="shared" si="4"/>
        <v>0</v>
      </c>
      <c r="T22" s="63">
        <f t="shared" si="5"/>
        <v>0</v>
      </c>
      <c r="V22" s="55"/>
      <c r="W22" s="56"/>
      <c r="X22" s="56"/>
      <c r="Y22" s="57"/>
    </row>
    <row r="23" spans="1:25" x14ac:dyDescent="0.35">
      <c r="A23" s="35" t="str">
        <f>SoilMixes_7bc!A22</f>
        <v>Biochar 3 - Circular Carbon</v>
      </c>
      <c r="B23" s="43">
        <f>SoilMixes_7bc!B22</f>
        <v>165</v>
      </c>
      <c r="C23" s="7">
        <f>SoilMixes_7bc!C22</f>
        <v>1900</v>
      </c>
      <c r="D23" s="12">
        <f>SoilMixes_7bc!D22</f>
        <v>0.91315789473684206</v>
      </c>
      <c r="E23" s="19">
        <f>SoilMixes_7bc!E22</f>
        <v>0.45</v>
      </c>
      <c r="F23" s="38">
        <f>SoilMixes_7bc!F22</f>
        <v>0.46315789473684205</v>
      </c>
      <c r="G23" s="44">
        <f>SoilMixes_7bc!G22</f>
        <v>0.64600000000000002</v>
      </c>
      <c r="J23" s="32">
        <f>INDEX(RecipesBiocharX!$B$8:$Q$31,ROW(Calculator!A23)-3+1,Calculator!$I$1)</f>
        <v>0</v>
      </c>
      <c r="L23" s="62" t="e">
        <f t="shared" si="6"/>
        <v>#VALUE!</v>
      </c>
      <c r="M23" s="62" t="str">
        <f t="shared" si="7"/>
        <v>-</v>
      </c>
      <c r="N23" s="62" t="e">
        <f t="shared" si="0"/>
        <v>#VALUE!</v>
      </c>
      <c r="O23" s="63" t="e">
        <f t="shared" si="1"/>
        <v>#VALUE!</v>
      </c>
      <c r="Q23" s="62">
        <f t="shared" si="2"/>
        <v>0</v>
      </c>
      <c r="R23" s="62">
        <f t="shared" si="3"/>
        <v>0</v>
      </c>
      <c r="S23" s="62">
        <f t="shared" si="4"/>
        <v>0</v>
      </c>
      <c r="T23" s="63">
        <f t="shared" si="5"/>
        <v>0</v>
      </c>
      <c r="V23" s="55"/>
      <c r="W23" s="56"/>
      <c r="X23" s="56"/>
      <c r="Y23" s="57"/>
    </row>
    <row r="24" spans="1:25" x14ac:dyDescent="0.35">
      <c r="A24" s="35" t="str">
        <f>SoilMixes_7bc!A23</f>
        <v>Biochar 4 - VegTech</v>
      </c>
      <c r="B24" s="43">
        <f>SoilMixes_7bc!B23</f>
        <v>500</v>
      </c>
      <c r="C24" s="7">
        <f>SoilMixes_7bc!C23</f>
        <v>1800</v>
      </c>
      <c r="D24" s="12">
        <f>SoilMixes_7bc!D23</f>
        <v>0.72222222222222221</v>
      </c>
      <c r="E24" s="19">
        <f>SoilMixes_7bc!E23</f>
        <v>0.45</v>
      </c>
      <c r="F24" s="38">
        <f>SoilMixes_7bc!F23</f>
        <v>0.2722222222222222</v>
      </c>
      <c r="G24" s="44">
        <f>SoilMixes_7bc!G23</f>
        <v>0.93400000000000005</v>
      </c>
      <c r="J24" s="32">
        <f>INDEX(RecipesBiocharX!$B$8:$Q$31,ROW(Calculator!A24)-3+1,Calculator!$I$1)</f>
        <v>0</v>
      </c>
      <c r="L24" s="62" t="e">
        <f t="shared" si="6"/>
        <v>#VALUE!</v>
      </c>
      <c r="M24" s="62" t="str">
        <f t="shared" si="7"/>
        <v>-</v>
      </c>
      <c r="N24" s="62" t="e">
        <f t="shared" si="0"/>
        <v>#VALUE!</v>
      </c>
      <c r="O24" s="63" t="e">
        <f t="shared" si="1"/>
        <v>#VALUE!</v>
      </c>
      <c r="Q24" s="62">
        <f t="shared" si="2"/>
        <v>0</v>
      </c>
      <c r="R24" s="62">
        <f t="shared" si="3"/>
        <v>0</v>
      </c>
      <c r="S24" s="62">
        <f t="shared" si="4"/>
        <v>0</v>
      </c>
      <c r="T24" s="63">
        <f t="shared" si="5"/>
        <v>0</v>
      </c>
      <c r="V24" s="55"/>
      <c r="W24" s="56"/>
      <c r="X24" s="56"/>
      <c r="Y24" s="57"/>
    </row>
    <row r="25" spans="1:25" x14ac:dyDescent="0.35">
      <c r="A25" s="35" t="str">
        <f>SoilMixes_7bc!A24</f>
        <v>Compost</v>
      </c>
      <c r="B25" s="43">
        <f>SoilMixes_7bc!B24</f>
        <v>400</v>
      </c>
      <c r="C25" s="7">
        <f>SoilMixes_7bc!C24</f>
        <v>571.42857142857144</v>
      </c>
      <c r="D25" s="12">
        <f>SoilMixes_7bc!D24</f>
        <v>0.3</v>
      </c>
      <c r="E25" s="12">
        <f>SoilMixes_7bc!E24</f>
        <v>0.3</v>
      </c>
      <c r="F25" s="38">
        <f>SoilMixes_7bc!F24</f>
        <v>0</v>
      </c>
      <c r="G25" s="44">
        <f>SoilMixes_7bc!G24</f>
        <v>0</v>
      </c>
      <c r="J25" s="32">
        <f>INDEX(RecipesBiocharX!$B$8:$Q$31,ROW(Calculator!A25)-3+1,Calculator!$I$1)</f>
        <v>0</v>
      </c>
      <c r="L25" s="62" t="e">
        <f t="shared" si="6"/>
        <v>#VALUE!</v>
      </c>
      <c r="M25" s="62" t="str">
        <f t="shared" si="7"/>
        <v>-</v>
      </c>
      <c r="N25" s="62" t="e">
        <f t="shared" si="0"/>
        <v>#VALUE!</v>
      </c>
      <c r="O25" s="63" t="e">
        <f t="shared" si="1"/>
        <v>#VALUE!</v>
      </c>
      <c r="Q25" s="62">
        <f t="shared" si="2"/>
        <v>0</v>
      </c>
      <c r="R25" s="62">
        <f t="shared" si="3"/>
        <v>0</v>
      </c>
      <c r="S25" s="62">
        <f t="shared" si="4"/>
        <v>0</v>
      </c>
      <c r="T25" s="63">
        <f t="shared" si="5"/>
        <v>0</v>
      </c>
      <c r="V25" s="55"/>
      <c r="W25" s="56"/>
      <c r="X25" s="56"/>
      <c r="Y25" s="57"/>
    </row>
    <row r="26" spans="1:25" x14ac:dyDescent="0.35">
      <c r="A26" s="37" t="str">
        <f>SoilMixes_7bc!A25</f>
        <v>Water</v>
      </c>
      <c r="B26" s="45">
        <f>SoilMixes_7bc!B25</f>
        <v>1000</v>
      </c>
      <c r="C26" s="46">
        <f>SoilMixes_7bc!C25</f>
        <v>1000</v>
      </c>
      <c r="D26" s="47">
        <f>SoilMixes_7bc!D25</f>
        <v>0</v>
      </c>
      <c r="E26" s="47">
        <f>SoilMixes_7bc!E25</f>
        <v>0</v>
      </c>
      <c r="F26" s="48">
        <f>SoilMixes_7bc!F25</f>
        <v>0</v>
      </c>
      <c r="G26" s="49">
        <f>SoilMixes_7bc!G25</f>
        <v>0</v>
      </c>
      <c r="J26" s="32">
        <f>INDEX(RecipesBiocharX!$B$8:$Q$31,ROW(Calculator!A26)-3+1,Calculator!$I$1)</f>
        <v>0</v>
      </c>
      <c r="L26" s="62" t="e">
        <f t="shared" si="6"/>
        <v>#VALUE!</v>
      </c>
      <c r="M26" s="62" t="str">
        <f t="shared" si="7"/>
        <v>-</v>
      </c>
      <c r="N26" s="62" t="e">
        <f t="shared" si="0"/>
        <v>#VALUE!</v>
      </c>
      <c r="O26" s="63" t="e">
        <f t="shared" si="1"/>
        <v>#VALUE!</v>
      </c>
      <c r="Q26" s="62">
        <f t="shared" si="2"/>
        <v>0</v>
      </c>
      <c r="R26" s="62">
        <f t="shared" si="3"/>
        <v>0</v>
      </c>
      <c r="S26" s="62">
        <f t="shared" si="4"/>
        <v>0</v>
      </c>
      <c r="T26" s="63">
        <f t="shared" si="5"/>
        <v>0</v>
      </c>
      <c r="V26" s="58"/>
      <c r="W26" s="59"/>
      <c r="X26" s="59"/>
      <c r="Y26" s="60"/>
    </row>
    <row r="27" spans="1:25" x14ac:dyDescent="0.35">
      <c r="I27" t="s">
        <v>67</v>
      </c>
      <c r="J27" s="32">
        <f>INDEX(RecipesBiocharX!B5:Q6,IF(Calculator!J2="v-p",2,1),Calculator!I1)</f>
        <v>1500</v>
      </c>
      <c r="L27" s="25"/>
    </row>
    <row r="28" spans="1:25" x14ac:dyDescent="0.35">
      <c r="L28" s="25" t="s">
        <v>75</v>
      </c>
      <c r="M28" s="65" t="str">
        <f>IF($J$2="v-p",SUM(L3:L26),"-")</f>
        <v>-</v>
      </c>
      <c r="Q28" s="25" t="s">
        <v>75</v>
      </c>
      <c r="R28">
        <f>IF($J$2="v-b",SUM(Q3:Q26),"-")</f>
        <v>1499.9999999999998</v>
      </c>
    </row>
    <row r="29" spans="1:25" x14ac:dyDescent="0.35">
      <c r="L29" s="25" t="s">
        <v>3</v>
      </c>
      <c r="M29" s="64" t="str">
        <f>IF($J$2="v-p",J27,"-")</f>
        <v>-</v>
      </c>
      <c r="Q29" s="25" t="s">
        <v>3</v>
      </c>
      <c r="R29" s="64">
        <f>IF($J$2="v-b",1-SUMPRODUCT(R3:R26,1-D3:D26)/1,"-")</f>
        <v>0.43814680662329986</v>
      </c>
    </row>
    <row r="30" spans="1:25" x14ac:dyDescent="0.35">
      <c r="L30" s="25" t="s">
        <v>5</v>
      </c>
      <c r="M30" s="64" t="str">
        <f>IF($J$2="v-p",SUMPRODUCT(M3:M26,F3:F26)/1,"-")</f>
        <v>-</v>
      </c>
      <c r="Q30" s="25" t="s">
        <v>5</v>
      </c>
      <c r="R30" s="64">
        <f>IF($J$2="v-b",SUMPRODUCT(R3:R26,F3:F26),"-")</f>
        <v>0.15912828947368421</v>
      </c>
      <c r="S30" s="108">
        <f>R29-R30</f>
        <v>0.27901851714961567</v>
      </c>
    </row>
    <row r="31" spans="1:25" x14ac:dyDescent="0.35">
      <c r="L31" s="61" t="s">
        <v>76</v>
      </c>
      <c r="M31" t="str">
        <f>IF($J$2="v-p",SUMPRODUCT(J3:J26,1-D3:D26),"-")</f>
        <v>-</v>
      </c>
      <c r="Q31" s="61" t="s">
        <v>76</v>
      </c>
      <c r="R31">
        <f>IF($J$2="v-b",SUMPRODUCT(J3:J26,B3:B26),"-")</f>
        <v>1216</v>
      </c>
    </row>
    <row r="32" spans="1:25" x14ac:dyDescent="0.35">
      <c r="L32" s="61" t="s">
        <v>77</v>
      </c>
      <c r="M32" s="52" t="str">
        <f>IF($J$2="v-p",SUM(M3:M26),"-")</f>
        <v>-</v>
      </c>
      <c r="Q32" s="61" t="s">
        <v>77</v>
      </c>
      <c r="R32" s="52">
        <f>IF($J$2="v-b",SUM(R3:R26),"-")</f>
        <v>1.2335526315789473</v>
      </c>
    </row>
    <row r="35" spans="12:12" x14ac:dyDescent="0.35">
      <c r="L35" s="61"/>
    </row>
  </sheetData>
  <mergeCells count="4">
    <mergeCell ref="V1:Y1"/>
    <mergeCell ref="L1:O1"/>
    <mergeCell ref="Q1:T1"/>
    <mergeCell ref="J1:K1"/>
  </mergeCells>
  <conditionalFormatting sqref="J3:J27">
    <cfRule type="cellIs" dxfId="8" priority="8" operator="greaterThan">
      <formula>0</formula>
    </cfRule>
    <cfRule type="cellIs" dxfId="7" priority="9" operator="equal">
      <formula>0</formula>
    </cfRule>
  </conditionalFormatting>
  <conditionalFormatting sqref="L2:O2">
    <cfRule type="cellIs" dxfId="6" priority="7" operator="equal">
      <formula>0</formula>
    </cfRule>
  </conditionalFormatting>
  <conditionalFormatting sqref="Q2:T2">
    <cfRule type="cellIs" dxfId="5" priority="6" operator="equal">
      <formula>0</formula>
    </cfRule>
  </conditionalFormatting>
  <conditionalFormatting sqref="V2:Y2">
    <cfRule type="cellIs" dxfId="4" priority="5" operator="equal">
      <formula>0</formula>
    </cfRule>
  </conditionalFormatting>
  <conditionalFormatting sqref="L3:O26">
    <cfRule type="cellIs" dxfId="3" priority="4" operator="equal">
      <formula>0</formula>
    </cfRule>
  </conditionalFormatting>
  <conditionalFormatting sqref="N3:O26">
    <cfRule type="cellIs" dxfId="2" priority="3" operator="equal">
      <formula>0</formula>
    </cfRule>
  </conditionalFormatting>
  <conditionalFormatting sqref="Q3:T26">
    <cfRule type="cellIs" dxfId="1" priority="2" operator="equal">
      <formula>0</formula>
    </cfRule>
  </conditionalFormatting>
  <conditionalFormatting sqref="S3:T2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opLeftCell="A4" zoomScale="76" workbookViewId="0">
      <selection activeCell="Y23" sqref="Y23"/>
    </sheetView>
  </sheetViews>
  <sheetFormatPr defaultRowHeight="14.5" x14ac:dyDescent="0.35"/>
  <cols>
    <col min="4" max="4" width="11.26953125" bestFit="1" customWidth="1"/>
    <col min="12" max="12" width="1.54296875" style="93" customWidth="1"/>
    <col min="14" max="14" width="24.08984375" customWidth="1"/>
    <col min="15" max="15" width="15.1796875" customWidth="1"/>
    <col min="17" max="17" width="11.453125" customWidth="1"/>
    <col min="18" max="18" width="13.90625" customWidth="1"/>
    <col min="19" max="19" width="12.453125" customWidth="1"/>
    <col min="20" max="20" width="12.6328125" customWidth="1"/>
    <col min="21" max="21" width="12.26953125" customWidth="1"/>
    <col min="22" max="22" width="13.6328125" customWidth="1"/>
    <col min="26" max="26" width="7.81640625" customWidth="1"/>
    <col min="27" max="27" width="7.36328125" customWidth="1"/>
    <col min="30" max="30" width="17.90625" customWidth="1"/>
  </cols>
  <sheetData>
    <row r="1" spans="1:30" x14ac:dyDescent="0.35">
      <c r="A1" s="87" t="s">
        <v>78</v>
      </c>
      <c r="M1" s="87" t="s">
        <v>108</v>
      </c>
    </row>
    <row r="2" spans="1:30" x14ac:dyDescent="0.35">
      <c r="B2" s="88" t="s">
        <v>79</v>
      </c>
      <c r="N2" s="88" t="s">
        <v>189</v>
      </c>
    </row>
    <row r="3" spans="1:30" x14ac:dyDescent="0.35">
      <c r="B3" t="s">
        <v>80</v>
      </c>
      <c r="N3" s="87" t="s">
        <v>155</v>
      </c>
    </row>
    <row r="4" spans="1:30" ht="16.5" customHeight="1" x14ac:dyDescent="0.35">
      <c r="N4" s="113" t="s">
        <v>109</v>
      </c>
      <c r="O4" s="113" t="s">
        <v>110</v>
      </c>
      <c r="P4" s="113" t="s">
        <v>111</v>
      </c>
      <c r="Q4" s="113"/>
      <c r="R4" s="114" t="s">
        <v>112</v>
      </c>
      <c r="S4" s="113" t="s">
        <v>113</v>
      </c>
      <c r="T4" s="113"/>
      <c r="U4" s="113"/>
      <c r="V4" s="113"/>
      <c r="X4" s="113" t="s">
        <v>111</v>
      </c>
      <c r="Y4" s="113"/>
    </row>
    <row r="5" spans="1:30" x14ac:dyDescent="0.35">
      <c r="N5" s="113"/>
      <c r="O5" s="113"/>
      <c r="P5" s="94" t="s">
        <v>114</v>
      </c>
      <c r="Q5" s="94" t="s">
        <v>115</v>
      </c>
      <c r="R5" s="114"/>
      <c r="S5" s="94" t="s">
        <v>116</v>
      </c>
      <c r="T5" s="94" t="s">
        <v>117</v>
      </c>
      <c r="U5" s="94" t="s">
        <v>118</v>
      </c>
      <c r="V5" s="94" t="s">
        <v>119</v>
      </c>
      <c r="X5" s="94" t="s">
        <v>114</v>
      </c>
      <c r="Y5" s="94" t="s">
        <v>115</v>
      </c>
    </row>
    <row r="6" spans="1:30" ht="16.5" x14ac:dyDescent="0.35">
      <c r="B6" s="87" t="s">
        <v>81</v>
      </c>
      <c r="N6" s="95" t="s">
        <v>8</v>
      </c>
      <c r="O6" s="95" t="s">
        <v>120</v>
      </c>
      <c r="P6" s="95" t="s">
        <v>121</v>
      </c>
      <c r="Q6" s="95" t="s">
        <v>121</v>
      </c>
      <c r="R6" s="95" t="s">
        <v>122</v>
      </c>
      <c r="S6" s="95" t="s">
        <v>123</v>
      </c>
      <c r="T6" s="95" t="s">
        <v>124</v>
      </c>
      <c r="U6" s="95" t="s">
        <v>125</v>
      </c>
      <c r="V6" s="95" t="s">
        <v>126</v>
      </c>
      <c r="X6" s="95">
        <v>2.64</v>
      </c>
      <c r="Y6">
        <v>2.64</v>
      </c>
    </row>
    <row r="7" spans="1:30" ht="16.5" x14ac:dyDescent="0.35">
      <c r="C7" t="s">
        <v>85</v>
      </c>
      <c r="N7" s="95" t="s">
        <v>127</v>
      </c>
      <c r="O7" s="95" t="s">
        <v>120</v>
      </c>
      <c r="P7" s="95" t="s">
        <v>128</v>
      </c>
      <c r="Q7" s="95" t="s">
        <v>128</v>
      </c>
      <c r="R7" s="95" t="s">
        <v>129</v>
      </c>
      <c r="S7" s="95" t="s">
        <v>130</v>
      </c>
      <c r="T7" s="95" t="s">
        <v>131</v>
      </c>
      <c r="U7" s="95" t="s">
        <v>132</v>
      </c>
      <c r="V7" s="95" t="s">
        <v>133</v>
      </c>
      <c r="X7">
        <v>3.74</v>
      </c>
      <c r="Y7">
        <v>3.74</v>
      </c>
    </row>
    <row r="8" spans="1:30" ht="16.5" x14ac:dyDescent="0.35">
      <c r="N8" s="99" t="s">
        <v>134</v>
      </c>
      <c r="O8" s="99" t="s">
        <v>135</v>
      </c>
      <c r="P8" s="99" t="s">
        <v>190</v>
      </c>
      <c r="Q8" s="99" t="s">
        <v>191</v>
      </c>
      <c r="R8" s="99" t="s">
        <v>136</v>
      </c>
      <c r="S8" s="99" t="s">
        <v>192</v>
      </c>
      <c r="T8" s="99" t="s">
        <v>193</v>
      </c>
      <c r="U8" s="99" t="s">
        <v>194</v>
      </c>
      <c r="V8" s="99" t="s">
        <v>195</v>
      </c>
      <c r="X8">
        <v>1.2</v>
      </c>
      <c r="Y8">
        <v>0.52</v>
      </c>
    </row>
    <row r="9" spans="1:30" ht="16.5" x14ac:dyDescent="0.35">
      <c r="N9" s="95" t="s">
        <v>137</v>
      </c>
      <c r="O9" s="95" t="s">
        <v>120</v>
      </c>
      <c r="P9" s="95" t="s">
        <v>138</v>
      </c>
      <c r="Q9" s="95" t="s">
        <v>139</v>
      </c>
      <c r="R9" s="95" t="s">
        <v>140</v>
      </c>
      <c r="S9" s="95" t="s">
        <v>141</v>
      </c>
      <c r="T9" s="95" t="s">
        <v>142</v>
      </c>
      <c r="U9" s="95" t="s">
        <v>143</v>
      </c>
      <c r="V9" s="95" t="s">
        <v>144</v>
      </c>
      <c r="X9">
        <v>1.2</v>
      </c>
      <c r="Y9">
        <v>0.52</v>
      </c>
    </row>
    <row r="10" spans="1:30" ht="16.5" x14ac:dyDescent="0.35">
      <c r="C10" t="s">
        <v>82</v>
      </c>
      <c r="D10" s="90">
        <f>20%</f>
        <v>0.2</v>
      </c>
      <c r="E10" t="s">
        <v>84</v>
      </c>
      <c r="G10" t="s">
        <v>86</v>
      </c>
      <c r="H10">
        <v>500</v>
      </c>
      <c r="I10" t="s">
        <v>90</v>
      </c>
      <c r="J10" t="s">
        <v>91</v>
      </c>
      <c r="N10" s="95" t="s">
        <v>145</v>
      </c>
      <c r="O10" s="95" t="s">
        <v>120</v>
      </c>
      <c r="P10" s="95" t="s">
        <v>138</v>
      </c>
      <c r="Q10" s="95" t="s">
        <v>139</v>
      </c>
      <c r="R10" s="95" t="s">
        <v>146</v>
      </c>
      <c r="S10" s="95" t="s">
        <v>147</v>
      </c>
      <c r="T10" s="95" t="s">
        <v>148</v>
      </c>
      <c r="U10" s="95" t="s">
        <v>149</v>
      </c>
      <c r="V10" s="95" t="s">
        <v>150</v>
      </c>
      <c r="X10">
        <v>1.2</v>
      </c>
      <c r="Y10">
        <v>0.52</v>
      </c>
    </row>
    <row r="11" spans="1:30" ht="16.5" x14ac:dyDescent="0.35">
      <c r="G11" t="s">
        <v>87</v>
      </c>
      <c r="H11">
        <v>1600</v>
      </c>
      <c r="I11" t="s">
        <v>90</v>
      </c>
      <c r="J11" t="s">
        <v>92</v>
      </c>
      <c r="N11" s="99" t="s">
        <v>151</v>
      </c>
      <c r="O11" s="99" t="s">
        <v>152</v>
      </c>
      <c r="P11" s="99" t="s">
        <v>190</v>
      </c>
      <c r="Q11" s="99" t="s">
        <v>196</v>
      </c>
      <c r="R11" s="99" t="s">
        <v>153</v>
      </c>
      <c r="S11" s="99" t="s">
        <v>197</v>
      </c>
      <c r="T11" s="99" t="s">
        <v>198</v>
      </c>
      <c r="U11" s="99" t="s">
        <v>199</v>
      </c>
      <c r="V11" s="99" t="s">
        <v>200</v>
      </c>
      <c r="X11">
        <v>1.2</v>
      </c>
      <c r="Y11">
        <v>0.52</v>
      </c>
    </row>
    <row r="12" spans="1:30" ht="16.5" x14ac:dyDescent="0.35">
      <c r="G12" t="s">
        <v>88</v>
      </c>
      <c r="H12" s="52">
        <v>1</v>
      </c>
      <c r="I12" t="s">
        <v>93</v>
      </c>
      <c r="N12" s="97" t="s">
        <v>154</v>
      </c>
      <c r="O12" s="96"/>
      <c r="P12" s="96"/>
      <c r="Q12" s="96"/>
      <c r="R12" s="96"/>
      <c r="S12" s="96"/>
      <c r="T12" s="96"/>
      <c r="U12" s="96"/>
      <c r="V12" s="96"/>
    </row>
    <row r="13" spans="1:30" x14ac:dyDescent="0.35">
      <c r="G13" t="s">
        <v>89</v>
      </c>
      <c r="H13" s="52">
        <f>H12*(D10/(1-D10))</f>
        <v>0.25</v>
      </c>
      <c r="I13" t="s">
        <v>93</v>
      </c>
      <c r="O13" s="96"/>
      <c r="P13" s="96"/>
      <c r="Q13" s="96"/>
      <c r="R13" s="96"/>
      <c r="S13" s="96"/>
      <c r="T13" s="96"/>
      <c r="U13" s="96"/>
      <c r="V13" s="96"/>
    </row>
    <row r="14" spans="1:30" x14ac:dyDescent="0.35">
      <c r="N14" s="98" t="s">
        <v>188</v>
      </c>
    </row>
    <row r="15" spans="1:30" ht="27" customHeight="1" x14ac:dyDescent="0.35">
      <c r="C15" t="s">
        <v>83</v>
      </c>
      <c r="D15" s="90">
        <f>(H13+H12)*D10/(H13+H12*H11/H10)</f>
        <v>7.2463768115942032E-2</v>
      </c>
      <c r="E15" t="s">
        <v>94</v>
      </c>
      <c r="N15" s="113" t="s">
        <v>109</v>
      </c>
      <c r="O15" s="114" t="s">
        <v>156</v>
      </c>
      <c r="P15" s="113" t="s">
        <v>157</v>
      </c>
      <c r="Q15" s="113"/>
      <c r="R15" s="115" t="s">
        <v>158</v>
      </c>
      <c r="S15" s="113" t="s">
        <v>159</v>
      </c>
      <c r="T15" s="113"/>
      <c r="X15" s="113" t="s">
        <v>111</v>
      </c>
      <c r="Y15" s="113"/>
      <c r="Z15" s="113" t="s">
        <v>159</v>
      </c>
      <c r="AA15" s="113"/>
    </row>
    <row r="16" spans="1:30" ht="16.5" x14ac:dyDescent="0.35">
      <c r="N16" s="113"/>
      <c r="O16" s="114"/>
      <c r="P16" s="94" t="s">
        <v>160</v>
      </c>
      <c r="Q16" s="94" t="s">
        <v>161</v>
      </c>
      <c r="R16" s="115"/>
      <c r="S16" s="94" t="s">
        <v>162</v>
      </c>
      <c r="T16" s="94" t="s">
        <v>163</v>
      </c>
      <c r="V16" s="94" t="s">
        <v>202</v>
      </c>
      <c r="W16" s="94" t="s">
        <v>201</v>
      </c>
      <c r="X16" s="94" t="s">
        <v>114</v>
      </c>
      <c r="Y16" s="94" t="s">
        <v>115</v>
      </c>
      <c r="Z16" s="94" t="s">
        <v>162</v>
      </c>
      <c r="AA16" s="94" t="s">
        <v>163</v>
      </c>
      <c r="AB16" s="103" t="s">
        <v>203</v>
      </c>
      <c r="AC16" s="103" t="s">
        <v>204</v>
      </c>
      <c r="AD16" s="94" t="s">
        <v>205</v>
      </c>
    </row>
    <row r="17" spans="2:30" x14ac:dyDescent="0.35">
      <c r="N17" s="99" t="s">
        <v>8</v>
      </c>
      <c r="O17" s="99">
        <v>2</v>
      </c>
      <c r="P17" s="101">
        <v>0</v>
      </c>
      <c r="Q17" s="99" t="s">
        <v>164</v>
      </c>
      <c r="R17" s="99" t="s">
        <v>165</v>
      </c>
      <c r="S17" s="99" t="s">
        <v>166</v>
      </c>
      <c r="T17" s="99" t="s">
        <v>166</v>
      </c>
      <c r="V17">
        <f>1.64</f>
        <v>1.64</v>
      </c>
      <c r="X17">
        <f>X6</f>
        <v>2.64</v>
      </c>
      <c r="Y17">
        <f>Y6</f>
        <v>2.64</v>
      </c>
      <c r="Z17" s="89">
        <f>1-V17/X17</f>
        <v>0.3787878787878789</v>
      </c>
      <c r="AA17" s="89">
        <f>1-V17/Y17</f>
        <v>0.3787878787878789</v>
      </c>
      <c r="AB17" s="104">
        <f>Z17-AA17</f>
        <v>0</v>
      </c>
      <c r="AC17" s="105">
        <f>P17*V17*(1/Y17-1/X17)</f>
        <v>0</v>
      </c>
    </row>
    <row r="18" spans="2:30" x14ac:dyDescent="0.35">
      <c r="B18" s="87" t="s">
        <v>95</v>
      </c>
      <c r="N18" s="99" t="s">
        <v>167</v>
      </c>
      <c r="O18" s="99">
        <v>4</v>
      </c>
      <c r="P18" s="101">
        <v>4</v>
      </c>
      <c r="Q18" s="99" t="s">
        <v>168</v>
      </c>
      <c r="R18" s="99" t="s">
        <v>169</v>
      </c>
      <c r="S18" s="99" t="s">
        <v>170</v>
      </c>
      <c r="T18" s="99" t="s">
        <v>171</v>
      </c>
      <c r="V18">
        <f>1.25</f>
        <v>1.25</v>
      </c>
      <c r="W18" s="100">
        <f>(V18-$V$17)/$V$17</f>
        <v>-0.23780487804878045</v>
      </c>
      <c r="X18" s="89">
        <f>100/((P18/X8) + (100-P18)/$X$6)</f>
        <v>2.5190839694656488</v>
      </c>
      <c r="Y18" s="89">
        <f>100/((P18/Y8) + (100-P18)/$Y$6)</f>
        <v>2.2698412698412698</v>
      </c>
      <c r="Z18" s="89">
        <f>1-$V18/X18</f>
        <v>0.50378787878787878</v>
      </c>
      <c r="AA18" s="89">
        <f>1-$V18/Y18</f>
        <v>0.44930069930069927</v>
      </c>
      <c r="AB18" s="104">
        <f t="shared" ref="AB18:AB21" si="0">Z18-AA18</f>
        <v>5.4487179487179516E-2</v>
      </c>
      <c r="AC18" s="104">
        <f>P18*V18*(1/Y18-1/X18)/100</f>
        <v>2.1794871794871802E-3</v>
      </c>
      <c r="AD18" s="100">
        <f>(Z18-$Z$17)/$Z$17</f>
        <v>0.32999999999999963</v>
      </c>
    </row>
    <row r="19" spans="2:30" x14ac:dyDescent="0.35">
      <c r="N19" s="95" t="s">
        <v>172</v>
      </c>
      <c r="O19" s="95">
        <v>4</v>
      </c>
      <c r="P19" s="102">
        <v>4</v>
      </c>
      <c r="Q19" s="95" t="s">
        <v>168</v>
      </c>
      <c r="R19" s="95" t="s">
        <v>173</v>
      </c>
      <c r="S19" s="95" t="s">
        <v>174</v>
      </c>
      <c r="T19" s="95" t="s">
        <v>175</v>
      </c>
      <c r="V19">
        <v>1.21</v>
      </c>
      <c r="W19" s="100">
        <f t="shared" ref="W19:W20" si="1">(V19-$V$17)/$V$17</f>
        <v>-0.26219512195121947</v>
      </c>
      <c r="X19" s="89">
        <f t="shared" ref="X19:X21" si="2">100/((P19/X9) + (100-P19)/$X$6)</f>
        <v>2.5190839694656488</v>
      </c>
      <c r="Y19" s="89">
        <f t="shared" ref="Y19:Y21" si="3">100/((P19/Y9) + (100-P19)/$Y$6)</f>
        <v>2.2698412698412698</v>
      </c>
      <c r="Z19" s="89">
        <f t="shared" ref="Z19:Z21" si="4">1-$V19/X19</f>
        <v>0.51966666666666672</v>
      </c>
      <c r="AA19" s="89">
        <f t="shared" ref="AA19:AA21" si="5">1-$V19/Y19</f>
        <v>0.46692307692307689</v>
      </c>
      <c r="AB19" s="104">
        <f t="shared" si="0"/>
        <v>5.2743589743589836E-2</v>
      </c>
      <c r="AC19" s="104">
        <f t="shared" ref="AC19:AC21" si="6">P19*V19*(1/Y19-1/X19)/100</f>
        <v>2.1097435897435902E-3</v>
      </c>
      <c r="AD19" s="100">
        <f t="shared" ref="AD19:AD21" si="7">(Z19-$Z$17)/$Z$17</f>
        <v>0.37191999999999975</v>
      </c>
    </row>
    <row r="20" spans="2:30" x14ac:dyDescent="0.35">
      <c r="C20" s="91" t="s">
        <v>96</v>
      </c>
      <c r="D20">
        <f>1/(D15/H20 + (1-D15)/H21)</f>
        <v>2579.6499416569427</v>
      </c>
      <c r="E20" t="s">
        <v>90</v>
      </c>
      <c r="G20" s="91" t="s">
        <v>97</v>
      </c>
      <c r="H20">
        <v>1800</v>
      </c>
      <c r="I20" t="s">
        <v>90</v>
      </c>
      <c r="N20" s="95" t="s">
        <v>176</v>
      </c>
      <c r="O20" s="95">
        <v>3</v>
      </c>
      <c r="P20" s="102">
        <v>4</v>
      </c>
      <c r="Q20" s="95" t="s">
        <v>168</v>
      </c>
      <c r="R20" s="95" t="s">
        <v>177</v>
      </c>
      <c r="S20" s="95" t="s">
        <v>178</v>
      </c>
      <c r="T20" s="95" t="s">
        <v>174</v>
      </c>
      <c r="V20">
        <v>1.0900000000000001</v>
      </c>
      <c r="W20" s="100">
        <f t="shared" si="1"/>
        <v>-0.33536585365853649</v>
      </c>
      <c r="X20" s="89">
        <f t="shared" si="2"/>
        <v>2.5190839694656488</v>
      </c>
      <c r="Y20" s="89">
        <f t="shared" si="3"/>
        <v>2.2698412698412698</v>
      </c>
      <c r="Z20" s="89">
        <f t="shared" si="4"/>
        <v>0.5673030303030302</v>
      </c>
      <c r="AA20" s="89">
        <f t="shared" si="5"/>
        <v>0.51979020979020973</v>
      </c>
      <c r="AB20" s="104">
        <f t="shared" si="0"/>
        <v>4.7512820512820464E-2</v>
      </c>
      <c r="AC20" s="104">
        <f t="shared" si="6"/>
        <v>1.9005128205128211E-3</v>
      </c>
      <c r="AD20" s="100">
        <f t="shared" si="7"/>
        <v>0.49767999999999929</v>
      </c>
    </row>
    <row r="21" spans="2:30" x14ac:dyDescent="0.35">
      <c r="C21" t="s">
        <v>100</v>
      </c>
      <c r="G21" s="91" t="s">
        <v>98</v>
      </c>
      <c r="H21">
        <v>2670</v>
      </c>
      <c r="I21" t="s">
        <v>90</v>
      </c>
      <c r="N21" s="99" t="s">
        <v>179</v>
      </c>
      <c r="O21" s="99">
        <v>3</v>
      </c>
      <c r="P21" s="101">
        <v>4</v>
      </c>
      <c r="Q21" s="99" t="s">
        <v>168</v>
      </c>
      <c r="R21" s="99" t="s">
        <v>180</v>
      </c>
      <c r="S21" s="99" t="s">
        <v>175</v>
      </c>
      <c r="T21" s="99" t="s">
        <v>181</v>
      </c>
      <c r="V21">
        <f>1.33</f>
        <v>1.33</v>
      </c>
      <c r="W21" s="100">
        <f>(V21-$V$17)/$V$17</f>
        <v>-0.18902439024390236</v>
      </c>
      <c r="X21" s="89">
        <f t="shared" si="2"/>
        <v>2.5190839694656488</v>
      </c>
      <c r="Y21" s="89">
        <f t="shared" si="3"/>
        <v>2.2698412698412698</v>
      </c>
      <c r="Z21" s="89">
        <f t="shared" si="4"/>
        <v>0.47203030303030302</v>
      </c>
      <c r="AA21" s="89">
        <f t="shared" si="5"/>
        <v>0.41405594405594404</v>
      </c>
      <c r="AB21" s="104">
        <f t="shared" si="0"/>
        <v>5.7974358974358986E-2</v>
      </c>
      <c r="AC21" s="104">
        <f t="shared" si="6"/>
        <v>2.3189743589743599E-3</v>
      </c>
      <c r="AD21" s="100">
        <f t="shared" si="7"/>
        <v>0.24615999999999963</v>
      </c>
    </row>
    <row r="22" spans="2:30" x14ac:dyDescent="0.35">
      <c r="G22" t="s">
        <v>99</v>
      </c>
      <c r="N22" s="95" t="s">
        <v>127</v>
      </c>
      <c r="O22" s="95">
        <v>3</v>
      </c>
      <c r="P22" s="102">
        <v>0</v>
      </c>
      <c r="Q22" s="95" t="s">
        <v>164</v>
      </c>
      <c r="R22" s="95" t="s">
        <v>182</v>
      </c>
      <c r="S22" s="95" t="s">
        <v>183</v>
      </c>
      <c r="T22" s="95" t="s">
        <v>183</v>
      </c>
    </row>
    <row r="23" spans="2:30" x14ac:dyDescent="0.35">
      <c r="N23" s="95" t="s">
        <v>184</v>
      </c>
      <c r="O23" s="95">
        <v>4</v>
      </c>
      <c r="P23" s="102">
        <v>2.85</v>
      </c>
      <c r="Q23" s="95" t="s">
        <v>168</v>
      </c>
      <c r="R23" s="95" t="s">
        <v>185</v>
      </c>
      <c r="S23" s="95" t="s">
        <v>186</v>
      </c>
      <c r="T23" s="95" t="s">
        <v>187</v>
      </c>
      <c r="W23" s="106">
        <f>AVERAGE(W18:W21)</f>
        <v>-0.25609756097560971</v>
      </c>
      <c r="AD23" s="106">
        <f>AVERAGE(AD18:AD21)</f>
        <v>0.36143999999999959</v>
      </c>
    </row>
    <row r="25" spans="2:30" x14ac:dyDescent="0.35">
      <c r="C25" s="87" t="s">
        <v>101</v>
      </c>
    </row>
    <row r="26" spans="2:30" x14ac:dyDescent="0.35">
      <c r="V26" t="s">
        <v>206</v>
      </c>
    </row>
    <row r="27" spans="2:30" x14ac:dyDescent="0.35">
      <c r="C27" t="s">
        <v>102</v>
      </c>
      <c r="D27" s="64">
        <f>1-H27/D20</f>
        <v>0.49605565506884508</v>
      </c>
      <c r="G27" t="s">
        <v>103</v>
      </c>
      <c r="H27">
        <v>1300</v>
      </c>
      <c r="I27" t="s">
        <v>90</v>
      </c>
      <c r="V27" t="s">
        <v>207</v>
      </c>
    </row>
    <row r="28" spans="2:30" x14ac:dyDescent="0.35">
      <c r="V28" t="s">
        <v>208</v>
      </c>
    </row>
    <row r="29" spans="2:30" x14ac:dyDescent="0.35">
      <c r="C29" t="s">
        <v>104</v>
      </c>
    </row>
    <row r="31" spans="2:30" x14ac:dyDescent="0.35">
      <c r="C31" s="87" t="s">
        <v>105</v>
      </c>
    </row>
    <row r="33" spans="3:8" x14ac:dyDescent="0.35">
      <c r="C33" t="s">
        <v>103</v>
      </c>
      <c r="D33" s="89">
        <f>(1-H33)*D20</f>
        <v>1289.8249708284714</v>
      </c>
      <c r="E33" t="s">
        <v>90</v>
      </c>
      <c r="G33" t="s">
        <v>106</v>
      </c>
      <c r="H33" s="92">
        <v>0.5</v>
      </c>
    </row>
    <row r="35" spans="3:8" x14ac:dyDescent="0.35">
      <c r="C35" t="s">
        <v>104</v>
      </c>
    </row>
    <row r="37" spans="3:8" x14ac:dyDescent="0.35">
      <c r="C37" s="87" t="s">
        <v>107</v>
      </c>
    </row>
  </sheetData>
  <mergeCells count="13">
    <mergeCell ref="X4:Y4"/>
    <mergeCell ref="X15:Y15"/>
    <mergeCell ref="Z15:AA15"/>
    <mergeCell ref="N4:N5"/>
    <mergeCell ref="O4:O5"/>
    <mergeCell ref="P4:Q4"/>
    <mergeCell ref="R4:R5"/>
    <mergeCell ref="S4:V4"/>
    <mergeCell ref="N15:N16"/>
    <mergeCell ref="O15:O16"/>
    <mergeCell ref="P15:Q15"/>
    <mergeCell ref="R15:R16"/>
    <mergeCell ref="S15:T15"/>
  </mergeCells>
  <hyperlinks>
    <hyperlink ref="B2" r:id="rId1" tooltip="Persistent link using digital object identifier"/>
    <hyperlink ref="N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SoilMixes</vt:lpstr>
      <vt:lpstr>SoilMixes_7bc</vt:lpstr>
      <vt:lpstr>RecipesBiocharX</vt:lpstr>
      <vt:lpstr>Calculator</vt:lpstr>
      <vt:lpstr>MethodX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2021-03-23T10:42:18Z</dcterms:modified>
</cp:coreProperties>
</file>