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oilMixes" sheetId="2" r:id="rId1"/>
    <sheet name="RecipesBiochar" sheetId="3" r:id="rId2"/>
    <sheet name="Calculator" sheetId="4" r:id="rId3"/>
    <sheet name="MethodX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2" i="2"/>
  <c r="I33" i="2"/>
  <c r="M2" i="2"/>
  <c r="AC2" i="2" s="1"/>
  <c r="I32" i="2" l="1"/>
  <c r="I34" i="2"/>
  <c r="I35" i="2"/>
  <c r="I36" i="2"/>
  <c r="I37" i="2"/>
  <c r="M38" i="2"/>
  <c r="P31" i="2" l="1"/>
  <c r="P32" i="2"/>
  <c r="P33" i="2"/>
  <c r="P34" i="2"/>
  <c r="P35" i="2"/>
  <c r="P36" i="2"/>
  <c r="P37" i="2"/>
  <c r="O31" i="2"/>
  <c r="O32" i="2"/>
  <c r="O33" i="2"/>
  <c r="O34" i="2"/>
  <c r="O35" i="2"/>
  <c r="O36" i="2"/>
  <c r="O37" i="2"/>
  <c r="X3" i="2" l="1"/>
  <c r="X4" i="2"/>
  <c r="X5" i="2"/>
  <c r="X10" i="2"/>
  <c r="X11" i="2"/>
  <c r="X12" i="2"/>
  <c r="X13" i="2"/>
  <c r="X18" i="2"/>
  <c r="X19" i="2"/>
  <c r="X20" i="2"/>
  <c r="X2" i="2"/>
  <c r="N4" i="2"/>
  <c r="AD4" i="2" s="1"/>
  <c r="N8" i="2"/>
  <c r="AD8" i="2" s="1"/>
  <c r="N9" i="2"/>
  <c r="AD9" i="2" s="1"/>
  <c r="N10" i="2"/>
  <c r="AD10" i="2" s="1"/>
  <c r="N12" i="2"/>
  <c r="AD12" i="2" s="1"/>
  <c r="N16" i="2"/>
  <c r="N17" i="2"/>
  <c r="N18" i="2"/>
  <c r="N20" i="2"/>
  <c r="N2" i="2"/>
  <c r="AD2" i="2" s="1"/>
  <c r="M3" i="2"/>
  <c r="AC3" i="2" s="1"/>
  <c r="M4" i="2"/>
  <c r="AC4" i="2" s="1"/>
  <c r="M5" i="2"/>
  <c r="AC5" i="2" s="1"/>
  <c r="M6" i="2"/>
  <c r="AC6" i="2" s="1"/>
  <c r="M7" i="2"/>
  <c r="AC7" i="2" s="1"/>
  <c r="M8" i="2"/>
  <c r="AC8" i="2" s="1"/>
  <c r="M9" i="2"/>
  <c r="AC9" i="2" s="1"/>
  <c r="M10" i="2"/>
  <c r="AC10" i="2" s="1"/>
  <c r="M11" i="2"/>
  <c r="AC11" i="2" s="1"/>
  <c r="M12" i="2"/>
  <c r="AC12" i="2" s="1"/>
  <c r="M13" i="2"/>
  <c r="N13" i="2" s="1"/>
  <c r="M14" i="2"/>
  <c r="X14" i="2" s="1"/>
  <c r="M15" i="2"/>
  <c r="X15" i="2" s="1"/>
  <c r="M16" i="2"/>
  <c r="X16" i="2" s="1"/>
  <c r="M17" i="2"/>
  <c r="X17" i="2" s="1"/>
  <c r="M18" i="2"/>
  <c r="M19" i="2"/>
  <c r="N19" i="2" s="1"/>
  <c r="M20" i="2"/>
  <c r="W3" i="2"/>
  <c r="W4" i="2"/>
  <c r="W5" i="2"/>
  <c r="W6" i="2"/>
  <c r="W7" i="2"/>
  <c r="W8" i="2"/>
  <c r="W9" i="2"/>
  <c r="W10" i="2"/>
  <c r="W12" i="2"/>
  <c r="W13" i="2"/>
  <c r="W14" i="2"/>
  <c r="W15" i="2"/>
  <c r="W16" i="2"/>
  <c r="W17" i="2"/>
  <c r="W18" i="2"/>
  <c r="W19" i="2"/>
  <c r="W20" i="2"/>
  <c r="W2" i="2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4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F10" i="2"/>
  <c r="C11" i="2"/>
  <c r="C12" i="4" s="1"/>
  <c r="E11" i="2"/>
  <c r="E12" i="4" s="1"/>
  <c r="C10" i="2"/>
  <c r="C11" i="4" s="1"/>
  <c r="D11" i="4"/>
  <c r="E11" i="4"/>
  <c r="I11" i="4"/>
  <c r="I12" i="4"/>
  <c r="B11" i="4"/>
  <c r="B12" i="4"/>
  <c r="A11" i="4"/>
  <c r="A12" i="4"/>
  <c r="D11" i="2" l="1"/>
  <c r="N15" i="2"/>
  <c r="N14" i="2"/>
  <c r="N6" i="2"/>
  <c r="AD6" i="2" s="1"/>
  <c r="X9" i="2"/>
  <c r="N7" i="2"/>
  <c r="AD7" i="2" s="1"/>
  <c r="N5" i="2"/>
  <c r="AD5" i="2" s="1"/>
  <c r="X8" i="2"/>
  <c r="X7" i="2"/>
  <c r="N11" i="2"/>
  <c r="AD11" i="2" s="1"/>
  <c r="N3" i="2"/>
  <c r="AD3" i="2" s="1"/>
  <c r="X6" i="2"/>
  <c r="F11" i="4"/>
  <c r="G14" i="3"/>
  <c r="G38" i="3" s="1"/>
  <c r="F38" i="3"/>
  <c r="F14" i="3"/>
  <c r="D12" i="4" l="1"/>
  <c r="F11" i="2"/>
  <c r="W11" i="2"/>
  <c r="C26" i="3"/>
  <c r="F12" i="4" l="1"/>
  <c r="Q7" i="3"/>
  <c r="N6" i="3"/>
  <c r="L7" i="3"/>
  <c r="M7" i="3" s="1"/>
  <c r="E11" i="3"/>
  <c r="E12" i="3"/>
  <c r="E17" i="3"/>
  <c r="E7" i="3"/>
  <c r="E6" i="3" s="1"/>
  <c r="D7" i="3"/>
  <c r="D6" i="3" s="1"/>
  <c r="C34" i="3"/>
  <c r="C17" i="3"/>
  <c r="J38" i="3"/>
  <c r="K38" i="3"/>
  <c r="J8" i="3"/>
  <c r="J6" i="3"/>
  <c r="J5" i="3"/>
  <c r="J4" i="3"/>
  <c r="C7" i="3"/>
  <c r="B7" i="3"/>
  <c r="D12" i="3"/>
  <c r="D11" i="3"/>
  <c r="U7" i="3"/>
  <c r="J7" i="3" s="1"/>
  <c r="K7" i="3" s="1"/>
  <c r="H3" i="2"/>
  <c r="E3" i="2"/>
  <c r="C5" i="4"/>
  <c r="Y8" i="3"/>
  <c r="Z8" i="3" s="1"/>
  <c r="AA8" i="3" s="1"/>
  <c r="X8" i="3"/>
  <c r="U38" i="3"/>
  <c r="V38" i="3"/>
  <c r="W38" i="3"/>
  <c r="X38" i="3"/>
  <c r="Y38" i="3"/>
  <c r="Z38" i="3"/>
  <c r="AA38" i="3"/>
  <c r="L2" i="4" l="1"/>
  <c r="L29" i="4" l="1"/>
  <c r="E38" i="3"/>
  <c r="D38" i="3"/>
  <c r="B28" i="4"/>
  <c r="D5" i="4"/>
  <c r="D6" i="4"/>
  <c r="D7" i="4"/>
  <c r="D8" i="4"/>
  <c r="D9" i="4"/>
  <c r="D10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4" i="4"/>
  <c r="D3" i="4"/>
  <c r="D2" i="4"/>
  <c r="C3" i="4"/>
  <c r="C4" i="4"/>
  <c r="C6" i="4"/>
  <c r="C7" i="4"/>
  <c r="C8" i="4"/>
  <c r="C9" i="4"/>
  <c r="C10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N38" i="3"/>
  <c r="O38" i="3"/>
  <c r="P38" i="3"/>
  <c r="Q38" i="3"/>
  <c r="R38" i="3"/>
  <c r="S38" i="3"/>
  <c r="T38" i="3"/>
  <c r="AA33" i="4" l="1"/>
  <c r="B4" i="2"/>
  <c r="B5" i="4" s="1"/>
  <c r="B5" i="2"/>
  <c r="B6" i="4" s="1"/>
  <c r="B6" i="2"/>
  <c r="B7" i="4" s="1"/>
  <c r="B7" i="2"/>
  <c r="B8" i="4" s="1"/>
  <c r="B8" i="2"/>
  <c r="B9" i="4" s="1"/>
  <c r="B9" i="2"/>
  <c r="B10" i="4" s="1"/>
  <c r="B12" i="2"/>
  <c r="B13" i="4" s="1"/>
  <c r="B2" i="2"/>
  <c r="B3" i="4" s="1"/>
  <c r="B3" i="2"/>
  <c r="B4" i="4" s="1"/>
  <c r="B13" i="2"/>
  <c r="B14" i="4" s="1"/>
  <c r="B26" i="2"/>
  <c r="B27" i="4" s="1"/>
  <c r="B15" i="2"/>
  <c r="B16" i="4" s="1"/>
  <c r="B16" i="2"/>
  <c r="B17" i="4" s="1"/>
  <c r="B17" i="2"/>
  <c r="B18" i="4" s="1"/>
  <c r="B18" i="2"/>
  <c r="B19" i="4" s="1"/>
  <c r="B19" i="2"/>
  <c r="B20" i="4" s="1"/>
  <c r="B20" i="2"/>
  <c r="B21" i="4" s="1"/>
  <c r="B21" i="2"/>
  <c r="B22" i="4" s="1"/>
  <c r="B22" i="2"/>
  <c r="B23" i="4" s="1"/>
  <c r="B23" i="2"/>
  <c r="B24" i="4" s="1"/>
  <c r="B24" i="2"/>
  <c r="B25" i="4" s="1"/>
  <c r="B25" i="2"/>
  <c r="B26" i="4" s="1"/>
  <c r="B14" i="2"/>
  <c r="B15" i="4" s="1"/>
  <c r="F12" i="2" l="1"/>
  <c r="AD23" i="5"/>
  <c r="AD19" i="5"/>
  <c r="AD20" i="5"/>
  <c r="AD21" i="5"/>
  <c r="AD18" i="5"/>
  <c r="W23" i="5"/>
  <c r="AC18" i="5"/>
  <c r="AC19" i="5"/>
  <c r="AC20" i="5"/>
  <c r="AC21" i="5"/>
  <c r="AC17" i="5"/>
  <c r="AB18" i="5"/>
  <c r="AB19" i="5"/>
  <c r="AB20" i="5"/>
  <c r="AB21" i="5"/>
  <c r="AB17" i="5"/>
  <c r="Z19" i="5"/>
  <c r="AA19" i="5"/>
  <c r="Z20" i="5"/>
  <c r="AA20" i="5"/>
  <c r="Z21" i="5"/>
  <c r="AA21" i="5"/>
  <c r="AA18" i="5"/>
  <c r="Z18" i="5"/>
  <c r="AA17" i="5"/>
  <c r="Z17" i="5"/>
  <c r="X19" i="5"/>
  <c r="Y19" i="5"/>
  <c r="X20" i="5"/>
  <c r="Y20" i="5"/>
  <c r="X21" i="5"/>
  <c r="Y21" i="5"/>
  <c r="Y18" i="5"/>
  <c r="X18" i="5"/>
  <c r="Y17" i="5"/>
  <c r="X17" i="5"/>
  <c r="W19" i="5"/>
  <c r="W20" i="5"/>
  <c r="W21" i="5"/>
  <c r="W18" i="5"/>
  <c r="V21" i="5"/>
  <c r="V18" i="5"/>
  <c r="V17" i="5"/>
  <c r="D33" i="5"/>
  <c r="D27" i="5"/>
  <c r="D20" i="5"/>
  <c r="D15" i="5"/>
  <c r="H13" i="5"/>
  <c r="D10" i="5"/>
  <c r="L1" i="4" l="1"/>
  <c r="L3" i="4"/>
  <c r="A2" i="4"/>
  <c r="B2" i="4"/>
  <c r="E2" i="4"/>
  <c r="F2" i="4"/>
  <c r="G2" i="4"/>
  <c r="H2" i="4"/>
  <c r="I2" i="4"/>
  <c r="A3" i="4"/>
  <c r="F3" i="4"/>
  <c r="G3" i="4"/>
  <c r="I3" i="4"/>
  <c r="A4" i="4"/>
  <c r="E4" i="4"/>
  <c r="F4" i="4"/>
  <c r="I4" i="4"/>
  <c r="A5" i="4"/>
  <c r="E5" i="4"/>
  <c r="I5" i="4"/>
  <c r="A6" i="4"/>
  <c r="E6" i="4"/>
  <c r="I6" i="4"/>
  <c r="A7" i="4"/>
  <c r="F7" i="4"/>
  <c r="I7" i="4"/>
  <c r="A8" i="4"/>
  <c r="E8" i="4"/>
  <c r="I8" i="4"/>
  <c r="A9" i="4"/>
  <c r="E9" i="4"/>
  <c r="I9" i="4"/>
  <c r="A10" i="4"/>
  <c r="E10" i="4"/>
  <c r="I10" i="4"/>
  <c r="A13" i="4"/>
  <c r="F13" i="4"/>
  <c r="I13" i="4"/>
  <c r="A14" i="4"/>
  <c r="F14" i="4"/>
  <c r="G14" i="4"/>
  <c r="I14" i="4"/>
  <c r="A15" i="4"/>
  <c r="E15" i="4"/>
  <c r="G15" i="4"/>
  <c r="I15" i="4"/>
  <c r="A16" i="4"/>
  <c r="E16" i="4"/>
  <c r="G16" i="4"/>
  <c r="I16" i="4"/>
  <c r="A17" i="4"/>
  <c r="E17" i="4"/>
  <c r="G17" i="4"/>
  <c r="I17" i="4"/>
  <c r="A18" i="4"/>
  <c r="E18" i="4"/>
  <c r="G18" i="4"/>
  <c r="I18" i="4"/>
  <c r="A19" i="4"/>
  <c r="E19" i="4"/>
  <c r="G19" i="4"/>
  <c r="I19" i="4"/>
  <c r="A20" i="4"/>
  <c r="E20" i="4"/>
  <c r="G20" i="4"/>
  <c r="I20" i="4"/>
  <c r="A21" i="4"/>
  <c r="E21" i="4"/>
  <c r="G21" i="4"/>
  <c r="I21" i="4"/>
  <c r="A22" i="4"/>
  <c r="E22" i="4"/>
  <c r="G22" i="4"/>
  <c r="I22" i="4"/>
  <c r="A23" i="4"/>
  <c r="E23" i="4"/>
  <c r="G23" i="4"/>
  <c r="I23" i="4"/>
  <c r="A24" i="4"/>
  <c r="E24" i="4"/>
  <c r="G24" i="4"/>
  <c r="I24" i="4"/>
  <c r="A25" i="4"/>
  <c r="E25" i="4"/>
  <c r="G25" i="4"/>
  <c r="I25" i="4"/>
  <c r="A26" i="4"/>
  <c r="E26" i="4"/>
  <c r="G26" i="4"/>
  <c r="I26" i="4"/>
  <c r="A27" i="4"/>
  <c r="F27" i="4"/>
  <c r="I27" i="4"/>
  <c r="A28" i="4"/>
  <c r="F28" i="4"/>
  <c r="G28" i="4"/>
  <c r="I28" i="4"/>
  <c r="C38" i="3"/>
  <c r="H38" i="3"/>
  <c r="I38" i="3"/>
  <c r="L38" i="3"/>
  <c r="M38" i="3"/>
  <c r="B38" i="3"/>
  <c r="U34" i="4" l="1"/>
  <c r="O31" i="4"/>
  <c r="O34" i="4"/>
  <c r="V12" i="4" l="1"/>
  <c r="V19" i="4"/>
  <c r="V15" i="4"/>
  <c r="V17" i="4"/>
  <c r="V22" i="4"/>
  <c r="V20" i="4"/>
  <c r="V11" i="4"/>
  <c r="V23" i="4"/>
  <c r="V25" i="4"/>
  <c r="V26" i="4"/>
  <c r="V16" i="4"/>
  <c r="V24" i="4"/>
  <c r="V13" i="4"/>
  <c r="V14" i="4"/>
  <c r="V18" i="4"/>
  <c r="V27" i="4"/>
  <c r="V21" i="4"/>
  <c r="P14" i="4"/>
  <c r="P12" i="4"/>
  <c r="P13" i="4"/>
  <c r="P10" i="4"/>
  <c r="O10" i="4" s="1"/>
  <c r="P5" i="4"/>
  <c r="N5" i="4" s="1"/>
  <c r="P16" i="4"/>
  <c r="O16" i="4" s="1"/>
  <c r="P24" i="4"/>
  <c r="N24" i="4" s="1"/>
  <c r="P4" i="4"/>
  <c r="O4" i="4" s="1"/>
  <c r="P18" i="4"/>
  <c r="N18" i="4" s="1"/>
  <c r="P26" i="4"/>
  <c r="N26" i="4" s="1"/>
  <c r="P3" i="4"/>
  <c r="O3" i="4" s="1"/>
  <c r="P7" i="4"/>
  <c r="O7" i="4" s="1"/>
  <c r="P21" i="4"/>
  <c r="O21" i="4" s="1"/>
  <c r="P9" i="4"/>
  <c r="N9" i="4" s="1"/>
  <c r="N14" i="4"/>
  <c r="O14" i="4"/>
  <c r="P15" i="4"/>
  <c r="P25" i="4"/>
  <c r="P6" i="4"/>
  <c r="P28" i="4"/>
  <c r="P8" i="4"/>
  <c r="P23" i="4"/>
  <c r="P22" i="4"/>
  <c r="P17" i="4"/>
  <c r="P27" i="4"/>
  <c r="P19" i="4"/>
  <c r="P20" i="4"/>
  <c r="V3" i="4"/>
  <c r="V10" i="4"/>
  <c r="V7" i="4"/>
  <c r="V5" i="4"/>
  <c r="V28" i="4"/>
  <c r="V4" i="4"/>
  <c r="V9" i="4"/>
  <c r="V6" i="4"/>
  <c r="V8" i="4"/>
  <c r="F21" i="2"/>
  <c r="F15" i="2"/>
  <c r="F16" i="2"/>
  <c r="F17" i="2"/>
  <c r="F18" i="2"/>
  <c r="F19" i="2"/>
  <c r="F20" i="2"/>
  <c r="F14" i="2"/>
  <c r="F15" i="4" s="1"/>
  <c r="H27" i="2"/>
  <c r="H28" i="4" s="1"/>
  <c r="E27" i="2"/>
  <c r="E28" i="4" s="1"/>
  <c r="G26" i="2"/>
  <c r="E26" i="2"/>
  <c r="E27" i="4" s="1"/>
  <c r="F25" i="2"/>
  <c r="F24" i="2"/>
  <c r="F23" i="2"/>
  <c r="F22" i="2"/>
  <c r="F23" i="4" s="1"/>
  <c r="H13" i="2"/>
  <c r="H14" i="4" s="1"/>
  <c r="E13" i="2"/>
  <c r="E14" i="4" s="1"/>
  <c r="G12" i="2"/>
  <c r="E13" i="4"/>
  <c r="F9" i="2"/>
  <c r="F10" i="4" s="1"/>
  <c r="F8" i="2"/>
  <c r="F9" i="4" s="1"/>
  <c r="F7" i="2"/>
  <c r="F8" i="4" s="1"/>
  <c r="G6" i="2"/>
  <c r="G7" i="4" s="1"/>
  <c r="E6" i="2"/>
  <c r="E7" i="4" s="1"/>
  <c r="F5" i="2"/>
  <c r="F6" i="4" s="1"/>
  <c r="F4" i="2"/>
  <c r="F5" i="4" s="1"/>
  <c r="G4" i="4"/>
  <c r="H2" i="2"/>
  <c r="H3" i="4" s="1"/>
  <c r="E2" i="2"/>
  <c r="E3" i="4" s="1"/>
  <c r="T18" i="4" l="1"/>
  <c r="U18" i="4"/>
  <c r="T11" i="4"/>
  <c r="U11" i="4"/>
  <c r="T27" i="4"/>
  <c r="U27" i="4"/>
  <c r="U14" i="4"/>
  <c r="T14" i="4"/>
  <c r="T20" i="4"/>
  <c r="U20" i="4"/>
  <c r="T13" i="4"/>
  <c r="U13" i="4"/>
  <c r="T24" i="4"/>
  <c r="U24" i="4"/>
  <c r="T17" i="4"/>
  <c r="U17" i="4"/>
  <c r="U22" i="4"/>
  <c r="T22" i="4"/>
  <c r="U16" i="4"/>
  <c r="T16" i="4"/>
  <c r="T15" i="4"/>
  <c r="U15" i="4"/>
  <c r="T26" i="4"/>
  <c r="U26" i="4"/>
  <c r="T19" i="4"/>
  <c r="U19" i="4"/>
  <c r="T23" i="4"/>
  <c r="U23" i="4"/>
  <c r="U21" i="4"/>
  <c r="T21" i="4"/>
  <c r="T25" i="4"/>
  <c r="U25" i="4"/>
  <c r="T12" i="4"/>
  <c r="U12" i="4"/>
  <c r="O13" i="4"/>
  <c r="N13" i="4"/>
  <c r="N12" i="4"/>
  <c r="O12" i="4"/>
  <c r="U31" i="4"/>
  <c r="O9" i="4"/>
  <c r="N16" i="4"/>
  <c r="N7" i="4"/>
  <c r="N4" i="4"/>
  <c r="N10" i="4"/>
  <c r="N21" i="4"/>
  <c r="O5" i="4"/>
  <c r="O26" i="4"/>
  <c r="N3" i="4"/>
  <c r="O18" i="4"/>
  <c r="O24" i="4"/>
  <c r="O19" i="4"/>
  <c r="N19" i="4"/>
  <c r="O23" i="4"/>
  <c r="N23" i="4"/>
  <c r="O8" i="4"/>
  <c r="N8" i="4"/>
  <c r="O32" i="4"/>
  <c r="O33" i="4" s="1"/>
  <c r="N22" i="4"/>
  <c r="O22" i="4"/>
  <c r="O28" i="4"/>
  <c r="N28" i="4"/>
  <c r="N20" i="4"/>
  <c r="O20" i="4"/>
  <c r="O27" i="4"/>
  <c r="N27" i="4"/>
  <c r="O15" i="4"/>
  <c r="N15" i="4"/>
  <c r="N17" i="4"/>
  <c r="O17" i="4"/>
  <c r="O35" i="4"/>
  <c r="Q22" i="4" s="1"/>
  <c r="N6" i="4"/>
  <c r="O6" i="4"/>
  <c r="N25" i="4"/>
  <c r="O25" i="4"/>
  <c r="T5" i="4"/>
  <c r="U5" i="4"/>
  <c r="U28" i="4"/>
  <c r="T28" i="4"/>
  <c r="U35" i="4"/>
  <c r="T3" i="4"/>
  <c r="U3" i="4"/>
  <c r="U6" i="4"/>
  <c r="T6" i="4"/>
  <c r="T7" i="4"/>
  <c r="U7" i="4"/>
  <c r="T9" i="4"/>
  <c r="U9" i="4"/>
  <c r="T4" i="4"/>
  <c r="U4" i="4"/>
  <c r="U8" i="4"/>
  <c r="T8" i="4"/>
  <c r="T10" i="4"/>
  <c r="U10" i="4"/>
  <c r="H14" i="2"/>
  <c r="H15" i="4" s="1"/>
  <c r="H19" i="2"/>
  <c r="H20" i="4" s="1"/>
  <c r="F20" i="4"/>
  <c r="H24" i="2"/>
  <c r="H25" i="4" s="1"/>
  <c r="F25" i="4"/>
  <c r="H18" i="2"/>
  <c r="H19" i="4" s="1"/>
  <c r="F19" i="4"/>
  <c r="H17" i="2"/>
  <c r="H18" i="4" s="1"/>
  <c r="F18" i="4"/>
  <c r="H16" i="2"/>
  <c r="H17" i="4" s="1"/>
  <c r="F17" i="4"/>
  <c r="H23" i="2"/>
  <c r="H24" i="4" s="1"/>
  <c r="F24" i="4"/>
  <c r="G9" i="2"/>
  <c r="H25" i="2"/>
  <c r="H26" i="4" s="1"/>
  <c r="F26" i="4"/>
  <c r="H6" i="2"/>
  <c r="H7" i="4" s="1"/>
  <c r="F16" i="4"/>
  <c r="H15" i="2"/>
  <c r="H16" i="4" s="1"/>
  <c r="H20" i="2"/>
  <c r="H21" i="4" s="1"/>
  <c r="F21" i="4"/>
  <c r="H26" i="2"/>
  <c r="H27" i="4" s="1"/>
  <c r="G27" i="4"/>
  <c r="H22" i="2"/>
  <c r="H23" i="4" s="1"/>
  <c r="H21" i="2"/>
  <c r="H22" i="4" s="1"/>
  <c r="F22" i="4"/>
  <c r="H12" i="2"/>
  <c r="H13" i="4" s="1"/>
  <c r="G13" i="4"/>
  <c r="H4" i="4"/>
  <c r="H8" i="2"/>
  <c r="H9" i="4" s="1"/>
  <c r="G4" i="2"/>
  <c r="G5" i="4" s="1"/>
  <c r="G7" i="2"/>
  <c r="G5" i="2"/>
  <c r="G6" i="4" s="1"/>
  <c r="G8" i="2"/>
  <c r="G9" i="4" s="1"/>
  <c r="G8" i="4" l="1"/>
  <c r="G11" i="2"/>
  <c r="G10" i="2"/>
  <c r="H7" i="2"/>
  <c r="H8" i="4" s="1"/>
  <c r="H4" i="2"/>
  <c r="H5" i="4" s="1"/>
  <c r="W25" i="4"/>
  <c r="W18" i="4"/>
  <c r="W17" i="4"/>
  <c r="W16" i="4"/>
  <c r="W24" i="4"/>
  <c r="W26" i="4"/>
  <c r="W13" i="4"/>
  <c r="W21" i="4"/>
  <c r="W12" i="4"/>
  <c r="W15" i="4"/>
  <c r="W11" i="4"/>
  <c r="W22" i="4"/>
  <c r="W27" i="4"/>
  <c r="W19" i="4"/>
  <c r="W23" i="4"/>
  <c r="W20" i="4"/>
  <c r="W14" i="4"/>
  <c r="Q12" i="4"/>
  <c r="Q13" i="4"/>
  <c r="AA34" i="4"/>
  <c r="O37" i="4"/>
  <c r="Q23" i="4"/>
  <c r="Q25" i="4"/>
  <c r="Q15" i="4"/>
  <c r="Q6" i="4"/>
  <c r="Q26" i="4"/>
  <c r="Q5" i="4"/>
  <c r="Q3" i="4"/>
  <c r="Q7" i="4"/>
  <c r="Q21" i="4"/>
  <c r="Q24" i="4"/>
  <c r="Q14" i="4"/>
  <c r="Q9" i="4"/>
  <c r="Q10" i="4"/>
  <c r="Q4" i="4"/>
  <c r="Q18" i="4"/>
  <c r="Q16" i="4"/>
  <c r="Q28" i="4"/>
  <c r="O36" i="4"/>
  <c r="Q17" i="4"/>
  <c r="Q27" i="4"/>
  <c r="Q19" i="4"/>
  <c r="Q20" i="4"/>
  <c r="O30" i="4"/>
  <c r="R6" i="4" s="1"/>
  <c r="Q8" i="4"/>
  <c r="U36" i="4"/>
  <c r="U37" i="4"/>
  <c r="U32" i="4"/>
  <c r="U33" i="4" s="1"/>
  <c r="W4" i="4"/>
  <c r="W10" i="4"/>
  <c r="W9" i="4"/>
  <c r="W5" i="4"/>
  <c r="U30" i="4"/>
  <c r="W28" i="4"/>
  <c r="W6" i="4"/>
  <c r="W8" i="4"/>
  <c r="W7" i="4"/>
  <c r="W3" i="4"/>
  <c r="H9" i="2"/>
  <c r="H10" i="4" s="1"/>
  <c r="G10" i="4"/>
  <c r="H5" i="2"/>
  <c r="H6" i="4" s="1"/>
  <c r="G11" i="4" l="1"/>
  <c r="H10" i="2"/>
  <c r="H11" i="4" s="1"/>
  <c r="G12" i="4"/>
  <c r="H11" i="2"/>
  <c r="H12" i="4" s="1"/>
  <c r="X21" i="4"/>
  <c r="X16" i="4"/>
  <c r="X26" i="4"/>
  <c r="X18" i="4"/>
  <c r="X24" i="4"/>
  <c r="X23" i="4"/>
  <c r="X15" i="4"/>
  <c r="X14" i="4"/>
  <c r="X19" i="4"/>
  <c r="X13" i="4"/>
  <c r="X22" i="4"/>
  <c r="X17" i="4"/>
  <c r="X27" i="4"/>
  <c r="X25" i="4"/>
  <c r="X11" i="4"/>
  <c r="X20" i="4"/>
  <c r="X12" i="4"/>
  <c r="R12" i="4"/>
  <c r="R13" i="4"/>
  <c r="R15" i="4"/>
  <c r="R25" i="4"/>
  <c r="R17" i="4"/>
  <c r="R19" i="4"/>
  <c r="R8" i="4"/>
  <c r="R27" i="4"/>
  <c r="R23" i="4"/>
  <c r="R22" i="4"/>
  <c r="R9" i="4"/>
  <c r="R24" i="4"/>
  <c r="R5" i="4"/>
  <c r="R26" i="4"/>
  <c r="R18" i="4"/>
  <c r="R3" i="4"/>
  <c r="R4" i="4"/>
  <c r="R7" i="4"/>
  <c r="R14" i="4"/>
  <c r="R16" i="4"/>
  <c r="R21" i="4"/>
  <c r="R10" i="4"/>
  <c r="R28" i="4"/>
  <c r="R20" i="4"/>
  <c r="U42" i="4"/>
  <c r="U40" i="4"/>
  <c r="X28" i="4"/>
  <c r="X8" i="4"/>
  <c r="X4" i="4"/>
  <c r="X3" i="4"/>
  <c r="X10" i="4"/>
  <c r="X7" i="4"/>
  <c r="X6" i="4"/>
  <c r="X9" i="4"/>
  <c r="X5" i="4"/>
  <c r="AA26" i="4" l="1"/>
  <c r="AC26" i="4"/>
  <c r="AA8" i="4"/>
  <c r="AC8" i="4"/>
  <c r="AA7" i="4"/>
  <c r="AC7" i="4"/>
  <c r="AD3" i="4"/>
  <c r="AA37" i="4"/>
  <c r="AC5" i="4"/>
  <c r="AA5" i="4"/>
  <c r="AA13" i="4"/>
  <c r="AC13" i="4"/>
  <c r="AA4" i="4"/>
  <c r="AC4" i="4"/>
  <c r="AC21" i="4"/>
  <c r="AA21" i="4"/>
  <c r="AD11" i="4"/>
  <c r="I31" i="2"/>
  <c r="J31" i="2"/>
  <c r="AB8" i="4"/>
  <c r="Z8" i="4"/>
  <c r="AD8" i="4"/>
  <c r="AC25" i="4"/>
  <c r="AA25" i="4"/>
  <c r="AC10" i="4"/>
  <c r="AA10" i="4"/>
  <c r="AA28" i="4"/>
  <c r="AC28" i="4"/>
  <c r="AA20" i="4"/>
  <c r="AC20" i="4"/>
  <c r="AC11" i="4"/>
  <c r="Z11" i="4"/>
  <c r="AB11" i="4"/>
  <c r="AA11" i="4"/>
  <c r="AC15" i="4"/>
  <c r="AA15" i="4"/>
  <c r="AC19" i="4"/>
  <c r="AA19" i="4"/>
  <c r="AC3" i="4"/>
  <c r="Z3" i="4"/>
  <c r="AA35" i="4"/>
  <c r="AC17" i="4"/>
  <c r="AA17" i="4"/>
  <c r="AC18" i="4"/>
  <c r="AA18" i="4"/>
  <c r="AB5" i="4"/>
  <c r="Z5" i="4"/>
  <c r="AD5" i="4"/>
  <c r="AA22" i="4"/>
  <c r="AC22" i="4"/>
  <c r="AB25" i="4"/>
  <c r="Z25" i="4"/>
  <c r="AD25" i="4"/>
  <c r="AB10" i="4"/>
  <c r="Z10" i="4"/>
  <c r="AD10" i="4"/>
  <c r="AB28" i="4"/>
  <c r="Z28" i="4"/>
  <c r="AD28" i="4"/>
  <c r="AB15" i="4"/>
  <c r="Z15" i="4"/>
  <c r="AD15" i="4"/>
  <c r="AA12" i="4"/>
  <c r="AC12" i="4"/>
  <c r="AD23" i="4"/>
  <c r="AA36" i="4"/>
  <c r="AB3" i="4"/>
  <c r="AA3" i="4"/>
  <c r="AA30" i="4"/>
  <c r="AC14" i="4"/>
  <c r="AA14" i="4"/>
  <c r="AB17" i="4"/>
  <c r="Z17" i="4"/>
  <c r="AD17" i="4"/>
  <c r="AB22" i="4"/>
  <c r="Z22" i="4"/>
  <c r="AD22" i="4"/>
  <c r="AB18" i="4"/>
  <c r="Z18" i="4"/>
  <c r="AD18" i="4"/>
  <c r="AA24" i="4"/>
  <c r="AC24" i="4"/>
  <c r="AD6" i="4"/>
  <c r="AC27" i="4"/>
  <c r="AA27" i="4"/>
  <c r="AB27" i="4"/>
  <c r="Z27" i="4"/>
  <c r="AD27" i="4"/>
  <c r="Z6" i="4"/>
  <c r="AC6" i="4"/>
  <c r="AB6" i="4"/>
  <c r="AA6" i="4"/>
  <c r="AB4" i="4"/>
  <c r="Z4" i="4"/>
  <c r="AD4" i="4"/>
  <c r="Z23" i="4"/>
  <c r="AA23" i="4"/>
  <c r="AB23" i="4"/>
  <c r="AC23" i="4"/>
  <c r="AB24" i="4"/>
  <c r="Z24" i="4"/>
  <c r="AD24" i="4"/>
  <c r="AB14" i="4"/>
  <c r="Z14" i="4"/>
  <c r="AD14" i="4"/>
  <c r="AD16" i="4"/>
  <c r="AA9" i="4"/>
  <c r="AC9" i="4"/>
  <c r="AC16" i="4"/>
  <c r="AA16" i="4"/>
  <c r="AB16" i="4"/>
  <c r="Z16" i="4"/>
  <c r="AB13" i="4"/>
  <c r="Z13" i="4"/>
  <c r="AD13" i="4"/>
  <c r="AB26" i="4"/>
  <c r="Z26" i="4"/>
  <c r="AD26" i="4"/>
  <c r="AB19" i="4"/>
  <c r="Z19" i="4"/>
  <c r="AD19" i="4"/>
  <c r="AB12" i="4"/>
  <c r="Z12" i="4"/>
  <c r="AD12" i="4"/>
  <c r="AB20" i="4"/>
  <c r="Z20" i="4"/>
  <c r="AD20" i="4"/>
  <c r="AB21" i="4"/>
  <c r="Z21" i="4"/>
  <c r="AD21" i="4"/>
  <c r="AB9" i="4"/>
  <c r="Z9" i="4"/>
  <c r="AD9" i="4"/>
  <c r="AA32" i="4"/>
  <c r="AA31" i="4"/>
  <c r="AB7" i="4"/>
  <c r="Z7" i="4"/>
  <c r="AD7" i="4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simple formula is valid in the case when there is no "swellling" with added water, e.g. not ok for peat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180 kg/m3 &lt;=&gt; 60% moiture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IPO Peat https://iopscience.iop.org/article/10.1088/1755-1315/393/1/012056/pdf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S. Tamari, D. Samaniego-Martínez, I. Bonola, E. Bandala, and V. Ordaz-Chaparro, "Particle Density of Volcanic Scoria Determined by Water Pycnometry," Geotechnical Testing Journal 28, no. 4 (2005): 321-327. https://doi.org/10.1520/GTJ12675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1600 - clay poweder
1200 - dry clay granulated 2-6 mm form Hasselfors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       - mass composition with bulk density &gt;&gt; compo_type = 'm-b'
        - volume parts, with bulk density    &gt;&gt; compo_type = 'v-b'
        - volume parts, with total porosity        &gt;&gt; compo_type = 'v-p'
        - volume parts, with inter porosity  &gt;&gt; compo_type = 'v-pi'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FOR CALIBRATION OF PROPERTIES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FOR CALIBRATION
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FOR CALIBRATION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1000 t/m3 dry weight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set-up requires CircularReferences in Excel, or whileLoop in python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Matjord - mineral jord B, mix of sands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half with and without
0-fraktion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15% without 0, 10% with noll
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 thermal treatment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 thermal treatment</t>
        </r>
      </text>
    </comment>
  </commentList>
</comments>
</file>

<file path=xl/sharedStrings.xml><?xml version="1.0" encoding="utf-8"?>
<sst xmlns="http://schemas.openxmlformats.org/spreadsheetml/2006/main" count="465" uniqueCount="292">
  <si>
    <t>Material</t>
  </si>
  <si>
    <t>Bulk density, dry</t>
  </si>
  <si>
    <t>Particle density, dry</t>
  </si>
  <si>
    <t>Total porosity</t>
  </si>
  <si>
    <t>Internal porosity</t>
  </si>
  <si>
    <t>Pumice</t>
  </si>
  <si>
    <t>Horticultural peat</t>
  </si>
  <si>
    <t>Sand</t>
  </si>
  <si>
    <t>Gravel</t>
  </si>
  <si>
    <t>Crushed rock 0-16/25</t>
  </si>
  <si>
    <t>Macadam 32-64</t>
  </si>
  <si>
    <t>Clay</t>
  </si>
  <si>
    <t>Biochar 4 - VegTech</t>
  </si>
  <si>
    <t>Compost</t>
  </si>
  <si>
    <t>Water</t>
  </si>
  <si>
    <t>Biochar C content</t>
  </si>
  <si>
    <t>Macadam 2-11</t>
  </si>
  <si>
    <t>Macadam 8-32</t>
  </si>
  <si>
    <t>LECA 8-20</t>
  </si>
  <si>
    <t>Biochar 1 - ETC/Edv</t>
  </si>
  <si>
    <t>Biochar 2 - Skanefro</t>
  </si>
  <si>
    <t>Biochar 3 - Circular Carbon</t>
  </si>
  <si>
    <t>key</t>
  </si>
  <si>
    <t>('material', '57802704acee9e524e4365da2ebb18c6_copy1')</t>
  </si>
  <si>
    <t>('material', '4d1222652c73460ebc073db10653a50f_copy3')</t>
  </si>
  <si>
    <t>('material', '4d1222652c73460ebc073db10653a50f_copy8')</t>
  </si>
  <si>
    <t>('material', '4d1222652c73460ebc073db10653a50f_copy5')</t>
  </si>
  <si>
    <t>('material', '4d1222652c73460ebc073db10653a50f_copy16')</t>
  </si>
  <si>
    <t>('material', '4d1222652c73460ebc073db10653a50f_copy2')</t>
  </si>
  <si>
    <t>('material', '4d1222652c73460ebc073db10653a50f_copy1')</t>
  </si>
  <si>
    <t>('material', '4d1222652c73460ebc073db10653a50f_copy7')</t>
  </si>
  <si>
    <t>NA</t>
  </si>
  <si>
    <t>('pro_biochar', '6bedad3b18634235a2f69378c4981e91_copy5')</t>
  </si>
  <si>
    <t>('pro_biochar', '6bedad3b18634235a2f69378c4981e91_copy6')</t>
  </si>
  <si>
    <t>('material', '13b5adce3e324474b5ca220e56f6154b')</t>
  </si>
  <si>
    <t>('pro_biochar', '6bedad3b18634235a2f69378c4981e91_copy4')</t>
  </si>
  <si>
    <t>('pro_biochar', '6bedad3b18634235a2f69378c4981e91_copy7')</t>
  </si>
  <si>
    <t>('pro_biochar', '6bedad3b18634235a2f69378c4981e91_copy8')</t>
  </si>
  <si>
    <t>('pro_biochar', '6bedad3b18634235a2f69378c4981e91_copy9')</t>
  </si>
  <si>
    <t>('pro_biochar', '6bedad3b18634235a2f69378c4981e91_copy10')</t>
  </si>
  <si>
    <t>('pro_biochar', '6bedad3b18634235a2f69378c4981e91_copy12')</t>
  </si>
  <si>
    <t>&gt;&gt; Recipes used in processes with biochar X, in manuscript version 2020-02-16</t>
  </si>
  <si>
    <t>Materials</t>
  </si>
  <si>
    <t>Product</t>
  </si>
  <si>
    <t>kolmakadam 32-64</t>
  </si>
  <si>
    <t>kolmakadam 2-4-8</t>
  </si>
  <si>
    <t>Recipe</t>
  </si>
  <si>
    <t>v-p</t>
  </si>
  <si>
    <t>v-b</t>
  </si>
  <si>
    <t xml:space="preserve">mineral soil biochar VegTech </t>
  </si>
  <si>
    <t>mineral soil ref VegTech</t>
  </si>
  <si>
    <t>checksum</t>
  </si>
  <si>
    <t>Recipe selector</t>
  </si>
  <si>
    <t>Compo-type</t>
  </si>
  <si>
    <t>Target Value</t>
  </si>
  <si>
    <t>D - IF PARTS &amp; BULK DENSITY
(v-b)</t>
  </si>
  <si>
    <t>Parts Volume</t>
  </si>
  <si>
    <t>% Mass</t>
  </si>
  <si>
    <t>Final bulk density</t>
  </si>
  <si>
    <t>aux:term</t>
  </si>
  <si>
    <t>Total bulk volumes</t>
  </si>
  <si>
    <t>Compilations of formulas, from methodsX article</t>
  </si>
  <si>
    <t>https://doi.org/10.1016/j.mex.2020.101205</t>
  </si>
  <si>
    <t>Preparing and characterizing repacked columns for experiments in biochar-amended soils</t>
  </si>
  <si>
    <t>Target biochar content, in soil mixture: volume to mass target</t>
  </si>
  <si>
    <t>t_v</t>
  </si>
  <si>
    <t>t_m</t>
  </si>
  <si>
    <t>%, vol/vol</t>
  </si>
  <si>
    <t>Volume target either particle (envelope or skeleta) or bulk density (sensitive to packing)</t>
  </si>
  <si>
    <t>rho_bc</t>
  </si>
  <si>
    <t>rho_soil</t>
  </si>
  <si>
    <t>v_soil</t>
  </si>
  <si>
    <t>v_bc</t>
  </si>
  <si>
    <t>kg/m3</t>
  </si>
  <si>
    <t>wood pellet</t>
  </si>
  <si>
    <t>sand</t>
  </si>
  <si>
    <t>m3</t>
  </si>
  <si>
    <t>% mass/mass</t>
  </si>
  <si>
    <t>Post-column packing properties</t>
  </si>
  <si>
    <t>rho_particle</t>
  </si>
  <si>
    <t>rho_bc_particle</t>
  </si>
  <si>
    <t>rho_soil_particle</t>
  </si>
  <si>
    <t>(envelope or skeletal)</t>
  </si>
  <si>
    <t>(auxiliary term)</t>
  </si>
  <si>
    <t>if assuming, bulk density of the mix, the porosity is determined by:</t>
  </si>
  <si>
    <t xml:space="preserve">theta </t>
  </si>
  <si>
    <t>rho_bulk</t>
  </si>
  <si>
    <t>if we used rho_envelope &gt; theta is internal porosity; if we used rho_skeletal &gt; theta is total porosity accessible</t>
  </si>
  <si>
    <t>if assuming, porosity of the mix, the bulk density can be calcualted as</t>
  </si>
  <si>
    <t>theta</t>
  </si>
  <si>
    <t>If both biochar envelope and skeletal densities are known, we can determine the internal accesssible pore volumes</t>
  </si>
  <si>
    <t>Data from associated article</t>
  </si>
  <si>
    <t>Type</t>
  </si>
  <si>
    <t>Diameter (mm)</t>
  </si>
  <si>
    <r>
      <t>Density (g/cm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</si>
  <si>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Loss on Ignition (% g/g)</t>
  </si>
  <si>
    <r>
      <t>Shape Parameters</t>
    </r>
    <r>
      <rPr>
        <b/>
        <vertAlign val="superscript"/>
        <sz val="11"/>
        <color theme="1"/>
        <rFont val="Calibri"/>
        <family val="2"/>
        <scheme val="minor"/>
      </rPr>
      <t>∗∗</t>
    </r>
  </si>
  <si>
    <t>Skeletal</t>
  </si>
  <si>
    <t>Envelope</t>
  </si>
  <si>
    <t>Circularity</t>
  </si>
  <si>
    <t>Aspect Ratio</t>
  </si>
  <si>
    <t>Roundness</t>
  </si>
  <si>
    <t>Solidity</t>
  </si>
  <si>
    <t>0.50–0.60</t>
  </si>
  <si>
    <t>2.64 (−)</t>
  </si>
  <si>
    <t>0.06 (−)</t>
  </si>
  <si>
    <r>
      <t>0.85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(0.03)</t>
    </r>
  </si>
  <si>
    <r>
      <t>1.25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(0.16)</t>
    </r>
  </si>
  <si>
    <r>
      <t>0.81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(0.09)</t>
    </r>
  </si>
  <si>
    <r>
      <t>0.979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(0.006)</t>
    </r>
  </si>
  <si>
    <t>Garnet</t>
  </si>
  <si>
    <t>3.74 (−)</t>
  </si>
  <si>
    <t>0.07 (−)</t>
  </si>
  <si>
    <r>
      <t>0.63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(0.12)</t>
    </r>
  </si>
  <si>
    <r>
      <t>1.5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(0.4)</t>
    </r>
  </si>
  <si>
    <r>
      <t>0.71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(0.14)</t>
    </r>
  </si>
  <si>
    <r>
      <t>0.90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(0.07)</t>
    </r>
  </si>
  <si>
    <t>Large Biochar</t>
  </si>
  <si>
    <t>1.41–2.00</t>
  </si>
  <si>
    <t>95.4 (0.4)</t>
  </si>
  <si>
    <t>Medium Biochar</t>
  </si>
  <si>
    <r>
      <t>1.2</t>
    </r>
    <r>
      <rPr>
        <vertAlign val="superscript"/>
        <sz val="11"/>
        <color theme="1"/>
        <rFont val="Calibri"/>
        <family val="2"/>
        <scheme val="minor"/>
      </rPr>
      <t>∗</t>
    </r>
    <r>
      <rPr>
        <sz val="11"/>
        <color theme="1"/>
        <rFont val="Calibri"/>
        <family val="2"/>
        <scheme val="minor"/>
      </rPr>
      <t xml:space="preserve"> (0.3)</t>
    </r>
  </si>
  <si>
    <r>
      <t xml:space="preserve">0.52 </t>
    </r>
    <r>
      <rPr>
        <vertAlign val="superscript"/>
        <sz val="11"/>
        <color theme="1"/>
        <rFont val="Calibri"/>
        <family val="2"/>
        <scheme val="minor"/>
      </rPr>
      <t>∗</t>
    </r>
    <r>
      <rPr>
        <sz val="11"/>
        <color theme="1"/>
        <rFont val="Calibri"/>
        <family val="2"/>
        <scheme val="minor"/>
      </rPr>
      <t>(0.04)</t>
    </r>
  </si>
  <si>
    <t>93.5 (0.3)</t>
  </si>
  <si>
    <r>
      <t>0.51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(0.12)</t>
    </r>
  </si>
  <si>
    <r>
      <t>2.0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(1.0)</t>
    </r>
  </si>
  <si>
    <r>
      <t>0.57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(0.19)</t>
    </r>
  </si>
  <si>
    <r>
      <t>0.91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(0.04)</t>
    </r>
  </si>
  <si>
    <t>Elongated Medium Biochar</t>
  </si>
  <si>
    <t>94.5 (0.4)</t>
  </si>
  <si>
    <r>
      <t>0.56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(0.12)</t>
    </r>
  </si>
  <si>
    <r>
      <t>2.3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(1.1)</t>
    </r>
  </si>
  <si>
    <r>
      <t>0.51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(0.19)</t>
    </r>
  </si>
  <si>
    <r>
      <t>0.92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(0.04)</t>
    </r>
  </si>
  <si>
    <t>Small Biochar</t>
  </si>
  <si>
    <t>0.21–0.30</t>
  </si>
  <si>
    <t>90.1 (0.7)</t>
  </si>
  <si>
    <r>
      <t>∗</t>
    </r>
    <r>
      <rPr>
        <sz val="11"/>
        <color theme="1"/>
        <rFont val="Calibri"/>
        <family val="2"/>
        <scheme val="minor"/>
      </rPr>
      <t>Biochar skeletal and envelope densities were quantified for unsieved (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&lt; 4.75 mm) biochar and are assumed to be size-independent.</t>
    </r>
  </si>
  <si>
    <t>Table 1</t>
  </si>
  <si>
    <t>Number of Replicates</t>
  </si>
  <si>
    <t>Biochar Content</t>
  </si>
  <si>
    <r>
      <t>Bulk Density (g/cm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</si>
  <si>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Porosity 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</si>
  <si>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% g/g</t>
  </si>
  <si>
    <r>
      <t>% 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/cm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</si>
  <si>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Total</t>
  </si>
  <si>
    <t>Inter</t>
  </si>
  <si>
    <t>0.00</t>
  </si>
  <si>
    <t>1.64 (−)</t>
  </si>
  <si>
    <t>0.38 (−)</t>
  </si>
  <si>
    <t>Sand + Large Biochar</t>
  </si>
  <si>
    <t>17.5</t>
  </si>
  <si>
    <t>1.25 (−)</t>
  </si>
  <si>
    <t>0.51 (−)</t>
  </si>
  <si>
    <t>0.45 (−)</t>
  </si>
  <si>
    <t>Sand + Medium Biochar</t>
  </si>
  <si>
    <t>1.21 (−)</t>
  </si>
  <si>
    <t>0.52 (−)</t>
  </si>
  <si>
    <t>0.47 (−)</t>
  </si>
  <si>
    <t>Sand + Elongated Medium Biochar</t>
  </si>
  <si>
    <t>1.09 (−)</t>
  </si>
  <si>
    <t>0.57 (−)</t>
  </si>
  <si>
    <t>Sand + Small Biochar</t>
  </si>
  <si>
    <t>1.33 (−)</t>
  </si>
  <si>
    <t>0.41 (−)</t>
  </si>
  <si>
    <t>1.96 (−)</t>
  </si>
  <si>
    <t>0.48 (−)</t>
  </si>
  <si>
    <t>Garnet + Medium Biochar</t>
  </si>
  <si>
    <t>1.42 (−)</t>
  </si>
  <si>
    <t>0.60 (−)</t>
  </si>
  <si>
    <t>0.55 (−)</t>
  </si>
  <si>
    <t>Table 2</t>
  </si>
  <si>
    <t>https://doi.org/10.1016/j.jenvman.2020.111588</t>
  </si>
  <si>
    <r>
      <t xml:space="preserve">1.2 </t>
    </r>
    <r>
      <rPr>
        <vertAlign val="superscript"/>
        <sz val="11"/>
        <color rgb="FFFF0000"/>
        <rFont val="Calibri"/>
        <family val="2"/>
        <scheme val="minor"/>
      </rPr>
      <t>∗</t>
    </r>
    <r>
      <rPr>
        <sz val="11"/>
        <color rgb="FFFF0000"/>
        <rFont val="Calibri"/>
        <family val="2"/>
        <scheme val="minor"/>
      </rPr>
      <t>(0.3)</t>
    </r>
  </si>
  <si>
    <r>
      <t>0.52</t>
    </r>
    <r>
      <rPr>
        <vertAlign val="superscript"/>
        <sz val="11"/>
        <color rgb="FFFF0000"/>
        <rFont val="Calibri"/>
        <family val="2"/>
        <scheme val="minor"/>
      </rPr>
      <t>∗</t>
    </r>
    <r>
      <rPr>
        <sz val="11"/>
        <color rgb="FFFF0000"/>
        <rFont val="Calibri"/>
        <family val="2"/>
        <scheme val="minor"/>
      </rPr>
      <t xml:space="preserve"> (0.04)</t>
    </r>
  </si>
  <si>
    <r>
      <t>0.66</t>
    </r>
    <r>
      <rPr>
        <vertAlign val="super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(0.10)</t>
    </r>
  </si>
  <si>
    <r>
      <t>1.6</t>
    </r>
    <r>
      <rPr>
        <vertAlign val="super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(0.6)</t>
    </r>
  </si>
  <si>
    <r>
      <t>0.67</t>
    </r>
    <r>
      <rPr>
        <vertAlign val="super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(0.16)</t>
    </r>
  </si>
  <si>
    <r>
      <t>0.96</t>
    </r>
    <r>
      <rPr>
        <vertAlign val="super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(0.02)</t>
    </r>
  </si>
  <si>
    <r>
      <t xml:space="preserve">0.52 </t>
    </r>
    <r>
      <rPr>
        <vertAlign val="superscript"/>
        <sz val="11"/>
        <color rgb="FFFF0000"/>
        <rFont val="Calibri"/>
        <family val="2"/>
        <scheme val="minor"/>
      </rPr>
      <t>∗</t>
    </r>
    <r>
      <rPr>
        <sz val="11"/>
        <color rgb="FFFF0000"/>
        <rFont val="Calibri"/>
        <family val="2"/>
        <scheme val="minor"/>
      </rPr>
      <t>(0.04)</t>
    </r>
  </si>
  <si>
    <r>
      <t>0.56</t>
    </r>
    <r>
      <rPr>
        <vertAlign val="superscript"/>
        <sz val="11"/>
        <color rgb="FFFF0000"/>
        <rFont val="Calibri"/>
        <family val="2"/>
        <scheme val="minor"/>
      </rPr>
      <t>e</t>
    </r>
    <r>
      <rPr>
        <sz val="11"/>
        <color rgb="FFFF0000"/>
        <rFont val="Calibri"/>
        <family val="2"/>
        <scheme val="minor"/>
      </rPr>
      <t xml:space="preserve"> (0.11)</t>
    </r>
  </si>
  <si>
    <r>
      <t>1.9</t>
    </r>
    <r>
      <rPr>
        <vertAlign val="superscript"/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"/>
        <family val="2"/>
        <scheme val="minor"/>
      </rPr>
      <t xml:space="preserve"> (0.8)</t>
    </r>
  </si>
  <si>
    <r>
      <t>0.60</t>
    </r>
    <r>
      <rPr>
        <vertAlign val="superscript"/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"/>
        <family val="2"/>
        <scheme val="minor"/>
      </rPr>
      <t xml:space="preserve"> (0.18)</t>
    </r>
  </si>
  <si>
    <r>
      <t>0.90</t>
    </r>
    <r>
      <rPr>
        <vertAlign val="superscript"/>
        <sz val="11"/>
        <color rgb="FFFF000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 xml:space="preserve"> (0.04)</t>
    </r>
  </si>
  <si>
    <t>reduction</t>
  </si>
  <si>
    <t>Bulk density</t>
  </si>
  <si>
    <t>Intra</t>
  </si>
  <si>
    <t>Intra-equ</t>
  </si>
  <si>
    <t>Total porosity increase</t>
  </si>
  <si>
    <t>&gt;&gt; average porosity increase, when mixing sand with biochar of various shapes and size: +36% in the porosity, based on porosity of the initial sand</t>
  </si>
  <si>
    <t>&gt;&gt; at given mass - volume biochar input</t>
  </si>
  <si>
    <t>&gt;&gt; usually, porosity should increase, due to : lower material particle density + increase inter particle space</t>
  </si>
  <si>
    <t>Moisture content, at use</t>
  </si>
  <si>
    <t>Bulk density, at use</t>
  </si>
  <si>
    <t>Bulk porosity</t>
  </si>
  <si>
    <t>-</t>
  </si>
  <si>
    <t>Final Bulk Density, wet</t>
  </si>
  <si>
    <t>Final Inter Porosity</t>
  </si>
  <si>
    <t>Final Total Porosity</t>
  </si>
  <si>
    <t>Biochar WP-S</t>
  </si>
  <si>
    <t>Biochar WP-E</t>
  </si>
  <si>
    <t>Biochar GW-S</t>
  </si>
  <si>
    <t>Biochar GW-E</t>
  </si>
  <si>
    <t>Biochar LR-S</t>
  </si>
  <si>
    <t>Biochar LR-M</t>
  </si>
  <si>
    <t>Biochar WL-S</t>
  </si>
  <si>
    <t>Biochar AG-S</t>
  </si>
  <si>
    <t>växtjord A, biokol</t>
  </si>
  <si>
    <t>växtjord A, referens</t>
  </si>
  <si>
    <t>mineraljord A, referens</t>
  </si>
  <si>
    <t>mineraljord B, referens</t>
  </si>
  <si>
    <t>mineraljord A, biokol</t>
  </si>
  <si>
    <t>växtjord B, referens</t>
  </si>
  <si>
    <t>växtjord B, biokol</t>
  </si>
  <si>
    <t>växtjord C, referens</t>
  </si>
  <si>
    <t>växtjord C, biokol</t>
  </si>
  <si>
    <t>jordmakadam, 32-64, B</t>
  </si>
  <si>
    <t>jordmakadam 2-4-8, B</t>
  </si>
  <si>
    <t>C - IF PARTS &amp; TOTAL POROSITY
(v-p)</t>
  </si>
  <si>
    <t>A - IF PARTS &amp; INTER-POROSITY
(v-pi)</t>
  </si>
  <si>
    <t>Intra porosity</t>
  </si>
  <si>
    <t>Inter porosity</t>
  </si>
  <si>
    <t>&gt;&gt; with circular references</t>
  </si>
  <si>
    <t>Mass, kg dry</t>
  </si>
  <si>
    <t>% Mass dry</t>
  </si>
  <si>
    <t>Mass, kg at use</t>
  </si>
  <si>
    <t>Bulk volume, m3 at use</t>
  </si>
  <si>
    <t>Moisture content</t>
  </si>
  <si>
    <t>Final bulk density, dry</t>
  </si>
  <si>
    <t>based dry weight</t>
  </si>
  <si>
    <t>kg/m3, no volume loss</t>
  </si>
  <si>
    <t>kg/m3, wet</t>
  </si>
  <si>
    <t>v-pi</t>
  </si>
  <si>
    <t>"reset" to turn off CR, anything else to turn on CR ; reset value must be such that solution does not diverge (here below &lt; 1, since %)</t>
  </si>
  <si>
    <t>('material', '4d1222652c73460ebc073db10653a50f_copy22')</t>
  </si>
  <si>
    <t>City-kross 2-4</t>
  </si>
  <si>
    <t>City-kross 6-8</t>
  </si>
  <si>
    <t>City-kross 8-16</t>
  </si>
  <si>
    <t>City-kross 16-32</t>
  </si>
  <si>
    <t>City-kross 32-63</t>
  </si>
  <si>
    <t>City-kross 32-90</t>
  </si>
  <si>
    <t>Trädgårdsjord E</t>
  </si>
  <si>
    <t>Delivery moisture</t>
  </si>
  <si>
    <t>Natur BioFer (kg/m3 product)</t>
  </si>
  <si>
    <t>Trädgårdsjord E, biokol</t>
  </si>
  <si>
    <t>Trädgårdsjord E, referens</t>
  </si>
  <si>
    <t xml:space="preserve"> IF($L$2="v-pi";IF($AB$29="reset";0,0404;SUMPRODUCT(AB3:AB26;H3:H26));"-")</t>
  </si>
  <si>
    <t xml:space="preserve"> IF($L$2="v-pi";IF($AB$29="reset";0,0404;SUMPRODUCT(AB3:AB25;1-F3:F25));"-")</t>
  </si>
  <si>
    <t>reset value</t>
  </si>
  <si>
    <t>&gt;&gt; reset value has an effect whether calculation converges or not…</t>
  </si>
  <si>
    <t>('material', '4d1222652c73460ebc073db10653a50f_copy24')</t>
  </si>
  <si>
    <t>VegTech Biochar</t>
  </si>
  <si>
    <t>VeghTech Ref</t>
  </si>
  <si>
    <t>Clay granules 2-6</t>
  </si>
  <si>
    <t>Scoria granules 2-8</t>
  </si>
  <si>
    <t>Biochar</t>
  </si>
  <si>
    <t>Reference</t>
  </si>
  <si>
    <t>Delta, kg</t>
  </si>
  <si>
    <t>('material', '57802704acee9e524e4365da2ebb18c6_copy2')</t>
  </si>
  <si>
    <t>('material', '4d1222652c73460ebc073db10653a50f_copy28')</t>
  </si>
  <si>
    <t>production of pumice, kilogram</t>
  </si>
  <si>
    <t>production and supply of peat for horticulture, kilogram</t>
  </si>
  <si>
    <t>production of sand, kilogram</t>
  </si>
  <si>
    <t>production of gravel, kilogram</t>
  </si>
  <si>
    <t>production and supply of macadam 2-4-8 mm, kilogram</t>
  </si>
  <si>
    <t>production of macadam 2-4-8 mm, kilogram</t>
  </si>
  <si>
    <t>production of macadam 8-16 mm, kilogram</t>
  </si>
  <si>
    <t>production of macadam 32-64 mm, kilogram</t>
  </si>
  <si>
    <t>production of scoria, kilogram</t>
  </si>
  <si>
    <t>production and supply of clay granulates 2-6 mm, kilogram</t>
  </si>
  <si>
    <t>production and supply of clay, kilogram</t>
  </si>
  <si>
    <t>production of expanded clay, fossil energy, kilogram</t>
  </si>
  <si>
    <t>production of biochar, in syngas-heated pyrolysis, from wood pellets, kilogram</t>
  </si>
  <si>
    <t>production of biochar, in el-heated pyrolysis, from wood pellets, kilogram</t>
  </si>
  <si>
    <t>production of biochar, in syngas-heated pyrolysis, from urban garden waste, kilogram</t>
  </si>
  <si>
    <t>production of biochar, in el-heated pyrolysis, from urban garden waste, kilogram</t>
  </si>
  <si>
    <t>production of biochar, in syngas-heated pyrolysis, from logging residues, kilogram</t>
  </si>
  <si>
    <t>production of biochar, in mobile syngas-heated pyrolysis, from logging residues, kilogram</t>
  </si>
  <si>
    <t>production of biochar, in syngas-heated pyrolysis, from willow chips, kilogram</t>
  </si>
  <si>
    <t xml:space="preserve"> </t>
  </si>
  <si>
    <t xml:space="preserve">  </t>
  </si>
  <si>
    <t>EF in kg CO2 per (dry) ton</t>
  </si>
  <si>
    <t>EF in kg CO2 per cubic meter</t>
  </si>
  <si>
    <t>in S1</t>
  </si>
  <si>
    <t>in S2</t>
  </si>
  <si>
    <t>bw2 export</t>
  </si>
  <si>
    <t>Direct emissions</t>
  </si>
  <si>
    <t>With RLBU/ES</t>
  </si>
  <si>
    <t>Mass</t>
  </si>
  <si>
    <t>Volume</t>
  </si>
  <si>
    <t>)</t>
  </si>
  <si>
    <t>SI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</si>
</sst>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00"/>
    <numFmt numFmtId="165" formatCode="0.0%"/>
    <numFmt numFmtId="166" formatCode="0.0"/>
    <numFmt numFmtId="167" formatCode="0.0000"/>
    <numFmt numFmtId="168" formatCode="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/>
    </xf>
    <xf numFmtId="0" fontId="0" fillId="3" borderId="0" xfId="0" applyFont="1" applyFill="1" applyBorder="1" applyAlignment="1">
      <alignment horizontal="center" vertical="center"/>
    </xf>
    <xf numFmtId="1" fontId="0" fillId="3" borderId="0" xfId="1" applyNumberFormat="1" applyFont="1" applyFill="1" applyBorder="1" applyAlignment="1">
      <alignment horizontal="center" vertical="center"/>
    </xf>
    <xf numFmtId="9" fontId="0" fillId="3" borderId="0" xfId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right"/>
    </xf>
    <xf numFmtId="9" fontId="0" fillId="3" borderId="0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right"/>
    </xf>
    <xf numFmtId="0" fontId="0" fillId="3" borderId="3" xfId="0" applyFont="1" applyFill="1" applyBorder="1" applyAlignment="1">
      <alignment horizontal="center" vertical="center"/>
    </xf>
    <xf numFmtId="1" fontId="0" fillId="3" borderId="3" xfId="1" applyNumberFormat="1" applyFont="1" applyFill="1" applyBorder="1" applyAlignment="1">
      <alignment horizontal="center" vertical="center"/>
    </xf>
    <xf numFmtId="9" fontId="0" fillId="3" borderId="3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3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4" borderId="0" xfId="0" applyFill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5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textRotation="45"/>
    </xf>
    <xf numFmtId="0" fontId="0" fillId="2" borderId="10" xfId="0" applyFill="1" applyBorder="1" applyAlignment="1">
      <alignment horizontal="right"/>
    </xf>
    <xf numFmtId="0" fontId="0" fillId="2" borderId="10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3" borderId="4" xfId="0" applyFill="1" applyBorder="1"/>
    <xf numFmtId="0" fontId="0" fillId="3" borderId="6" xfId="0" applyFill="1" applyBorder="1"/>
    <xf numFmtId="9" fontId="0" fillId="3" borderId="13" xfId="0" applyNumberFormat="1" applyFont="1" applyFill="1" applyBorder="1" applyAlignment="1">
      <alignment horizontal="center" vertical="center"/>
    </xf>
    <xf numFmtId="0" fontId="0" fillId="3" borderId="9" xfId="0" applyFill="1" applyBorder="1"/>
    <xf numFmtId="0" fontId="3" fillId="2" borderId="1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166" fontId="0" fillId="0" borderId="0" xfId="0" applyNumberFormat="1"/>
    <xf numFmtId="0" fontId="0" fillId="6" borderId="1" xfId="0" applyFill="1" applyBorder="1" applyAlignment="1">
      <alignment horizontal="left" textRotation="45"/>
    </xf>
    <xf numFmtId="0" fontId="3" fillId="0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9" fontId="0" fillId="5" borderId="15" xfId="0" applyNumberFormat="1" applyFill="1" applyBorder="1" applyAlignment="1">
      <alignment horizontal="center"/>
    </xf>
    <xf numFmtId="9" fontId="2" fillId="5" borderId="15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2" fontId="8" fillId="0" borderId="0" xfId="0" applyNumberFormat="1" applyFont="1" applyAlignment="1">
      <alignment horizontal="center"/>
    </xf>
    <xf numFmtId="0" fontId="3" fillId="0" borderId="0" xfId="0" applyFont="1"/>
    <xf numFmtId="0" fontId="9" fillId="0" borderId="0" xfId="2"/>
    <xf numFmtId="2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0" fontId="0" fillId="7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11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9" fontId="0" fillId="0" borderId="0" xfId="1" applyFont="1" applyAlignment="1">
      <alignment horizont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67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0" fontId="14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1" fontId="0" fillId="3" borderId="0" xfId="0" applyNumberFormat="1" applyFont="1" applyFill="1" applyBorder="1" applyAlignment="1">
      <alignment horizontal="center" vertical="center"/>
    </xf>
    <xf numFmtId="1" fontId="0" fillId="3" borderId="11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9" fontId="0" fillId="3" borderId="11" xfId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" fontId="0" fillId="3" borderId="11" xfId="1" applyNumberFormat="1" applyFont="1" applyFill="1" applyBorder="1" applyAlignment="1">
      <alignment horizontal="center" vertical="center"/>
    </xf>
    <xf numFmtId="1" fontId="0" fillId="3" borderId="10" xfId="1" applyNumberFormat="1" applyFont="1" applyFill="1" applyBorder="1" applyAlignment="1">
      <alignment horizontal="center" vertical="center"/>
    </xf>
    <xf numFmtId="1" fontId="0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3" borderId="0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3" borderId="2" xfId="0" applyFont="1" applyFill="1" applyBorder="1" applyAlignment="1">
      <alignment horizontal="center" vertical="center"/>
    </xf>
    <xf numFmtId="1" fontId="0" fillId="3" borderId="2" xfId="1" applyNumberFormat="1" applyFont="1" applyFill="1" applyBorder="1" applyAlignment="1">
      <alignment horizontal="center" vertical="center"/>
    </xf>
    <xf numFmtId="9" fontId="0" fillId="3" borderId="2" xfId="0" applyNumberFormat="1" applyFont="1" applyFill="1" applyBorder="1" applyAlignment="1">
      <alignment horizontal="center" vertical="center"/>
    </xf>
    <xf numFmtId="9" fontId="0" fillId="0" borderId="9" xfId="0" applyNumberForma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9" fontId="0" fillId="0" borderId="15" xfId="0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8" borderId="1" xfId="0" applyFill="1" applyBorder="1" applyAlignment="1">
      <alignment horizontal="left" textRotation="45"/>
    </xf>
    <xf numFmtId="0" fontId="3" fillId="2" borderId="10" xfId="0" applyFont="1" applyFill="1" applyBorder="1" applyAlignment="1">
      <alignment horizontal="right"/>
    </xf>
    <xf numFmtId="165" fontId="0" fillId="5" borderId="15" xfId="0" applyNumberForma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2" fontId="0" fillId="0" borderId="7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9" fontId="3" fillId="5" borderId="15" xfId="0" applyNumberFormat="1" applyFont="1" applyFill="1" applyBorder="1" applyAlignment="1">
      <alignment horizontal="center"/>
    </xf>
    <xf numFmtId="165" fontId="3" fillId="5" borderId="15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 vertical="center" wrapText="1"/>
    </xf>
    <xf numFmtId="9" fontId="0" fillId="3" borderId="4" xfId="0" applyNumberFormat="1" applyFont="1" applyFill="1" applyBorder="1" applyAlignment="1">
      <alignment horizontal="center"/>
    </xf>
    <xf numFmtId="9" fontId="0" fillId="3" borderId="10" xfId="0" applyNumberFormat="1" applyFont="1" applyFill="1" applyBorder="1" applyAlignment="1">
      <alignment horizontal="center" vertical="center"/>
    </xf>
    <xf numFmtId="9" fontId="0" fillId="3" borderId="6" xfId="0" applyNumberFormat="1" applyFont="1" applyFill="1" applyBorder="1" applyAlignment="1">
      <alignment horizontal="center"/>
    </xf>
    <xf numFmtId="9" fontId="0" fillId="3" borderId="12" xfId="0" applyNumberFormat="1" applyFont="1" applyFill="1" applyBorder="1" applyAlignment="1">
      <alignment horizontal="center" vertical="center"/>
    </xf>
    <xf numFmtId="9" fontId="0" fillId="3" borderId="9" xfId="0" applyNumberFormat="1" applyFill="1" applyBorder="1" applyAlignment="1">
      <alignment horizont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6" xfId="1" applyNumberFormat="1" applyFont="1" applyFill="1" applyBorder="1" applyAlignment="1">
      <alignment horizontal="center" vertical="center"/>
    </xf>
    <xf numFmtId="1" fontId="0" fillId="3" borderId="12" xfId="1" applyNumberFormat="1" applyFont="1" applyFill="1" applyBorder="1" applyAlignment="1">
      <alignment horizontal="center" vertical="center"/>
    </xf>
    <xf numFmtId="1" fontId="0" fillId="3" borderId="9" xfId="1" applyNumberFormat="1" applyFont="1" applyFill="1" applyBorder="1" applyAlignment="1">
      <alignment horizontal="center" vertical="center"/>
    </xf>
    <xf numFmtId="9" fontId="0" fillId="3" borderId="7" xfId="1" applyFont="1" applyFill="1" applyBorder="1" applyAlignment="1">
      <alignment horizontal="center" vertical="center"/>
    </xf>
    <xf numFmtId="9" fontId="0" fillId="3" borderId="5" xfId="1" applyFont="1" applyFill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9" fontId="0" fillId="3" borderId="15" xfId="1" applyFont="1" applyFill="1" applyBorder="1" applyAlignment="1">
      <alignment horizontal="center" vertical="center"/>
    </xf>
    <xf numFmtId="9" fontId="0" fillId="3" borderId="11" xfId="0" applyNumberFormat="1" applyFont="1" applyFill="1" applyBorder="1" applyAlignment="1">
      <alignment horizontal="center" vertical="center"/>
    </xf>
    <xf numFmtId="9" fontId="0" fillId="3" borderId="9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0" xfId="1" applyNumberFormat="1" applyFont="1"/>
    <xf numFmtId="168" fontId="0" fillId="0" borderId="0" xfId="1" applyNumberFormat="1" applyFont="1"/>
    <xf numFmtId="10" fontId="0" fillId="5" borderId="15" xfId="0" applyNumberFormat="1" applyFill="1" applyBorder="1" applyAlignment="1">
      <alignment horizontal="center"/>
    </xf>
    <xf numFmtId="9" fontId="0" fillId="5" borderId="15" xfId="0" applyNumberFormat="1" applyFont="1" applyFill="1" applyBorder="1" applyAlignment="1">
      <alignment horizontal="center"/>
    </xf>
    <xf numFmtId="10" fontId="3" fillId="0" borderId="0" xfId="1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0" borderId="0" xfId="1" applyNumberFormat="1" applyFont="1" applyFill="1" applyBorder="1" applyAlignment="1">
      <alignment horizontal="right"/>
    </xf>
    <xf numFmtId="165" fontId="2" fillId="5" borderId="15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 textRotation="45"/>
    </xf>
    <xf numFmtId="0" fontId="2" fillId="6" borderId="1" xfId="0" applyFont="1" applyFill="1" applyBorder="1" applyAlignment="1">
      <alignment horizontal="left" textRotation="45"/>
    </xf>
    <xf numFmtId="0" fontId="4" fillId="8" borderId="1" xfId="0" applyFont="1" applyFill="1" applyBorder="1" applyAlignment="1">
      <alignment horizontal="left" textRotation="45"/>
    </xf>
    <xf numFmtId="0" fontId="4" fillId="6" borderId="1" xfId="0" applyFont="1" applyFill="1" applyBorder="1" applyAlignment="1">
      <alignment horizontal="left" textRotation="45"/>
    </xf>
    <xf numFmtId="0" fontId="2" fillId="0" borderId="1" xfId="0" applyFont="1" applyBorder="1" applyAlignment="1">
      <alignment horizontal="left" textRotation="45"/>
    </xf>
    <xf numFmtId="0" fontId="0" fillId="10" borderId="0" xfId="0" applyFill="1" applyAlignment="1"/>
    <xf numFmtId="0" fontId="4" fillId="5" borderId="7" xfId="0" applyFont="1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 vertical="center"/>
    </xf>
    <xf numFmtId="166" fontId="0" fillId="0" borderId="0" xfId="3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right"/>
    </xf>
    <xf numFmtId="1" fontId="0" fillId="0" borderId="0" xfId="0" applyNumberFormat="1"/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15">
    <dxf>
      <font>
        <color theme="2" tint="-0.749961851863155"/>
      </font>
      <fill>
        <patternFill>
          <bgColor theme="2"/>
        </patternFill>
      </fill>
    </dxf>
    <dxf>
      <font>
        <color theme="2" tint="-0.749961851863155"/>
      </font>
      <fill>
        <patternFill>
          <bgColor theme="2"/>
        </patternFill>
      </fill>
    </dxf>
    <dxf>
      <font>
        <color theme="2" tint="-0.749961851863155"/>
      </font>
      <fill>
        <patternFill>
          <bgColor theme="2"/>
        </patternFill>
      </fill>
    </dxf>
    <dxf>
      <font>
        <color theme="2" tint="-0.749961851863155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749961851863155"/>
      </font>
      <fill>
        <patternFill>
          <bgColor theme="2"/>
        </patternFill>
      </fill>
    </dxf>
    <dxf>
      <font>
        <color theme="2" tint="-0.749961851863155"/>
      </font>
      <fill>
        <patternFill>
          <bgColor theme="2"/>
        </patternFill>
      </fill>
    </dxf>
    <dxf>
      <font>
        <color theme="2" tint="-0.749961851863155"/>
      </font>
      <fill>
        <patternFill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i.org/10.1016/j.jenvman.2020.111588" TargetMode="External"/><Relationship Id="rId1" Type="http://schemas.openxmlformats.org/officeDocument/2006/relationships/hyperlink" Target="https://doi.org/10.1016/j.mex.2020.1012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9"/>
  <sheetViews>
    <sheetView tabSelected="1" topLeftCell="I1" zoomScale="85" zoomScaleNormal="85" workbookViewId="0">
      <selection activeCell="AB1" sqref="AB1:AD12"/>
    </sheetView>
  </sheetViews>
  <sheetFormatPr defaultRowHeight="14.5" x14ac:dyDescent="0.35"/>
  <cols>
    <col min="1" max="1" width="29.81640625" customWidth="1"/>
    <col min="2" max="2" width="12.7265625" customWidth="1"/>
    <col min="3" max="3" width="13.7265625" customWidth="1"/>
    <col min="4" max="4" width="13.1796875" customWidth="1"/>
    <col min="5" max="6" width="10.81640625" customWidth="1"/>
    <col min="7" max="7" width="11.1796875" customWidth="1"/>
    <col min="8" max="8" width="10.81640625" customWidth="1"/>
    <col min="9" max="9" width="9.453125" customWidth="1"/>
    <col min="11" max="11" width="3.54296875" customWidth="1"/>
    <col min="12" max="12" width="2.6328125" customWidth="1"/>
    <col min="13" max="13" width="14.54296875" customWidth="1"/>
    <col min="14" max="14" width="14.1796875" customWidth="1"/>
    <col min="15" max="15" width="15.54296875" customWidth="1"/>
    <col min="19" max="19" width="23.1796875" customWidth="1"/>
    <col min="20" max="20" width="3.36328125" customWidth="1"/>
    <col min="22" max="22" width="14" customWidth="1"/>
    <col min="23" max="23" width="15.90625" customWidth="1"/>
    <col min="24" max="24" width="10" bestFit="1" customWidth="1"/>
    <col min="29" max="29" width="13.6328125" customWidth="1"/>
    <col min="30" max="30" width="14.453125" customWidth="1"/>
  </cols>
  <sheetData>
    <row r="1" spans="1:30" ht="33.65" customHeight="1" x14ac:dyDescent="0.35">
      <c r="A1" s="1" t="s">
        <v>0</v>
      </c>
      <c r="B1" s="2" t="s">
        <v>193</v>
      </c>
      <c r="C1" s="2" t="s">
        <v>192</v>
      </c>
      <c r="D1" s="2" t="s">
        <v>1</v>
      </c>
      <c r="E1" s="2" t="s">
        <v>2</v>
      </c>
      <c r="F1" s="2" t="s">
        <v>3</v>
      </c>
      <c r="G1" s="3" t="s">
        <v>194</v>
      </c>
      <c r="H1" s="4" t="s">
        <v>4</v>
      </c>
      <c r="I1" s="18" t="s">
        <v>15</v>
      </c>
      <c r="J1" s="18" t="s">
        <v>22</v>
      </c>
      <c r="M1" s="18" t="s">
        <v>281</v>
      </c>
      <c r="N1" s="18" t="s">
        <v>282</v>
      </c>
      <c r="O1" s="18" t="s">
        <v>283</v>
      </c>
      <c r="R1" s="18" t="s">
        <v>285</v>
      </c>
      <c r="S1" s="18" t="s">
        <v>285</v>
      </c>
      <c r="T1" s="18"/>
      <c r="U1" s="18" t="s">
        <v>284</v>
      </c>
      <c r="V1" s="18" t="s">
        <v>281</v>
      </c>
      <c r="W1" s="18" t="s">
        <v>282</v>
      </c>
      <c r="AA1" s="20" t="s">
        <v>291</v>
      </c>
      <c r="AB1" s="62" t="s">
        <v>43</v>
      </c>
      <c r="AC1" s="18" t="s">
        <v>281</v>
      </c>
      <c r="AD1" s="18" t="s">
        <v>282</v>
      </c>
    </row>
    <row r="2" spans="1:30" x14ac:dyDescent="0.35">
      <c r="A2" s="5" t="s">
        <v>5</v>
      </c>
      <c r="B2" s="84">
        <f>D2/(1-C2)</f>
        <v>470.58823529411768</v>
      </c>
      <c r="C2" s="11">
        <v>0.15</v>
      </c>
      <c r="D2" s="6">
        <v>400</v>
      </c>
      <c r="E2" s="7">
        <f>D2/(1-F2)</f>
        <v>2666.6666666666661</v>
      </c>
      <c r="F2" s="8">
        <v>0.85</v>
      </c>
      <c r="G2" s="9">
        <v>0.45</v>
      </c>
      <c r="H2" s="117">
        <f>F2-G2</f>
        <v>0.39999999999999997</v>
      </c>
      <c r="I2" s="75">
        <v>0</v>
      </c>
      <c r="J2" t="s">
        <v>23</v>
      </c>
      <c r="K2" t="s">
        <v>279</v>
      </c>
      <c r="M2" s="166">
        <f>S2*1000</f>
        <v>33.718369037823699</v>
      </c>
      <c r="N2" s="167">
        <f>M2*D2/1000</f>
        <v>13.48734761512948</v>
      </c>
      <c r="R2" s="66" t="s">
        <v>260</v>
      </c>
      <c r="S2" s="66">
        <v>3.3718369037823701E-2</v>
      </c>
      <c r="T2" s="66"/>
      <c r="V2" s="166">
        <v>36.525193958073203</v>
      </c>
      <c r="W2" s="167">
        <f t="shared" ref="W2:W20" si="0">V2*D2/1000</f>
        <v>14.610077583229282</v>
      </c>
      <c r="X2" s="120">
        <f>(V2-M2)/M2</f>
        <v>8.324319948871009E-2</v>
      </c>
      <c r="AB2" s="66" t="str">
        <f>R2</f>
        <v>production of pumice, kilogram</v>
      </c>
      <c r="AC2" s="167">
        <f>M2</f>
        <v>33.718369037823699</v>
      </c>
      <c r="AD2" s="167">
        <f>N2</f>
        <v>13.48734761512948</v>
      </c>
    </row>
    <row r="3" spans="1:30" x14ac:dyDescent="0.35">
      <c r="A3" s="170" t="s">
        <v>6</v>
      </c>
      <c r="B3" s="84">
        <f>D3/(1-C3)</f>
        <v>450</v>
      </c>
      <c r="C3" s="11">
        <v>0.6</v>
      </c>
      <c r="D3" s="6">
        <v>180</v>
      </c>
      <c r="E3" s="7">
        <f>D3/(1-F3)</f>
        <v>1500</v>
      </c>
      <c r="F3" s="11">
        <v>0.88</v>
      </c>
      <c r="G3" s="111">
        <v>0.88</v>
      </c>
      <c r="H3" s="118">
        <f>F3-G3</f>
        <v>0</v>
      </c>
      <c r="I3" s="75">
        <v>0</v>
      </c>
      <c r="J3" s="19" t="s">
        <v>34</v>
      </c>
      <c r="K3" t="s">
        <v>279</v>
      </c>
      <c r="M3" s="166">
        <f t="shared" ref="M3:M20" si="1">S3*1000</f>
        <v>1294.43756584789</v>
      </c>
      <c r="N3" s="167">
        <f t="shared" ref="N3:N20" si="2">M3*D3/1000</f>
        <v>232.99876185262019</v>
      </c>
      <c r="R3" s="66" t="s">
        <v>261</v>
      </c>
      <c r="S3" s="66">
        <v>1.2944375658478899</v>
      </c>
      <c r="T3" s="66"/>
      <c r="V3" s="166">
        <v>1299.2769192979099</v>
      </c>
      <c r="W3" s="167">
        <f t="shared" si="0"/>
        <v>233.86984547362377</v>
      </c>
      <c r="X3" s="120">
        <f t="shared" ref="X3:X20" si="3">(V3-M3)/M3</f>
        <v>3.738576179879305E-3</v>
      </c>
      <c r="AB3" s="66" t="str">
        <f t="shared" ref="AB3:AB12" si="4">R3</f>
        <v>production and supply of peat for horticulture, kilogram</v>
      </c>
      <c r="AC3" s="168">
        <f t="shared" ref="AC3:AD12" si="5">M3</f>
        <v>1294.43756584789</v>
      </c>
      <c r="AD3" s="168">
        <f t="shared" si="5"/>
        <v>232.99876185262019</v>
      </c>
    </row>
    <row r="4" spans="1:30" x14ac:dyDescent="0.35">
      <c r="A4" s="10" t="s">
        <v>7</v>
      </c>
      <c r="B4" s="84">
        <f t="shared" ref="B4:B12" si="6">D4/(1-C4)</f>
        <v>1612.9032258064517</v>
      </c>
      <c r="C4" s="11">
        <v>7.0000000000000007E-2</v>
      </c>
      <c r="D4" s="6">
        <v>1500</v>
      </c>
      <c r="E4" s="7">
        <v>2670</v>
      </c>
      <c r="F4" s="11">
        <f>1-D4/E4</f>
        <v>0.4382022471910112</v>
      </c>
      <c r="G4" s="8">
        <f t="shared" ref="G4:G12" si="7">F4</f>
        <v>0.4382022471910112</v>
      </c>
      <c r="H4" s="118">
        <f t="shared" ref="H4:H27" si="8">F4-G4</f>
        <v>0</v>
      </c>
      <c r="I4" s="75">
        <v>0</v>
      </c>
      <c r="J4" t="s">
        <v>24</v>
      </c>
      <c r="K4" t="s">
        <v>279</v>
      </c>
      <c r="M4" s="166">
        <f t="shared" si="1"/>
        <v>2.2999868319338002</v>
      </c>
      <c r="N4" s="167">
        <f t="shared" si="2"/>
        <v>3.4499802479007005</v>
      </c>
      <c r="R4" s="66" t="s">
        <v>262</v>
      </c>
      <c r="S4" s="66">
        <v>2.2999868319338E-3</v>
      </c>
      <c r="T4" s="66"/>
      <c r="V4" s="166">
        <v>2.2999868319338002</v>
      </c>
      <c r="W4" s="167">
        <f t="shared" si="0"/>
        <v>3.4499802479007005</v>
      </c>
      <c r="X4" s="120">
        <f t="shared" si="3"/>
        <v>0</v>
      </c>
      <c r="AB4" s="66" t="str">
        <f t="shared" si="4"/>
        <v>production of sand, kilogram</v>
      </c>
      <c r="AC4" s="179">
        <f>M4</f>
        <v>2.2999868319338002</v>
      </c>
      <c r="AD4" s="179">
        <f>N4</f>
        <v>3.4499802479007005</v>
      </c>
    </row>
    <row r="5" spans="1:30" x14ac:dyDescent="0.35">
      <c r="A5" s="10" t="s">
        <v>8</v>
      </c>
      <c r="B5" s="84">
        <f t="shared" si="6"/>
        <v>1636.5591397849464</v>
      </c>
      <c r="C5" s="11">
        <v>7.0000000000000007E-2</v>
      </c>
      <c r="D5" s="6">
        <v>1522</v>
      </c>
      <c r="E5" s="7">
        <v>2670</v>
      </c>
      <c r="F5" s="11">
        <f>1-D5/E5</f>
        <v>0.42996254681647939</v>
      </c>
      <c r="G5" s="8">
        <f t="shared" si="7"/>
        <v>0.42996254681647939</v>
      </c>
      <c r="H5" s="118">
        <f t="shared" si="8"/>
        <v>0</v>
      </c>
      <c r="I5" s="75">
        <v>0</v>
      </c>
      <c r="J5" t="s">
        <v>25</v>
      </c>
      <c r="K5" t="s">
        <v>279</v>
      </c>
      <c r="M5" s="166">
        <f t="shared" si="1"/>
        <v>2.2999868319338002</v>
      </c>
      <c r="N5" s="167">
        <f t="shared" si="2"/>
        <v>3.5005799582032435</v>
      </c>
      <c r="R5" s="66" t="s">
        <v>263</v>
      </c>
      <c r="S5" s="66">
        <v>2.2999868319338E-3</v>
      </c>
      <c r="T5" s="66"/>
      <c r="V5" s="166">
        <v>2.2999868319338002</v>
      </c>
      <c r="W5" s="167">
        <f t="shared" si="0"/>
        <v>3.5005799582032435</v>
      </c>
      <c r="X5" s="120">
        <f t="shared" si="3"/>
        <v>0</v>
      </c>
      <c r="AB5" s="66" t="str">
        <f t="shared" si="4"/>
        <v>production of gravel, kilogram</v>
      </c>
      <c r="AC5" s="179">
        <f>M5</f>
        <v>2.2999868319338002</v>
      </c>
      <c r="AD5" s="179">
        <f>N5</f>
        <v>3.5005799582032435</v>
      </c>
    </row>
    <row r="6" spans="1:30" x14ac:dyDescent="0.35">
      <c r="A6" s="10" t="s">
        <v>9</v>
      </c>
      <c r="B6" s="84">
        <f t="shared" si="6"/>
        <v>1827.9569892473119</v>
      </c>
      <c r="C6" s="11">
        <v>7.0000000000000007E-2</v>
      </c>
      <c r="D6" s="6">
        <v>1700</v>
      </c>
      <c r="E6" s="7">
        <f>D6/(1-F6)</f>
        <v>2741.9354838709678</v>
      </c>
      <c r="F6" s="11">
        <v>0.38</v>
      </c>
      <c r="G6" s="8">
        <f t="shared" si="7"/>
        <v>0.38</v>
      </c>
      <c r="H6" s="118">
        <f t="shared" si="8"/>
        <v>0</v>
      </c>
      <c r="I6" s="75">
        <v>0</v>
      </c>
      <c r="J6" t="s">
        <v>234</v>
      </c>
      <c r="K6" t="s">
        <v>279</v>
      </c>
      <c r="M6" s="166">
        <f t="shared" si="1"/>
        <v>0.38627871521009299</v>
      </c>
      <c r="N6" s="167">
        <f t="shared" si="2"/>
        <v>0.65667381585715801</v>
      </c>
      <c r="R6" s="66" t="s">
        <v>264</v>
      </c>
      <c r="S6" s="66">
        <v>3.8627871521009302E-4</v>
      </c>
      <c r="T6" s="66"/>
      <c r="V6" s="166">
        <v>0.43467224862866999</v>
      </c>
      <c r="W6" s="167">
        <f t="shared" si="0"/>
        <v>0.7389428226687389</v>
      </c>
      <c r="X6" s="120">
        <f t="shared" si="3"/>
        <v>0.12528138753971016</v>
      </c>
      <c r="AB6" s="66" t="str">
        <f t="shared" si="4"/>
        <v>production and supply of macadam 2-4-8 mm, kilogram</v>
      </c>
      <c r="AC6" s="107">
        <f t="shared" si="5"/>
        <v>0.38627871521009299</v>
      </c>
      <c r="AD6" s="107">
        <f t="shared" si="5"/>
        <v>0.65667381585715801</v>
      </c>
    </row>
    <row r="7" spans="1:30" x14ac:dyDescent="0.35">
      <c r="A7" s="10" t="s">
        <v>16</v>
      </c>
      <c r="B7" s="84">
        <f t="shared" si="6"/>
        <v>1368.421052631579</v>
      </c>
      <c r="C7" s="147">
        <v>0.05</v>
      </c>
      <c r="D7" s="6">
        <v>1300</v>
      </c>
      <c r="E7" s="7">
        <v>2750</v>
      </c>
      <c r="F7" s="11">
        <f>1-D7/E7</f>
        <v>0.52727272727272734</v>
      </c>
      <c r="G7" s="8">
        <f t="shared" si="7"/>
        <v>0.52727272727272734</v>
      </c>
      <c r="H7" s="118">
        <f t="shared" si="8"/>
        <v>0</v>
      </c>
      <c r="I7" s="75">
        <v>0</v>
      </c>
      <c r="J7" t="s">
        <v>27</v>
      </c>
      <c r="K7" t="s">
        <v>279</v>
      </c>
      <c r="M7" s="166">
        <f t="shared" si="1"/>
        <v>3.0129249938053704</v>
      </c>
      <c r="N7" s="167">
        <f t="shared" si="2"/>
        <v>3.9168024919469819</v>
      </c>
      <c r="R7" s="66" t="s">
        <v>265</v>
      </c>
      <c r="S7" s="66">
        <v>3.0129249938053702E-3</v>
      </c>
      <c r="T7" s="66"/>
      <c r="V7" s="166">
        <v>5.5061863942931897</v>
      </c>
      <c r="W7" s="167">
        <f t="shared" si="0"/>
        <v>7.1580423125811468</v>
      </c>
      <c r="X7" s="120">
        <f t="shared" si="3"/>
        <v>0.82752189504020546</v>
      </c>
      <c r="AB7" s="66" t="str">
        <f t="shared" si="4"/>
        <v>production of macadam 2-4-8 mm, kilogram</v>
      </c>
      <c r="AC7" s="179">
        <f t="shared" si="5"/>
        <v>3.0129249938053704</v>
      </c>
      <c r="AD7" s="179">
        <f t="shared" si="5"/>
        <v>3.9168024919469819</v>
      </c>
    </row>
    <row r="8" spans="1:30" x14ac:dyDescent="0.35">
      <c r="A8" s="10" t="s">
        <v>17</v>
      </c>
      <c r="B8" s="84">
        <f t="shared" si="6"/>
        <v>1473.6842105263158</v>
      </c>
      <c r="C8" s="147">
        <v>0.05</v>
      </c>
      <c r="D8" s="6">
        <v>1400</v>
      </c>
      <c r="E8" s="7">
        <v>2750</v>
      </c>
      <c r="F8" s="11">
        <f>1-D8/E8</f>
        <v>0.49090909090909096</v>
      </c>
      <c r="G8" s="8">
        <f t="shared" si="7"/>
        <v>0.49090909090909096</v>
      </c>
      <c r="H8" s="118">
        <f t="shared" si="8"/>
        <v>0</v>
      </c>
      <c r="I8" s="75">
        <v>0</v>
      </c>
      <c r="J8" t="s">
        <v>28</v>
      </c>
      <c r="K8" t="s">
        <v>279</v>
      </c>
      <c r="M8" s="166">
        <f t="shared" si="1"/>
        <v>2.9644604453437302</v>
      </c>
      <c r="N8" s="167">
        <f t="shared" si="2"/>
        <v>4.150244623481222</v>
      </c>
      <c r="R8" s="66" t="s">
        <v>266</v>
      </c>
      <c r="S8" s="66">
        <v>2.9644604453437301E-3</v>
      </c>
      <c r="T8" s="66"/>
      <c r="V8" s="166">
        <v>5.1813205160596398</v>
      </c>
      <c r="W8" s="167">
        <f t="shared" si="0"/>
        <v>7.2538487224834958</v>
      </c>
      <c r="X8" s="120">
        <f t="shared" si="3"/>
        <v>0.74781232928842944</v>
      </c>
      <c r="AB8" s="66" t="str">
        <f t="shared" si="4"/>
        <v>production of macadam 8-16 mm, kilogram</v>
      </c>
      <c r="AC8" s="179">
        <f t="shared" si="5"/>
        <v>2.9644604453437302</v>
      </c>
      <c r="AD8" s="179">
        <f t="shared" si="5"/>
        <v>4.150244623481222</v>
      </c>
    </row>
    <row r="9" spans="1:30" x14ac:dyDescent="0.35">
      <c r="A9" s="10" t="s">
        <v>10</v>
      </c>
      <c r="B9" s="84">
        <f t="shared" si="6"/>
        <v>1505.2631578947369</v>
      </c>
      <c r="C9" s="147">
        <v>0.05</v>
      </c>
      <c r="D9" s="6">
        <v>1430</v>
      </c>
      <c r="E9" s="7">
        <v>2750</v>
      </c>
      <c r="F9" s="11">
        <f>1-D9/E9</f>
        <v>0.48</v>
      </c>
      <c r="G9" s="8">
        <f t="shared" si="7"/>
        <v>0.48</v>
      </c>
      <c r="H9" s="118">
        <f t="shared" si="8"/>
        <v>0</v>
      </c>
      <c r="I9" s="75">
        <v>0</v>
      </c>
      <c r="J9" t="s">
        <v>29</v>
      </c>
      <c r="K9" t="s">
        <v>279</v>
      </c>
      <c r="M9" s="166">
        <f t="shared" si="1"/>
        <v>2.8890711393781698</v>
      </c>
      <c r="N9" s="167">
        <f t="shared" si="2"/>
        <v>4.131371729310783</v>
      </c>
      <c r="R9" s="66" t="s">
        <v>267</v>
      </c>
      <c r="S9" s="66">
        <v>2.88907113937817E-3</v>
      </c>
      <c r="T9" s="66"/>
      <c r="V9" s="166">
        <v>4.6759735383343104</v>
      </c>
      <c r="W9" s="167">
        <f t="shared" si="0"/>
        <v>6.6866421598180645</v>
      </c>
      <c r="X9" s="120">
        <f t="shared" si="3"/>
        <v>0.61850411871157496</v>
      </c>
      <c r="AB9" s="66" t="str">
        <f t="shared" si="4"/>
        <v>production of macadam 32-64 mm, kilogram</v>
      </c>
      <c r="AC9" s="179">
        <f t="shared" si="5"/>
        <v>2.8890711393781698</v>
      </c>
      <c r="AD9" s="179">
        <f t="shared" si="5"/>
        <v>4.131371729310783</v>
      </c>
    </row>
    <row r="10" spans="1:30" x14ac:dyDescent="0.35">
      <c r="A10" s="31" t="s">
        <v>254</v>
      </c>
      <c r="B10" s="96">
        <v>800</v>
      </c>
      <c r="C10" s="142">
        <f>1-D10/B10</f>
        <v>0.25</v>
      </c>
      <c r="D10" s="95">
        <v>600</v>
      </c>
      <c r="E10" s="7">
        <v>2790</v>
      </c>
      <c r="F10" s="11">
        <f t="shared" ref="F10:F11" si="9">1-D10/E10</f>
        <v>0.78494623655913975</v>
      </c>
      <c r="G10" s="8">
        <f>G7</f>
        <v>0.52727272727272734</v>
      </c>
      <c r="H10" s="118">
        <f t="shared" si="8"/>
        <v>0.25767350928641242</v>
      </c>
      <c r="I10" s="75">
        <v>0</v>
      </c>
      <c r="J10" t="s">
        <v>258</v>
      </c>
      <c r="K10" t="s">
        <v>279</v>
      </c>
      <c r="M10" s="166">
        <f t="shared" si="1"/>
        <v>33.718369037823699</v>
      </c>
      <c r="N10" s="167">
        <f t="shared" si="2"/>
        <v>20.231021422694219</v>
      </c>
      <c r="R10" s="66" t="s">
        <v>268</v>
      </c>
      <c r="S10" s="66">
        <v>3.3718369037823701E-2</v>
      </c>
      <c r="T10" s="66"/>
      <c r="V10" s="166">
        <v>36.525193958073203</v>
      </c>
      <c r="W10" s="167">
        <f t="shared" si="0"/>
        <v>21.915116374843922</v>
      </c>
      <c r="X10" s="120">
        <f t="shared" si="3"/>
        <v>8.324319948871009E-2</v>
      </c>
      <c r="AB10" s="66" t="str">
        <f t="shared" si="4"/>
        <v>production of scoria, kilogram</v>
      </c>
      <c r="AC10" s="167">
        <f t="shared" si="5"/>
        <v>33.718369037823699</v>
      </c>
      <c r="AD10" s="167">
        <f t="shared" si="5"/>
        <v>20.231021422694219</v>
      </c>
    </row>
    <row r="11" spans="1:30" x14ac:dyDescent="0.35">
      <c r="A11" s="31" t="s">
        <v>253</v>
      </c>
      <c r="B11" s="96">
        <v>1150</v>
      </c>
      <c r="C11" s="165">
        <f>AVERAGE(0.025,0.05)</f>
        <v>3.7500000000000006E-2</v>
      </c>
      <c r="D11" s="95">
        <f>B11*(1-C11)</f>
        <v>1106.875</v>
      </c>
      <c r="E11" s="7">
        <f>E12</f>
        <v>2670</v>
      </c>
      <c r="F11" s="11">
        <f t="shared" si="9"/>
        <v>0.58544007490636707</v>
      </c>
      <c r="G11" s="8">
        <f>G7</f>
        <v>0.52727272727272734</v>
      </c>
      <c r="H11" s="118">
        <f t="shared" si="8"/>
        <v>5.8167347633639732E-2</v>
      </c>
      <c r="I11" s="75">
        <v>0</v>
      </c>
      <c r="J11" t="s">
        <v>259</v>
      </c>
      <c r="K11" t="s">
        <v>279</v>
      </c>
      <c r="M11" s="166">
        <f t="shared" si="1"/>
        <v>17.6754517718405</v>
      </c>
      <c r="N11" s="167">
        <f t="shared" si="2"/>
        <v>19.564515679955953</v>
      </c>
      <c r="R11" s="66" t="s">
        <v>269</v>
      </c>
      <c r="S11" s="66">
        <v>1.76754517718405E-2</v>
      </c>
      <c r="T11" s="66"/>
      <c r="V11" s="166">
        <v>18.992935378834602</v>
      </c>
      <c r="W11" s="167">
        <f t="shared" si="0"/>
        <v>21.022805347447548</v>
      </c>
      <c r="X11" s="120">
        <f t="shared" si="3"/>
        <v>7.4537478532403931E-2</v>
      </c>
      <c r="AB11" s="66" t="str">
        <f t="shared" si="4"/>
        <v>production and supply of clay granulates 2-6 mm, kilogram</v>
      </c>
      <c r="AC11" s="167">
        <f t="shared" si="5"/>
        <v>17.6754517718405</v>
      </c>
      <c r="AD11" s="167">
        <f t="shared" si="5"/>
        <v>19.564515679955953</v>
      </c>
    </row>
    <row r="12" spans="1:30" x14ac:dyDescent="0.35">
      <c r="A12" s="10" t="s">
        <v>11</v>
      </c>
      <c r="B12" s="84">
        <f t="shared" si="6"/>
        <v>2000</v>
      </c>
      <c r="C12" s="11">
        <v>0.2</v>
      </c>
      <c r="D12" s="6">
        <v>1600</v>
      </c>
      <c r="E12" s="7">
        <v>2670</v>
      </c>
      <c r="F12" s="11">
        <f>1-D12/E12</f>
        <v>0.40074906367041196</v>
      </c>
      <c r="G12" s="8">
        <f t="shared" si="7"/>
        <v>0.40074906367041196</v>
      </c>
      <c r="H12" s="119">
        <f t="shared" si="8"/>
        <v>0</v>
      </c>
      <c r="I12" s="75">
        <v>0</v>
      </c>
      <c r="J12" s="163" t="s">
        <v>250</v>
      </c>
      <c r="K12" t="s">
        <v>280</v>
      </c>
      <c r="M12" s="166">
        <f t="shared" si="1"/>
        <v>11.1687973265894</v>
      </c>
      <c r="N12" s="167">
        <f t="shared" si="2"/>
        <v>17.870075722543042</v>
      </c>
      <c r="R12" s="66" t="s">
        <v>270</v>
      </c>
      <c r="S12" s="66">
        <v>1.1168797326589401E-2</v>
      </c>
      <c r="T12" s="66"/>
      <c r="V12" s="166">
        <v>11.652732678803201</v>
      </c>
      <c r="W12" s="167">
        <f t="shared" si="0"/>
        <v>18.644372286085119</v>
      </c>
      <c r="X12" s="120">
        <f t="shared" si="3"/>
        <v>4.3329226779118102E-2</v>
      </c>
      <c r="AB12" s="66" t="str">
        <f t="shared" si="4"/>
        <v>production and supply of clay, kilogram</v>
      </c>
      <c r="AC12" s="167">
        <f t="shared" si="5"/>
        <v>11.1687973265894</v>
      </c>
      <c r="AD12" s="167">
        <f t="shared" si="5"/>
        <v>17.870075722543042</v>
      </c>
    </row>
    <row r="13" spans="1:30" x14ac:dyDescent="0.35">
      <c r="A13" s="12" t="s">
        <v>18</v>
      </c>
      <c r="B13" s="85">
        <f>D13/(1-C13)</f>
        <v>376.47058823529414</v>
      </c>
      <c r="C13" s="15">
        <v>0.15</v>
      </c>
      <c r="D13" s="13">
        <v>320</v>
      </c>
      <c r="E13" s="14">
        <f>D13/(1-F13)</f>
        <v>2666.666666666667</v>
      </c>
      <c r="F13" s="15">
        <v>0.88</v>
      </c>
      <c r="G13" s="16">
        <v>0.45</v>
      </c>
      <c r="H13" s="117">
        <f t="shared" si="8"/>
        <v>0.43</v>
      </c>
      <c r="I13" s="120">
        <v>0</v>
      </c>
      <c r="J13" t="s">
        <v>26</v>
      </c>
      <c r="K13" t="s">
        <v>279</v>
      </c>
      <c r="M13" s="166">
        <f t="shared" si="1"/>
        <v>316.28881500804602</v>
      </c>
      <c r="N13" s="167">
        <f t="shared" si="2"/>
        <v>101.21242080257473</v>
      </c>
      <c r="R13" s="66" t="s">
        <v>271</v>
      </c>
      <c r="S13" s="66">
        <v>0.31628881500804601</v>
      </c>
      <c r="T13" s="66"/>
      <c r="V13" s="166">
        <v>316.28881500804602</v>
      </c>
      <c r="W13" s="167">
        <f t="shared" si="0"/>
        <v>101.21242080257473</v>
      </c>
      <c r="X13" s="120">
        <f t="shared" si="3"/>
        <v>0</v>
      </c>
    </row>
    <row r="14" spans="1:30" x14ac:dyDescent="0.35">
      <c r="A14" s="10" t="s">
        <v>199</v>
      </c>
      <c r="B14" s="84">
        <f>D14/(1-C14)</f>
        <v>588.23529411764707</v>
      </c>
      <c r="C14" s="11">
        <v>0.15</v>
      </c>
      <c r="D14" s="6">
        <v>500</v>
      </c>
      <c r="E14" s="7">
        <v>1800</v>
      </c>
      <c r="F14" s="11">
        <f t="shared" ref="F14:F25" si="10">1-D14/E14</f>
        <v>0.72222222222222221</v>
      </c>
      <c r="G14" s="17">
        <v>0.45</v>
      </c>
      <c r="H14" s="118">
        <f t="shared" si="8"/>
        <v>0.2722222222222222</v>
      </c>
      <c r="I14" s="120">
        <v>0.93400000000000005</v>
      </c>
      <c r="J14" s="19" t="s">
        <v>32</v>
      </c>
      <c r="K14" t="s">
        <v>279</v>
      </c>
      <c r="M14" s="166">
        <f t="shared" si="1"/>
        <v>-2746.8917243895899</v>
      </c>
      <c r="N14" s="167">
        <f t="shared" si="2"/>
        <v>-1373.4458621947949</v>
      </c>
      <c r="R14" s="66" t="s">
        <v>272</v>
      </c>
      <c r="S14" s="66">
        <v>-2.7468917243895898</v>
      </c>
      <c r="T14" s="66"/>
      <c r="V14" s="166">
        <v>-184.035370595128</v>
      </c>
      <c r="W14" s="167">
        <f t="shared" si="0"/>
        <v>-92.017685297564</v>
      </c>
      <c r="X14" s="120">
        <f t="shared" si="3"/>
        <v>-0.93300232078276624</v>
      </c>
    </row>
    <row r="15" spans="1:30" x14ac:dyDescent="0.35">
      <c r="A15" s="10" t="s">
        <v>200</v>
      </c>
      <c r="B15" s="84">
        <f t="shared" ref="B15:B26" si="11">D15/(1-C15)</f>
        <v>588.23529411764707</v>
      </c>
      <c r="C15" s="11">
        <v>0.15</v>
      </c>
      <c r="D15" s="6">
        <v>500</v>
      </c>
      <c r="E15" s="7">
        <v>1800</v>
      </c>
      <c r="F15" s="11">
        <f t="shared" si="10"/>
        <v>0.72222222222222221</v>
      </c>
      <c r="G15" s="17">
        <v>0.45</v>
      </c>
      <c r="H15" s="118">
        <f>F15-G15</f>
        <v>0.2722222222222222</v>
      </c>
      <c r="I15" s="120">
        <v>0.93400000000000005</v>
      </c>
      <c r="J15" t="s">
        <v>35</v>
      </c>
      <c r="K15" t="s">
        <v>279</v>
      </c>
      <c r="M15" s="166">
        <f t="shared" si="1"/>
        <v>-2736.5606084459</v>
      </c>
      <c r="N15" s="167">
        <f t="shared" si="2"/>
        <v>-1368.28030422295</v>
      </c>
      <c r="R15" s="66" t="s">
        <v>273</v>
      </c>
      <c r="S15" s="66">
        <v>-2.7365606084459002</v>
      </c>
      <c r="T15" s="66"/>
      <c r="V15" s="166">
        <v>33.517359472451105</v>
      </c>
      <c r="W15" s="167">
        <f t="shared" si="0"/>
        <v>16.758679736225552</v>
      </c>
      <c r="X15" s="120">
        <f t="shared" si="3"/>
        <v>-1.0122479872614571</v>
      </c>
    </row>
    <row r="16" spans="1:30" x14ac:dyDescent="0.35">
      <c r="A16" s="10" t="s">
        <v>201</v>
      </c>
      <c r="B16" s="84">
        <f t="shared" si="11"/>
        <v>284.70588235294116</v>
      </c>
      <c r="C16" s="11">
        <v>0.15</v>
      </c>
      <c r="D16" s="6">
        <v>242</v>
      </c>
      <c r="E16" s="7">
        <v>1660</v>
      </c>
      <c r="F16" s="11">
        <f t="shared" si="10"/>
        <v>0.85421686746987957</v>
      </c>
      <c r="G16" s="17">
        <v>0.45</v>
      </c>
      <c r="H16" s="118">
        <f t="shared" si="8"/>
        <v>0.40421686746987956</v>
      </c>
      <c r="I16" s="120">
        <v>0.69899999999999995</v>
      </c>
      <c r="J16" t="s">
        <v>33</v>
      </c>
      <c r="K16" t="s">
        <v>280</v>
      </c>
      <c r="M16" s="166">
        <f t="shared" si="1"/>
        <v>-2018.10311617509</v>
      </c>
      <c r="N16" s="167">
        <f t="shared" si="2"/>
        <v>-488.38095411437178</v>
      </c>
      <c r="R16" s="66" t="s">
        <v>274</v>
      </c>
      <c r="S16" s="66">
        <v>-2.01810311617509</v>
      </c>
      <c r="T16" s="66"/>
      <c r="V16" s="166">
        <v>216.63606764299601</v>
      </c>
      <c r="W16" s="167">
        <f t="shared" si="0"/>
        <v>52.425928369605032</v>
      </c>
      <c r="X16" s="120">
        <f t="shared" si="3"/>
        <v>-1.1073463818110476</v>
      </c>
    </row>
    <row r="17" spans="1:24" x14ac:dyDescent="0.35">
      <c r="A17" s="10" t="s">
        <v>202</v>
      </c>
      <c r="B17" s="84">
        <f t="shared" si="11"/>
        <v>284.70588235294116</v>
      </c>
      <c r="C17" s="11">
        <v>0.15</v>
      </c>
      <c r="D17" s="6">
        <v>242</v>
      </c>
      <c r="E17" s="7">
        <v>1660</v>
      </c>
      <c r="F17" s="11">
        <f t="shared" si="10"/>
        <v>0.85421686746987957</v>
      </c>
      <c r="G17" s="17">
        <v>0.45</v>
      </c>
      <c r="H17" s="118">
        <f t="shared" si="8"/>
        <v>0.40421686746987956</v>
      </c>
      <c r="I17" s="120">
        <v>0.69899999999999995</v>
      </c>
      <c r="J17" t="s">
        <v>36</v>
      </c>
      <c r="K17" t="s">
        <v>279</v>
      </c>
      <c r="M17" s="166">
        <f t="shared" si="1"/>
        <v>-2007.6915617717402</v>
      </c>
      <c r="N17" s="167">
        <f t="shared" si="2"/>
        <v>-485.86135794876117</v>
      </c>
      <c r="R17" s="66" t="s">
        <v>275</v>
      </c>
      <c r="S17" s="66">
        <v>-2.0076915617717401</v>
      </c>
      <c r="T17" s="66"/>
      <c r="V17" s="166">
        <v>434.26923159392601</v>
      </c>
      <c r="W17" s="167">
        <f t="shared" si="0"/>
        <v>105.09315404573009</v>
      </c>
      <c r="X17" s="120">
        <f t="shared" si="3"/>
        <v>-1.2163027627663552</v>
      </c>
    </row>
    <row r="18" spans="1:24" x14ac:dyDescent="0.35">
      <c r="A18" s="10" t="s">
        <v>203</v>
      </c>
      <c r="B18" s="84">
        <f t="shared" si="11"/>
        <v>228.23529411764707</v>
      </c>
      <c r="C18" s="11">
        <v>0.15</v>
      </c>
      <c r="D18" s="6">
        <v>194</v>
      </c>
      <c r="E18" s="7">
        <v>1700</v>
      </c>
      <c r="F18" s="11">
        <f t="shared" si="10"/>
        <v>0.88588235294117645</v>
      </c>
      <c r="G18" s="17">
        <v>0.45</v>
      </c>
      <c r="H18" s="118">
        <f t="shared" si="8"/>
        <v>0.43588235294117644</v>
      </c>
      <c r="I18" s="120">
        <v>0.91600000000000004</v>
      </c>
      <c r="J18" t="s">
        <v>37</v>
      </c>
      <c r="K18" t="s">
        <v>279</v>
      </c>
      <c r="M18" s="166">
        <f t="shared" si="1"/>
        <v>-3007.3968159493697</v>
      </c>
      <c r="N18" s="167">
        <f t="shared" si="2"/>
        <v>-583.43498229417776</v>
      </c>
      <c r="R18" s="66" t="s">
        <v>276</v>
      </c>
      <c r="S18" s="66">
        <v>-3.0073968159493698</v>
      </c>
      <c r="T18" s="66"/>
      <c r="V18" s="166">
        <v>-4432.8901285623206</v>
      </c>
      <c r="W18" s="167">
        <f t="shared" si="0"/>
        <v>-859.9806849410902</v>
      </c>
      <c r="X18" s="120">
        <f t="shared" si="3"/>
        <v>0.47399575109377562</v>
      </c>
    </row>
    <row r="19" spans="1:24" x14ac:dyDescent="0.35">
      <c r="A19" s="10" t="s">
        <v>204</v>
      </c>
      <c r="B19" s="84">
        <f t="shared" si="11"/>
        <v>228.23529411764707</v>
      </c>
      <c r="C19" s="11">
        <v>0.15</v>
      </c>
      <c r="D19" s="6">
        <v>194</v>
      </c>
      <c r="E19" s="7">
        <v>1700</v>
      </c>
      <c r="F19" s="11">
        <f t="shared" si="10"/>
        <v>0.88588235294117645</v>
      </c>
      <c r="G19" s="17">
        <v>0.45</v>
      </c>
      <c r="H19" s="118">
        <f t="shared" si="8"/>
        <v>0.43588235294117644</v>
      </c>
      <c r="I19" s="120">
        <v>0.91600000000000004</v>
      </c>
      <c r="J19" t="s">
        <v>38</v>
      </c>
      <c r="K19" t="s">
        <v>279</v>
      </c>
      <c r="M19" s="166">
        <f t="shared" si="1"/>
        <v>-2860.3109298490999</v>
      </c>
      <c r="N19" s="167">
        <f t="shared" si="2"/>
        <v>-554.90032039072537</v>
      </c>
      <c r="R19" s="66" t="s">
        <v>277</v>
      </c>
      <c r="S19" s="66">
        <v>-2.8603109298491001</v>
      </c>
      <c r="T19" s="66"/>
      <c r="V19" s="166">
        <v>-2856.65471910223</v>
      </c>
      <c r="W19" s="167">
        <f t="shared" si="0"/>
        <v>-554.19101550583264</v>
      </c>
      <c r="X19" s="120">
        <f t="shared" si="3"/>
        <v>-1.2782563981821246E-3</v>
      </c>
    </row>
    <row r="20" spans="1:24" x14ac:dyDescent="0.35">
      <c r="A20" s="10" t="s">
        <v>205</v>
      </c>
      <c r="B20" s="84">
        <f t="shared" si="11"/>
        <v>317.64705882352939</v>
      </c>
      <c r="C20" s="11">
        <v>0.15</v>
      </c>
      <c r="D20" s="6">
        <v>270</v>
      </c>
      <c r="E20" s="7">
        <v>1660</v>
      </c>
      <c r="F20" s="11">
        <f t="shared" si="10"/>
        <v>0.83734939759036142</v>
      </c>
      <c r="G20" s="17">
        <v>0.45</v>
      </c>
      <c r="H20" s="118">
        <f t="shared" si="8"/>
        <v>0.38734939759036141</v>
      </c>
      <c r="I20" s="120">
        <v>0.81599999999999995</v>
      </c>
      <c r="J20" t="s">
        <v>39</v>
      </c>
      <c r="K20" t="s">
        <v>279</v>
      </c>
      <c r="M20" s="166">
        <f t="shared" si="1"/>
        <v>-3902.4744062319901</v>
      </c>
      <c r="N20" s="167">
        <f t="shared" si="2"/>
        <v>-1053.6680896826372</v>
      </c>
      <c r="R20" s="66" t="s">
        <v>278</v>
      </c>
      <c r="S20" s="66">
        <v>-3.90247440623199</v>
      </c>
      <c r="T20" s="66"/>
      <c r="V20" s="166">
        <v>-5343.9445025168898</v>
      </c>
      <c r="W20" s="167">
        <f t="shared" si="0"/>
        <v>-1442.8650156795602</v>
      </c>
      <c r="X20" s="120">
        <f t="shared" si="3"/>
        <v>0.36937336321359815</v>
      </c>
    </row>
    <row r="21" spans="1:24" x14ac:dyDescent="0.35">
      <c r="A21" s="10" t="s">
        <v>206</v>
      </c>
      <c r="B21" s="84">
        <f t="shared" si="11"/>
        <v>442.35294117647061</v>
      </c>
      <c r="C21" s="11">
        <v>0.15</v>
      </c>
      <c r="D21" s="6">
        <v>376</v>
      </c>
      <c r="E21" s="7">
        <v>1600</v>
      </c>
      <c r="F21" s="11">
        <f t="shared" si="10"/>
        <v>0.76500000000000001</v>
      </c>
      <c r="G21" s="17">
        <v>0.45</v>
      </c>
      <c r="H21" s="118">
        <f t="shared" ref="H21" si="12">F21-G21</f>
        <v>0.315</v>
      </c>
      <c r="I21" s="120">
        <v>0.64700000000000002</v>
      </c>
      <c r="J21" t="s">
        <v>40</v>
      </c>
      <c r="K21" t="s">
        <v>279</v>
      </c>
    </row>
    <row r="22" spans="1:24" x14ac:dyDescent="0.35">
      <c r="A22" s="10" t="s">
        <v>19</v>
      </c>
      <c r="B22" s="84">
        <f t="shared" si="11"/>
        <v>228.23529411764707</v>
      </c>
      <c r="C22" s="11">
        <v>0.15</v>
      </c>
      <c r="D22" s="6">
        <v>194</v>
      </c>
      <c r="E22" s="7">
        <v>1700</v>
      </c>
      <c r="F22" s="11">
        <f t="shared" si="10"/>
        <v>0.88588235294117645</v>
      </c>
      <c r="G22" s="17">
        <v>0.45</v>
      </c>
      <c r="H22" s="118">
        <f t="shared" si="8"/>
        <v>0.43588235294117644</v>
      </c>
      <c r="I22" s="120">
        <v>0.91600000000000004</v>
      </c>
      <c r="J22" s="19" t="s">
        <v>32</v>
      </c>
      <c r="K22" t="s">
        <v>279</v>
      </c>
    </row>
    <row r="23" spans="1:24" x14ac:dyDescent="0.35">
      <c r="A23" s="10" t="s">
        <v>20</v>
      </c>
      <c r="B23" s="84">
        <f t="shared" si="11"/>
        <v>442.35294117647061</v>
      </c>
      <c r="C23" s="11">
        <v>0.15</v>
      </c>
      <c r="D23" s="6">
        <v>376</v>
      </c>
      <c r="E23" s="7">
        <v>1600</v>
      </c>
      <c r="F23" s="11">
        <f t="shared" si="10"/>
        <v>0.76500000000000001</v>
      </c>
      <c r="G23" s="17">
        <v>0.45</v>
      </c>
      <c r="H23" s="118">
        <f t="shared" si="8"/>
        <v>0.315</v>
      </c>
      <c r="I23" s="120">
        <v>0.64700000000000002</v>
      </c>
      <c r="J23" s="19" t="s">
        <v>33</v>
      </c>
      <c r="K23" t="s">
        <v>279</v>
      </c>
    </row>
    <row r="24" spans="1:24" x14ac:dyDescent="0.35">
      <c r="A24" s="10" t="s">
        <v>21</v>
      </c>
      <c r="B24" s="84">
        <f t="shared" si="11"/>
        <v>194.11764705882354</v>
      </c>
      <c r="C24" s="11">
        <v>0.15</v>
      </c>
      <c r="D24" s="6">
        <v>165</v>
      </c>
      <c r="E24" s="7">
        <v>1900</v>
      </c>
      <c r="F24" s="11">
        <f t="shared" si="10"/>
        <v>0.91315789473684206</v>
      </c>
      <c r="G24" s="17">
        <v>0.45</v>
      </c>
      <c r="H24" s="118">
        <f t="shared" si="8"/>
        <v>0.46315789473684205</v>
      </c>
      <c r="I24" s="120">
        <v>0.64600000000000002</v>
      </c>
      <c r="J24" s="19" t="s">
        <v>33</v>
      </c>
      <c r="K24" t="s">
        <v>279</v>
      </c>
    </row>
    <row r="25" spans="1:24" x14ac:dyDescent="0.35">
      <c r="A25" s="10" t="s">
        <v>12</v>
      </c>
      <c r="B25" s="84">
        <f t="shared" si="11"/>
        <v>588.23529411764707</v>
      </c>
      <c r="C25" s="11">
        <v>0.15</v>
      </c>
      <c r="D25" s="6">
        <v>500</v>
      </c>
      <c r="E25" s="7">
        <v>1800</v>
      </c>
      <c r="F25" s="11">
        <f t="shared" si="10"/>
        <v>0.72222222222222221</v>
      </c>
      <c r="G25" s="17">
        <v>0.45</v>
      </c>
      <c r="H25" s="118">
        <f t="shared" si="8"/>
        <v>0.2722222222222222</v>
      </c>
      <c r="I25" s="120">
        <v>0.93400000000000005</v>
      </c>
      <c r="J25" s="19" t="s">
        <v>32</v>
      </c>
      <c r="K25" t="s">
        <v>279</v>
      </c>
    </row>
    <row r="26" spans="1:24" x14ac:dyDescent="0.35">
      <c r="A26" s="170" t="s">
        <v>13</v>
      </c>
      <c r="B26" s="84">
        <f t="shared" si="11"/>
        <v>666.66666666666674</v>
      </c>
      <c r="C26" s="11">
        <v>0.4</v>
      </c>
      <c r="D26" s="6">
        <v>400</v>
      </c>
      <c r="E26" s="7">
        <f>D26/(1-F26)</f>
        <v>666.66666666666674</v>
      </c>
      <c r="F26" s="11">
        <v>0.4</v>
      </c>
      <c r="G26" s="11">
        <f>F26</f>
        <v>0.4</v>
      </c>
      <c r="H26" s="119">
        <f t="shared" si="8"/>
        <v>0</v>
      </c>
      <c r="I26" s="75">
        <v>0</v>
      </c>
      <c r="J26" t="s">
        <v>30</v>
      </c>
      <c r="K26" t="s">
        <v>279</v>
      </c>
    </row>
    <row r="27" spans="1:24" x14ac:dyDescent="0.35">
      <c r="A27" s="112" t="s">
        <v>14</v>
      </c>
      <c r="B27" s="113">
        <v>1000</v>
      </c>
      <c r="C27" s="113" t="s">
        <v>195</v>
      </c>
      <c r="D27" s="113">
        <v>1000</v>
      </c>
      <c r="E27" s="114">
        <f>D27/(1-F27)</f>
        <v>1000</v>
      </c>
      <c r="F27" s="115">
        <v>0</v>
      </c>
      <c r="G27" s="115">
        <v>0</v>
      </c>
      <c r="H27" s="116">
        <f t="shared" si="8"/>
        <v>0</v>
      </c>
      <c r="I27" s="75">
        <v>0</v>
      </c>
      <c r="J27" t="s">
        <v>31</v>
      </c>
      <c r="K27" t="s">
        <v>279</v>
      </c>
    </row>
    <row r="29" spans="1:24" x14ac:dyDescent="0.35">
      <c r="M29" t="s">
        <v>288</v>
      </c>
      <c r="O29" t="s">
        <v>289</v>
      </c>
    </row>
    <row r="30" spans="1:24" x14ac:dyDescent="0.35">
      <c r="M30" s="169" t="s">
        <v>286</v>
      </c>
      <c r="N30" s="169" t="s">
        <v>287</v>
      </c>
      <c r="O30" s="169" t="s">
        <v>286</v>
      </c>
      <c r="P30" s="169" t="s">
        <v>287</v>
      </c>
    </row>
    <row r="31" spans="1:24" x14ac:dyDescent="0.35">
      <c r="I31" s="171">
        <f ca="1">J31-N31</f>
        <v>-3424.6666755878077</v>
      </c>
      <c r="J31" s="171">
        <f ca="1">N31-J31</f>
        <v>0</v>
      </c>
      <c r="M31" s="168">
        <v>536.23616912420403</v>
      </c>
      <c r="N31" s="168">
        <v>677.7749511982181</v>
      </c>
      <c r="O31" s="168">
        <f t="shared" ref="O31:P37" si="13">M31*$D14/1000</f>
        <v>268.11808456210196</v>
      </c>
      <c r="P31" s="168">
        <f t="shared" si="13"/>
        <v>338.88747559910905</v>
      </c>
    </row>
    <row r="32" spans="1:24" x14ac:dyDescent="0.35">
      <c r="I32" s="171">
        <f t="shared" ref="I32:I37" si="14">J32-N32</f>
        <v>-3424.66666812021</v>
      </c>
      <c r="J32">
        <v>-2736.5606084459</v>
      </c>
      <c r="M32" s="168">
        <v>589.32831077427556</v>
      </c>
      <c r="N32" s="168">
        <v>688.10605967431002</v>
      </c>
      <c r="O32" s="168">
        <f t="shared" si="13"/>
        <v>294.66415538713778</v>
      </c>
      <c r="P32" s="168">
        <f t="shared" si="13"/>
        <v>344.05302983715501</v>
      </c>
    </row>
    <row r="33" spans="9:16" x14ac:dyDescent="0.35">
      <c r="I33" s="171">
        <f>J33-N33</f>
        <v>-2562.9999870249553</v>
      </c>
      <c r="J33">
        <v>-2018.10311617509</v>
      </c>
      <c r="M33" s="168">
        <v>313.16371659533007</v>
      </c>
      <c r="N33" s="168">
        <v>544.89687084986519</v>
      </c>
      <c r="O33" s="168">
        <f t="shared" si="13"/>
        <v>75.785619416069878</v>
      </c>
      <c r="P33" s="168">
        <f t="shared" si="13"/>
        <v>131.86504274566735</v>
      </c>
    </row>
    <row r="34" spans="9:16" x14ac:dyDescent="0.35">
      <c r="I34" s="171">
        <f t="shared" si="14"/>
        <v>-2562.9999805236976</v>
      </c>
      <c r="J34">
        <v>-2007.6915617717402</v>
      </c>
      <c r="M34" s="168">
        <v>366.33629767140184</v>
      </c>
      <c r="N34" s="168">
        <v>555.30841875195745</v>
      </c>
      <c r="O34" s="168">
        <f t="shared" si="13"/>
        <v>88.653384036479238</v>
      </c>
      <c r="P34" s="168">
        <f t="shared" si="13"/>
        <v>134.38463733797369</v>
      </c>
    </row>
    <row r="35" spans="9:16" x14ac:dyDescent="0.35">
      <c r="I35" s="171">
        <f t="shared" si="14"/>
        <v>-3358.6666393925766</v>
      </c>
      <c r="J35">
        <v>-3007.3968159493697</v>
      </c>
      <c r="M35" s="168">
        <v>237.56389069210894</v>
      </c>
      <c r="N35" s="168">
        <v>351.26982344320675</v>
      </c>
      <c r="O35" s="168">
        <f t="shared" si="13"/>
        <v>46.087394794269137</v>
      </c>
      <c r="P35" s="168">
        <f t="shared" si="13"/>
        <v>68.14634574798211</v>
      </c>
    </row>
    <row r="36" spans="9:16" x14ac:dyDescent="0.35">
      <c r="I36" s="171">
        <f t="shared" si="14"/>
        <v>-3358.6666469378383</v>
      </c>
      <c r="J36">
        <v>-2860.3109298490999</v>
      </c>
      <c r="M36" s="168">
        <v>141.95571708873851</v>
      </c>
      <c r="N36" s="168">
        <v>498.35571708873852</v>
      </c>
      <c r="O36" s="168">
        <f t="shared" si="13"/>
        <v>27.539409115215271</v>
      </c>
      <c r="P36" s="168">
        <f t="shared" si="13"/>
        <v>96.681009115215275</v>
      </c>
    </row>
    <row r="37" spans="9:16" x14ac:dyDescent="0.35">
      <c r="I37" s="171">
        <f t="shared" si="14"/>
        <v>-2992.000157236309</v>
      </c>
      <c r="J37">
        <v>-3902.4744062319901</v>
      </c>
      <c r="M37" s="168">
        <v>1639.8547858405839</v>
      </c>
      <c r="N37" s="168">
        <v>-910.47424899568125</v>
      </c>
      <c r="O37" s="168">
        <f t="shared" si="13"/>
        <v>442.76079217695764</v>
      </c>
      <c r="P37" s="168">
        <f t="shared" si="13"/>
        <v>-245.82804722883395</v>
      </c>
    </row>
    <row r="38" spans="9:16" x14ac:dyDescent="0.35">
      <c r="M38" s="171">
        <f>M37-N37</f>
        <v>2550.3290348362652</v>
      </c>
    </row>
    <row r="39" spans="9:16" x14ac:dyDescent="0.35">
      <c r="M39" t="s">
        <v>290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9"/>
  <sheetViews>
    <sheetView topLeftCell="A10" zoomScale="85" zoomScaleNormal="85" workbookViewId="0">
      <selection activeCell="F19" sqref="F19"/>
    </sheetView>
  </sheetViews>
  <sheetFormatPr defaultRowHeight="14.5" x14ac:dyDescent="0.35"/>
  <cols>
    <col min="1" max="1" width="32.08984375" customWidth="1"/>
    <col min="2" max="2" width="7.54296875" style="25" customWidth="1"/>
    <col min="3" max="4" width="8.7265625" style="25"/>
    <col min="5" max="5" width="5.90625" style="25" customWidth="1"/>
    <col min="6" max="6" width="7.81640625" style="25" customWidth="1"/>
    <col min="7" max="7" width="6.08984375" style="25" customWidth="1"/>
  </cols>
  <sheetData>
    <row r="1" spans="1:29" x14ac:dyDescent="0.35">
      <c r="A1" s="20" t="s">
        <v>41</v>
      </c>
    </row>
    <row r="2" spans="1:29" x14ac:dyDescent="0.35">
      <c r="A2" s="20"/>
    </row>
    <row r="3" spans="1:29" ht="105" x14ac:dyDescent="0.35">
      <c r="A3" s="22" t="s">
        <v>43</v>
      </c>
      <c r="B3" s="158" t="s">
        <v>45</v>
      </c>
      <c r="C3" s="158" t="s">
        <v>44</v>
      </c>
      <c r="D3" s="158" t="s">
        <v>217</v>
      </c>
      <c r="E3" s="158" t="s">
        <v>216</v>
      </c>
      <c r="F3" s="158" t="s">
        <v>251</v>
      </c>
      <c r="G3" s="158" t="s">
        <v>252</v>
      </c>
      <c r="H3" s="159" t="s">
        <v>49</v>
      </c>
      <c r="I3" s="159" t="s">
        <v>50</v>
      </c>
      <c r="J3" s="158" t="s">
        <v>245</v>
      </c>
      <c r="K3" s="158" t="s">
        <v>244</v>
      </c>
      <c r="L3" s="160" t="s">
        <v>208</v>
      </c>
      <c r="M3" s="161" t="s">
        <v>207</v>
      </c>
      <c r="N3" s="161" t="s">
        <v>209</v>
      </c>
      <c r="O3" s="47" t="s">
        <v>211</v>
      </c>
      <c r="P3" s="160" t="s">
        <v>212</v>
      </c>
      <c r="Q3" s="162" t="s">
        <v>213</v>
      </c>
      <c r="R3" s="121" t="s">
        <v>210</v>
      </c>
      <c r="S3" s="121" t="s">
        <v>214</v>
      </c>
      <c r="T3" s="29" t="s">
        <v>215</v>
      </c>
      <c r="U3" s="121" t="s">
        <v>241</v>
      </c>
      <c r="V3" s="121" t="s">
        <v>235</v>
      </c>
      <c r="W3" s="121" t="s">
        <v>236</v>
      </c>
      <c r="X3" s="121" t="s">
        <v>237</v>
      </c>
      <c r="Y3" s="121" t="s">
        <v>238</v>
      </c>
      <c r="Z3" s="121" t="s">
        <v>239</v>
      </c>
      <c r="AA3" s="121" t="s">
        <v>240</v>
      </c>
    </row>
    <row r="4" spans="1:29" x14ac:dyDescent="0.35">
      <c r="A4" s="21" t="s">
        <v>46</v>
      </c>
      <c r="B4" s="23" t="s">
        <v>232</v>
      </c>
      <c r="C4" s="23" t="s">
        <v>232</v>
      </c>
      <c r="D4" s="23" t="s">
        <v>47</v>
      </c>
      <c r="E4" s="23" t="s">
        <v>47</v>
      </c>
      <c r="F4" s="23" t="s">
        <v>232</v>
      </c>
      <c r="G4" s="23" t="s">
        <v>48</v>
      </c>
      <c r="H4" s="23" t="s">
        <v>232</v>
      </c>
      <c r="I4" s="23" t="s">
        <v>48</v>
      </c>
      <c r="J4" s="23" t="str">
        <f>U4</f>
        <v>v-b</v>
      </c>
      <c r="K4" s="23" t="s">
        <v>232</v>
      </c>
      <c r="L4" s="23" t="s">
        <v>48</v>
      </c>
      <c r="M4" s="23" t="s">
        <v>232</v>
      </c>
      <c r="N4" s="23" t="s">
        <v>48</v>
      </c>
      <c r="O4" s="23"/>
      <c r="P4" s="23" t="s">
        <v>48</v>
      </c>
      <c r="Q4" s="23" t="s">
        <v>232</v>
      </c>
      <c r="R4" s="23" t="s">
        <v>48</v>
      </c>
      <c r="S4" s="23" t="s">
        <v>48</v>
      </c>
      <c r="T4" s="23"/>
      <c r="U4" s="23" t="s">
        <v>48</v>
      </c>
      <c r="V4" s="23" t="s">
        <v>48</v>
      </c>
      <c r="W4" s="23" t="s">
        <v>48</v>
      </c>
      <c r="X4" s="23" t="s">
        <v>48</v>
      </c>
      <c r="Y4" s="23" t="s">
        <v>48</v>
      </c>
      <c r="Z4" s="23" t="s">
        <v>48</v>
      </c>
      <c r="AA4" s="23" t="s">
        <v>48</v>
      </c>
    </row>
    <row r="5" spans="1:29" x14ac:dyDescent="0.35">
      <c r="A5" s="24" t="s">
        <v>196</v>
      </c>
      <c r="B5" s="86">
        <v>1400</v>
      </c>
      <c r="C5" s="86">
        <v>1700</v>
      </c>
      <c r="D5" s="86"/>
      <c r="E5" s="86"/>
      <c r="F5" s="86">
        <v>1200</v>
      </c>
      <c r="G5" s="86">
        <v>1200</v>
      </c>
      <c r="H5" s="164">
        <v>800</v>
      </c>
      <c r="I5" s="164">
        <v>850</v>
      </c>
      <c r="J5" s="86">
        <f>U5</f>
        <v>1250</v>
      </c>
      <c r="K5" s="86"/>
      <c r="L5" s="87">
        <v>1250</v>
      </c>
      <c r="M5" s="54"/>
      <c r="N5" s="86">
        <v>1500</v>
      </c>
      <c r="O5" s="55"/>
      <c r="P5" s="86">
        <v>1250</v>
      </c>
      <c r="Q5" s="54"/>
      <c r="R5" s="86">
        <v>1500</v>
      </c>
      <c r="S5" s="86">
        <v>1000</v>
      </c>
      <c r="T5" s="86"/>
      <c r="U5" s="86">
        <v>1250</v>
      </c>
      <c r="V5" s="86">
        <v>1400</v>
      </c>
      <c r="W5" s="86">
        <v>1400</v>
      </c>
      <c r="X5" s="86">
        <v>1700</v>
      </c>
      <c r="Y5" s="86">
        <v>1700</v>
      </c>
      <c r="Z5" s="86">
        <v>1700</v>
      </c>
      <c r="AA5" s="86">
        <v>1700</v>
      </c>
    </row>
    <row r="6" spans="1:29" x14ac:dyDescent="0.35">
      <c r="A6" s="21" t="s">
        <v>198</v>
      </c>
      <c r="B6" s="56"/>
      <c r="C6" s="56"/>
      <c r="D6" s="56">
        <f>D7</f>
        <v>0.41695762451638602</v>
      </c>
      <c r="E6" s="56">
        <f>E7</f>
        <v>0.34454491128792503</v>
      </c>
      <c r="F6" s="56">
        <v>0.59300594441558885</v>
      </c>
      <c r="G6" s="56"/>
      <c r="H6" s="56">
        <v>0.69419460417093182</v>
      </c>
      <c r="I6" s="56">
        <v>0.72534850385591843</v>
      </c>
      <c r="J6" s="56">
        <f>U6</f>
        <v>0.60803494100980204</v>
      </c>
      <c r="K6" s="56"/>
      <c r="L6" s="123">
        <v>0.60438786903426167</v>
      </c>
      <c r="M6" s="57"/>
      <c r="N6" s="57">
        <f>N7</f>
        <v>0.50287187657219523</v>
      </c>
      <c r="O6" s="56"/>
      <c r="P6" s="123">
        <v>0.57793671105794409</v>
      </c>
      <c r="Q6" s="56"/>
      <c r="R6" s="56"/>
      <c r="S6" s="56">
        <v>0.67877541229114202</v>
      </c>
      <c r="T6" s="56"/>
      <c r="U6" s="130">
        <v>0.60803494100980204</v>
      </c>
      <c r="V6" s="56"/>
      <c r="W6" s="56"/>
      <c r="X6" s="56"/>
      <c r="Y6" s="56"/>
      <c r="Z6" s="56"/>
      <c r="AA6" s="56"/>
    </row>
    <row r="7" spans="1:29" x14ac:dyDescent="0.35">
      <c r="A7" s="21" t="s">
        <v>197</v>
      </c>
      <c r="B7" s="56">
        <f>V7</f>
        <v>0.41695762451638602</v>
      </c>
      <c r="C7" s="56">
        <f>Z7</f>
        <v>0.34454491128792503</v>
      </c>
      <c r="D7" s="129">
        <f>V7</f>
        <v>0.41695762451638602</v>
      </c>
      <c r="E7" s="129">
        <f>Z7</f>
        <v>0.34454491128792503</v>
      </c>
      <c r="F7" s="129">
        <v>0.51584884922501173</v>
      </c>
      <c r="G7" s="129"/>
      <c r="H7" s="56">
        <v>0.47911408280777656</v>
      </c>
      <c r="I7" s="56">
        <v>0.50840588238802531</v>
      </c>
      <c r="J7" s="56">
        <f>U7</f>
        <v>0.60803494100980204</v>
      </c>
      <c r="K7" s="56">
        <f>J7</f>
        <v>0.60803494100980204</v>
      </c>
      <c r="L7" s="123">
        <f>L6</f>
        <v>0.60438786903426167</v>
      </c>
      <c r="M7" s="157">
        <f>L7</f>
        <v>0.60438786903426167</v>
      </c>
      <c r="N7" s="57">
        <v>0.50287187657219523</v>
      </c>
      <c r="O7" s="56"/>
      <c r="P7" s="123">
        <v>0.57793671105794409</v>
      </c>
      <c r="Q7" s="56">
        <f>P7</f>
        <v>0.57793671105794409</v>
      </c>
      <c r="R7" s="56"/>
      <c r="S7" s="56">
        <v>0.50177664553088908</v>
      </c>
      <c r="T7" s="56"/>
      <c r="U7" s="130">
        <f>U6</f>
        <v>0.60803494100980204</v>
      </c>
      <c r="V7" s="153">
        <v>0.41695762451638602</v>
      </c>
      <c r="W7" s="153">
        <v>0.41695762451638618</v>
      </c>
      <c r="X7" s="152">
        <v>0.34314750435156377</v>
      </c>
      <c r="Y7" s="152">
        <v>0.34314750435156377</v>
      </c>
      <c r="Z7" s="152">
        <v>0.34454491128792503</v>
      </c>
      <c r="AA7" s="152">
        <v>0.34454491128792475</v>
      </c>
    </row>
    <row r="8" spans="1:29" x14ac:dyDescent="0.35">
      <c r="A8" s="21" t="s">
        <v>242</v>
      </c>
      <c r="B8" s="56"/>
      <c r="C8" s="56"/>
      <c r="D8" s="56"/>
      <c r="E8" s="56"/>
      <c r="F8" s="56">
        <v>0.17694731108572043</v>
      </c>
      <c r="G8" s="56"/>
      <c r="H8" s="56"/>
      <c r="I8" s="56"/>
      <c r="J8" s="56">
        <f>U8</f>
        <v>0.217</v>
      </c>
      <c r="K8" s="56"/>
      <c r="L8" s="56"/>
      <c r="M8" s="57"/>
      <c r="N8" s="57"/>
      <c r="O8" s="56"/>
      <c r="P8" s="56">
        <v>0.16174094101560063</v>
      </c>
      <c r="Q8" s="56"/>
      <c r="R8" s="56"/>
      <c r="S8" s="56"/>
      <c r="T8" s="56"/>
      <c r="U8" s="130">
        <v>0.217</v>
      </c>
      <c r="V8" s="130">
        <v>5.8000000000000003E-2</v>
      </c>
      <c r="W8" s="130">
        <v>5.8000000000000003E-2</v>
      </c>
      <c r="X8" s="123">
        <f>W8</f>
        <v>5.8000000000000003E-2</v>
      </c>
      <c r="Y8" s="123">
        <f t="shared" ref="Y8:AA8" si="0">X8</f>
        <v>5.8000000000000003E-2</v>
      </c>
      <c r="Z8" s="123">
        <f t="shared" si="0"/>
        <v>5.8000000000000003E-2</v>
      </c>
      <c r="AA8" s="123">
        <f t="shared" si="0"/>
        <v>5.8000000000000003E-2</v>
      </c>
    </row>
    <row r="9" spans="1:29" s="27" customFormat="1" x14ac:dyDescent="0.35">
      <c r="A9" s="26" t="s">
        <v>42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spans="1:29" x14ac:dyDescent="0.35">
      <c r="A10" s="30" t="s">
        <v>5</v>
      </c>
      <c r="B10" s="48"/>
      <c r="C10" s="49"/>
      <c r="D10" s="49"/>
      <c r="E10" s="49"/>
      <c r="F10" s="49"/>
      <c r="G10" s="49"/>
      <c r="H10" s="125">
        <v>0.42553191489361702</v>
      </c>
      <c r="I10" s="125">
        <v>0.4</v>
      </c>
      <c r="J10" s="49"/>
      <c r="K10" s="125"/>
      <c r="L10" s="49"/>
      <c r="M10" s="49"/>
      <c r="N10" s="49"/>
      <c r="O10" s="49"/>
      <c r="P10" s="49"/>
      <c r="Q10" s="49"/>
      <c r="R10" s="49"/>
      <c r="S10" s="126">
        <v>0.4</v>
      </c>
      <c r="T10" s="49">
        <v>0</v>
      </c>
      <c r="U10" s="49"/>
      <c r="V10" s="49"/>
      <c r="W10" s="49"/>
      <c r="X10" s="49"/>
      <c r="Y10" s="49"/>
      <c r="Z10" s="49"/>
      <c r="AA10" s="49"/>
    </row>
    <row r="11" spans="1:29" x14ac:dyDescent="0.35">
      <c r="A11" s="31" t="s">
        <v>6</v>
      </c>
      <c r="B11" s="50"/>
      <c r="C11" s="50"/>
      <c r="D11" s="50">
        <f>0.2*P11</f>
        <v>6.9999999999999993E-2</v>
      </c>
      <c r="E11" s="106">
        <f>0.15*P11/1.15</f>
        <v>4.5652173913043478E-2</v>
      </c>
      <c r="F11" s="106">
        <v>0.2</v>
      </c>
      <c r="G11" s="106">
        <v>0.25</v>
      </c>
      <c r="H11" s="106">
        <v>5.31914893617021E-2</v>
      </c>
      <c r="I11" s="106">
        <v>0.25</v>
      </c>
      <c r="J11" s="50">
        <v>0.4</v>
      </c>
      <c r="K11" s="106">
        <v>0.2</v>
      </c>
      <c r="L11" s="127">
        <v>0.35</v>
      </c>
      <c r="M11" s="127">
        <v>0</v>
      </c>
      <c r="N11" s="127">
        <v>0</v>
      </c>
      <c r="O11" s="50"/>
      <c r="P11" s="127">
        <v>0.35</v>
      </c>
      <c r="Q11" s="50">
        <v>0</v>
      </c>
      <c r="R11" s="50"/>
      <c r="S11" s="127">
        <v>0.25</v>
      </c>
      <c r="T11" s="50"/>
      <c r="U11" s="50">
        <v>0.4</v>
      </c>
      <c r="V11" s="50"/>
      <c r="W11" s="50"/>
      <c r="X11" s="50"/>
      <c r="Y11" s="50"/>
      <c r="Z11" s="50"/>
      <c r="AA11" s="50"/>
      <c r="AC11" s="67"/>
    </row>
    <row r="12" spans="1:29" x14ac:dyDescent="0.35">
      <c r="A12" s="31" t="s">
        <v>7</v>
      </c>
      <c r="B12" s="50"/>
      <c r="C12" s="50"/>
      <c r="D12" s="50">
        <f>0.2*P12</f>
        <v>0.13</v>
      </c>
      <c r="E12" s="106">
        <f>0.15*P12/1.15</f>
        <v>8.4782608695652184E-2</v>
      </c>
      <c r="F12" s="106">
        <v>0.25</v>
      </c>
      <c r="G12" s="106">
        <v>0.25</v>
      </c>
      <c r="H12" s="106"/>
      <c r="I12" s="50"/>
      <c r="J12" s="50">
        <v>0.3</v>
      </c>
      <c r="K12" s="50">
        <v>0.3</v>
      </c>
      <c r="L12" s="127">
        <v>0.35</v>
      </c>
      <c r="M12" s="127">
        <v>0.35</v>
      </c>
      <c r="N12" s="127">
        <v>0.7</v>
      </c>
      <c r="O12" s="50"/>
      <c r="P12" s="127">
        <v>0.65</v>
      </c>
      <c r="Q12" s="50">
        <v>0.65</v>
      </c>
      <c r="R12" s="50">
        <v>1</v>
      </c>
      <c r="S12" s="127">
        <v>0.25</v>
      </c>
      <c r="T12" s="50">
        <v>0.25</v>
      </c>
      <c r="U12" s="50">
        <v>0.3</v>
      </c>
      <c r="V12" s="50"/>
      <c r="W12" s="50"/>
      <c r="X12" s="50"/>
      <c r="Y12" s="50"/>
      <c r="Z12" s="50"/>
      <c r="AA12" s="50"/>
    </row>
    <row r="13" spans="1:29" x14ac:dyDescent="0.35">
      <c r="A13" s="31" t="s">
        <v>8</v>
      </c>
      <c r="B13" s="50"/>
      <c r="C13" s="50"/>
      <c r="D13" s="50"/>
      <c r="E13" s="50"/>
      <c r="F13" s="50"/>
      <c r="G13" s="50"/>
      <c r="H13" s="106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</row>
    <row r="14" spans="1:29" x14ac:dyDescent="0.35">
      <c r="A14" s="31" t="s">
        <v>9</v>
      </c>
      <c r="B14" s="50"/>
      <c r="C14" s="50"/>
      <c r="D14" s="50"/>
      <c r="E14" s="50"/>
      <c r="F14" s="50">
        <f>0.1*2</f>
        <v>0.2</v>
      </c>
      <c r="G14" s="50">
        <f>0.15+0.1</f>
        <v>0.25</v>
      </c>
      <c r="H14" s="106">
        <v>0.26595744680851102</v>
      </c>
      <c r="I14" s="50">
        <v>0.25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</row>
    <row r="15" spans="1:29" x14ac:dyDescent="0.35">
      <c r="A15" s="31" t="s">
        <v>16</v>
      </c>
      <c r="B15" s="127">
        <v>0.8</v>
      </c>
      <c r="C15" s="50"/>
      <c r="D15" s="106">
        <v>0.8</v>
      </c>
      <c r="E15" s="50"/>
      <c r="F15" s="50"/>
      <c r="G15" s="50"/>
      <c r="H15" s="106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127">
        <v>0.8</v>
      </c>
      <c r="W15" s="127">
        <v>0.8</v>
      </c>
      <c r="X15" s="50"/>
      <c r="Y15" s="50"/>
      <c r="Z15" s="50"/>
      <c r="AA15" s="50"/>
    </row>
    <row r="16" spans="1:29" x14ac:dyDescent="0.35">
      <c r="A16" s="31" t="s">
        <v>17</v>
      </c>
      <c r="B16" s="50"/>
      <c r="C16" s="50"/>
      <c r="D16" s="50"/>
      <c r="E16" s="50"/>
      <c r="F16" s="50"/>
      <c r="G16" s="50"/>
      <c r="H16" s="106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127">
        <v>1</v>
      </c>
      <c r="Y16" s="127">
        <v>1</v>
      </c>
      <c r="Z16" s="50"/>
      <c r="AA16" s="50"/>
    </row>
    <row r="17" spans="1:27" x14ac:dyDescent="0.35">
      <c r="A17" s="31" t="s">
        <v>10</v>
      </c>
      <c r="B17" s="50"/>
      <c r="C17" s="127">
        <f>1/1.15</f>
        <v>0.86956521739130443</v>
      </c>
      <c r="D17" s="51"/>
      <c r="E17" s="51">
        <f>1/1.15</f>
        <v>0.86956521739130443</v>
      </c>
      <c r="F17" s="51"/>
      <c r="G17" s="51"/>
      <c r="H17" s="106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127">
        <v>1</v>
      </c>
      <c r="AA17" s="127">
        <v>1</v>
      </c>
    </row>
    <row r="18" spans="1:27" x14ac:dyDescent="0.35">
      <c r="A18" s="31" t="s">
        <v>254</v>
      </c>
      <c r="B18" s="50"/>
      <c r="C18" s="127"/>
      <c r="D18" s="51"/>
      <c r="E18" s="51"/>
      <c r="F18" s="49">
        <v>0.25</v>
      </c>
      <c r="G18" s="49">
        <v>0.2</v>
      </c>
      <c r="H18" s="106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127"/>
      <c r="AA18" s="127"/>
    </row>
    <row r="19" spans="1:27" x14ac:dyDescent="0.35">
      <c r="A19" s="31" t="s">
        <v>253</v>
      </c>
      <c r="B19" s="50"/>
      <c r="C19" s="127"/>
      <c r="D19" s="51"/>
      <c r="E19" s="51"/>
      <c r="F19" s="50">
        <v>3.7499999999999999E-2</v>
      </c>
      <c r="G19" s="50">
        <v>0.05</v>
      </c>
      <c r="H19" s="106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127"/>
      <c r="AA19" s="127"/>
    </row>
    <row r="20" spans="1:27" x14ac:dyDescent="0.35">
      <c r="A20" s="31" t="s">
        <v>11</v>
      </c>
      <c r="B20" s="50"/>
      <c r="C20" s="50"/>
      <c r="D20" s="50"/>
      <c r="E20" s="50"/>
      <c r="F20" s="50"/>
      <c r="G20" s="50"/>
      <c r="H20" s="106"/>
      <c r="I20" s="50"/>
      <c r="J20" s="50">
        <v>0.3</v>
      </c>
      <c r="K20" s="50">
        <v>0.3</v>
      </c>
      <c r="L20" s="127">
        <v>0.3</v>
      </c>
      <c r="M20" s="127">
        <v>0.3</v>
      </c>
      <c r="N20" s="127">
        <v>0.3</v>
      </c>
      <c r="O20" s="50"/>
      <c r="P20" s="50"/>
      <c r="Q20" s="50"/>
      <c r="R20" s="50"/>
      <c r="S20" s="127">
        <v>0.1</v>
      </c>
      <c r="T20" s="50">
        <v>0.1</v>
      </c>
      <c r="U20" s="50">
        <v>0.3</v>
      </c>
      <c r="V20" s="50"/>
      <c r="W20" s="50"/>
      <c r="X20" s="50"/>
      <c r="Y20" s="50"/>
      <c r="Z20" s="50"/>
      <c r="AA20" s="50"/>
    </row>
    <row r="21" spans="1:27" x14ac:dyDescent="0.35">
      <c r="A21" s="32" t="s">
        <v>18</v>
      </c>
      <c r="B21" s="50"/>
      <c r="C21" s="50"/>
      <c r="D21" s="50"/>
      <c r="E21" s="50"/>
      <c r="F21" s="50"/>
      <c r="G21" s="50"/>
      <c r="H21" s="106">
        <v>0.10638297872340401</v>
      </c>
      <c r="I21" s="50">
        <v>0.1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x14ac:dyDescent="0.35">
      <c r="A22" s="31" t="s">
        <v>199</v>
      </c>
      <c r="B22" s="50"/>
      <c r="C22" s="50"/>
      <c r="D22" s="50"/>
      <c r="E22" s="50"/>
      <c r="F22" s="50">
        <v>2.5000000000000001E-2</v>
      </c>
      <c r="G22" s="50"/>
      <c r="H22" s="106">
        <v>4.2553191489361701E-2</v>
      </c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x14ac:dyDescent="0.35">
      <c r="A23" s="31" t="s">
        <v>200</v>
      </c>
      <c r="B23" s="50"/>
      <c r="C23" s="127"/>
      <c r="D23" s="50"/>
      <c r="E23" s="50"/>
      <c r="F23" s="50"/>
      <c r="G23" s="50"/>
      <c r="H23" s="106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x14ac:dyDescent="0.35">
      <c r="A24" s="31" t="s">
        <v>201</v>
      </c>
      <c r="B24" s="50"/>
      <c r="C24" s="50"/>
      <c r="D24" s="52"/>
      <c r="E24" s="52"/>
      <c r="F24" s="52"/>
      <c r="G24" s="52"/>
      <c r="H24" s="106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x14ac:dyDescent="0.35">
      <c r="A25" s="31" t="s">
        <v>202</v>
      </c>
      <c r="B25" s="50"/>
      <c r="C25" s="50"/>
      <c r="D25" s="50"/>
      <c r="E25" s="50"/>
      <c r="F25" s="50"/>
      <c r="G25" s="50"/>
      <c r="H25" s="106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</row>
    <row r="26" spans="1:27" x14ac:dyDescent="0.35">
      <c r="A26" s="122" t="s">
        <v>203</v>
      </c>
      <c r="B26" s="127">
        <v>0.1</v>
      </c>
      <c r="C26" s="127">
        <f>0.075/1.15</f>
        <v>6.5217391304347824E-2</v>
      </c>
      <c r="D26" s="50"/>
      <c r="E26" s="50"/>
      <c r="F26" s="50"/>
      <c r="G26" s="50"/>
      <c r="H26" s="106"/>
      <c r="I26" s="50"/>
      <c r="J26" s="50"/>
      <c r="K26" s="50">
        <v>0.2</v>
      </c>
      <c r="L26" s="50"/>
      <c r="M26" s="50"/>
      <c r="N26" s="50"/>
      <c r="O26" s="50"/>
      <c r="P26" s="50"/>
      <c r="Q26" s="50"/>
      <c r="R26" s="50"/>
      <c r="S26" s="50"/>
      <c r="T26" s="50">
        <v>0.4</v>
      </c>
      <c r="U26" s="50"/>
      <c r="V26" s="127">
        <v>0.1</v>
      </c>
      <c r="W26" s="127">
        <v>0.1</v>
      </c>
      <c r="X26" s="127">
        <v>7.4999999999999997E-2</v>
      </c>
      <c r="Y26" s="127">
        <v>7.4999999999999997E-2</v>
      </c>
      <c r="Z26" s="127">
        <v>7.4999999999999997E-2</v>
      </c>
      <c r="AA26" s="127">
        <v>7.4999999999999997E-2</v>
      </c>
    </row>
    <row r="27" spans="1:27" x14ac:dyDescent="0.35">
      <c r="A27" s="31" t="s">
        <v>204</v>
      </c>
      <c r="B27" s="50"/>
      <c r="C27" s="50"/>
      <c r="D27" s="50"/>
      <c r="E27" s="50"/>
      <c r="F27" s="50"/>
      <c r="G27" s="50"/>
      <c r="H27" s="106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</row>
    <row r="28" spans="1:27" x14ac:dyDescent="0.35">
      <c r="A28" s="31" t="s">
        <v>205</v>
      </c>
      <c r="B28" s="50"/>
      <c r="C28" s="127"/>
      <c r="D28" s="52"/>
      <c r="E28" s="52"/>
      <c r="F28" s="52"/>
      <c r="G28" s="52"/>
      <c r="H28" s="106"/>
      <c r="I28" s="50"/>
      <c r="J28" s="50"/>
      <c r="K28" s="50"/>
      <c r="L28" s="50"/>
      <c r="M28" s="128">
        <v>0.2</v>
      </c>
      <c r="N28" s="50"/>
      <c r="O28" s="50"/>
      <c r="P28" s="50"/>
      <c r="Q28" s="50">
        <v>0.2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</row>
    <row r="29" spans="1:27" x14ac:dyDescent="0.35">
      <c r="A29" s="31" t="s">
        <v>206</v>
      </c>
      <c r="B29" s="50"/>
      <c r="C29" s="50"/>
      <c r="D29" s="50"/>
      <c r="E29" s="50"/>
      <c r="F29" s="50"/>
      <c r="G29" s="50"/>
      <c r="H29" s="106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1:27" x14ac:dyDescent="0.35">
      <c r="A30" s="31" t="s">
        <v>19</v>
      </c>
      <c r="B30" s="50"/>
      <c r="C30" s="50"/>
      <c r="D30" s="50"/>
      <c r="E30" s="50"/>
      <c r="F30" s="50"/>
      <c r="G30" s="50"/>
      <c r="H30" s="106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</row>
    <row r="31" spans="1:27" x14ac:dyDescent="0.35">
      <c r="A31" s="31" t="s">
        <v>20</v>
      </c>
      <c r="B31" s="50"/>
      <c r="C31" s="50"/>
      <c r="D31" s="50"/>
      <c r="E31" s="50"/>
      <c r="F31" s="50"/>
      <c r="G31" s="50"/>
      <c r="H31" s="106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27" x14ac:dyDescent="0.35">
      <c r="A32" s="31" t="s">
        <v>21</v>
      </c>
      <c r="B32" s="50"/>
      <c r="C32" s="50"/>
      <c r="D32" s="50"/>
      <c r="E32" s="50"/>
      <c r="F32" s="50"/>
      <c r="G32" s="50"/>
      <c r="H32" s="106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x14ac:dyDescent="0.35">
      <c r="A33" s="31" t="s">
        <v>12</v>
      </c>
      <c r="B33" s="50"/>
      <c r="C33" s="50"/>
      <c r="D33" s="52"/>
      <c r="E33" s="52"/>
      <c r="F33" s="52"/>
      <c r="G33" s="52"/>
      <c r="H33" s="106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27" x14ac:dyDescent="0.35">
      <c r="A34" s="31" t="s">
        <v>13</v>
      </c>
      <c r="B34" s="127">
        <v>0.1</v>
      </c>
      <c r="C34" s="127">
        <f>0.075/1.15</f>
        <v>6.5217391304347824E-2</v>
      </c>
      <c r="D34" s="52"/>
      <c r="E34" s="52"/>
      <c r="F34" s="52">
        <v>3.7499999999999999E-2</v>
      </c>
      <c r="G34" s="52"/>
      <c r="H34" s="106">
        <v>0.10638297872340401</v>
      </c>
      <c r="I34" s="50"/>
      <c r="J34" s="50"/>
      <c r="K34" s="50"/>
      <c r="L34" s="50"/>
      <c r="M34" s="127">
        <v>0.15</v>
      </c>
      <c r="N34" s="50"/>
      <c r="O34" s="50"/>
      <c r="P34" s="50"/>
      <c r="Q34" s="50">
        <v>0.15</v>
      </c>
      <c r="R34" s="50"/>
      <c r="S34" s="50"/>
      <c r="T34" s="50">
        <v>0.25</v>
      </c>
      <c r="U34" s="50"/>
      <c r="V34" s="127">
        <v>0.1</v>
      </c>
      <c r="W34" s="127">
        <v>0.1</v>
      </c>
      <c r="X34" s="127">
        <v>7.4999999999999997E-2</v>
      </c>
      <c r="Y34" s="127">
        <v>7.4999999999999997E-2</v>
      </c>
      <c r="Z34" s="127">
        <v>7.4999999999999997E-2</v>
      </c>
      <c r="AA34" s="127">
        <v>7.4999999999999997E-2</v>
      </c>
    </row>
    <row r="35" spans="1:27" x14ac:dyDescent="0.35">
      <c r="A35" s="33" t="s">
        <v>14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</row>
    <row r="36" spans="1:27" x14ac:dyDescent="0.35">
      <c r="A36" s="30" t="s">
        <v>243</v>
      </c>
      <c r="H36" s="25"/>
      <c r="I36" s="25"/>
      <c r="J36" s="25"/>
      <c r="K36" s="25"/>
      <c r="L36" s="25">
        <v>6</v>
      </c>
      <c r="M36" s="25"/>
      <c r="N36" s="25"/>
      <c r="O36" s="25"/>
      <c r="P36" s="25">
        <v>6</v>
      </c>
      <c r="Q36" s="25"/>
      <c r="R36" s="25"/>
      <c r="S36" s="25">
        <v>6</v>
      </c>
      <c r="T36" s="25"/>
      <c r="U36" s="25"/>
      <c r="V36" s="25">
        <v>8</v>
      </c>
      <c r="W36" s="25">
        <v>8</v>
      </c>
      <c r="X36" s="25">
        <v>8</v>
      </c>
      <c r="Y36" s="25">
        <v>8</v>
      </c>
      <c r="Z36" s="25">
        <v>8</v>
      </c>
      <c r="AA36" s="25">
        <v>8</v>
      </c>
    </row>
    <row r="37" spans="1:27" x14ac:dyDescent="0.35">
      <c r="A37" s="124"/>
    </row>
    <row r="38" spans="1:27" x14ac:dyDescent="0.35">
      <c r="A38" s="60" t="s">
        <v>51</v>
      </c>
      <c r="B38" s="61">
        <f t="shared" ref="B38:K38" si="1">SUM(B10:B35)</f>
        <v>1</v>
      </c>
      <c r="C38" s="61">
        <f t="shared" si="1"/>
        <v>1</v>
      </c>
      <c r="D38" s="61">
        <f t="shared" si="1"/>
        <v>1</v>
      </c>
      <c r="E38" s="61">
        <f t="shared" si="1"/>
        <v>1</v>
      </c>
      <c r="F38" s="61">
        <f t="shared" si="1"/>
        <v>1</v>
      </c>
      <c r="G38" s="61">
        <f t="shared" si="1"/>
        <v>1</v>
      </c>
      <c r="H38" s="61">
        <f t="shared" si="1"/>
        <v>0.99999999999999967</v>
      </c>
      <c r="I38" s="61">
        <f t="shared" si="1"/>
        <v>1</v>
      </c>
      <c r="J38" s="61">
        <f t="shared" si="1"/>
        <v>1</v>
      </c>
      <c r="K38" s="61">
        <f t="shared" si="1"/>
        <v>1</v>
      </c>
      <c r="L38" s="61">
        <f t="shared" ref="L38:AA38" si="2">SUM(L10:L35)</f>
        <v>1</v>
      </c>
      <c r="M38" s="61">
        <f t="shared" si="2"/>
        <v>0.99999999999999989</v>
      </c>
      <c r="N38" s="61">
        <f t="shared" si="2"/>
        <v>1</v>
      </c>
      <c r="O38" s="61">
        <f t="shared" si="2"/>
        <v>0</v>
      </c>
      <c r="P38" s="61">
        <f t="shared" si="2"/>
        <v>1</v>
      </c>
      <c r="Q38" s="61">
        <f t="shared" si="2"/>
        <v>1</v>
      </c>
      <c r="R38" s="61">
        <f t="shared" si="2"/>
        <v>1</v>
      </c>
      <c r="S38" s="61">
        <f t="shared" si="2"/>
        <v>1</v>
      </c>
      <c r="T38" s="61">
        <f t="shared" si="2"/>
        <v>1</v>
      </c>
      <c r="U38" s="61">
        <f t="shared" si="2"/>
        <v>1</v>
      </c>
      <c r="V38" s="61">
        <f t="shared" si="2"/>
        <v>1</v>
      </c>
      <c r="W38" s="61">
        <f t="shared" si="2"/>
        <v>1</v>
      </c>
      <c r="X38" s="61">
        <f t="shared" si="2"/>
        <v>1.1499999999999999</v>
      </c>
      <c r="Y38" s="61">
        <f t="shared" si="2"/>
        <v>1.1499999999999999</v>
      </c>
      <c r="Z38" s="61">
        <f t="shared" si="2"/>
        <v>1.1499999999999999</v>
      </c>
      <c r="AA38" s="61">
        <f t="shared" si="2"/>
        <v>1.1499999999999999</v>
      </c>
    </row>
    <row r="39" spans="1:27" x14ac:dyDescent="0.35">
      <c r="D39" s="107"/>
    </row>
  </sheetData>
  <conditionalFormatting sqref="B10:AA35">
    <cfRule type="cellIs" dxfId="14" priority="1" operator="greaterThan">
      <formula>0</formula>
    </cfRule>
    <cfRule type="cellIs" dxfId="13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zoomScale="70" zoomScaleNormal="70" workbookViewId="0">
      <selection activeCell="D9" sqref="D9"/>
    </sheetView>
  </sheetViews>
  <sheetFormatPr defaultRowHeight="14.5" x14ac:dyDescent="0.35"/>
  <cols>
    <col min="1" max="1" width="23.90625" customWidth="1"/>
    <col min="2" max="2" width="10.6328125" customWidth="1"/>
    <col min="3" max="4" width="12.36328125" customWidth="1"/>
    <col min="5" max="5" width="12.26953125" customWidth="1"/>
    <col min="6" max="9" width="10.6328125" customWidth="1"/>
    <col min="10" max="10" width="2.54296875" customWidth="1"/>
    <col min="11" max="11" width="10.36328125" customWidth="1"/>
    <col min="13" max="13" width="9.7265625" customWidth="1"/>
    <col min="14" max="14" width="9.6328125" customWidth="1"/>
    <col min="15" max="15" width="11" customWidth="1"/>
    <col min="16" max="16" width="13" customWidth="1"/>
    <col min="17" max="18" width="11" customWidth="1"/>
    <col min="19" max="19" width="2.453125" customWidth="1"/>
    <col min="20" max="20" width="9.453125" bestFit="1" customWidth="1"/>
    <col min="21" max="21" width="10.90625" bestFit="1" customWidth="1"/>
    <col min="22" max="22" width="12.81640625" customWidth="1"/>
    <col min="25" max="25" width="1.90625" customWidth="1"/>
    <col min="28" max="28" width="11.81640625" customWidth="1"/>
  </cols>
  <sheetData>
    <row r="1" spans="1:33" ht="30" customHeight="1" x14ac:dyDescent="0.35">
      <c r="J1" s="41" t="s">
        <v>52</v>
      </c>
      <c r="K1" s="42">
        <v>5</v>
      </c>
      <c r="L1" s="175" t="str">
        <f>INDEX(RecipesBiochar!B3:AA3,1,Calculator!K1)</f>
        <v>VegTech Biochar</v>
      </c>
      <c r="M1" s="175"/>
      <c r="N1" s="172" t="s">
        <v>218</v>
      </c>
      <c r="O1" s="172"/>
      <c r="P1" s="172"/>
      <c r="Q1" s="172"/>
      <c r="R1" s="172"/>
      <c r="T1" s="174" t="s">
        <v>55</v>
      </c>
      <c r="U1" s="174"/>
      <c r="V1" s="174"/>
      <c r="W1" s="174"/>
      <c r="X1" s="174"/>
      <c r="Z1" s="172" t="s">
        <v>219</v>
      </c>
      <c r="AA1" s="172"/>
      <c r="AB1" s="173"/>
      <c r="AC1" s="173"/>
      <c r="AD1" s="173"/>
      <c r="AF1" s="110" t="s">
        <v>248</v>
      </c>
      <c r="AG1" s="20" t="s">
        <v>249</v>
      </c>
    </row>
    <row r="2" spans="1:33" ht="31.5" customHeight="1" x14ac:dyDescent="0.35">
      <c r="A2" s="1" t="str">
        <f>SoilMixes!A1</f>
        <v>Material</v>
      </c>
      <c r="B2" s="82" t="str">
        <f>SoilMixes!B1</f>
        <v>Bulk density, at use</v>
      </c>
      <c r="C2" s="82" t="str">
        <f>SoilMixes!C1</f>
        <v>Moisture content, at use</v>
      </c>
      <c r="D2" s="82" t="str">
        <f>SoilMixes!D1</f>
        <v>Bulk density, dry</v>
      </c>
      <c r="E2" s="82" t="str">
        <f>SoilMixes!E1</f>
        <v>Particle density, dry</v>
      </c>
      <c r="F2" s="82" t="str">
        <f>SoilMixes!F1</f>
        <v>Total porosity</v>
      </c>
      <c r="G2" s="82" t="str">
        <f>SoilMixes!G1</f>
        <v>Bulk porosity</v>
      </c>
      <c r="H2" s="82" t="str">
        <f>SoilMixes!H1</f>
        <v>Internal porosity</v>
      </c>
      <c r="I2" s="131" t="str">
        <f>SoilMixes!I1</f>
        <v>Biochar C content</v>
      </c>
      <c r="K2" s="41" t="s">
        <v>53</v>
      </c>
      <c r="L2" s="42" t="str">
        <f>IF(M2="", INDEX(RecipesBiochar!$B$4:$AA$4,1,Calculator!K1),M2)</f>
        <v>v-pi</v>
      </c>
      <c r="M2" s="109"/>
      <c r="N2" s="38" t="s">
        <v>223</v>
      </c>
      <c r="O2" s="2" t="s">
        <v>225</v>
      </c>
      <c r="P2" s="2" t="s">
        <v>226</v>
      </c>
      <c r="Q2" s="2" t="s">
        <v>56</v>
      </c>
      <c r="R2" s="39" t="s">
        <v>224</v>
      </c>
      <c r="T2" s="38" t="s">
        <v>223</v>
      </c>
      <c r="U2" s="2" t="s">
        <v>225</v>
      </c>
      <c r="V2" s="2" t="s">
        <v>226</v>
      </c>
      <c r="W2" s="2" t="s">
        <v>56</v>
      </c>
      <c r="X2" s="39" t="s">
        <v>57</v>
      </c>
      <c r="Z2" s="38" t="s">
        <v>223</v>
      </c>
      <c r="AA2" s="2" t="s">
        <v>225</v>
      </c>
      <c r="AB2" s="2" t="s">
        <v>226</v>
      </c>
      <c r="AC2" s="2" t="s">
        <v>56</v>
      </c>
      <c r="AD2" s="39" t="s">
        <v>57</v>
      </c>
      <c r="AF2" s="42">
        <v>0.40400000000000003</v>
      </c>
    </row>
    <row r="3" spans="1:33" x14ac:dyDescent="0.35">
      <c r="A3" s="30" t="str">
        <f>SoilMixes!A2</f>
        <v>Pumice</v>
      </c>
      <c r="B3" s="85">
        <f>SoilMixes!B2</f>
        <v>470.58823529411768</v>
      </c>
      <c r="C3" s="141">
        <f>SoilMixes!C2</f>
        <v>0.15</v>
      </c>
      <c r="D3" s="94">
        <f>SoilMixes!D2</f>
        <v>400</v>
      </c>
      <c r="E3" s="137">
        <f>SoilMixes!E2</f>
        <v>2666.6666666666661</v>
      </c>
      <c r="F3" s="88">
        <f>SoilMixes!F2</f>
        <v>0.85</v>
      </c>
      <c r="G3" s="9">
        <f>SoilMixes!G2</f>
        <v>0.45</v>
      </c>
      <c r="H3" s="132">
        <f>SoilMixes!H2</f>
        <v>0.39999999999999997</v>
      </c>
      <c r="I3" s="34">
        <f>SoilMixes!I2</f>
        <v>0</v>
      </c>
      <c r="L3" s="28">
        <f>INDEX(RecipesBiochar!$B$10:$AA$35,ROW(Calculator!A3)-3+1,Calculator!$K$1)</f>
        <v>0</v>
      </c>
      <c r="N3" s="103" t="str">
        <f>IF($L$2="v-p",P3*D3,"-")</f>
        <v>-</v>
      </c>
      <c r="O3" s="100" t="str">
        <f>IF($L$2="v-p",P3*B3,"-")</f>
        <v>-</v>
      </c>
      <c r="P3" s="100" t="str">
        <f t="shared" ref="P3:P10" si="0">IF($L$2="v-p",L3*(1-$L$29)/$O$34,"-")</f>
        <v>-</v>
      </c>
      <c r="Q3" s="44" t="str">
        <f t="shared" ref="Q3:Q10" si="1">IF($L$2="v-p",P3/$O$35,"-")</f>
        <v>-</v>
      </c>
      <c r="R3" s="91" t="str">
        <f t="shared" ref="R3:R10" si="2">IF($L$2="v-p",N3/$O$30,"-")</f>
        <v>-</v>
      </c>
      <c r="T3" s="105" t="str">
        <f>IF($L$2="v-b",V3*D3,"-")</f>
        <v>-</v>
      </c>
      <c r="U3" s="101" t="str">
        <f>IF($L$2="v-b",V3*B3,"-")</f>
        <v>-</v>
      </c>
      <c r="V3" s="98" t="str">
        <f t="shared" ref="V3:V10" si="3">IF($L$2="v-b",L3/$U$34*$L$29,"-")</f>
        <v>-</v>
      </c>
      <c r="W3" s="89" t="str">
        <f t="shared" ref="W3:W10" si="4">IF($L$2="v-b",V3/$U$35,"-")</f>
        <v>-</v>
      </c>
      <c r="X3" s="90" t="str">
        <f t="shared" ref="X3:X10" si="5">IF($L$2="v-b",T3/$U$30,"-")</f>
        <v>-</v>
      </c>
      <c r="Z3" s="103">
        <f ca="1">IF($L$2="v-pi",AB3*D3,AF2)</f>
        <v>0</v>
      </c>
      <c r="AA3" s="100">
        <f ca="1">IF($L$2="v-pi",AB3*B3,AF2)</f>
        <v>0</v>
      </c>
      <c r="AB3" s="97">
        <f ca="1">IF($L$2="v-pi",IF($AB$31="reset",AF2,L3*(1-$AA$31)/$AA$34),AD4)</f>
        <v>0</v>
      </c>
      <c r="AC3" s="97">
        <f ca="1">IF($L$2="v-pi",AB3/$AA$35,AF2)</f>
        <v>0</v>
      </c>
      <c r="AD3" s="91">
        <f ca="1">IF($L$2="v-pi",Z3/$AA$37,AF2)</f>
        <v>0</v>
      </c>
    </row>
    <row r="4" spans="1:33" x14ac:dyDescent="0.35">
      <c r="A4" s="31" t="str">
        <f>SoilMixes!A3</f>
        <v>Horticultural peat</v>
      </c>
      <c r="B4" s="96">
        <f>SoilMixes!B3</f>
        <v>450</v>
      </c>
      <c r="C4" s="142">
        <f>SoilMixes!C3</f>
        <v>0.6</v>
      </c>
      <c r="D4" s="95">
        <f>SoilMixes!D3</f>
        <v>180</v>
      </c>
      <c r="E4" s="138">
        <f>SoilMixes!E3</f>
        <v>1500</v>
      </c>
      <c r="F4" s="133">
        <f>SoilMixes!F3</f>
        <v>0.88</v>
      </c>
      <c r="G4" s="8">
        <f>SoilMixes!G3</f>
        <v>0.88</v>
      </c>
      <c r="H4" s="134">
        <f>SoilMixes!H3</f>
        <v>0</v>
      </c>
      <c r="I4" s="35">
        <f>SoilMixes!I3</f>
        <v>0</v>
      </c>
      <c r="L4" s="28">
        <f>INDEX(RecipesBiochar!$B$10:$AA$35,ROW(Calculator!A4)-3+1,Calculator!$K$1)</f>
        <v>0.2</v>
      </c>
      <c r="N4" s="103" t="str">
        <f t="shared" ref="N4:N28" si="6">IF($L$2="v-p",P4*D4,"-")</f>
        <v>-</v>
      </c>
      <c r="O4" s="100" t="str">
        <f t="shared" ref="O4:O28" si="7">IF($L$2="v-p",P4*B4,"-")</f>
        <v>-</v>
      </c>
      <c r="P4" s="100" t="str">
        <f t="shared" si="0"/>
        <v>-</v>
      </c>
      <c r="Q4" s="44" t="str">
        <f t="shared" si="1"/>
        <v>-</v>
      </c>
      <c r="R4" s="91" t="str">
        <f t="shared" si="2"/>
        <v>-</v>
      </c>
      <c r="T4" s="149" t="str">
        <f>IF($L$2="v-b",V4*D4,"-")</f>
        <v>-</v>
      </c>
      <c r="U4" s="100" t="str">
        <f>IF($L$2="v-b",V4*B4,"-")</f>
        <v>-</v>
      </c>
      <c r="V4" s="97" t="str">
        <f t="shared" si="3"/>
        <v>-</v>
      </c>
      <c r="W4" s="44" t="str">
        <f t="shared" si="4"/>
        <v>-</v>
      </c>
      <c r="X4" s="91" t="str">
        <f t="shared" si="5"/>
        <v>-</v>
      </c>
      <c r="Z4" s="103">
        <f ca="1">IF($L$2="v-pi",AB4*D4,AF2)</f>
        <v>37.840031884617019</v>
      </c>
      <c r="AA4" s="100">
        <f ca="1">IF($L$2="v-pi",AB4*B4,AF2)</f>
        <v>94.600079711542548</v>
      </c>
      <c r="AB4" s="97">
        <f ca="1">IF($L$2="v-pi",IF($AB$31="reset",AF2,L4*(1-$AA$31)/$AA$34),AF2)</f>
        <v>0.21022239935898343</v>
      </c>
      <c r="AC4" s="97">
        <f ca="1">IF($L$2="v-pi",AB4/$AA$35,AF2)</f>
        <v>0.20000000000000004</v>
      </c>
      <c r="AD4" s="91">
        <f ca="1">IF($L$2="v-pi",Z4/$AA$37,AF2)</f>
        <v>3.7113103148331612E-2</v>
      </c>
    </row>
    <row r="5" spans="1:33" x14ac:dyDescent="0.35">
      <c r="A5" s="31" t="str">
        <f>SoilMixes!A4</f>
        <v>Sand</v>
      </c>
      <c r="B5" s="96">
        <f>SoilMixes!B4</f>
        <v>1612.9032258064517</v>
      </c>
      <c r="C5" s="142">
        <f>SoilMixes!C4</f>
        <v>7.0000000000000007E-2</v>
      </c>
      <c r="D5" s="95">
        <f>SoilMixes!D4</f>
        <v>1500</v>
      </c>
      <c r="E5" s="138">
        <f>SoilMixes!E4</f>
        <v>2670</v>
      </c>
      <c r="F5" s="133">
        <f>SoilMixes!F4</f>
        <v>0.4382022471910112</v>
      </c>
      <c r="G5" s="8">
        <f>SoilMixes!G4</f>
        <v>0.4382022471910112</v>
      </c>
      <c r="H5" s="134">
        <f>SoilMixes!H4</f>
        <v>0</v>
      </c>
      <c r="I5" s="35">
        <f>SoilMixes!I4</f>
        <v>0</v>
      </c>
      <c r="L5" s="28">
        <f>INDEX(RecipesBiochar!$B$10:$AA$35,ROW(Calculator!A5)-3+1,Calculator!$K$1)</f>
        <v>0.25</v>
      </c>
      <c r="N5" s="103" t="str">
        <f t="shared" si="6"/>
        <v>-</v>
      </c>
      <c r="O5" s="100" t="str">
        <f t="shared" si="7"/>
        <v>-</v>
      </c>
      <c r="P5" s="100" t="str">
        <f t="shared" si="0"/>
        <v>-</v>
      </c>
      <c r="Q5" s="44" t="str">
        <f t="shared" si="1"/>
        <v>-</v>
      </c>
      <c r="R5" s="91" t="str">
        <f t="shared" si="2"/>
        <v>-</v>
      </c>
      <c r="T5" s="148" t="str">
        <f t="shared" ref="T5:T28" si="8">IF($L$2="v-b",V5*D5,"-")</f>
        <v>-</v>
      </c>
      <c r="U5" s="100" t="str">
        <f t="shared" ref="U5:U28" si="9">IF($L$2="v-b",V5*B5,"-")</f>
        <v>-</v>
      </c>
      <c r="V5" s="97" t="str">
        <f t="shared" si="3"/>
        <v>-</v>
      </c>
      <c r="W5" s="44" t="str">
        <f t="shared" si="4"/>
        <v>-</v>
      </c>
      <c r="X5" s="91" t="str">
        <f t="shared" si="5"/>
        <v>-</v>
      </c>
      <c r="Z5" s="103">
        <f ca="1">IF($L$2="v-pi",AB5*D5,AF2)</f>
        <v>394.16699879809386</v>
      </c>
      <c r="AA5" s="100">
        <f ca="1">IF($L$2="v-pi",AB5*B5,AF2)</f>
        <v>423.83548257859559</v>
      </c>
      <c r="AB5" s="97">
        <f ca="1">IF($L$2="v-pi",IF($AB$31="reset",AF2,L5*(1-$AA$31)/$AA$34),AF2)</f>
        <v>0.26277799919872924</v>
      </c>
      <c r="AC5" s="97">
        <f ca="1">IF($L$2="v-pi",AB5/$AA$35,AF2)</f>
        <v>0.25</v>
      </c>
      <c r="AD5" s="91">
        <f ca="1">IF($L$2="v-pi",Z5/$AA$37,AF2)</f>
        <v>0.38659482446178756</v>
      </c>
    </row>
    <row r="6" spans="1:33" x14ac:dyDescent="0.35">
      <c r="A6" s="31" t="str">
        <f>SoilMixes!A5</f>
        <v>Gravel</v>
      </c>
      <c r="B6" s="96">
        <f>SoilMixes!B5</f>
        <v>1636.5591397849464</v>
      </c>
      <c r="C6" s="142">
        <f>SoilMixes!C5</f>
        <v>7.0000000000000007E-2</v>
      </c>
      <c r="D6" s="95">
        <f>SoilMixes!D5</f>
        <v>1522</v>
      </c>
      <c r="E6" s="138">
        <f>SoilMixes!E5</f>
        <v>2670</v>
      </c>
      <c r="F6" s="133">
        <f>SoilMixes!F5</f>
        <v>0.42996254681647939</v>
      </c>
      <c r="G6" s="8">
        <f>SoilMixes!G5</f>
        <v>0.42996254681647939</v>
      </c>
      <c r="H6" s="134">
        <f>SoilMixes!H5</f>
        <v>0</v>
      </c>
      <c r="I6" s="35">
        <f>SoilMixes!I5</f>
        <v>0</v>
      </c>
      <c r="L6" s="28">
        <f>INDEX(RecipesBiochar!$B$10:$AA$35,ROW(Calculator!A6)-3+1,Calculator!$K$1)</f>
        <v>0</v>
      </c>
      <c r="N6" s="103" t="str">
        <f t="shared" si="6"/>
        <v>-</v>
      </c>
      <c r="O6" s="100" t="str">
        <f t="shared" si="7"/>
        <v>-</v>
      </c>
      <c r="P6" s="100" t="str">
        <f t="shared" si="0"/>
        <v>-</v>
      </c>
      <c r="Q6" s="44" t="str">
        <f t="shared" si="1"/>
        <v>-</v>
      </c>
      <c r="R6" s="91" t="str">
        <f t="shared" si="2"/>
        <v>-</v>
      </c>
      <c r="T6" s="103" t="str">
        <f t="shared" si="8"/>
        <v>-</v>
      </c>
      <c r="U6" s="100" t="str">
        <f t="shared" si="9"/>
        <v>-</v>
      </c>
      <c r="V6" s="97" t="str">
        <f t="shared" si="3"/>
        <v>-</v>
      </c>
      <c r="W6" s="44" t="str">
        <f t="shared" si="4"/>
        <v>-</v>
      </c>
      <c r="X6" s="91" t="str">
        <f t="shared" si="5"/>
        <v>-</v>
      </c>
      <c r="Z6" s="103">
        <f ca="1">IF($L$2="v-pi",AB6*D6,AF2)</f>
        <v>0</v>
      </c>
      <c r="AA6" s="100">
        <f ca="1">IF($L$2="v-pi",AB6*B6,AF2)</f>
        <v>0</v>
      </c>
      <c r="AB6" s="97">
        <f ca="1">IF($L$2="v-pi",IF($AB$31="reset",AF2,L6*(1-$AA$31)/$AA$34),AF2)</f>
        <v>0</v>
      </c>
      <c r="AC6" s="97">
        <f ca="1">IF($L$2="v-pi",AB6/$AA$35,AF2)</f>
        <v>0</v>
      </c>
      <c r="AD6" s="91">
        <f ca="1">IF($L$2="v-pi",Z6/$AA$37,AF2)</f>
        <v>0</v>
      </c>
    </row>
    <row r="7" spans="1:33" x14ac:dyDescent="0.35">
      <c r="A7" s="31" t="str">
        <f>SoilMixes!A6</f>
        <v>Crushed rock 0-16/25</v>
      </c>
      <c r="B7" s="96">
        <f>SoilMixes!B6</f>
        <v>1827.9569892473119</v>
      </c>
      <c r="C7" s="142">
        <f>SoilMixes!C6</f>
        <v>7.0000000000000007E-2</v>
      </c>
      <c r="D7" s="95">
        <f>SoilMixes!D6</f>
        <v>1700</v>
      </c>
      <c r="E7" s="138">
        <f>SoilMixes!E6</f>
        <v>2741.9354838709678</v>
      </c>
      <c r="F7" s="133">
        <f>SoilMixes!F6</f>
        <v>0.38</v>
      </c>
      <c r="G7" s="8">
        <f>SoilMixes!G6</f>
        <v>0.38</v>
      </c>
      <c r="H7" s="134">
        <f>SoilMixes!H6</f>
        <v>0</v>
      </c>
      <c r="I7" s="35">
        <f>SoilMixes!I6</f>
        <v>0</v>
      </c>
      <c r="L7" s="28">
        <f>INDEX(RecipesBiochar!$B$10:$AA$35,ROW(Calculator!A7)-3+1,Calculator!$K$1)</f>
        <v>0.2</v>
      </c>
      <c r="N7" s="103" t="str">
        <f t="shared" si="6"/>
        <v>-</v>
      </c>
      <c r="O7" s="100" t="str">
        <f t="shared" si="7"/>
        <v>-</v>
      </c>
      <c r="P7" s="100" t="str">
        <f t="shared" si="0"/>
        <v>-</v>
      </c>
      <c r="Q7" s="44" t="str">
        <f t="shared" si="1"/>
        <v>-</v>
      </c>
      <c r="R7" s="91" t="str">
        <f t="shared" si="2"/>
        <v>-</v>
      </c>
      <c r="T7" s="103" t="str">
        <f t="shared" si="8"/>
        <v>-</v>
      </c>
      <c r="U7" s="100" t="str">
        <f t="shared" si="9"/>
        <v>-</v>
      </c>
      <c r="V7" s="97" t="str">
        <f t="shared" si="3"/>
        <v>-</v>
      </c>
      <c r="W7" s="44" t="str">
        <f t="shared" si="4"/>
        <v>-</v>
      </c>
      <c r="X7" s="91" t="str">
        <f t="shared" si="5"/>
        <v>-</v>
      </c>
      <c r="Z7" s="103">
        <f ca="1">IF($L$2="v-pi",AB7*D7,AF2)</f>
        <v>357.37807891027182</v>
      </c>
      <c r="AA7" s="100">
        <f ca="1">IF($L$2="v-pi",AB7*B7,AF2)</f>
        <v>384.27750420459336</v>
      </c>
      <c r="AB7" s="97">
        <f ca="1">IF($L$2="v-pi",IF($AB$31="reset",AF2,L7*(1-$AA$31)/$AA$34),AF2)</f>
        <v>0.21022239935898343</v>
      </c>
      <c r="AC7" s="97">
        <f ca="1">IF($L$2="v-pi",AB7/$AA$35,AF2)</f>
        <v>0.20000000000000004</v>
      </c>
      <c r="AD7" s="91">
        <f ca="1">IF($L$2="v-pi",Z7/$AA$37,AF2)</f>
        <v>0.35051264084535411</v>
      </c>
    </row>
    <row r="8" spans="1:33" x14ac:dyDescent="0.35">
      <c r="A8" s="31" t="str">
        <f>SoilMixes!A7</f>
        <v>Macadam 2-11</v>
      </c>
      <c r="B8" s="96">
        <f>SoilMixes!B7</f>
        <v>1368.421052631579</v>
      </c>
      <c r="C8" s="142">
        <f>SoilMixes!C7</f>
        <v>0.05</v>
      </c>
      <c r="D8" s="95">
        <f>SoilMixes!D7</f>
        <v>1300</v>
      </c>
      <c r="E8" s="138">
        <f>SoilMixes!E7</f>
        <v>2750</v>
      </c>
      <c r="F8" s="133">
        <f>SoilMixes!F7</f>
        <v>0.52727272727272734</v>
      </c>
      <c r="G8" s="8">
        <f>SoilMixes!G7</f>
        <v>0.52727272727272734</v>
      </c>
      <c r="H8" s="134">
        <f>SoilMixes!H7</f>
        <v>0</v>
      </c>
      <c r="I8" s="35">
        <f>SoilMixes!I7</f>
        <v>0</v>
      </c>
      <c r="L8" s="28">
        <f>INDEX(RecipesBiochar!$B$10:$AA$35,ROW(Calculator!A8)-3+1,Calculator!$K$1)</f>
        <v>0</v>
      </c>
      <c r="N8" s="103" t="str">
        <f t="shared" si="6"/>
        <v>-</v>
      </c>
      <c r="O8" s="100" t="str">
        <f t="shared" si="7"/>
        <v>-</v>
      </c>
      <c r="P8" s="100" t="str">
        <f t="shared" si="0"/>
        <v>-</v>
      </c>
      <c r="Q8" s="44" t="str">
        <f t="shared" si="1"/>
        <v>-</v>
      </c>
      <c r="R8" s="91" t="str">
        <f t="shared" si="2"/>
        <v>-</v>
      </c>
      <c r="T8" s="103" t="str">
        <f t="shared" si="8"/>
        <v>-</v>
      </c>
      <c r="U8" s="100" t="str">
        <f t="shared" si="9"/>
        <v>-</v>
      </c>
      <c r="V8" s="97" t="str">
        <f t="shared" si="3"/>
        <v>-</v>
      </c>
      <c r="W8" s="44" t="str">
        <f t="shared" si="4"/>
        <v>-</v>
      </c>
      <c r="X8" s="91" t="str">
        <f t="shared" si="5"/>
        <v>-</v>
      </c>
      <c r="Z8" s="103">
        <f ca="1">IF($L$2="v-pi",AB8*D8,AF2)</f>
        <v>0</v>
      </c>
      <c r="AA8" s="100">
        <f ca="1">IF($L$2="v-pi",AB8*B8,AF2)</f>
        <v>0</v>
      </c>
      <c r="AB8" s="97">
        <f ca="1">IF($L$2="v-pi",IF($AB$31="reset",AF2,L8*(1-$AA$31)/$AA$34),AF2)</f>
        <v>0</v>
      </c>
      <c r="AC8" s="97">
        <f ca="1">IF($L$2="v-pi",AB8/$AA$35,AF2)</f>
        <v>0</v>
      </c>
      <c r="AD8" s="91">
        <f ca="1">IF($L$2="v-pi",Z8/$AA$37,AF2)</f>
        <v>0</v>
      </c>
    </row>
    <row r="9" spans="1:33" x14ac:dyDescent="0.35">
      <c r="A9" s="31" t="str">
        <f>SoilMixes!A8</f>
        <v>Macadam 8-32</v>
      </c>
      <c r="B9" s="96">
        <f>SoilMixes!B8</f>
        <v>1473.6842105263158</v>
      </c>
      <c r="C9" s="142">
        <f>SoilMixes!C8</f>
        <v>0.05</v>
      </c>
      <c r="D9" s="95">
        <f>SoilMixes!D8</f>
        <v>1400</v>
      </c>
      <c r="E9" s="138">
        <f>SoilMixes!E8</f>
        <v>2750</v>
      </c>
      <c r="F9" s="133">
        <f>SoilMixes!F8</f>
        <v>0.49090909090909096</v>
      </c>
      <c r="G9" s="8">
        <f>SoilMixes!G8</f>
        <v>0.49090909090909096</v>
      </c>
      <c r="H9" s="134">
        <f>SoilMixes!H8</f>
        <v>0</v>
      </c>
      <c r="I9" s="35">
        <f>SoilMixes!I8</f>
        <v>0</v>
      </c>
      <c r="L9" s="28">
        <f>INDEX(RecipesBiochar!$B$10:$AA$35,ROW(Calculator!A9)-3+1,Calculator!$K$1)</f>
        <v>0</v>
      </c>
      <c r="N9" s="103" t="str">
        <f t="shared" si="6"/>
        <v>-</v>
      </c>
      <c r="O9" s="100" t="str">
        <f t="shared" si="7"/>
        <v>-</v>
      </c>
      <c r="P9" s="100" t="str">
        <f t="shared" si="0"/>
        <v>-</v>
      </c>
      <c r="Q9" s="44" t="str">
        <f t="shared" si="1"/>
        <v>-</v>
      </c>
      <c r="R9" s="91" t="str">
        <f t="shared" si="2"/>
        <v>-</v>
      </c>
      <c r="T9" s="103" t="str">
        <f t="shared" si="8"/>
        <v>-</v>
      </c>
      <c r="U9" s="100" t="str">
        <f t="shared" si="9"/>
        <v>-</v>
      </c>
      <c r="V9" s="97" t="str">
        <f t="shared" si="3"/>
        <v>-</v>
      </c>
      <c r="W9" s="44" t="str">
        <f t="shared" si="4"/>
        <v>-</v>
      </c>
      <c r="X9" s="91" t="str">
        <f t="shared" si="5"/>
        <v>-</v>
      </c>
      <c r="Z9" s="103">
        <f ca="1">IF($L$2="v-pi",AB9*D9,AF2)</f>
        <v>0</v>
      </c>
      <c r="AA9" s="100">
        <f ca="1">IF($L$2="v-pi",AB9*B9,AF2)</f>
        <v>0</v>
      </c>
      <c r="AB9" s="97">
        <f ca="1">IF($L$2="v-pi",IF($AB$31="reset",AF2,L9*(1-$AA$31)/$AA$34),AF2)</f>
        <v>0</v>
      </c>
      <c r="AC9" s="97">
        <f ca="1">IF($L$2="v-pi",AB9/$AA$35,AF2)</f>
        <v>0</v>
      </c>
      <c r="AD9" s="91">
        <f ca="1">IF($L$2="v-pi",Z9/$AA$37,AF2)</f>
        <v>0</v>
      </c>
      <c r="AG9">
        <v>1.103</v>
      </c>
    </row>
    <row r="10" spans="1:33" x14ac:dyDescent="0.35">
      <c r="A10" s="31" t="str">
        <f>SoilMixes!A9</f>
        <v>Macadam 32-64</v>
      </c>
      <c r="B10" s="96">
        <f>SoilMixes!B9</f>
        <v>1505.2631578947369</v>
      </c>
      <c r="C10" s="142">
        <f>SoilMixes!C9</f>
        <v>0.05</v>
      </c>
      <c r="D10" s="95">
        <f>SoilMixes!D9</f>
        <v>1430</v>
      </c>
      <c r="E10" s="138">
        <f>SoilMixes!E9</f>
        <v>2750</v>
      </c>
      <c r="F10" s="133">
        <f>SoilMixes!F9</f>
        <v>0.48</v>
      </c>
      <c r="G10" s="8">
        <f>SoilMixes!G9</f>
        <v>0.48</v>
      </c>
      <c r="H10" s="134">
        <f>SoilMixes!H9</f>
        <v>0</v>
      </c>
      <c r="I10" s="35">
        <f>SoilMixes!I9</f>
        <v>0</v>
      </c>
      <c r="L10" s="28">
        <f>INDEX(RecipesBiochar!$B$10:$AA$35,ROW(Calculator!A10)-3+1,Calculator!$K$1)</f>
        <v>0</v>
      </c>
      <c r="N10" s="103" t="str">
        <f t="shared" si="6"/>
        <v>-</v>
      </c>
      <c r="O10" s="100" t="str">
        <f t="shared" si="7"/>
        <v>-</v>
      </c>
      <c r="P10" s="100" t="str">
        <f t="shared" si="0"/>
        <v>-</v>
      </c>
      <c r="Q10" s="44" t="str">
        <f t="shared" si="1"/>
        <v>-</v>
      </c>
      <c r="R10" s="91" t="str">
        <f t="shared" si="2"/>
        <v>-</v>
      </c>
      <c r="T10" s="103" t="str">
        <f t="shared" si="8"/>
        <v>-</v>
      </c>
      <c r="U10" s="100" t="str">
        <f t="shared" si="9"/>
        <v>-</v>
      </c>
      <c r="V10" s="97" t="str">
        <f t="shared" si="3"/>
        <v>-</v>
      </c>
      <c r="W10" s="44" t="str">
        <f t="shared" si="4"/>
        <v>-</v>
      </c>
      <c r="X10" s="91" t="str">
        <f t="shared" si="5"/>
        <v>-</v>
      </c>
      <c r="Z10" s="103">
        <f ca="1">IF($L$2="v-pi",AB10*D10,AF4)</f>
        <v>0</v>
      </c>
      <c r="AA10" s="100">
        <f ca="1">IF($L$2="v-pi",AB10*B10,AF4)</f>
        <v>0</v>
      </c>
      <c r="AB10" s="97">
        <f ca="1">IF($L$2="v-pi",IF($AB$31="reset",AF4,L10*(1-$AA$31)/$AA$34),AF4)</f>
        <v>0</v>
      </c>
      <c r="AC10" s="97">
        <f ca="1">IF($L$2="v-pi",AB10/$AA$35,AF4)</f>
        <v>0</v>
      </c>
      <c r="AD10" s="91">
        <f ca="1">IF($L$2="v-pi",Z10/$AA$37,AF4)</f>
        <v>0</v>
      </c>
    </row>
    <row r="11" spans="1:33" x14ac:dyDescent="0.35">
      <c r="A11" s="31" t="str">
        <f>SoilMixes!A10</f>
        <v>Scoria granules 2-8</v>
      </c>
      <c r="B11" s="96">
        <f>SoilMixes!B10</f>
        <v>800</v>
      </c>
      <c r="C11" s="142">
        <f>SoilMixes!C10</f>
        <v>0.25</v>
      </c>
      <c r="D11" s="95">
        <f>SoilMixes!D10</f>
        <v>600</v>
      </c>
      <c r="E11" s="138">
        <f>SoilMixes!E10</f>
        <v>2790</v>
      </c>
      <c r="F11" s="133">
        <f>SoilMixes!F10</f>
        <v>0.78494623655913975</v>
      </c>
      <c r="G11" s="8">
        <f>SoilMixes!G10</f>
        <v>0.52727272727272734</v>
      </c>
      <c r="H11" s="134">
        <f>SoilMixes!H10</f>
        <v>0.25767350928641242</v>
      </c>
      <c r="I11" s="35">
        <f>SoilMixes!I10</f>
        <v>0</v>
      </c>
      <c r="L11" s="28">
        <f>INDEX(RecipesBiochar!$B$10:$AA$35,ROW(Calculator!A11)-3+1,Calculator!$K$1)</f>
        <v>0.25</v>
      </c>
      <c r="N11" s="103"/>
      <c r="O11" s="100"/>
      <c r="P11" s="100"/>
      <c r="Q11" s="44"/>
      <c r="R11" s="91"/>
      <c r="T11" s="103" t="str">
        <f t="shared" ref="T11:T27" si="10">IF($L$2="v-b",V11*D11,"-")</f>
        <v>-</v>
      </c>
      <c r="U11" s="100" t="str">
        <f t="shared" ref="U11:U27" si="11">IF($L$2="v-b",V11*B11,"-")</f>
        <v>-</v>
      </c>
      <c r="V11" s="97" t="str">
        <f t="shared" ref="V11:V27" si="12">IF($L$2="v-b",L11/$U$34*$L$29,"-")</f>
        <v>-</v>
      </c>
      <c r="W11" s="44" t="str">
        <f t="shared" ref="W11:W27" si="13">IF($L$2="v-b",V11/$U$35,"-")</f>
        <v>-</v>
      </c>
      <c r="X11" s="91" t="str">
        <f t="shared" ref="X11:X27" si="14">IF($L$2="v-b",T11/$U$30,"-")</f>
        <v>-</v>
      </c>
      <c r="Z11" s="103">
        <f ca="1">IF($L$2="v-pi",AB11*D11,AF4)</f>
        <v>157.66679951923754</v>
      </c>
      <c r="AA11" s="100">
        <f ca="1">IF($L$2="v-pi",AB11*B11,AF4)</f>
        <v>210.22239935898338</v>
      </c>
      <c r="AB11" s="97">
        <f ca="1">IF($L$2="v-pi",IF($AB$31="reset",AF4,L11*(1-$AA$31)/$AA$34),AF4)</f>
        <v>0.26277799919872924</v>
      </c>
      <c r="AC11" s="97">
        <f ca="1">IF($L$2="v-pi",AB11/$AA$35,AF4)</f>
        <v>0.25</v>
      </c>
      <c r="AD11" s="91">
        <f ca="1">IF($L$2="v-pi",Z11/$AA$37,AF4)</f>
        <v>0.15463792978471502</v>
      </c>
    </row>
    <row r="12" spans="1:33" x14ac:dyDescent="0.35">
      <c r="A12" s="31" t="str">
        <f>SoilMixes!A11</f>
        <v>Clay granules 2-6</v>
      </c>
      <c r="B12" s="96">
        <f>SoilMixes!B11</f>
        <v>1150</v>
      </c>
      <c r="C12" s="142">
        <f>SoilMixes!C11</f>
        <v>3.7500000000000006E-2</v>
      </c>
      <c r="D12" s="95">
        <f>SoilMixes!D11</f>
        <v>1106.875</v>
      </c>
      <c r="E12" s="138">
        <f>SoilMixes!E11</f>
        <v>2670</v>
      </c>
      <c r="F12" s="133">
        <f>SoilMixes!F11</f>
        <v>0.58544007490636707</v>
      </c>
      <c r="G12" s="8">
        <f>SoilMixes!G11</f>
        <v>0.52727272727272734</v>
      </c>
      <c r="H12" s="134">
        <f>SoilMixes!H11</f>
        <v>5.8167347633639732E-2</v>
      </c>
      <c r="I12" s="35">
        <f>SoilMixes!I11</f>
        <v>0</v>
      </c>
      <c r="L12" s="28">
        <f>INDEX(RecipesBiochar!$B$10:$AA$35,ROW(Calculator!A12)-3+1,Calculator!$K$1)</f>
        <v>3.7499999999999999E-2</v>
      </c>
      <c r="N12" s="103" t="str">
        <f t="shared" ref="N12:N13" si="15">IF($L$2="v-p",P12*D12,"-")</f>
        <v>-</v>
      </c>
      <c r="O12" s="100" t="str">
        <f t="shared" ref="O12:O13" si="16">IF($L$2="v-p",P12*B12,"-")</f>
        <v>-</v>
      </c>
      <c r="P12" s="100" t="str">
        <f t="shared" ref="P12:P28" si="17">IF($L$2="v-p",L12*(1-$L$29)/$O$34,"-")</f>
        <v>-</v>
      </c>
      <c r="Q12" s="44" t="str">
        <f t="shared" ref="Q12:Q28" si="18">IF($L$2="v-p",P12/$O$35,"-")</f>
        <v>-</v>
      </c>
      <c r="R12" s="91" t="str">
        <f t="shared" ref="R12:R28" si="19">IF($L$2="v-p",N12/$O$30,"-")</f>
        <v>-</v>
      </c>
      <c r="T12" s="103" t="str">
        <f t="shared" si="10"/>
        <v>-</v>
      </c>
      <c r="U12" s="100" t="str">
        <f t="shared" si="11"/>
        <v>-</v>
      </c>
      <c r="V12" s="97" t="str">
        <f t="shared" si="12"/>
        <v>-</v>
      </c>
      <c r="W12" s="44" t="str">
        <f t="shared" si="13"/>
        <v>-</v>
      </c>
      <c r="X12" s="91" t="str">
        <f t="shared" si="14"/>
        <v>-</v>
      </c>
      <c r="Z12" s="103">
        <f ca="1">IF($L$2="v-pi",AB12*D12,AF4)</f>
        <v>43.62935967946401</v>
      </c>
      <c r="AA12" s="100">
        <f ca="1">IF($L$2="v-pi",AB12*B12,AF4)</f>
        <v>45.329204861780795</v>
      </c>
      <c r="AB12" s="97">
        <f ca="1">IF($L$2="v-pi",IF($AB$31="reset",AF4,L12*(1-$AA$31)/$AA$34),AF4)</f>
        <v>3.9416699879809385E-2</v>
      </c>
      <c r="AC12" s="97">
        <f ca="1">IF($L$2="v-pi",AB12/$AA$35,AF4)</f>
        <v>3.7499999999999999E-2</v>
      </c>
      <c r="AD12" s="91">
        <f ca="1">IF($L$2="v-pi",Z12/$AA$37,AF4)</f>
        <v>4.2791214632614108E-2</v>
      </c>
    </row>
    <row r="13" spans="1:33" x14ac:dyDescent="0.35">
      <c r="A13" s="31" t="str">
        <f>SoilMixes!A12</f>
        <v>Clay</v>
      </c>
      <c r="B13" s="96">
        <f>SoilMixes!B12</f>
        <v>2000</v>
      </c>
      <c r="C13" s="142">
        <f>SoilMixes!C12</f>
        <v>0.2</v>
      </c>
      <c r="D13" s="95">
        <f>SoilMixes!D12</f>
        <v>1600</v>
      </c>
      <c r="E13" s="138">
        <f>SoilMixes!E12</f>
        <v>2670</v>
      </c>
      <c r="F13" s="133">
        <f>SoilMixes!F12</f>
        <v>0.40074906367041196</v>
      </c>
      <c r="G13" s="8">
        <f>SoilMixes!G12</f>
        <v>0.40074906367041196</v>
      </c>
      <c r="H13" s="134">
        <f>SoilMixes!H12</f>
        <v>0</v>
      </c>
      <c r="I13" s="35">
        <f>SoilMixes!I12</f>
        <v>0</v>
      </c>
      <c r="L13" s="28">
        <f>INDEX(RecipesBiochar!$B$10:$AA$35,ROW(Calculator!A13)-3+1,Calculator!$K$1)</f>
        <v>0</v>
      </c>
      <c r="N13" s="103" t="str">
        <f t="shared" si="15"/>
        <v>-</v>
      </c>
      <c r="O13" s="100" t="str">
        <f t="shared" si="16"/>
        <v>-</v>
      </c>
      <c r="P13" s="100" t="str">
        <f t="shared" si="17"/>
        <v>-</v>
      </c>
      <c r="Q13" s="44" t="str">
        <f t="shared" si="18"/>
        <v>-</v>
      </c>
      <c r="R13" s="91" t="str">
        <f t="shared" si="19"/>
        <v>-</v>
      </c>
      <c r="T13" s="103" t="str">
        <f t="shared" si="10"/>
        <v>-</v>
      </c>
      <c r="U13" s="100" t="str">
        <f t="shared" si="11"/>
        <v>-</v>
      </c>
      <c r="V13" s="97" t="str">
        <f t="shared" si="12"/>
        <v>-</v>
      </c>
      <c r="W13" s="44" t="str">
        <f t="shared" si="13"/>
        <v>-</v>
      </c>
      <c r="X13" s="91" t="str">
        <f t="shared" si="14"/>
        <v>-</v>
      </c>
      <c r="Z13" s="103">
        <f ca="1">IF($L$2="v-pi",AB13*D13,AF2)</f>
        <v>0</v>
      </c>
      <c r="AA13" s="100">
        <f ca="1">IF($L$2="v-pi",AB13*B13,AF2)</f>
        <v>0</v>
      </c>
      <c r="AB13" s="97">
        <f ca="1">IF($L$2="v-pi",IF($AB$31="reset",AF2,L13*(1-$AA$31)/$AA$34),AF2)</f>
        <v>0</v>
      </c>
      <c r="AC13" s="97">
        <f ca="1">IF($L$2="v-pi",AB13/$AA$35,AF2)</f>
        <v>0</v>
      </c>
      <c r="AD13" s="91">
        <f ca="1">IF($L$2="v-pi",Z13/$AA$37,AF2)</f>
        <v>0</v>
      </c>
    </row>
    <row r="14" spans="1:33" x14ac:dyDescent="0.35">
      <c r="A14" s="32" t="str">
        <f>SoilMixes!A13</f>
        <v>LECA 8-20</v>
      </c>
      <c r="B14" s="85">
        <f>SoilMixes!B13</f>
        <v>376.47058823529414</v>
      </c>
      <c r="C14" s="141">
        <f>SoilMixes!C13</f>
        <v>0.15</v>
      </c>
      <c r="D14" s="94">
        <f>SoilMixes!D13</f>
        <v>320</v>
      </c>
      <c r="E14" s="137">
        <f>SoilMixes!E13</f>
        <v>2666.666666666667</v>
      </c>
      <c r="F14" s="145">
        <f>SoilMixes!F13</f>
        <v>0.88</v>
      </c>
      <c r="G14" s="16">
        <f>SoilMixes!G13</f>
        <v>0.45</v>
      </c>
      <c r="H14" s="132">
        <f>SoilMixes!H13</f>
        <v>0.43</v>
      </c>
      <c r="I14" s="34">
        <f>SoilMixes!I13</f>
        <v>0</v>
      </c>
      <c r="L14" s="28">
        <f>INDEX(RecipesBiochar!$B$10:$AA$35,ROW(Calculator!A14)-3+1,Calculator!$K$1)</f>
        <v>0</v>
      </c>
      <c r="N14" s="103" t="str">
        <f t="shared" si="6"/>
        <v>-</v>
      </c>
      <c r="O14" s="100" t="str">
        <f t="shared" si="7"/>
        <v>-</v>
      </c>
      <c r="P14" s="100" t="str">
        <f t="shared" si="17"/>
        <v>-</v>
      </c>
      <c r="Q14" s="44" t="str">
        <f t="shared" si="18"/>
        <v>-</v>
      </c>
      <c r="R14" s="91" t="str">
        <f t="shared" si="19"/>
        <v>-</v>
      </c>
      <c r="T14" s="103" t="str">
        <f t="shared" si="10"/>
        <v>-</v>
      </c>
      <c r="U14" s="100" t="str">
        <f t="shared" si="11"/>
        <v>-</v>
      </c>
      <c r="V14" s="97" t="str">
        <f t="shared" si="12"/>
        <v>-</v>
      </c>
      <c r="W14" s="44" t="str">
        <f t="shared" si="13"/>
        <v>-</v>
      </c>
      <c r="X14" s="91" t="str">
        <f t="shared" si="14"/>
        <v>-</v>
      </c>
      <c r="Z14" s="103">
        <f ca="1">IF($L$2="v-pi",AB14*D14,AF2)</f>
        <v>0</v>
      </c>
      <c r="AA14" s="100">
        <f ca="1">IF($L$2="v-pi",AB14*B14,AF2)</f>
        <v>0</v>
      </c>
      <c r="AB14" s="97">
        <f ca="1">IF($L$2="v-pi",IF($AB$31="reset",AF2,L14*(1-$AA$31)/$AA$34),AF2)</f>
        <v>0</v>
      </c>
      <c r="AC14" s="97">
        <f ca="1">IF($L$2="v-pi",AB14/$AA$35,AF2)</f>
        <v>0</v>
      </c>
      <c r="AD14" s="91">
        <f ca="1">IF($L$2="v-pi",Z14/$AA$37,AF2)</f>
        <v>0</v>
      </c>
    </row>
    <row r="15" spans="1:33" x14ac:dyDescent="0.35">
      <c r="A15" s="31" t="str">
        <f>SoilMixes!A14</f>
        <v>Biochar WP-S</v>
      </c>
      <c r="B15" s="96">
        <f>SoilMixes!B14</f>
        <v>588.23529411764707</v>
      </c>
      <c r="C15" s="142">
        <f>SoilMixes!C14</f>
        <v>0.15</v>
      </c>
      <c r="D15" s="95">
        <f>SoilMixes!D14</f>
        <v>500</v>
      </c>
      <c r="E15" s="138">
        <f>SoilMixes!E14</f>
        <v>1800</v>
      </c>
      <c r="F15" s="133">
        <f>SoilMixes!F14</f>
        <v>0.72222222222222221</v>
      </c>
      <c r="G15" s="17">
        <f>SoilMixes!G14</f>
        <v>0.45</v>
      </c>
      <c r="H15" s="134">
        <f>SoilMixes!H14</f>
        <v>0.2722222222222222</v>
      </c>
      <c r="I15" s="35">
        <f>SoilMixes!I14</f>
        <v>0.93400000000000005</v>
      </c>
      <c r="L15" s="28">
        <f>INDEX(RecipesBiochar!$B$10:$AA$35,ROW(Calculator!A15)-3+1,Calculator!$K$1)</f>
        <v>2.5000000000000001E-2</v>
      </c>
      <c r="N15" s="103" t="str">
        <f t="shared" si="6"/>
        <v>-</v>
      </c>
      <c r="O15" s="100" t="str">
        <f t="shared" si="7"/>
        <v>-</v>
      </c>
      <c r="P15" s="100" t="str">
        <f t="shared" si="17"/>
        <v>-</v>
      </c>
      <c r="Q15" s="44" t="str">
        <f t="shared" si="18"/>
        <v>-</v>
      </c>
      <c r="R15" s="91" t="str">
        <f t="shared" si="19"/>
        <v>-</v>
      </c>
      <c r="T15" s="103" t="str">
        <f t="shared" si="10"/>
        <v>-</v>
      </c>
      <c r="U15" s="100" t="str">
        <f t="shared" si="11"/>
        <v>-</v>
      </c>
      <c r="V15" s="97" t="str">
        <f t="shared" si="12"/>
        <v>-</v>
      </c>
      <c r="W15" s="44" t="str">
        <f t="shared" si="13"/>
        <v>-</v>
      </c>
      <c r="X15" s="91" t="str">
        <f t="shared" si="14"/>
        <v>-</v>
      </c>
      <c r="Z15" s="103">
        <f ca="1">IF($L$2="v-pi",AB15*D15,AF2)</f>
        <v>13.138899959936465</v>
      </c>
      <c r="AA15" s="100">
        <f ca="1">IF($L$2="v-pi",AB15*B15,AF2)</f>
        <v>15.457529364631135</v>
      </c>
      <c r="AB15" s="97">
        <f ca="1">IF($L$2="v-pi",IF($AB$31="reset",AF2,L15*(1-$AA$31)/$AA$34),AF2)</f>
        <v>2.6277799919872929E-2</v>
      </c>
      <c r="AC15" s="97">
        <f ca="1">IF($L$2="v-pi",AB15/$AA$35,AF2)</f>
        <v>2.5000000000000005E-2</v>
      </c>
      <c r="AD15" s="91">
        <f ca="1">IF($L$2="v-pi",Z15/$AA$37,AF2)</f>
        <v>1.2886494148726255E-2</v>
      </c>
    </row>
    <row r="16" spans="1:33" x14ac:dyDescent="0.35">
      <c r="A16" s="31" t="str">
        <f>SoilMixes!A15</f>
        <v>Biochar WP-E</v>
      </c>
      <c r="B16" s="96">
        <f>SoilMixes!B15</f>
        <v>588.23529411764707</v>
      </c>
      <c r="C16" s="142">
        <f>SoilMixes!C15</f>
        <v>0.15</v>
      </c>
      <c r="D16" s="95">
        <f>SoilMixes!D15</f>
        <v>500</v>
      </c>
      <c r="E16" s="138">
        <f>SoilMixes!E15</f>
        <v>1800</v>
      </c>
      <c r="F16" s="133">
        <f>SoilMixes!F15</f>
        <v>0.72222222222222221</v>
      </c>
      <c r="G16" s="17">
        <f>SoilMixes!G15</f>
        <v>0.45</v>
      </c>
      <c r="H16" s="134">
        <f>SoilMixes!H15</f>
        <v>0.2722222222222222</v>
      </c>
      <c r="I16" s="35">
        <f>SoilMixes!I15</f>
        <v>0.93400000000000005</v>
      </c>
      <c r="L16" s="28">
        <f>INDEX(RecipesBiochar!$B$10:$AA$35,ROW(Calculator!A16)-3+1,Calculator!$K$1)</f>
        <v>0</v>
      </c>
      <c r="N16" s="103" t="str">
        <f t="shared" si="6"/>
        <v>-</v>
      </c>
      <c r="O16" s="100" t="str">
        <f t="shared" si="7"/>
        <v>-</v>
      </c>
      <c r="P16" s="100" t="str">
        <f t="shared" si="17"/>
        <v>-</v>
      </c>
      <c r="Q16" s="44" t="str">
        <f t="shared" si="18"/>
        <v>-</v>
      </c>
      <c r="R16" s="91" t="str">
        <f t="shared" si="19"/>
        <v>-</v>
      </c>
      <c r="T16" s="103" t="str">
        <f t="shared" si="10"/>
        <v>-</v>
      </c>
      <c r="U16" s="100" t="str">
        <f t="shared" si="11"/>
        <v>-</v>
      </c>
      <c r="V16" s="97" t="str">
        <f t="shared" si="12"/>
        <v>-</v>
      </c>
      <c r="W16" s="44" t="str">
        <f t="shared" si="13"/>
        <v>-</v>
      </c>
      <c r="X16" s="91" t="str">
        <f t="shared" si="14"/>
        <v>-</v>
      </c>
      <c r="Z16" s="103">
        <f ca="1">IF($L$2="v-pi",AB16*D16,AF2)</f>
        <v>0</v>
      </c>
      <c r="AA16" s="100">
        <f ca="1">IF($L$2="v-pi",AB16*B16,AF2)</f>
        <v>0</v>
      </c>
      <c r="AB16" s="97">
        <f ca="1">IF($L$2="v-pi",IF($AB$31="reset",AF2,L16*(1-$AA$31)/$AA$34),AF2)</f>
        <v>0</v>
      </c>
      <c r="AC16" s="97">
        <f ca="1">IF($L$2="v-pi",AB16/$AA$35,AF2)</f>
        <v>0</v>
      </c>
      <c r="AD16" s="91">
        <f ca="1">IF($L$2="v-pi",Z16/$AA$37,AF2)</f>
        <v>0</v>
      </c>
    </row>
    <row r="17" spans="1:33" x14ac:dyDescent="0.35">
      <c r="A17" s="31" t="str">
        <f>SoilMixes!A16</f>
        <v>Biochar GW-S</v>
      </c>
      <c r="B17" s="96">
        <f>SoilMixes!B16</f>
        <v>284.70588235294116</v>
      </c>
      <c r="C17" s="142">
        <f>SoilMixes!C16</f>
        <v>0.15</v>
      </c>
      <c r="D17" s="95">
        <f>SoilMixes!D16</f>
        <v>242</v>
      </c>
      <c r="E17" s="138">
        <f>SoilMixes!E16</f>
        <v>1660</v>
      </c>
      <c r="F17" s="133">
        <f>SoilMixes!F16</f>
        <v>0.85421686746987957</v>
      </c>
      <c r="G17" s="17">
        <f>SoilMixes!G16</f>
        <v>0.45</v>
      </c>
      <c r="H17" s="134">
        <f>SoilMixes!H16</f>
        <v>0.40421686746987956</v>
      </c>
      <c r="I17" s="35">
        <f>SoilMixes!I16</f>
        <v>0.69899999999999995</v>
      </c>
      <c r="L17" s="28">
        <f>INDEX(RecipesBiochar!$B$10:$AA$35,ROW(Calculator!A17)-3+1,Calculator!$K$1)</f>
        <v>0</v>
      </c>
      <c r="N17" s="103" t="str">
        <f t="shared" si="6"/>
        <v>-</v>
      </c>
      <c r="O17" s="100" t="str">
        <f t="shared" si="7"/>
        <v>-</v>
      </c>
      <c r="P17" s="100" t="str">
        <f t="shared" si="17"/>
        <v>-</v>
      </c>
      <c r="Q17" s="44" t="str">
        <f t="shared" si="18"/>
        <v>-</v>
      </c>
      <c r="R17" s="91" t="str">
        <f t="shared" si="19"/>
        <v>-</v>
      </c>
      <c r="T17" s="103" t="str">
        <f t="shared" si="10"/>
        <v>-</v>
      </c>
      <c r="U17" s="100" t="str">
        <f t="shared" si="11"/>
        <v>-</v>
      </c>
      <c r="V17" s="97" t="str">
        <f t="shared" si="12"/>
        <v>-</v>
      </c>
      <c r="W17" s="44" t="str">
        <f t="shared" si="13"/>
        <v>-</v>
      </c>
      <c r="X17" s="91" t="str">
        <f t="shared" si="14"/>
        <v>-</v>
      </c>
      <c r="Z17" s="103">
        <f ca="1">IF($L$2="v-pi",AB17*D17,AF2)</f>
        <v>0</v>
      </c>
      <c r="AA17" s="100">
        <f ca="1">IF($L$2="v-pi",AB17*B17,AF2)</f>
        <v>0</v>
      </c>
      <c r="AB17" s="97">
        <f ca="1">IF($L$2="v-pi",IF($AB$31="reset",AF2,L17*(1-$AA$31)/$AA$34),AF2)</f>
        <v>0</v>
      </c>
      <c r="AC17" s="97">
        <f ca="1">IF($L$2="v-pi",AB17/$AA$35,AF2)</f>
        <v>0</v>
      </c>
      <c r="AD17" s="91">
        <f ca="1">IF($L$2="v-pi",Z17/$AA$37,AF2)</f>
        <v>0</v>
      </c>
    </row>
    <row r="18" spans="1:33" x14ac:dyDescent="0.35">
      <c r="A18" s="31" t="str">
        <f>SoilMixes!A17</f>
        <v>Biochar GW-E</v>
      </c>
      <c r="B18" s="96">
        <f>SoilMixes!B17</f>
        <v>284.70588235294116</v>
      </c>
      <c r="C18" s="142">
        <f>SoilMixes!C17</f>
        <v>0.15</v>
      </c>
      <c r="D18" s="95">
        <f>SoilMixes!D17</f>
        <v>242</v>
      </c>
      <c r="E18" s="138">
        <f>SoilMixes!E17</f>
        <v>1660</v>
      </c>
      <c r="F18" s="133">
        <f>SoilMixes!F17</f>
        <v>0.85421686746987957</v>
      </c>
      <c r="G18" s="17">
        <f>SoilMixes!G17</f>
        <v>0.45</v>
      </c>
      <c r="H18" s="134">
        <f>SoilMixes!H17</f>
        <v>0.40421686746987956</v>
      </c>
      <c r="I18" s="35">
        <f>SoilMixes!I17</f>
        <v>0.69899999999999995</v>
      </c>
      <c r="L18" s="28">
        <f>INDEX(RecipesBiochar!$B$10:$AA$35,ROW(Calculator!A18)-3+1,Calculator!$K$1)</f>
        <v>0</v>
      </c>
      <c r="N18" s="103" t="str">
        <f t="shared" si="6"/>
        <v>-</v>
      </c>
      <c r="O18" s="100" t="str">
        <f t="shared" si="7"/>
        <v>-</v>
      </c>
      <c r="P18" s="100" t="str">
        <f t="shared" si="17"/>
        <v>-</v>
      </c>
      <c r="Q18" s="44" t="str">
        <f t="shared" si="18"/>
        <v>-</v>
      </c>
      <c r="R18" s="91" t="str">
        <f t="shared" si="19"/>
        <v>-</v>
      </c>
      <c r="T18" s="103" t="str">
        <f t="shared" si="10"/>
        <v>-</v>
      </c>
      <c r="U18" s="100" t="str">
        <f t="shared" si="11"/>
        <v>-</v>
      </c>
      <c r="V18" s="97" t="str">
        <f t="shared" si="12"/>
        <v>-</v>
      </c>
      <c r="W18" s="44" t="str">
        <f t="shared" si="13"/>
        <v>-</v>
      </c>
      <c r="X18" s="91" t="str">
        <f t="shared" si="14"/>
        <v>-</v>
      </c>
      <c r="Z18" s="103">
        <f ca="1">IF($L$2="v-pi",AB18*D18,AF2)</f>
        <v>0</v>
      </c>
      <c r="AA18" s="100">
        <f ca="1">IF($L$2="v-pi",AB18*B18,AF2)</f>
        <v>0</v>
      </c>
      <c r="AB18" s="97">
        <f ca="1">IF($L$2="v-pi",IF($AB$31="reset",AF2,L18*(1-$AA$31)/$AA$34),AF2)</f>
        <v>0</v>
      </c>
      <c r="AC18" s="97">
        <f ca="1">IF($L$2="v-pi",AB18/$AA$35,AF2)</f>
        <v>0</v>
      </c>
      <c r="AD18" s="91">
        <f ca="1">IF($L$2="v-pi",Z18/$AA$37,AF2)</f>
        <v>0</v>
      </c>
    </row>
    <row r="19" spans="1:33" x14ac:dyDescent="0.35">
      <c r="A19" s="31" t="str">
        <f>SoilMixes!A18</f>
        <v>Biochar LR-S</v>
      </c>
      <c r="B19" s="96">
        <f>SoilMixes!B18</f>
        <v>228.23529411764707</v>
      </c>
      <c r="C19" s="142">
        <f>SoilMixes!C18</f>
        <v>0.15</v>
      </c>
      <c r="D19" s="95">
        <f>SoilMixes!D18</f>
        <v>194</v>
      </c>
      <c r="E19" s="138">
        <f>SoilMixes!E18</f>
        <v>1700</v>
      </c>
      <c r="F19" s="133">
        <f>SoilMixes!F18</f>
        <v>0.88588235294117645</v>
      </c>
      <c r="G19" s="17">
        <f>SoilMixes!G18</f>
        <v>0.45</v>
      </c>
      <c r="H19" s="134">
        <f>SoilMixes!H18</f>
        <v>0.43588235294117644</v>
      </c>
      <c r="I19" s="35">
        <f>SoilMixes!I18</f>
        <v>0.91600000000000004</v>
      </c>
      <c r="L19" s="28">
        <f>INDEX(RecipesBiochar!$B$10:$AA$35,ROW(Calculator!A19)-3+1,Calculator!$K$1)</f>
        <v>0</v>
      </c>
      <c r="N19" s="103" t="str">
        <f t="shared" si="6"/>
        <v>-</v>
      </c>
      <c r="O19" s="100" t="str">
        <f t="shared" si="7"/>
        <v>-</v>
      </c>
      <c r="P19" s="100" t="str">
        <f t="shared" si="17"/>
        <v>-</v>
      </c>
      <c r="Q19" s="44" t="str">
        <f t="shared" si="18"/>
        <v>-</v>
      </c>
      <c r="R19" s="91" t="str">
        <f t="shared" si="19"/>
        <v>-</v>
      </c>
      <c r="T19" s="103" t="str">
        <f t="shared" si="10"/>
        <v>-</v>
      </c>
      <c r="U19" s="100" t="str">
        <f t="shared" si="11"/>
        <v>-</v>
      </c>
      <c r="V19" s="97" t="str">
        <f t="shared" si="12"/>
        <v>-</v>
      </c>
      <c r="W19" s="44" t="str">
        <f t="shared" si="13"/>
        <v>-</v>
      </c>
      <c r="X19" s="91" t="str">
        <f t="shared" si="14"/>
        <v>-</v>
      </c>
      <c r="Z19" s="103">
        <f ca="1">IF($L$2="v-pi",AB19*D19,AF2)</f>
        <v>0</v>
      </c>
      <c r="AA19" s="100">
        <f ca="1">IF($L$2="v-pi",AB19*B19,AF2)</f>
        <v>0</v>
      </c>
      <c r="AB19" s="97">
        <f ca="1">IF($L$2="v-pi",IF($AB$31="reset",AF2,L19*(1-$AA$31)/$AA$34),AF2)</f>
        <v>0</v>
      </c>
      <c r="AC19" s="97">
        <f ca="1">IF($L$2="v-pi",AB19/$AA$35,AF2)</f>
        <v>0</v>
      </c>
      <c r="AD19" s="91">
        <f ca="1">IF($L$2="v-pi",Z19/$AA$37,AF2)</f>
        <v>0</v>
      </c>
      <c r="AG19">
        <v>8.3000000000000004E-2</v>
      </c>
    </row>
    <row r="20" spans="1:33" x14ac:dyDescent="0.35">
      <c r="A20" s="31" t="str">
        <f>SoilMixes!A19</f>
        <v>Biochar LR-M</v>
      </c>
      <c r="B20" s="96">
        <f>SoilMixes!B19</f>
        <v>228.23529411764707</v>
      </c>
      <c r="C20" s="142">
        <f>SoilMixes!C19</f>
        <v>0.15</v>
      </c>
      <c r="D20" s="95">
        <f>SoilMixes!D19</f>
        <v>194</v>
      </c>
      <c r="E20" s="138">
        <f>SoilMixes!E19</f>
        <v>1700</v>
      </c>
      <c r="F20" s="133">
        <f>SoilMixes!F19</f>
        <v>0.88588235294117645</v>
      </c>
      <c r="G20" s="17">
        <f>SoilMixes!G19</f>
        <v>0.45</v>
      </c>
      <c r="H20" s="134">
        <f>SoilMixes!H19</f>
        <v>0.43588235294117644</v>
      </c>
      <c r="I20" s="35">
        <f>SoilMixes!I19</f>
        <v>0.91600000000000004</v>
      </c>
      <c r="L20" s="28">
        <f>INDEX(RecipesBiochar!$B$10:$AA$35,ROW(Calculator!A20)-3+1,Calculator!$K$1)</f>
        <v>0</v>
      </c>
      <c r="N20" s="103" t="str">
        <f t="shared" si="6"/>
        <v>-</v>
      </c>
      <c r="O20" s="100" t="str">
        <f t="shared" si="7"/>
        <v>-</v>
      </c>
      <c r="P20" s="100" t="str">
        <f t="shared" si="17"/>
        <v>-</v>
      </c>
      <c r="Q20" s="44" t="str">
        <f t="shared" si="18"/>
        <v>-</v>
      </c>
      <c r="R20" s="91" t="str">
        <f t="shared" si="19"/>
        <v>-</v>
      </c>
      <c r="T20" s="103" t="str">
        <f t="shared" si="10"/>
        <v>-</v>
      </c>
      <c r="U20" s="100" t="str">
        <f t="shared" si="11"/>
        <v>-</v>
      </c>
      <c r="V20" s="97" t="str">
        <f t="shared" si="12"/>
        <v>-</v>
      </c>
      <c r="W20" s="44" t="str">
        <f t="shared" si="13"/>
        <v>-</v>
      </c>
      <c r="X20" s="91" t="str">
        <f t="shared" si="14"/>
        <v>-</v>
      </c>
      <c r="Z20" s="103">
        <f ca="1">IF($L$2="v-pi",AB20*D20,AF2)</f>
        <v>0</v>
      </c>
      <c r="AA20" s="100">
        <f ca="1">IF($L$2="v-pi",AB20*B20,AF2)</f>
        <v>0</v>
      </c>
      <c r="AB20" s="97">
        <f ca="1">IF($L$2="v-pi",IF($AB$31="reset",AF2,L20*(1-$AA$31)/$AA$34),AF2)</f>
        <v>0</v>
      </c>
      <c r="AC20" s="97">
        <f ca="1">IF($L$2="v-pi",AB20/$AA$35,AF2)</f>
        <v>0</v>
      </c>
      <c r="AD20" s="91">
        <f ca="1">IF($L$2="v-pi",Z20/$AA$37,AF2)</f>
        <v>0</v>
      </c>
    </row>
    <row r="21" spans="1:33" x14ac:dyDescent="0.35">
      <c r="A21" s="31" t="str">
        <f>SoilMixes!A20</f>
        <v>Biochar WL-S</v>
      </c>
      <c r="B21" s="96">
        <f>SoilMixes!B20</f>
        <v>317.64705882352939</v>
      </c>
      <c r="C21" s="142">
        <f>SoilMixes!C20</f>
        <v>0.15</v>
      </c>
      <c r="D21" s="95">
        <f>SoilMixes!D20</f>
        <v>270</v>
      </c>
      <c r="E21" s="138">
        <f>SoilMixes!E20</f>
        <v>1660</v>
      </c>
      <c r="F21" s="133">
        <f>SoilMixes!F20</f>
        <v>0.83734939759036142</v>
      </c>
      <c r="G21" s="17">
        <f>SoilMixes!G20</f>
        <v>0.45</v>
      </c>
      <c r="H21" s="134">
        <f>SoilMixes!H20</f>
        <v>0.38734939759036141</v>
      </c>
      <c r="I21" s="35">
        <f>SoilMixes!I20</f>
        <v>0.81599999999999995</v>
      </c>
      <c r="L21" s="28">
        <f>INDEX(RecipesBiochar!$B$10:$AA$35,ROW(Calculator!A21)-3+1,Calculator!$K$1)</f>
        <v>0</v>
      </c>
      <c r="N21" s="103" t="str">
        <f t="shared" si="6"/>
        <v>-</v>
      </c>
      <c r="O21" s="100" t="str">
        <f t="shared" si="7"/>
        <v>-</v>
      </c>
      <c r="P21" s="100" t="str">
        <f t="shared" si="17"/>
        <v>-</v>
      </c>
      <c r="Q21" s="44" t="str">
        <f t="shared" si="18"/>
        <v>-</v>
      </c>
      <c r="R21" s="91" t="str">
        <f t="shared" si="19"/>
        <v>-</v>
      </c>
      <c r="T21" s="103" t="str">
        <f t="shared" si="10"/>
        <v>-</v>
      </c>
      <c r="U21" s="100" t="str">
        <f t="shared" si="11"/>
        <v>-</v>
      </c>
      <c r="V21" s="97" t="str">
        <f t="shared" si="12"/>
        <v>-</v>
      </c>
      <c r="W21" s="44" t="str">
        <f t="shared" si="13"/>
        <v>-</v>
      </c>
      <c r="X21" s="91" t="str">
        <f t="shared" si="14"/>
        <v>-</v>
      </c>
      <c r="Z21" s="103">
        <f ca="1">IF($L$2="v-pi",AB21*D21,AF2)</f>
        <v>0</v>
      </c>
      <c r="AA21" s="100">
        <f ca="1">IF($L$2="v-pi",AB21*B21,AF2)</f>
        <v>0</v>
      </c>
      <c r="AB21" s="97">
        <f ca="1">IF($L$2="v-pi",IF($AB$31="reset",AF2,L21*(1-$AA$31)/$AA$34),AF2)</f>
        <v>0</v>
      </c>
      <c r="AC21" s="97">
        <f ca="1">IF($L$2="v-pi",AB21/$AA$35,AF2)</f>
        <v>0</v>
      </c>
      <c r="AD21" s="91">
        <f ca="1">IF($L$2="v-pi",Z21/$AA$37,AF2)</f>
        <v>0</v>
      </c>
    </row>
    <row r="22" spans="1:33" x14ac:dyDescent="0.35">
      <c r="A22" s="31" t="str">
        <f>SoilMixes!A21</f>
        <v>Biochar AG-S</v>
      </c>
      <c r="B22" s="96">
        <f>SoilMixes!B21</f>
        <v>442.35294117647061</v>
      </c>
      <c r="C22" s="142">
        <f>SoilMixes!C21</f>
        <v>0.15</v>
      </c>
      <c r="D22" s="95">
        <f>SoilMixes!D21</f>
        <v>376</v>
      </c>
      <c r="E22" s="138">
        <f>SoilMixes!E21</f>
        <v>1600</v>
      </c>
      <c r="F22" s="133">
        <f>SoilMixes!F21</f>
        <v>0.76500000000000001</v>
      </c>
      <c r="G22" s="17">
        <f>SoilMixes!G21</f>
        <v>0.45</v>
      </c>
      <c r="H22" s="134">
        <f>SoilMixes!H21</f>
        <v>0.315</v>
      </c>
      <c r="I22" s="35">
        <f>SoilMixes!I21</f>
        <v>0.64700000000000002</v>
      </c>
      <c r="L22" s="28">
        <f>INDEX(RecipesBiochar!$B$10:$AA$35,ROW(Calculator!A22)-3+1,Calculator!$K$1)</f>
        <v>0</v>
      </c>
      <c r="N22" s="103" t="str">
        <f t="shared" si="6"/>
        <v>-</v>
      </c>
      <c r="O22" s="100" t="str">
        <f t="shared" si="7"/>
        <v>-</v>
      </c>
      <c r="P22" s="100" t="str">
        <f t="shared" si="17"/>
        <v>-</v>
      </c>
      <c r="Q22" s="44" t="str">
        <f t="shared" si="18"/>
        <v>-</v>
      </c>
      <c r="R22" s="91" t="str">
        <f t="shared" si="19"/>
        <v>-</v>
      </c>
      <c r="T22" s="103" t="str">
        <f t="shared" si="10"/>
        <v>-</v>
      </c>
      <c r="U22" s="100" t="str">
        <f t="shared" si="11"/>
        <v>-</v>
      </c>
      <c r="V22" s="97" t="str">
        <f t="shared" si="12"/>
        <v>-</v>
      </c>
      <c r="W22" s="44" t="str">
        <f t="shared" si="13"/>
        <v>-</v>
      </c>
      <c r="X22" s="91" t="str">
        <f t="shared" si="14"/>
        <v>-</v>
      </c>
      <c r="Z22" s="103">
        <f ca="1">IF($L$2="v-pi",AB22*D22,AF2)</f>
        <v>0</v>
      </c>
      <c r="AA22" s="100">
        <f ca="1">IF($L$2="v-pi",AB22*B22,AF2)</f>
        <v>0</v>
      </c>
      <c r="AB22" s="97">
        <f ca="1">IF($L$2="v-pi",IF($AB$31="reset",AF2,L22*(1-$AA$31)/$AA$34),AF2)</f>
        <v>0</v>
      </c>
      <c r="AC22" s="97">
        <f ca="1">IF($L$2="v-pi",AB22/$AA$35,AF2)</f>
        <v>0</v>
      </c>
      <c r="AD22" s="91">
        <f ca="1">IF($L$2="v-pi",Z22/$AA$37,AF2)</f>
        <v>0</v>
      </c>
    </row>
    <row r="23" spans="1:33" x14ac:dyDescent="0.35">
      <c r="A23" s="31" t="str">
        <f>SoilMixes!A22</f>
        <v>Biochar 1 - ETC/Edv</v>
      </c>
      <c r="B23" s="96">
        <f>SoilMixes!B22</f>
        <v>228.23529411764707</v>
      </c>
      <c r="C23" s="142">
        <f>SoilMixes!C22</f>
        <v>0.15</v>
      </c>
      <c r="D23" s="95">
        <f>SoilMixes!D22</f>
        <v>194</v>
      </c>
      <c r="E23" s="138">
        <f>SoilMixes!E22</f>
        <v>1700</v>
      </c>
      <c r="F23" s="133">
        <f>SoilMixes!F22</f>
        <v>0.88588235294117645</v>
      </c>
      <c r="G23" s="17">
        <f>SoilMixes!G22</f>
        <v>0.45</v>
      </c>
      <c r="H23" s="134">
        <f>SoilMixes!H22</f>
        <v>0.43588235294117644</v>
      </c>
      <c r="I23" s="35">
        <f>SoilMixes!I22</f>
        <v>0.91600000000000004</v>
      </c>
      <c r="L23" s="28">
        <f>INDEX(RecipesBiochar!$B$10:$AA$35,ROW(Calculator!A23)-3+1,Calculator!$K$1)</f>
        <v>0</v>
      </c>
      <c r="N23" s="103" t="str">
        <f t="shared" si="6"/>
        <v>-</v>
      </c>
      <c r="O23" s="100" t="str">
        <f t="shared" si="7"/>
        <v>-</v>
      </c>
      <c r="P23" s="100" t="str">
        <f t="shared" si="17"/>
        <v>-</v>
      </c>
      <c r="Q23" s="44" t="str">
        <f t="shared" si="18"/>
        <v>-</v>
      </c>
      <c r="R23" s="91" t="str">
        <f t="shared" si="19"/>
        <v>-</v>
      </c>
      <c r="T23" s="103" t="str">
        <f t="shared" si="10"/>
        <v>-</v>
      </c>
      <c r="U23" s="100" t="str">
        <f t="shared" si="11"/>
        <v>-</v>
      </c>
      <c r="V23" s="97" t="str">
        <f t="shared" si="12"/>
        <v>-</v>
      </c>
      <c r="W23" s="44" t="str">
        <f t="shared" si="13"/>
        <v>-</v>
      </c>
      <c r="X23" s="91" t="str">
        <f t="shared" si="14"/>
        <v>-</v>
      </c>
      <c r="Z23" s="103">
        <f ca="1">IF($L$2="v-pi",AB23*D23,AF2)</f>
        <v>0</v>
      </c>
      <c r="AA23" s="100">
        <f ca="1">IF($L$2="v-pi",AB23*B23,AF2)</f>
        <v>0</v>
      </c>
      <c r="AB23" s="97">
        <f ca="1">IF($L$2="v-pi",IF($AB$31="reset",AF2,L23*(1-$AA$31)/$AA$34),AF2)</f>
        <v>0</v>
      </c>
      <c r="AC23" s="97">
        <f ca="1">IF($L$2="v-pi",AB23/$AA$35,AF2)</f>
        <v>0</v>
      </c>
      <c r="AD23" s="91">
        <f ca="1">IF($L$2="v-pi",Z23/$AA$37,AF2)</f>
        <v>0</v>
      </c>
    </row>
    <row r="24" spans="1:33" x14ac:dyDescent="0.35">
      <c r="A24" s="31" t="str">
        <f>SoilMixes!A23</f>
        <v>Biochar 2 - Skanefro</v>
      </c>
      <c r="B24" s="96">
        <f>SoilMixes!B23</f>
        <v>442.35294117647061</v>
      </c>
      <c r="C24" s="142">
        <f>SoilMixes!C23</f>
        <v>0.15</v>
      </c>
      <c r="D24" s="95">
        <f>SoilMixes!D23</f>
        <v>376</v>
      </c>
      <c r="E24" s="138">
        <f>SoilMixes!E23</f>
        <v>1600</v>
      </c>
      <c r="F24" s="133">
        <f>SoilMixes!F23</f>
        <v>0.76500000000000001</v>
      </c>
      <c r="G24" s="17">
        <f>SoilMixes!G23</f>
        <v>0.45</v>
      </c>
      <c r="H24" s="134">
        <f>SoilMixes!H23</f>
        <v>0.315</v>
      </c>
      <c r="I24" s="35">
        <f>SoilMixes!I23</f>
        <v>0.64700000000000002</v>
      </c>
      <c r="L24" s="28">
        <f>INDEX(RecipesBiochar!$B$10:$AA$35,ROW(Calculator!A24)-3+1,Calculator!$K$1)</f>
        <v>0</v>
      </c>
      <c r="N24" s="103" t="str">
        <f t="shared" si="6"/>
        <v>-</v>
      </c>
      <c r="O24" s="100" t="str">
        <f t="shared" si="7"/>
        <v>-</v>
      </c>
      <c r="P24" s="100" t="str">
        <f t="shared" si="17"/>
        <v>-</v>
      </c>
      <c r="Q24" s="44" t="str">
        <f t="shared" si="18"/>
        <v>-</v>
      </c>
      <c r="R24" s="91" t="str">
        <f t="shared" si="19"/>
        <v>-</v>
      </c>
      <c r="T24" s="103" t="str">
        <f t="shared" si="10"/>
        <v>-</v>
      </c>
      <c r="U24" s="100" t="str">
        <f t="shared" si="11"/>
        <v>-</v>
      </c>
      <c r="V24" s="97" t="str">
        <f t="shared" si="12"/>
        <v>-</v>
      </c>
      <c r="W24" s="44" t="str">
        <f t="shared" si="13"/>
        <v>-</v>
      </c>
      <c r="X24" s="91" t="str">
        <f t="shared" si="14"/>
        <v>-</v>
      </c>
      <c r="Z24" s="103">
        <f ca="1">IF($L$2="v-pi",AB24*D24,AF2)</f>
        <v>0</v>
      </c>
      <c r="AA24" s="100">
        <f ca="1">IF($L$2="v-pi",AB24*B24,AF2)</f>
        <v>0</v>
      </c>
      <c r="AB24" s="97">
        <f ca="1">IF($L$2="v-pi",IF($AB$31="reset",AF2,L24*(1-$AA$31)/$AA$34),AF2)</f>
        <v>0</v>
      </c>
      <c r="AC24" s="97">
        <f ca="1">IF($L$2="v-pi",AB24/$AA$35,AF2)</f>
        <v>0</v>
      </c>
      <c r="AD24" s="91">
        <f ca="1">IF($L$2="v-pi",Z24/$AA$37,AF2)</f>
        <v>0</v>
      </c>
    </row>
    <row r="25" spans="1:33" x14ac:dyDescent="0.35">
      <c r="A25" s="31" t="str">
        <f>SoilMixes!A24</f>
        <v>Biochar 3 - Circular Carbon</v>
      </c>
      <c r="B25" s="96">
        <f>SoilMixes!B24</f>
        <v>194.11764705882354</v>
      </c>
      <c r="C25" s="142">
        <f>SoilMixes!C24</f>
        <v>0.15</v>
      </c>
      <c r="D25" s="95">
        <f>SoilMixes!D24</f>
        <v>165</v>
      </c>
      <c r="E25" s="138">
        <f>SoilMixes!E24</f>
        <v>1900</v>
      </c>
      <c r="F25" s="133">
        <f>SoilMixes!F24</f>
        <v>0.91315789473684206</v>
      </c>
      <c r="G25" s="17">
        <f>SoilMixes!G24</f>
        <v>0.45</v>
      </c>
      <c r="H25" s="134">
        <f>SoilMixes!H24</f>
        <v>0.46315789473684205</v>
      </c>
      <c r="I25" s="35">
        <f>SoilMixes!I24</f>
        <v>0.64600000000000002</v>
      </c>
      <c r="L25" s="28">
        <f>INDEX(RecipesBiochar!$B$10:$AA$35,ROW(Calculator!A25)-3+1,Calculator!$K$1)</f>
        <v>0</v>
      </c>
      <c r="N25" s="103" t="str">
        <f t="shared" si="6"/>
        <v>-</v>
      </c>
      <c r="O25" s="100" t="str">
        <f t="shared" si="7"/>
        <v>-</v>
      </c>
      <c r="P25" s="100" t="str">
        <f t="shared" si="17"/>
        <v>-</v>
      </c>
      <c r="Q25" s="44" t="str">
        <f t="shared" si="18"/>
        <v>-</v>
      </c>
      <c r="R25" s="91" t="str">
        <f t="shared" si="19"/>
        <v>-</v>
      </c>
      <c r="T25" s="103" t="str">
        <f t="shared" si="10"/>
        <v>-</v>
      </c>
      <c r="U25" s="100" t="str">
        <f t="shared" si="11"/>
        <v>-</v>
      </c>
      <c r="V25" s="97" t="str">
        <f t="shared" si="12"/>
        <v>-</v>
      </c>
      <c r="W25" s="44" t="str">
        <f t="shared" si="13"/>
        <v>-</v>
      </c>
      <c r="X25" s="91" t="str">
        <f t="shared" si="14"/>
        <v>-</v>
      </c>
      <c r="Z25" s="103">
        <f ca="1">IF($L$2="v-pi",AB25*D25,AF2)</f>
        <v>0</v>
      </c>
      <c r="AA25" s="100">
        <f ca="1">IF($L$2="v-pi",AB25*B25,AF2)</f>
        <v>0</v>
      </c>
      <c r="AB25" s="97">
        <f ca="1">IF($L$2="v-pi",IF($AB$31="reset",AF2,L25*(1-$AA$31)/$AA$34),AF2)</f>
        <v>0</v>
      </c>
      <c r="AC25" s="97">
        <f ca="1">IF($L$2="v-pi",AB25/$AA$35,AF2)</f>
        <v>0</v>
      </c>
      <c r="AD25" s="91">
        <f ca="1">IF($L$2="v-pi",Z25/$AA$37,AF2)</f>
        <v>0</v>
      </c>
    </row>
    <row r="26" spans="1:33" x14ac:dyDescent="0.35">
      <c r="A26" s="31" t="str">
        <f>SoilMixes!A25</f>
        <v>Biochar 4 - VegTech</v>
      </c>
      <c r="B26" s="96">
        <f>SoilMixes!B25</f>
        <v>588.23529411764707</v>
      </c>
      <c r="C26" s="142">
        <f>SoilMixes!C25</f>
        <v>0.15</v>
      </c>
      <c r="D26" s="95">
        <f>SoilMixes!D25</f>
        <v>500</v>
      </c>
      <c r="E26" s="138">
        <f>SoilMixes!E25</f>
        <v>1800</v>
      </c>
      <c r="F26" s="133">
        <f>SoilMixes!F25</f>
        <v>0.72222222222222221</v>
      </c>
      <c r="G26" s="17">
        <f>SoilMixes!G25</f>
        <v>0.45</v>
      </c>
      <c r="H26" s="134">
        <f>SoilMixes!H25</f>
        <v>0.2722222222222222</v>
      </c>
      <c r="I26" s="35">
        <f>SoilMixes!I25</f>
        <v>0.93400000000000005</v>
      </c>
      <c r="L26" s="28">
        <f>INDEX(RecipesBiochar!$B$10:$AA$35,ROW(Calculator!A26)-3+1,Calculator!$K$1)</f>
        <v>0</v>
      </c>
      <c r="N26" s="103" t="str">
        <f t="shared" si="6"/>
        <v>-</v>
      </c>
      <c r="O26" s="100" t="str">
        <f t="shared" si="7"/>
        <v>-</v>
      </c>
      <c r="P26" s="100" t="str">
        <f t="shared" si="17"/>
        <v>-</v>
      </c>
      <c r="Q26" s="44" t="str">
        <f t="shared" si="18"/>
        <v>-</v>
      </c>
      <c r="R26" s="91" t="str">
        <f t="shared" si="19"/>
        <v>-</v>
      </c>
      <c r="T26" s="103" t="str">
        <f t="shared" si="10"/>
        <v>-</v>
      </c>
      <c r="U26" s="100" t="str">
        <f t="shared" si="11"/>
        <v>-</v>
      </c>
      <c r="V26" s="97" t="str">
        <f t="shared" si="12"/>
        <v>-</v>
      </c>
      <c r="W26" s="44" t="str">
        <f t="shared" si="13"/>
        <v>-</v>
      </c>
      <c r="X26" s="91" t="str">
        <f t="shared" si="14"/>
        <v>-</v>
      </c>
      <c r="Z26" s="103">
        <f ca="1">IF($L$2="v-pi",AB26*D26,AF2)</f>
        <v>0</v>
      </c>
      <c r="AA26" s="100">
        <f ca="1">IF($L$2="v-pi",AB26*B26,AF2)</f>
        <v>0</v>
      </c>
      <c r="AB26" s="97">
        <f ca="1">IF($L$2="v-pi",IF($AB$31="reset",AF2,L26*(1-$AA$31)/$AA$34),AF2)</f>
        <v>0</v>
      </c>
      <c r="AC26" s="97">
        <f ca="1">IF($L$2="v-pi",AB26/$AA$35,AF2)</f>
        <v>0</v>
      </c>
      <c r="AD26" s="91">
        <f ca="1">IF($L$2="v-pi",Z26/$AA$37,AF2)</f>
        <v>0</v>
      </c>
    </row>
    <row r="27" spans="1:33" x14ac:dyDescent="0.35">
      <c r="A27" s="31" t="str">
        <f>SoilMixes!A26</f>
        <v>Compost</v>
      </c>
      <c r="B27" s="143">
        <f>SoilMixes!B26</f>
        <v>666.66666666666674</v>
      </c>
      <c r="C27" s="144">
        <f>SoilMixes!C26</f>
        <v>0.4</v>
      </c>
      <c r="D27" s="139">
        <f>SoilMixes!D26</f>
        <v>400</v>
      </c>
      <c r="E27" s="140">
        <f>SoilMixes!E26</f>
        <v>666.66666666666674</v>
      </c>
      <c r="F27" s="135">
        <f>SoilMixes!F26</f>
        <v>0.4</v>
      </c>
      <c r="G27" s="36">
        <f>SoilMixes!G26</f>
        <v>0.4</v>
      </c>
      <c r="H27" s="146">
        <f>SoilMixes!H26</f>
        <v>0</v>
      </c>
      <c r="I27" s="37">
        <f>SoilMixes!I26</f>
        <v>0</v>
      </c>
      <c r="L27" s="28">
        <f>INDEX(RecipesBiochar!$B$10:$AA$35,ROW(Calculator!A27)-3+1,Calculator!$K$1)</f>
        <v>3.7499999999999999E-2</v>
      </c>
      <c r="N27" s="103" t="str">
        <f t="shared" si="6"/>
        <v>-</v>
      </c>
      <c r="O27" s="100" t="str">
        <f t="shared" si="7"/>
        <v>-</v>
      </c>
      <c r="P27" s="100" t="str">
        <f t="shared" si="17"/>
        <v>-</v>
      </c>
      <c r="Q27" s="44" t="str">
        <f t="shared" si="18"/>
        <v>-</v>
      </c>
      <c r="R27" s="91" t="str">
        <f t="shared" si="19"/>
        <v>-</v>
      </c>
      <c r="T27" s="103" t="str">
        <f t="shared" si="10"/>
        <v>-</v>
      </c>
      <c r="U27" s="100" t="str">
        <f t="shared" si="11"/>
        <v>-</v>
      </c>
      <c r="V27" s="97" t="str">
        <f t="shared" si="12"/>
        <v>-</v>
      </c>
      <c r="W27" s="44" t="str">
        <f t="shared" si="13"/>
        <v>-</v>
      </c>
      <c r="X27" s="91" t="str">
        <f t="shared" si="14"/>
        <v>-</v>
      </c>
      <c r="Z27" s="103">
        <f ca="1">IF($L$2="v-pi",AB27*D27,AF2)</f>
        <v>15.766679951923754</v>
      </c>
      <c r="AA27" s="100">
        <f ca="1">IF($L$2="v-pi",AB27*B27,AF2)</f>
        <v>26.277799919872926</v>
      </c>
      <c r="AB27" s="97">
        <f ca="1">IF($L$2="v-pi",IF($AB$31="reset",AF2,L27*(1-$AA$31)/$AA$34),AF2)</f>
        <v>3.9416699879809385E-2</v>
      </c>
      <c r="AC27" s="97">
        <f ca="1">IF($L$2="v-pi",AB27/$AA$35,AF2)</f>
        <v>3.7499999999999999E-2</v>
      </c>
      <c r="AD27" s="91">
        <f ca="1">IF($L$2="v-pi",Z27/$AA$37,AF2)</f>
        <v>1.5463792978471502E-2</v>
      </c>
    </row>
    <row r="28" spans="1:33" x14ac:dyDescent="0.35">
      <c r="A28" s="112" t="str">
        <f>SoilMixes!A27</f>
        <v>Water</v>
      </c>
      <c r="B28" s="143">
        <f>SoilMixes!B27</f>
        <v>1000</v>
      </c>
      <c r="C28" s="144" t="str">
        <f>SoilMixes!C27</f>
        <v>-</v>
      </c>
      <c r="D28" s="139">
        <f>SoilMixes!D27</f>
        <v>1000</v>
      </c>
      <c r="E28" s="140">
        <f>SoilMixes!E27</f>
        <v>1000</v>
      </c>
      <c r="F28" s="135">
        <f>SoilMixes!F27</f>
        <v>0</v>
      </c>
      <c r="G28" s="36">
        <f>SoilMixes!G27</f>
        <v>0</v>
      </c>
      <c r="H28" s="136">
        <f>SoilMixes!H27</f>
        <v>0</v>
      </c>
      <c r="I28" s="37">
        <f>SoilMixes!I27</f>
        <v>0</v>
      </c>
      <c r="L28" s="28">
        <f>INDEX(RecipesBiochar!$B$10:$AA$35,ROW(Calculator!A28)-3+1,Calculator!$K$1)</f>
        <v>0</v>
      </c>
      <c r="N28" s="104" t="str">
        <f t="shared" si="6"/>
        <v>-</v>
      </c>
      <c r="O28" s="102" t="str">
        <f t="shared" si="7"/>
        <v>-</v>
      </c>
      <c r="P28" s="102" t="str">
        <f t="shared" si="17"/>
        <v>-</v>
      </c>
      <c r="Q28" s="92" t="str">
        <f t="shared" si="18"/>
        <v>-</v>
      </c>
      <c r="R28" s="93" t="str">
        <f t="shared" si="19"/>
        <v>-</v>
      </c>
      <c r="T28" s="104" t="str">
        <f t="shared" si="8"/>
        <v>-</v>
      </c>
      <c r="U28" s="102" t="str">
        <f t="shared" si="9"/>
        <v>-</v>
      </c>
      <c r="V28" s="99" t="str">
        <f>IF($L$2="v-b",L28/$U$34*$L$29,"-")</f>
        <v>-</v>
      </c>
      <c r="W28" s="92" t="str">
        <f>IF($L$2="v-b",V28/$U$35,"-")</f>
        <v>-</v>
      </c>
      <c r="X28" s="93" t="str">
        <f>IF($L$2="v-b",T28/$U$30,"-")</f>
        <v>-</v>
      </c>
      <c r="Z28" s="104">
        <f ca="1">IF($L$2="v-pi",AB28*D28,AF2)</f>
        <v>0</v>
      </c>
      <c r="AA28" s="102">
        <f ca="1">IF($L$2="v-pi",AB28*B28,AF2)</f>
        <v>0</v>
      </c>
      <c r="AB28" s="97">
        <f ca="1">IF($L$2="v-pi",IF($AB$31="reset",AF2,L28*(1-$AA$31)/$AA$34),AF2)</f>
        <v>0</v>
      </c>
      <c r="AC28" s="99">
        <f ca="1">IF($L$2="v-pi",AB28/$AA$35,AF2)</f>
        <v>0</v>
      </c>
      <c r="AD28" s="93">
        <f ca="1">IF($L$2="v-pi",Z28/$AA$37,AF2)</f>
        <v>0</v>
      </c>
    </row>
    <row r="29" spans="1:33" x14ac:dyDescent="0.35">
      <c r="K29" t="s">
        <v>54</v>
      </c>
      <c r="L29" s="28">
        <f>IF(M29="", INDEX(RecipesBiochar!B5:AA7,IF(Calculator!L2="v-p",2,IF(Calculator!L2="v-b",1,3)),Calculator!K1),M29)</f>
        <v>0.51584884922501173</v>
      </c>
      <c r="M29" s="25"/>
      <c r="N29" s="21"/>
      <c r="O29" s="44"/>
      <c r="X29" s="83"/>
      <c r="Z29" s="20" t="s">
        <v>222</v>
      </c>
      <c r="AA29" s="20"/>
    </row>
    <row r="30" spans="1:33" x14ac:dyDescent="0.35">
      <c r="N30" s="21" t="s">
        <v>58</v>
      </c>
      <c r="O30" s="46" t="str">
        <f>IF($L$2="v-p",SUM(N3:N28),"-")</f>
        <v>-</v>
      </c>
      <c r="T30" s="21" t="s">
        <v>58</v>
      </c>
      <c r="U30" t="str">
        <f>IF($L$2="v-b",SUM(U3:U28),"-")</f>
        <v>-</v>
      </c>
      <c r="V30" t="s">
        <v>231</v>
      </c>
      <c r="Z30" s="21" t="s">
        <v>58</v>
      </c>
      <c r="AA30" s="21">
        <f ca="1">IF($L$2="v-pi",SUM(AA3:AA28),AF2)</f>
        <v>1200</v>
      </c>
    </row>
    <row r="31" spans="1:33" x14ac:dyDescent="0.35">
      <c r="N31" s="21" t="s">
        <v>3</v>
      </c>
      <c r="O31" s="45" t="str">
        <f>IF($L$2="v-p",L29,"-")</f>
        <v>-</v>
      </c>
      <c r="T31" s="21" t="s">
        <v>3</v>
      </c>
      <c r="U31" s="45" t="str">
        <f>IF($L$2="v-b",1-SUMPRODUCT(V3:V28,1-F3:F28)/1,"-")</f>
        <v>-</v>
      </c>
      <c r="Z31" s="21" t="s">
        <v>3</v>
      </c>
      <c r="AA31" s="155">
        <f ca="1">IF($L$2="v-pi",IF($AB$31="reset",AF2,AA33+AA32),AF2)</f>
        <v>0.59300594441558885</v>
      </c>
      <c r="AB31" s="20">
        <v>0</v>
      </c>
      <c r="AC31" s="20" t="s">
        <v>233</v>
      </c>
    </row>
    <row r="32" spans="1:33" x14ac:dyDescent="0.35">
      <c r="N32" s="21" t="s">
        <v>220</v>
      </c>
      <c r="O32" s="45" t="str">
        <f>IF($L$2="v-p",SUMPRODUCT(P3:P28,H3:H28)/1,"-")</f>
        <v>-</v>
      </c>
      <c r="T32" s="21" t="s">
        <v>220</v>
      </c>
      <c r="U32" s="45" t="str">
        <f>IF($L$2="v-b",SUMPRODUCT(V3:V28,H3:H28),"-")</f>
        <v>-</v>
      </c>
      <c r="Z32" s="21" t="s">
        <v>220</v>
      </c>
      <c r="AA32" s="154">
        <f ca="1">IF($L$2="v-pi",IF($AB$31="reset",AF2,SUMPRODUCT(AB3:AB28,H3:H28)),AF2)</f>
        <v>7.7157095190577091E-2</v>
      </c>
      <c r="AB32" s="108" t="s">
        <v>246</v>
      </c>
    </row>
    <row r="33" spans="11:28" x14ac:dyDescent="0.35">
      <c r="N33" s="21" t="s">
        <v>221</v>
      </c>
      <c r="O33" s="83" t="str">
        <f>IF($L$2="v-p",O31-O32,"-")</f>
        <v>-</v>
      </c>
      <c r="T33" s="21" t="s">
        <v>221</v>
      </c>
      <c r="U33" s="83" t="str">
        <f>IF($L$2="v-b",U31-U32,"-")</f>
        <v>-</v>
      </c>
      <c r="Z33" s="43" t="s">
        <v>221</v>
      </c>
      <c r="AA33" s="156">
        <f>IF($L$2="v-pi",L29,AF2)</f>
        <v>0.51584884922501173</v>
      </c>
    </row>
    <row r="34" spans="11:28" x14ac:dyDescent="0.35">
      <c r="N34" s="43" t="s">
        <v>59</v>
      </c>
      <c r="O34" t="str">
        <f>IF($L$2="v-p",SUMPRODUCT(L3:L28,1-F3:F28),"-")</f>
        <v>-</v>
      </c>
      <c r="T34" s="43" t="s">
        <v>59</v>
      </c>
      <c r="U34" t="str">
        <f>IF($L$2="v-b",SUMPRODUCT(L3:L28,B3:B28),"-")</f>
        <v>-</v>
      </c>
      <c r="Z34" s="43" t="s">
        <v>59</v>
      </c>
      <c r="AA34" s="43">
        <f>IF($L$2="v-pi",IF($AB$31="reset",L29,SUMPRODUCT(L3:L27,1-F3:F27)),AF2)</f>
        <v>0.38720332069791796</v>
      </c>
      <c r="AB34" s="108" t="s">
        <v>247</v>
      </c>
    </row>
    <row r="35" spans="11:28" x14ac:dyDescent="0.35">
      <c r="N35" s="43" t="s">
        <v>60</v>
      </c>
      <c r="O35" s="40" t="str">
        <f>IF($L$2="v-p",SUM(P3:P28),"-")</f>
        <v>-</v>
      </c>
      <c r="T35" s="43" t="s">
        <v>60</v>
      </c>
      <c r="U35" s="40" t="str">
        <f>IF($L$2="v-b",SUM(V3:V28),"-")</f>
        <v>-</v>
      </c>
      <c r="Z35" s="43" t="s">
        <v>60</v>
      </c>
      <c r="AA35" s="43">
        <f ca="1">IF($L$2="v-pi",SUM(AB3:AB28),1.404)</f>
        <v>1.051111996794917</v>
      </c>
    </row>
    <row r="36" spans="11:28" x14ac:dyDescent="0.35">
      <c r="N36" s="43" t="s">
        <v>227</v>
      </c>
      <c r="O36" s="45" t="str">
        <f>IF($L$2="v-p",(SUM(O3:O28)-SUM(N3:N28))/SUM(N3:N28),"-")</f>
        <v>-</v>
      </c>
      <c r="T36" s="43" t="s">
        <v>227</v>
      </c>
      <c r="U36" s="151" t="str">
        <f>IF($L$2="v-b",(SUM(U3:U28)-SUM(T3:T28))/SUM(T3:T28),"-")</f>
        <v>-</v>
      </c>
      <c r="V36" t="s">
        <v>229</v>
      </c>
      <c r="Z36" s="43" t="s">
        <v>227</v>
      </c>
      <c r="AA36" s="150">
        <f ca="1">IF($L$2="v-pi",(SUM(AA3:AA28)-SUM(Z3:Z28))/SUM(Z3:Z28),AF2)</f>
        <v>0.17694731108572068</v>
      </c>
    </row>
    <row r="37" spans="11:28" x14ac:dyDescent="0.35">
      <c r="N37" s="43" t="s">
        <v>228</v>
      </c>
      <c r="O37" s="46" t="str">
        <f>IF($L$2="v-p",SUM(N3:N28),"-")</f>
        <v>-</v>
      </c>
      <c r="T37" s="43" t="s">
        <v>228</v>
      </c>
      <c r="U37" s="64" t="str">
        <f>IF($L$2="v-b",SUM(T3:T28),"-")</f>
        <v>-</v>
      </c>
      <c r="V37" t="s">
        <v>230</v>
      </c>
      <c r="Z37" s="43" t="s">
        <v>228</v>
      </c>
      <c r="AA37">
        <f ca="1">IF($L$2="v-pi",SUM(Z3:Z28),AF2)</f>
        <v>1019.5868487035443</v>
      </c>
    </row>
    <row r="38" spans="11:28" x14ac:dyDescent="0.35">
      <c r="U38" s="64"/>
    </row>
    <row r="40" spans="11:28" x14ac:dyDescent="0.35">
      <c r="U40" t="e">
        <f>U30/(1+U36)</f>
        <v>#VALUE!</v>
      </c>
    </row>
    <row r="42" spans="11:28" x14ac:dyDescent="0.35">
      <c r="U42" t="e">
        <f>U37*(1+U36)</f>
        <v>#VALUE!</v>
      </c>
    </row>
    <row r="45" spans="11:28" x14ac:dyDescent="0.35">
      <c r="L45" t="s">
        <v>255</v>
      </c>
      <c r="M45" t="s">
        <v>256</v>
      </c>
      <c r="N45" t="s">
        <v>257</v>
      </c>
    </row>
    <row r="46" spans="11:28" x14ac:dyDescent="0.35">
      <c r="K46" s="66" t="s">
        <v>5</v>
      </c>
      <c r="L46">
        <v>0</v>
      </c>
      <c r="M46">
        <v>0</v>
      </c>
      <c r="N46">
        <f>L46-M46</f>
        <v>0</v>
      </c>
    </row>
    <row r="47" spans="11:28" x14ac:dyDescent="0.35">
      <c r="K47" s="66" t="s">
        <v>6</v>
      </c>
      <c r="L47">
        <v>37.840031884617019</v>
      </c>
      <c r="M47">
        <v>45.369952118529227</v>
      </c>
      <c r="N47">
        <f t="shared" ref="N47:N71" si="20">L47-M47</f>
        <v>-7.5299202339122076</v>
      </c>
    </row>
    <row r="48" spans="11:28" x14ac:dyDescent="0.35">
      <c r="K48" s="66" t="s">
        <v>7</v>
      </c>
      <c r="L48">
        <v>394.16699879809397</v>
      </c>
      <c r="M48">
        <v>378.08293432107689</v>
      </c>
      <c r="N48">
        <f t="shared" si="20"/>
        <v>16.08406447701708</v>
      </c>
    </row>
    <row r="49" spans="11:14" x14ac:dyDescent="0.35">
      <c r="K49" s="66" t="s">
        <v>8</v>
      </c>
      <c r="L49">
        <v>0</v>
      </c>
      <c r="M49">
        <v>0</v>
      </c>
      <c r="N49">
        <f t="shared" si="20"/>
        <v>0</v>
      </c>
    </row>
    <row r="50" spans="11:14" x14ac:dyDescent="0.35">
      <c r="K50" s="66" t="s">
        <v>9</v>
      </c>
      <c r="L50">
        <v>357.37807891027182</v>
      </c>
      <c r="M50">
        <v>428.49399223055383</v>
      </c>
      <c r="N50">
        <f t="shared" si="20"/>
        <v>-71.115913320282004</v>
      </c>
    </row>
    <row r="51" spans="11:14" x14ac:dyDescent="0.35">
      <c r="K51" s="66" t="s">
        <v>16</v>
      </c>
      <c r="L51">
        <v>0</v>
      </c>
      <c r="M51">
        <v>0</v>
      </c>
      <c r="N51">
        <f t="shared" si="20"/>
        <v>0</v>
      </c>
    </row>
    <row r="52" spans="11:14" x14ac:dyDescent="0.35">
      <c r="K52" s="66" t="s">
        <v>17</v>
      </c>
      <c r="L52">
        <v>0</v>
      </c>
      <c r="M52">
        <v>0</v>
      </c>
      <c r="N52">
        <f t="shared" si="20"/>
        <v>0</v>
      </c>
    </row>
    <row r="53" spans="11:14" x14ac:dyDescent="0.35">
      <c r="K53" s="66" t="s">
        <v>10</v>
      </c>
      <c r="L53">
        <v>0</v>
      </c>
      <c r="M53">
        <v>0</v>
      </c>
      <c r="N53">
        <f t="shared" si="20"/>
        <v>0</v>
      </c>
    </row>
    <row r="54" spans="11:14" x14ac:dyDescent="0.35">
      <c r="K54" s="66" t="s">
        <v>254</v>
      </c>
      <c r="L54">
        <v>157.66679951923757</v>
      </c>
      <c r="M54">
        <v>120.98653898274461</v>
      </c>
      <c r="N54">
        <f t="shared" si="20"/>
        <v>36.680260536492966</v>
      </c>
    </row>
    <row r="55" spans="11:14" x14ac:dyDescent="0.35">
      <c r="K55" s="66" t="s">
        <v>253</v>
      </c>
      <c r="L55">
        <v>43.62935967946401</v>
      </c>
      <c r="M55">
        <v>55.798739723552266</v>
      </c>
      <c r="N55">
        <f t="shared" si="20"/>
        <v>-12.169380044088257</v>
      </c>
    </row>
    <row r="56" spans="11:14" x14ac:dyDescent="0.35">
      <c r="K56" s="66" t="s">
        <v>11</v>
      </c>
      <c r="L56">
        <v>0</v>
      </c>
      <c r="M56">
        <v>0</v>
      </c>
      <c r="N56">
        <f t="shared" si="20"/>
        <v>0</v>
      </c>
    </row>
    <row r="57" spans="11:14" x14ac:dyDescent="0.35">
      <c r="K57" s="66" t="s">
        <v>18</v>
      </c>
      <c r="L57">
        <v>0</v>
      </c>
      <c r="M57">
        <v>0</v>
      </c>
      <c r="N57">
        <f t="shared" si="20"/>
        <v>0</v>
      </c>
    </row>
    <row r="58" spans="11:14" x14ac:dyDescent="0.35">
      <c r="K58" s="66" t="s">
        <v>199</v>
      </c>
      <c r="L58">
        <v>13.138899959936465</v>
      </c>
      <c r="M58">
        <v>0</v>
      </c>
      <c r="N58">
        <f t="shared" si="20"/>
        <v>13.138899959936465</v>
      </c>
    </row>
    <row r="59" spans="11:14" x14ac:dyDescent="0.35">
      <c r="K59" s="66" t="s">
        <v>200</v>
      </c>
      <c r="L59">
        <v>0</v>
      </c>
      <c r="M59">
        <v>0</v>
      </c>
      <c r="N59">
        <f t="shared" si="20"/>
        <v>0</v>
      </c>
    </row>
    <row r="60" spans="11:14" x14ac:dyDescent="0.35">
      <c r="K60" s="66" t="s">
        <v>201</v>
      </c>
      <c r="L60">
        <v>0</v>
      </c>
      <c r="M60">
        <v>0</v>
      </c>
      <c r="N60">
        <f t="shared" si="20"/>
        <v>0</v>
      </c>
    </row>
    <row r="61" spans="11:14" x14ac:dyDescent="0.35">
      <c r="K61" s="66" t="s">
        <v>202</v>
      </c>
      <c r="L61">
        <v>0</v>
      </c>
      <c r="M61">
        <v>0</v>
      </c>
      <c r="N61">
        <f t="shared" si="20"/>
        <v>0</v>
      </c>
    </row>
    <row r="62" spans="11:14" x14ac:dyDescent="0.35">
      <c r="K62" s="66" t="s">
        <v>203</v>
      </c>
      <c r="L62">
        <v>0</v>
      </c>
      <c r="M62">
        <v>0</v>
      </c>
      <c r="N62">
        <f t="shared" si="20"/>
        <v>0</v>
      </c>
    </row>
    <row r="63" spans="11:14" x14ac:dyDescent="0.35">
      <c r="K63" s="66" t="s">
        <v>204</v>
      </c>
      <c r="L63">
        <v>0</v>
      </c>
      <c r="M63">
        <v>0</v>
      </c>
      <c r="N63">
        <f t="shared" si="20"/>
        <v>0</v>
      </c>
    </row>
    <row r="64" spans="11:14" x14ac:dyDescent="0.35">
      <c r="K64" s="66" t="s">
        <v>205</v>
      </c>
      <c r="L64">
        <v>0</v>
      </c>
      <c r="M64">
        <v>0</v>
      </c>
      <c r="N64">
        <f t="shared" si="20"/>
        <v>0</v>
      </c>
    </row>
    <row r="65" spans="11:14" x14ac:dyDescent="0.35">
      <c r="K65" s="66" t="s">
        <v>206</v>
      </c>
      <c r="L65">
        <v>0</v>
      </c>
      <c r="M65">
        <v>0</v>
      </c>
      <c r="N65">
        <f t="shared" si="20"/>
        <v>0</v>
      </c>
    </row>
    <row r="66" spans="11:14" x14ac:dyDescent="0.35">
      <c r="K66" s="66" t="s">
        <v>19</v>
      </c>
      <c r="L66">
        <v>0</v>
      </c>
      <c r="M66">
        <v>0</v>
      </c>
      <c r="N66">
        <f t="shared" si="20"/>
        <v>0</v>
      </c>
    </row>
    <row r="67" spans="11:14" x14ac:dyDescent="0.35">
      <c r="K67" s="66" t="s">
        <v>20</v>
      </c>
      <c r="L67">
        <v>0</v>
      </c>
      <c r="M67">
        <v>0</v>
      </c>
      <c r="N67">
        <f t="shared" si="20"/>
        <v>0</v>
      </c>
    </row>
    <row r="68" spans="11:14" x14ac:dyDescent="0.35">
      <c r="K68" s="66" t="s">
        <v>21</v>
      </c>
      <c r="L68">
        <v>0</v>
      </c>
      <c r="M68">
        <v>0</v>
      </c>
      <c r="N68">
        <f t="shared" si="20"/>
        <v>0</v>
      </c>
    </row>
    <row r="69" spans="11:14" x14ac:dyDescent="0.35">
      <c r="K69" s="66" t="s">
        <v>12</v>
      </c>
      <c r="L69">
        <v>0</v>
      </c>
      <c r="M69">
        <v>0</v>
      </c>
      <c r="N69">
        <f t="shared" si="20"/>
        <v>0</v>
      </c>
    </row>
    <row r="70" spans="11:14" x14ac:dyDescent="0.35">
      <c r="K70" s="66" t="s">
        <v>13</v>
      </c>
      <c r="L70">
        <v>15.766679951923754</v>
      </c>
      <c r="M70">
        <v>0</v>
      </c>
      <c r="N70">
        <f t="shared" si="20"/>
        <v>15.766679951923754</v>
      </c>
    </row>
    <row r="71" spans="11:14" x14ac:dyDescent="0.35">
      <c r="K71" s="66" t="s">
        <v>14</v>
      </c>
      <c r="L71">
        <v>0</v>
      </c>
      <c r="M71">
        <v>0</v>
      </c>
      <c r="N71">
        <f t="shared" si="20"/>
        <v>0</v>
      </c>
    </row>
  </sheetData>
  <mergeCells count="4">
    <mergeCell ref="Z1:AD1"/>
    <mergeCell ref="N1:R1"/>
    <mergeCell ref="T1:X1"/>
    <mergeCell ref="L1:M1"/>
  </mergeCells>
  <conditionalFormatting sqref="L3:L29">
    <cfRule type="cellIs" dxfId="12" priority="15" operator="greaterThan">
      <formula>0</formula>
    </cfRule>
    <cfRule type="cellIs" dxfId="11" priority="16" operator="equal">
      <formula>0</formula>
    </cfRule>
  </conditionalFormatting>
  <conditionalFormatting sqref="N2:R2">
    <cfRule type="cellIs" dxfId="10" priority="14" operator="equal">
      <formula>0</formula>
    </cfRule>
  </conditionalFormatting>
  <conditionalFormatting sqref="T2 W2:X2">
    <cfRule type="cellIs" dxfId="9" priority="13" operator="equal">
      <formula>0</formula>
    </cfRule>
  </conditionalFormatting>
  <conditionalFormatting sqref="Z2 AC2:AD2">
    <cfRule type="cellIs" dxfId="8" priority="12" operator="equal">
      <formula>0</formula>
    </cfRule>
  </conditionalFormatting>
  <conditionalFormatting sqref="N3:R28">
    <cfRule type="cellIs" dxfId="7" priority="11" operator="equal">
      <formula>0</formula>
    </cfRule>
  </conditionalFormatting>
  <conditionalFormatting sqref="Q3:R28">
    <cfRule type="cellIs" dxfId="6" priority="10" operator="equal">
      <formula>0</formula>
    </cfRule>
  </conditionalFormatting>
  <conditionalFormatting sqref="T3:X28">
    <cfRule type="cellIs" dxfId="5" priority="9" operator="equal">
      <formula>0</formula>
    </cfRule>
  </conditionalFormatting>
  <conditionalFormatting sqref="W3:X28">
    <cfRule type="cellIs" dxfId="4" priority="8" operator="equal">
      <formula>0</formula>
    </cfRule>
  </conditionalFormatting>
  <conditionalFormatting sqref="U2">
    <cfRule type="cellIs" dxfId="3" priority="7" operator="equal">
      <formula>0</formula>
    </cfRule>
  </conditionalFormatting>
  <conditionalFormatting sqref="AA2">
    <cfRule type="cellIs" dxfId="2" priority="6" operator="equal">
      <formula>0</formula>
    </cfRule>
  </conditionalFormatting>
  <conditionalFormatting sqref="V2">
    <cfRule type="cellIs" dxfId="1" priority="5" operator="equal">
      <formula>0</formula>
    </cfRule>
  </conditionalFormatting>
  <conditionalFormatting sqref="AB2">
    <cfRule type="cellIs" dxfId="0" priority="4" operator="equal">
      <formula>0</formula>
    </cfRule>
  </conditionalFormatting>
  <conditionalFormatting sqref="T3:T2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{F8CDE278-7FDC-4694-9023-7647C41D5B72}</x14:id>
        </ext>
      </extLst>
    </cfRule>
  </conditionalFormatting>
  <conditionalFormatting sqref="U3:U2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{AA14949B-23F7-4B7C-8887-1FC7F394DF40}</x14:id>
        </ext>
      </extLst>
    </cfRule>
  </conditionalFormatting>
  <conditionalFormatting sqref="N46:N7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{DAAE3EEB-02E8-475D-B7AA-E674587842A7}</x14:id>
        </ext>
      </extLst>
    </cfRule>
  </conditionalFormatting>
  <pageMargins left="0.7" right="0.7" top="0.75" bottom="0.75" header="0.3" footer="0.3"/>
  <cellWatches>
    <cellWatch r="AA31"/>
  </cellWatche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DE278-7FDC-4694-9023-7647C41D5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T3:T28</xm:sqref>
        </x14:conditionalFormatting>
        <x14:conditionalFormatting xmlns:xm="http://schemas.microsoft.com/office/excel/2006/main">
          <x14:cfRule type="dataBar" id="{AA14949B-23F7-4B7C-8887-1FC7F394D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U3:U28</xm:sqref>
        </x14:conditionalFormatting>
        <x14:conditionalFormatting xmlns:xm="http://schemas.microsoft.com/office/excel/2006/main">
          <x14:cfRule type="dataBar" id="{DAAE3EEB-02E8-475D-B7AA-E67458784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N46:N71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zoomScale="76" workbookViewId="0">
      <selection activeCell="F28" sqref="F28"/>
    </sheetView>
  </sheetViews>
  <sheetFormatPr defaultRowHeight="14.5" x14ac:dyDescent="0.35"/>
  <cols>
    <col min="4" max="4" width="11.26953125" bestFit="1" customWidth="1"/>
    <col min="12" max="12" width="1.54296875" style="68" customWidth="1"/>
    <col min="14" max="14" width="24.08984375" customWidth="1"/>
    <col min="15" max="15" width="15.1796875" customWidth="1"/>
    <col min="17" max="17" width="11.453125" customWidth="1"/>
    <col min="18" max="18" width="13.90625" customWidth="1"/>
    <col min="19" max="19" width="12.453125" customWidth="1"/>
    <col min="20" max="20" width="12.6328125" customWidth="1"/>
    <col min="21" max="21" width="12.26953125" customWidth="1"/>
    <col min="22" max="22" width="13.6328125" customWidth="1"/>
    <col min="26" max="26" width="7.81640625" customWidth="1"/>
    <col min="27" max="27" width="7.36328125" customWidth="1"/>
    <col min="30" max="30" width="17.90625" customWidth="1"/>
  </cols>
  <sheetData>
    <row r="1" spans="1:30" x14ac:dyDescent="0.35">
      <c r="A1" s="62" t="s">
        <v>61</v>
      </c>
      <c r="M1" s="62" t="s">
        <v>91</v>
      </c>
    </row>
    <row r="2" spans="1:30" x14ac:dyDescent="0.35">
      <c r="B2" s="63" t="s">
        <v>62</v>
      </c>
      <c r="N2" s="63" t="s">
        <v>172</v>
      </c>
    </row>
    <row r="3" spans="1:30" x14ac:dyDescent="0.35">
      <c r="B3" t="s">
        <v>63</v>
      </c>
      <c r="N3" s="62" t="s">
        <v>138</v>
      </c>
    </row>
    <row r="4" spans="1:30" ht="16.5" customHeight="1" x14ac:dyDescent="0.35">
      <c r="N4" s="176" t="s">
        <v>92</v>
      </c>
      <c r="O4" s="176" t="s">
        <v>93</v>
      </c>
      <c r="P4" s="176" t="s">
        <v>94</v>
      </c>
      <c r="Q4" s="176"/>
      <c r="R4" s="177" t="s">
        <v>95</v>
      </c>
      <c r="S4" s="176" t="s">
        <v>96</v>
      </c>
      <c r="T4" s="176"/>
      <c r="U4" s="176"/>
      <c r="V4" s="176"/>
      <c r="X4" s="176" t="s">
        <v>94</v>
      </c>
      <c r="Y4" s="176"/>
    </row>
    <row r="5" spans="1:30" x14ac:dyDescent="0.35">
      <c r="N5" s="176"/>
      <c r="O5" s="176"/>
      <c r="P5" s="69" t="s">
        <v>97</v>
      </c>
      <c r="Q5" s="69" t="s">
        <v>98</v>
      </c>
      <c r="R5" s="177"/>
      <c r="S5" s="69" t="s">
        <v>99</v>
      </c>
      <c r="T5" s="69" t="s">
        <v>100</v>
      </c>
      <c r="U5" s="69" t="s">
        <v>101</v>
      </c>
      <c r="V5" s="69" t="s">
        <v>102</v>
      </c>
      <c r="X5" s="69" t="s">
        <v>97</v>
      </c>
      <c r="Y5" s="69" t="s">
        <v>98</v>
      </c>
    </row>
    <row r="6" spans="1:30" ht="16.5" x14ac:dyDescent="0.35">
      <c r="B6" s="62" t="s">
        <v>64</v>
      </c>
      <c r="N6" s="70" t="s">
        <v>7</v>
      </c>
      <c r="O6" s="70" t="s">
        <v>103</v>
      </c>
      <c r="P6" s="70" t="s">
        <v>104</v>
      </c>
      <c r="Q6" s="70" t="s">
        <v>104</v>
      </c>
      <c r="R6" s="70" t="s">
        <v>105</v>
      </c>
      <c r="S6" s="70" t="s">
        <v>106</v>
      </c>
      <c r="T6" s="70" t="s">
        <v>107</v>
      </c>
      <c r="U6" s="70" t="s">
        <v>108</v>
      </c>
      <c r="V6" s="70" t="s">
        <v>109</v>
      </c>
      <c r="X6" s="70">
        <v>2.64</v>
      </c>
      <c r="Y6">
        <v>2.64</v>
      </c>
    </row>
    <row r="7" spans="1:30" ht="16.5" x14ac:dyDescent="0.35">
      <c r="C7" t="s">
        <v>68</v>
      </c>
      <c r="N7" s="70" t="s">
        <v>110</v>
      </c>
      <c r="O7" s="70" t="s">
        <v>103</v>
      </c>
      <c r="P7" s="70" t="s">
        <v>111</v>
      </c>
      <c r="Q7" s="70" t="s">
        <v>111</v>
      </c>
      <c r="R7" s="70" t="s">
        <v>112</v>
      </c>
      <c r="S7" s="70" t="s">
        <v>113</v>
      </c>
      <c r="T7" s="70" t="s">
        <v>114</v>
      </c>
      <c r="U7" s="70" t="s">
        <v>115</v>
      </c>
      <c r="V7" s="70" t="s">
        <v>116</v>
      </c>
      <c r="X7">
        <v>3.74</v>
      </c>
      <c r="Y7">
        <v>3.74</v>
      </c>
    </row>
    <row r="8" spans="1:30" ht="16.5" x14ac:dyDescent="0.35">
      <c r="N8" s="74" t="s">
        <v>117</v>
      </c>
      <c r="O8" s="74" t="s">
        <v>118</v>
      </c>
      <c r="P8" s="74" t="s">
        <v>173</v>
      </c>
      <c r="Q8" s="74" t="s">
        <v>174</v>
      </c>
      <c r="R8" s="74" t="s">
        <v>119</v>
      </c>
      <c r="S8" s="74" t="s">
        <v>175</v>
      </c>
      <c r="T8" s="74" t="s">
        <v>176</v>
      </c>
      <c r="U8" s="74" t="s">
        <v>177</v>
      </c>
      <c r="V8" s="74" t="s">
        <v>178</v>
      </c>
      <c r="X8">
        <v>1.2</v>
      </c>
      <c r="Y8">
        <v>0.52</v>
      </c>
    </row>
    <row r="9" spans="1:30" ht="16.5" x14ac:dyDescent="0.35">
      <c r="N9" s="70" t="s">
        <v>120</v>
      </c>
      <c r="O9" s="70" t="s">
        <v>103</v>
      </c>
      <c r="P9" s="70" t="s">
        <v>121</v>
      </c>
      <c r="Q9" s="70" t="s">
        <v>122</v>
      </c>
      <c r="R9" s="70" t="s">
        <v>123</v>
      </c>
      <c r="S9" s="70" t="s">
        <v>124</v>
      </c>
      <c r="T9" s="70" t="s">
        <v>125</v>
      </c>
      <c r="U9" s="70" t="s">
        <v>126</v>
      </c>
      <c r="V9" s="70" t="s">
        <v>127</v>
      </c>
      <c r="X9">
        <v>1.2</v>
      </c>
      <c r="Y9">
        <v>0.52</v>
      </c>
    </row>
    <row r="10" spans="1:30" ht="16.5" x14ac:dyDescent="0.35">
      <c r="C10" t="s">
        <v>65</v>
      </c>
      <c r="D10" s="65">
        <f>20%</f>
        <v>0.2</v>
      </c>
      <c r="E10" t="s">
        <v>67</v>
      </c>
      <c r="G10" t="s">
        <v>69</v>
      </c>
      <c r="H10">
        <v>500</v>
      </c>
      <c r="I10" t="s">
        <v>73</v>
      </c>
      <c r="J10" t="s">
        <v>74</v>
      </c>
      <c r="N10" s="70" t="s">
        <v>128</v>
      </c>
      <c r="O10" s="70" t="s">
        <v>103</v>
      </c>
      <c r="P10" s="70" t="s">
        <v>121</v>
      </c>
      <c r="Q10" s="70" t="s">
        <v>122</v>
      </c>
      <c r="R10" s="70" t="s">
        <v>129</v>
      </c>
      <c r="S10" s="70" t="s">
        <v>130</v>
      </c>
      <c r="T10" s="70" t="s">
        <v>131</v>
      </c>
      <c r="U10" s="70" t="s">
        <v>132</v>
      </c>
      <c r="V10" s="70" t="s">
        <v>133</v>
      </c>
      <c r="X10">
        <v>1.2</v>
      </c>
      <c r="Y10">
        <v>0.52</v>
      </c>
    </row>
    <row r="11" spans="1:30" ht="16.5" x14ac:dyDescent="0.35">
      <c r="G11" t="s">
        <v>70</v>
      </c>
      <c r="H11">
        <v>1600</v>
      </c>
      <c r="I11" t="s">
        <v>73</v>
      </c>
      <c r="J11" t="s">
        <v>75</v>
      </c>
      <c r="N11" s="74" t="s">
        <v>134</v>
      </c>
      <c r="O11" s="74" t="s">
        <v>135</v>
      </c>
      <c r="P11" s="74" t="s">
        <v>173</v>
      </c>
      <c r="Q11" s="74" t="s">
        <v>179</v>
      </c>
      <c r="R11" s="74" t="s">
        <v>136</v>
      </c>
      <c r="S11" s="74" t="s">
        <v>180</v>
      </c>
      <c r="T11" s="74" t="s">
        <v>181</v>
      </c>
      <c r="U11" s="74" t="s">
        <v>182</v>
      </c>
      <c r="V11" s="74" t="s">
        <v>183</v>
      </c>
      <c r="X11">
        <v>1.2</v>
      </c>
      <c r="Y11">
        <v>0.52</v>
      </c>
    </row>
    <row r="12" spans="1:30" ht="16.5" x14ac:dyDescent="0.35">
      <c r="G12" t="s">
        <v>71</v>
      </c>
      <c r="H12" s="40">
        <v>1</v>
      </c>
      <c r="I12" t="s">
        <v>76</v>
      </c>
      <c r="N12" s="72" t="s">
        <v>137</v>
      </c>
      <c r="O12" s="71"/>
      <c r="P12" s="71"/>
      <c r="Q12" s="71"/>
      <c r="R12" s="71"/>
      <c r="S12" s="71"/>
      <c r="T12" s="71"/>
      <c r="U12" s="71"/>
      <c r="V12" s="71"/>
    </row>
    <row r="13" spans="1:30" x14ac:dyDescent="0.35">
      <c r="G13" t="s">
        <v>72</v>
      </c>
      <c r="H13" s="40">
        <f>H12*(D10/(1-D10))</f>
        <v>0.25</v>
      </c>
      <c r="I13" t="s">
        <v>76</v>
      </c>
      <c r="O13" s="71"/>
      <c r="P13" s="71"/>
      <c r="Q13" s="71"/>
      <c r="R13" s="71"/>
      <c r="S13" s="71"/>
      <c r="T13" s="71"/>
      <c r="U13" s="71"/>
      <c r="V13" s="71"/>
    </row>
    <row r="14" spans="1:30" x14ac:dyDescent="0.35">
      <c r="N14" s="73" t="s">
        <v>171</v>
      </c>
    </row>
    <row r="15" spans="1:30" ht="27" customHeight="1" x14ac:dyDescent="0.35">
      <c r="C15" t="s">
        <v>66</v>
      </c>
      <c r="D15" s="65">
        <f>(H13+H12)*D10/(H13+H12*H11/H10)</f>
        <v>7.2463768115942032E-2</v>
      </c>
      <c r="E15" t="s">
        <v>77</v>
      </c>
      <c r="N15" s="176" t="s">
        <v>92</v>
      </c>
      <c r="O15" s="177" t="s">
        <v>139</v>
      </c>
      <c r="P15" s="176" t="s">
        <v>140</v>
      </c>
      <c r="Q15" s="176"/>
      <c r="R15" s="178" t="s">
        <v>141</v>
      </c>
      <c r="S15" s="176" t="s">
        <v>142</v>
      </c>
      <c r="T15" s="176"/>
      <c r="X15" s="176" t="s">
        <v>94</v>
      </c>
      <c r="Y15" s="176"/>
      <c r="Z15" s="176" t="s">
        <v>142</v>
      </c>
      <c r="AA15" s="176"/>
    </row>
    <row r="16" spans="1:30" ht="16.5" x14ac:dyDescent="0.35">
      <c r="N16" s="176"/>
      <c r="O16" s="177"/>
      <c r="P16" s="69" t="s">
        <v>143</v>
      </c>
      <c r="Q16" s="69" t="s">
        <v>144</v>
      </c>
      <c r="R16" s="178"/>
      <c r="S16" s="69" t="s">
        <v>145</v>
      </c>
      <c r="T16" s="69" t="s">
        <v>146</v>
      </c>
      <c r="V16" s="69" t="s">
        <v>185</v>
      </c>
      <c r="W16" s="69" t="s">
        <v>184</v>
      </c>
      <c r="X16" s="69" t="s">
        <v>97</v>
      </c>
      <c r="Y16" s="69" t="s">
        <v>98</v>
      </c>
      <c r="Z16" s="69" t="s">
        <v>145</v>
      </c>
      <c r="AA16" s="69" t="s">
        <v>146</v>
      </c>
      <c r="AB16" s="78" t="s">
        <v>186</v>
      </c>
      <c r="AC16" s="78" t="s">
        <v>187</v>
      </c>
      <c r="AD16" s="69" t="s">
        <v>188</v>
      </c>
    </row>
    <row r="17" spans="2:30" x14ac:dyDescent="0.35">
      <c r="N17" s="74" t="s">
        <v>7</v>
      </c>
      <c r="O17" s="74">
        <v>2</v>
      </c>
      <c r="P17" s="76">
        <v>0</v>
      </c>
      <c r="Q17" s="74" t="s">
        <v>147</v>
      </c>
      <c r="R17" s="74" t="s">
        <v>148</v>
      </c>
      <c r="S17" s="74" t="s">
        <v>149</v>
      </c>
      <c r="T17" s="74" t="s">
        <v>149</v>
      </c>
      <c r="V17">
        <f>1.64</f>
        <v>1.64</v>
      </c>
      <c r="X17">
        <f>X6</f>
        <v>2.64</v>
      </c>
      <c r="Y17">
        <f>Y6</f>
        <v>2.64</v>
      </c>
      <c r="Z17" s="64">
        <f>1-V17/X17</f>
        <v>0.3787878787878789</v>
      </c>
      <c r="AA17" s="64">
        <f>1-V17/Y17</f>
        <v>0.3787878787878789</v>
      </c>
      <c r="AB17" s="79">
        <f>Z17-AA17</f>
        <v>0</v>
      </c>
      <c r="AC17" s="80">
        <f>P17*V17*(1/Y17-1/X17)</f>
        <v>0</v>
      </c>
    </row>
    <row r="18" spans="2:30" x14ac:dyDescent="0.35">
      <c r="B18" s="62" t="s">
        <v>78</v>
      </c>
      <c r="N18" s="74" t="s">
        <v>150</v>
      </c>
      <c r="O18" s="74">
        <v>4</v>
      </c>
      <c r="P18" s="76">
        <v>4</v>
      </c>
      <c r="Q18" s="74" t="s">
        <v>151</v>
      </c>
      <c r="R18" s="74" t="s">
        <v>152</v>
      </c>
      <c r="S18" s="74" t="s">
        <v>153</v>
      </c>
      <c r="T18" s="74" t="s">
        <v>154</v>
      </c>
      <c r="V18">
        <f>1.25</f>
        <v>1.25</v>
      </c>
      <c r="W18" s="75">
        <f>(V18-$V$17)/$V$17</f>
        <v>-0.23780487804878045</v>
      </c>
      <c r="X18" s="64">
        <f>100/((P18/X8) + (100-P18)/$X$6)</f>
        <v>2.5190839694656488</v>
      </c>
      <c r="Y18" s="64">
        <f>100/((P18/Y8) + (100-P18)/$Y$6)</f>
        <v>2.2698412698412698</v>
      </c>
      <c r="Z18" s="64">
        <f>1-$V18/X18</f>
        <v>0.50378787878787878</v>
      </c>
      <c r="AA18" s="64">
        <f>1-$V18/Y18</f>
        <v>0.44930069930069927</v>
      </c>
      <c r="AB18" s="79">
        <f t="shared" ref="AB18:AB21" si="0">Z18-AA18</f>
        <v>5.4487179487179516E-2</v>
      </c>
      <c r="AC18" s="79">
        <f>P18*V18*(1/Y18-1/X18)/100</f>
        <v>2.1794871794871802E-3</v>
      </c>
      <c r="AD18" s="75">
        <f>(Z18-$Z$17)/$Z$17</f>
        <v>0.32999999999999963</v>
      </c>
    </row>
    <row r="19" spans="2:30" x14ac:dyDescent="0.35">
      <c r="N19" s="70" t="s">
        <v>155</v>
      </c>
      <c r="O19" s="70">
        <v>4</v>
      </c>
      <c r="P19" s="77">
        <v>4</v>
      </c>
      <c r="Q19" s="70" t="s">
        <v>151</v>
      </c>
      <c r="R19" s="70" t="s">
        <v>156</v>
      </c>
      <c r="S19" s="70" t="s">
        <v>157</v>
      </c>
      <c r="T19" s="70" t="s">
        <v>158</v>
      </c>
      <c r="V19">
        <v>1.21</v>
      </c>
      <c r="W19" s="75">
        <f t="shared" ref="W19:W20" si="1">(V19-$V$17)/$V$17</f>
        <v>-0.26219512195121947</v>
      </c>
      <c r="X19" s="64">
        <f t="shared" ref="X19:X21" si="2">100/((P19/X9) + (100-P19)/$X$6)</f>
        <v>2.5190839694656488</v>
      </c>
      <c r="Y19" s="64">
        <f t="shared" ref="Y19:Y21" si="3">100/((P19/Y9) + (100-P19)/$Y$6)</f>
        <v>2.2698412698412698</v>
      </c>
      <c r="Z19" s="64">
        <f t="shared" ref="Z19:Z21" si="4">1-$V19/X19</f>
        <v>0.51966666666666672</v>
      </c>
      <c r="AA19" s="64">
        <f t="shared" ref="AA19:AA21" si="5">1-$V19/Y19</f>
        <v>0.46692307692307689</v>
      </c>
      <c r="AB19" s="79">
        <f t="shared" si="0"/>
        <v>5.2743589743589836E-2</v>
      </c>
      <c r="AC19" s="79">
        <f t="shared" ref="AC19:AC21" si="6">P19*V19*(1/Y19-1/X19)/100</f>
        <v>2.1097435897435902E-3</v>
      </c>
      <c r="AD19" s="75">
        <f t="shared" ref="AD19:AD21" si="7">(Z19-$Z$17)/$Z$17</f>
        <v>0.37191999999999975</v>
      </c>
    </row>
    <row r="20" spans="2:30" x14ac:dyDescent="0.35">
      <c r="C20" s="66" t="s">
        <v>79</v>
      </c>
      <c r="D20">
        <f>1/(D15/H20 + (1-D15)/H21)</f>
        <v>2579.6499416569427</v>
      </c>
      <c r="E20" t="s">
        <v>73</v>
      </c>
      <c r="G20" s="66" t="s">
        <v>80</v>
      </c>
      <c r="H20">
        <v>1800</v>
      </c>
      <c r="I20" t="s">
        <v>73</v>
      </c>
      <c r="N20" s="70" t="s">
        <v>159</v>
      </c>
      <c r="O20" s="70">
        <v>3</v>
      </c>
      <c r="P20" s="77">
        <v>4</v>
      </c>
      <c r="Q20" s="70" t="s">
        <v>151</v>
      </c>
      <c r="R20" s="70" t="s">
        <v>160</v>
      </c>
      <c r="S20" s="70" t="s">
        <v>161</v>
      </c>
      <c r="T20" s="70" t="s">
        <v>157</v>
      </c>
      <c r="V20">
        <v>1.0900000000000001</v>
      </c>
      <c r="W20" s="75">
        <f t="shared" si="1"/>
        <v>-0.33536585365853649</v>
      </c>
      <c r="X20" s="64">
        <f t="shared" si="2"/>
        <v>2.5190839694656488</v>
      </c>
      <c r="Y20" s="64">
        <f t="shared" si="3"/>
        <v>2.2698412698412698</v>
      </c>
      <c r="Z20" s="64">
        <f t="shared" si="4"/>
        <v>0.5673030303030302</v>
      </c>
      <c r="AA20" s="64">
        <f t="shared" si="5"/>
        <v>0.51979020979020973</v>
      </c>
      <c r="AB20" s="79">
        <f t="shared" si="0"/>
        <v>4.7512820512820464E-2</v>
      </c>
      <c r="AC20" s="79">
        <f t="shared" si="6"/>
        <v>1.9005128205128211E-3</v>
      </c>
      <c r="AD20" s="75">
        <f t="shared" si="7"/>
        <v>0.49767999999999929</v>
      </c>
    </row>
    <row r="21" spans="2:30" x14ac:dyDescent="0.35">
      <c r="C21" t="s">
        <v>83</v>
      </c>
      <c r="G21" s="66" t="s">
        <v>81</v>
      </c>
      <c r="H21">
        <v>2670</v>
      </c>
      <c r="I21" t="s">
        <v>73</v>
      </c>
      <c r="N21" s="74" t="s">
        <v>162</v>
      </c>
      <c r="O21" s="74">
        <v>3</v>
      </c>
      <c r="P21" s="76">
        <v>4</v>
      </c>
      <c r="Q21" s="74" t="s">
        <v>151</v>
      </c>
      <c r="R21" s="74" t="s">
        <v>163</v>
      </c>
      <c r="S21" s="74" t="s">
        <v>158</v>
      </c>
      <c r="T21" s="74" t="s">
        <v>164</v>
      </c>
      <c r="V21">
        <f>1.33</f>
        <v>1.33</v>
      </c>
      <c r="W21" s="75">
        <f>(V21-$V$17)/$V$17</f>
        <v>-0.18902439024390236</v>
      </c>
      <c r="X21" s="64">
        <f t="shared" si="2"/>
        <v>2.5190839694656488</v>
      </c>
      <c r="Y21" s="64">
        <f t="shared" si="3"/>
        <v>2.2698412698412698</v>
      </c>
      <c r="Z21" s="64">
        <f t="shared" si="4"/>
        <v>0.47203030303030302</v>
      </c>
      <c r="AA21" s="64">
        <f t="shared" si="5"/>
        <v>0.41405594405594404</v>
      </c>
      <c r="AB21" s="79">
        <f t="shared" si="0"/>
        <v>5.7974358974358986E-2</v>
      </c>
      <c r="AC21" s="79">
        <f t="shared" si="6"/>
        <v>2.3189743589743599E-3</v>
      </c>
      <c r="AD21" s="75">
        <f t="shared" si="7"/>
        <v>0.24615999999999963</v>
      </c>
    </row>
    <row r="22" spans="2:30" x14ac:dyDescent="0.35">
      <c r="G22" t="s">
        <v>82</v>
      </c>
      <c r="N22" s="70" t="s">
        <v>110</v>
      </c>
      <c r="O22" s="70">
        <v>3</v>
      </c>
      <c r="P22" s="77">
        <v>0</v>
      </c>
      <c r="Q22" s="70" t="s">
        <v>147</v>
      </c>
      <c r="R22" s="70" t="s">
        <v>165</v>
      </c>
      <c r="S22" s="70" t="s">
        <v>166</v>
      </c>
      <c r="T22" s="70" t="s">
        <v>166</v>
      </c>
    </row>
    <row r="23" spans="2:30" x14ac:dyDescent="0.35">
      <c r="N23" s="70" t="s">
        <v>167</v>
      </c>
      <c r="O23" s="70">
        <v>4</v>
      </c>
      <c r="P23" s="77">
        <v>2.85</v>
      </c>
      <c r="Q23" s="70" t="s">
        <v>151</v>
      </c>
      <c r="R23" s="70" t="s">
        <v>168</v>
      </c>
      <c r="S23" s="70" t="s">
        <v>169</v>
      </c>
      <c r="T23" s="70" t="s">
        <v>170</v>
      </c>
      <c r="W23" s="81">
        <f>AVERAGE(W18:W21)</f>
        <v>-0.25609756097560971</v>
      </c>
      <c r="AD23" s="81">
        <f>AVERAGE(AD18:AD21)</f>
        <v>0.36143999999999959</v>
      </c>
    </row>
    <row r="25" spans="2:30" x14ac:dyDescent="0.35">
      <c r="C25" s="62" t="s">
        <v>84</v>
      </c>
    </row>
    <row r="26" spans="2:30" x14ac:dyDescent="0.35">
      <c r="V26" t="s">
        <v>189</v>
      </c>
    </row>
    <row r="27" spans="2:30" x14ac:dyDescent="0.35">
      <c r="C27" t="s">
        <v>85</v>
      </c>
      <c r="D27" s="45">
        <f>1-H27/D20</f>
        <v>0.49605565506884508</v>
      </c>
      <c r="G27" t="s">
        <v>86</v>
      </c>
      <c r="H27">
        <v>1300</v>
      </c>
      <c r="I27" t="s">
        <v>73</v>
      </c>
      <c r="V27" t="s">
        <v>190</v>
      </c>
    </row>
    <row r="28" spans="2:30" x14ac:dyDescent="0.35">
      <c r="V28" t="s">
        <v>191</v>
      </c>
    </row>
    <row r="29" spans="2:30" x14ac:dyDescent="0.35">
      <c r="C29" t="s">
        <v>87</v>
      </c>
    </row>
    <row r="31" spans="2:30" x14ac:dyDescent="0.35">
      <c r="C31" s="62" t="s">
        <v>88</v>
      </c>
    </row>
    <row r="33" spans="3:8" x14ac:dyDescent="0.35">
      <c r="C33" t="s">
        <v>86</v>
      </c>
      <c r="D33" s="64">
        <f>(1-H33)*D20</f>
        <v>1289.8249708284714</v>
      </c>
      <c r="E33" t="s">
        <v>73</v>
      </c>
      <c r="G33" t="s">
        <v>89</v>
      </c>
      <c r="H33" s="67">
        <v>0.5</v>
      </c>
    </row>
    <row r="35" spans="3:8" x14ac:dyDescent="0.35">
      <c r="C35" t="s">
        <v>87</v>
      </c>
    </row>
    <row r="37" spans="3:8" x14ac:dyDescent="0.35">
      <c r="C37" s="62" t="s">
        <v>90</v>
      </c>
    </row>
  </sheetData>
  <mergeCells count="13">
    <mergeCell ref="X4:Y4"/>
    <mergeCell ref="X15:Y15"/>
    <mergeCell ref="Z15:AA15"/>
    <mergeCell ref="N4:N5"/>
    <mergeCell ref="O4:O5"/>
    <mergeCell ref="P4:Q4"/>
    <mergeCell ref="R4:R5"/>
    <mergeCell ref="S4:V4"/>
    <mergeCell ref="N15:N16"/>
    <mergeCell ref="O15:O16"/>
    <mergeCell ref="P15:Q15"/>
    <mergeCell ref="R15:R16"/>
    <mergeCell ref="S15:T15"/>
  </mergeCells>
  <hyperlinks>
    <hyperlink ref="B2" r:id="rId1" tooltip="Persistent link using digital object identifier"/>
    <hyperlink ref="N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SoilMixes</vt:lpstr>
      <vt:lpstr>RecipesBiochar</vt:lpstr>
      <vt:lpstr>Calculator</vt:lpstr>
      <vt:lpstr>MethodX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2021-09-01T10:41:47Z</dcterms:modified>
</cp:coreProperties>
</file>