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000" tabRatio="1000" activeTab="6"/>
  </bookViews>
  <sheets>
    <sheet name="PaperSupportingInfo" sheetId="10" r:id="rId1"/>
    <sheet name="pyrolysis data" sheetId="9" r:id="rId2"/>
    <sheet name="ecoinvent" sheetId="1" r:id="rId3"/>
    <sheet name="scaling" sheetId="5" r:id="rId4"/>
    <sheet name="pyreg500" sheetId="2" r:id="rId5"/>
    <sheet name="pyreg1500" sheetId="3" r:id="rId6"/>
    <sheet name="biomacon160" sheetId="4" r:id="rId7"/>
    <sheet name="biomacon400" sheetId="6" r:id="rId8"/>
    <sheet name="biogreen" sheetId="7" r:id="rId9"/>
    <sheet name="australian" sheetId="8" r:id="rId10"/>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0" l="1"/>
  <c r="G10" i="10"/>
  <c r="F10" i="10"/>
  <c r="E10" i="10"/>
  <c r="D10" i="10"/>
  <c r="C10" i="10"/>
  <c r="H9" i="10"/>
  <c r="G9" i="10"/>
  <c r="F9" i="10"/>
  <c r="E9" i="10"/>
  <c r="D9" i="10"/>
  <c r="C9" i="10"/>
  <c r="C7" i="10"/>
  <c r="D7" i="10"/>
  <c r="E7" i="10"/>
  <c r="F7" i="10"/>
  <c r="G7" i="10"/>
  <c r="H7" i="10"/>
  <c r="C8" i="10"/>
  <c r="D8" i="10"/>
  <c r="E8" i="10"/>
  <c r="F8" i="10"/>
  <c r="G8" i="10"/>
  <c r="H8" i="10"/>
  <c r="B8" i="10"/>
  <c r="B7" i="10"/>
  <c r="H6" i="10"/>
  <c r="G6" i="10"/>
  <c r="F6" i="10"/>
  <c r="E6" i="10"/>
  <c r="D6" i="10"/>
  <c r="C6" i="10"/>
  <c r="H5" i="10"/>
  <c r="G5" i="10"/>
  <c r="F5" i="10"/>
  <c r="E5" i="10"/>
  <c r="D5" i="10"/>
  <c r="C5" i="10"/>
  <c r="H4" i="10"/>
  <c r="G4" i="10"/>
  <c r="F4" i="10"/>
  <c r="E4" i="10"/>
  <c r="D4" i="10"/>
  <c r="C4" i="10"/>
  <c r="J54" i="9" l="1"/>
  <c r="J53" i="9"/>
  <c r="F49" i="9"/>
  <c r="F50" i="9"/>
  <c r="F47" i="9"/>
  <c r="Q28" i="9" l="1"/>
  <c r="B8" i="8" s="1"/>
  <c r="B9" i="8" s="1"/>
  <c r="Q26" i="9"/>
  <c r="Q27" i="9" s="1"/>
  <c r="E5" i="2" l="1"/>
  <c r="B12" i="3"/>
  <c r="B12" i="8" l="1"/>
  <c r="B12" i="7" l="1"/>
  <c r="B14" i="4" l="1"/>
  <c r="B8" i="6"/>
  <c r="B9" i="6" s="1"/>
  <c r="B8" i="4"/>
  <c r="B9" i="4" s="1"/>
  <c r="I18" i="9"/>
  <c r="B9" i="3"/>
  <c r="B9" i="2"/>
  <c r="B14" i="2"/>
  <c r="H11" i="2"/>
  <c r="B12" i="2"/>
  <c r="D52" i="9"/>
  <c r="B52" i="8" l="1"/>
  <c r="B51" i="8"/>
  <c r="B50" i="8"/>
  <c r="B49" i="8"/>
  <c r="B52" i="7"/>
  <c r="B51" i="7"/>
  <c r="B50" i="7"/>
  <c r="B49" i="7"/>
  <c r="B52" i="6"/>
  <c r="B51" i="6"/>
  <c r="B50" i="6"/>
  <c r="B49" i="6"/>
  <c r="B52" i="4"/>
  <c r="B51" i="4"/>
  <c r="B50" i="4"/>
  <c r="B49" i="4"/>
  <c r="B52" i="3"/>
  <c r="B51" i="3"/>
  <c r="B50" i="3"/>
  <c r="B49" i="3"/>
  <c r="B52" i="2"/>
  <c r="B51" i="2"/>
  <c r="B50" i="2"/>
  <c r="B49" i="2"/>
  <c r="B8" i="7" l="1"/>
  <c r="B12" i="6" l="1"/>
  <c r="B12" i="4"/>
  <c r="N27" i="5"/>
  <c r="M27" i="5"/>
  <c r="L27" i="5"/>
  <c r="K27" i="5"/>
  <c r="J27" i="5"/>
  <c r="I27" i="5"/>
  <c r="B9" i="7"/>
  <c r="D58" i="5"/>
  <c r="E58" i="5"/>
  <c r="F58" i="5"/>
  <c r="G58" i="5"/>
  <c r="D59" i="5"/>
  <c r="E59" i="5"/>
  <c r="F59" i="5"/>
  <c r="G59" i="5"/>
  <c r="G57" i="5"/>
  <c r="F57" i="5"/>
  <c r="E57" i="5"/>
  <c r="D57" i="5"/>
  <c r="E27" i="5"/>
  <c r="E28" i="5"/>
  <c r="E29" i="5"/>
  <c r="E30" i="5"/>
  <c r="E31" i="5"/>
  <c r="E34" i="5"/>
  <c r="E35" i="5"/>
  <c r="E36" i="5"/>
  <c r="E38" i="5"/>
  <c r="E40" i="5"/>
  <c r="E41" i="5"/>
  <c r="E42" i="5"/>
  <c r="E43" i="5"/>
  <c r="E44" i="5"/>
  <c r="E45" i="5"/>
  <c r="E46" i="5"/>
  <c r="E47" i="5"/>
  <c r="E48" i="5"/>
  <c r="E49" i="5"/>
  <c r="E50" i="5"/>
  <c r="E51" i="5"/>
  <c r="E52" i="5"/>
  <c r="E54" i="5"/>
  <c r="E55" i="5"/>
  <c r="E56" i="5"/>
  <c r="D56" i="5"/>
  <c r="D55" i="5"/>
  <c r="D54" i="5"/>
  <c r="D53" i="5"/>
  <c r="D52" i="5"/>
  <c r="D51" i="5"/>
  <c r="D47" i="5"/>
  <c r="D48" i="5"/>
  <c r="D49" i="5"/>
  <c r="D46" i="5"/>
  <c r="D45" i="5"/>
  <c r="D44" i="5"/>
  <c r="D43" i="5"/>
  <c r="D42" i="5"/>
  <c r="D41" i="5"/>
  <c r="D40" i="5"/>
  <c r="D39" i="5"/>
  <c r="D38" i="5"/>
  <c r="D36" i="5"/>
  <c r="D34" i="5"/>
  <c r="D33" i="5"/>
  <c r="D32" i="5"/>
  <c r="D31" i="5"/>
  <c r="D30" i="5"/>
  <c r="D29" i="5"/>
  <c r="D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28" i="5"/>
  <c r="O12" i="5"/>
  <c r="I52" i="1"/>
  <c r="B52" i="1"/>
  <c r="I51" i="1"/>
  <c r="B51" i="1"/>
  <c r="H6" i="5"/>
  <c r="O7" i="5" s="1"/>
  <c r="I6" i="5"/>
  <c r="P7" i="5" s="1"/>
  <c r="J6" i="5"/>
  <c r="Q7" i="5" s="1"/>
  <c r="K6" i="5"/>
  <c r="R7" i="5" s="1"/>
  <c r="L6" i="5"/>
  <c r="S7" i="5" s="1"/>
  <c r="H7" i="5"/>
  <c r="O8" i="5" s="1"/>
  <c r="H8" i="5"/>
  <c r="O9" i="5" s="1"/>
  <c r="H9" i="5"/>
  <c r="O10" i="5" s="1"/>
  <c r="H10" i="5"/>
  <c r="O11" i="5" s="1"/>
  <c r="H11" i="5"/>
  <c r="H12" i="5"/>
  <c r="O13" i="5" s="1"/>
  <c r="H13" i="5"/>
  <c r="O14" i="5" s="1"/>
  <c r="H14" i="5"/>
  <c r="O15" i="5" s="1"/>
  <c r="H15" i="5"/>
  <c r="H16" i="5"/>
  <c r="O6" i="5" s="1"/>
  <c r="H17" i="5"/>
  <c r="G7" i="5"/>
  <c r="G8" i="5"/>
  <c r="G9" i="5"/>
  <c r="G10" i="5"/>
  <c r="G11" i="5"/>
  <c r="G12" i="5"/>
  <c r="G13" i="5"/>
  <c r="G14" i="5"/>
  <c r="G15" i="5"/>
  <c r="G16" i="5" s="1"/>
  <c r="G27" i="5" s="1"/>
  <c r="E15" i="5"/>
  <c r="E16" i="5" s="1"/>
  <c r="G17" i="5"/>
  <c r="E17" i="5"/>
  <c r="E14" i="5"/>
  <c r="E13" i="5"/>
  <c r="E12" i="5"/>
  <c r="E11" i="5"/>
  <c r="E10" i="5"/>
  <c r="E9" i="5"/>
  <c r="E8" i="5"/>
  <c r="E7" i="5"/>
  <c r="F17" i="5"/>
  <c r="D17" i="5"/>
  <c r="F15" i="5"/>
  <c r="F16" i="5" s="1"/>
  <c r="F27" i="5" s="1"/>
  <c r="D15" i="5"/>
  <c r="D16" i="5" s="1"/>
  <c r="I16" i="5" s="1"/>
  <c r="P6" i="5" s="1"/>
  <c r="P5" i="5" s="1"/>
  <c r="F14" i="5"/>
  <c r="D14" i="5"/>
  <c r="F13" i="5"/>
  <c r="D13" i="5"/>
  <c r="I13" i="5" s="1"/>
  <c r="P14" i="5" s="1"/>
  <c r="F12" i="5"/>
  <c r="D12" i="5"/>
  <c r="I12" i="5" s="1"/>
  <c r="P13" i="5" s="1"/>
  <c r="F11" i="5"/>
  <c r="D11" i="5"/>
  <c r="V12" i="5" s="1"/>
  <c r="F10" i="5"/>
  <c r="D10" i="5"/>
  <c r="I10" i="5" s="1"/>
  <c r="P11" i="5" s="1"/>
  <c r="F9" i="5"/>
  <c r="D9" i="5"/>
  <c r="I9" i="5" s="1"/>
  <c r="P10" i="5" s="1"/>
  <c r="F8" i="5"/>
  <c r="D8" i="5"/>
  <c r="I8" i="5" s="1"/>
  <c r="P9" i="5" s="1"/>
  <c r="F7" i="5"/>
  <c r="D7" i="5"/>
  <c r="I7" i="5" s="1"/>
  <c r="P8" i="5" s="1"/>
  <c r="J24" i="5" l="1"/>
  <c r="M24" i="5"/>
  <c r="N24" i="5"/>
  <c r="D27" i="5"/>
  <c r="J23" i="5" s="1"/>
  <c r="J29" i="5" s="1"/>
  <c r="B18" i="3" s="1"/>
  <c r="L24" i="5"/>
  <c r="I23" i="5"/>
  <c r="K24" i="5"/>
  <c r="J53" i="5"/>
  <c r="B42" i="3" s="1"/>
  <c r="I24" i="5"/>
  <c r="K14" i="5"/>
  <c r="R15" i="5" s="1"/>
  <c r="K16" i="5"/>
  <c r="R6" i="5" s="1"/>
  <c r="R5" i="5" s="1"/>
  <c r="J7" i="5"/>
  <c r="Q8" i="5" s="1"/>
  <c r="K11" i="5"/>
  <c r="R12" i="5" s="1"/>
  <c r="K7" i="5"/>
  <c r="R8" i="5" s="1"/>
  <c r="J12" i="5"/>
  <c r="Q13" i="5" s="1"/>
  <c r="L13" i="5"/>
  <c r="S14" i="5" s="1"/>
  <c r="J13" i="5"/>
  <c r="Q14" i="5" s="1"/>
  <c r="V11" i="5"/>
  <c r="V14" i="5"/>
  <c r="J17" i="5"/>
  <c r="J14" i="5"/>
  <c r="Q15" i="5" s="1"/>
  <c r="V10" i="5"/>
  <c r="K9" i="5"/>
  <c r="R10" i="5" s="1"/>
  <c r="K13" i="5"/>
  <c r="R14" i="5" s="1"/>
  <c r="J8" i="5"/>
  <c r="Q9" i="5" s="1"/>
  <c r="L17" i="5"/>
  <c r="L9" i="5"/>
  <c r="S10" i="5" s="1"/>
  <c r="J9" i="5"/>
  <c r="Q10" i="5" s="1"/>
  <c r="J16" i="5"/>
  <c r="Q6" i="5" s="1"/>
  <c r="Q5" i="5" s="1"/>
  <c r="I11" i="5"/>
  <c r="P12" i="5" s="1"/>
  <c r="J11" i="5"/>
  <c r="Q12" i="5" s="1"/>
  <c r="V15" i="5"/>
  <c r="L8" i="5"/>
  <c r="S9" i="5" s="1"/>
  <c r="L14" i="5"/>
  <c r="S15" i="5" s="1"/>
  <c r="I14" i="5"/>
  <c r="P15" i="5" s="1"/>
  <c r="K8" i="5"/>
  <c r="R9" i="5" s="1"/>
  <c r="K12" i="5"/>
  <c r="R13" i="5" s="1"/>
  <c r="L11" i="5"/>
  <c r="S12" i="5" s="1"/>
  <c r="V9" i="5"/>
  <c r="L10" i="5"/>
  <c r="S11" i="5" s="1"/>
  <c r="L15" i="5"/>
  <c r="V8" i="5"/>
  <c r="K10" i="5"/>
  <c r="R11" i="5" s="1"/>
  <c r="J10" i="5"/>
  <c r="Q11" i="5" s="1"/>
  <c r="L16" i="5"/>
  <c r="S6" i="5" s="1"/>
  <c r="S5" i="5" s="1"/>
  <c r="W3" i="5" s="1"/>
  <c r="V13" i="5"/>
  <c r="L7" i="5"/>
  <c r="S8" i="5" s="1"/>
  <c r="I17" i="5"/>
  <c r="K15" i="5"/>
  <c r="K17" i="5"/>
  <c r="L12" i="5"/>
  <c r="S13" i="5" s="1"/>
  <c r="J15" i="5"/>
  <c r="I15" i="5"/>
  <c r="J51" i="5" l="1"/>
  <c r="B40" i="3" s="1"/>
  <c r="J30" i="5"/>
  <c r="B19" i="3" s="1"/>
  <c r="J56" i="5"/>
  <c r="B45" i="3" s="1"/>
  <c r="J57" i="5"/>
  <c r="B46" i="3" s="1"/>
  <c r="J34" i="5"/>
  <c r="B23" i="3" s="1"/>
  <c r="J52" i="5"/>
  <c r="B41" i="3" s="1"/>
  <c r="J32" i="5"/>
  <c r="B21" i="3" s="1"/>
  <c r="J59" i="5"/>
  <c r="B48" i="3" s="1"/>
  <c r="J42" i="5"/>
  <c r="B31" i="3" s="1"/>
  <c r="J36" i="5"/>
  <c r="B25" i="3" s="1"/>
  <c r="J44" i="5"/>
  <c r="B33" i="3" s="1"/>
  <c r="J40" i="5"/>
  <c r="B29" i="3" s="1"/>
  <c r="J48" i="5"/>
  <c r="B37" i="3" s="1"/>
  <c r="J46" i="5"/>
  <c r="B35" i="3" s="1"/>
  <c r="J49" i="5"/>
  <c r="B38" i="3" s="1"/>
  <c r="J28" i="5"/>
  <c r="B17" i="3" s="1"/>
  <c r="J38" i="5"/>
  <c r="B27" i="3" s="1"/>
  <c r="J54" i="5"/>
  <c r="B43" i="3" s="1"/>
  <c r="J39" i="5"/>
  <c r="B28" i="3" s="1"/>
  <c r="J43" i="5"/>
  <c r="B32" i="3" s="1"/>
  <c r="J50" i="5"/>
  <c r="B39" i="3" s="1"/>
  <c r="J37" i="5"/>
  <c r="B26" i="3" s="1"/>
  <c r="L23" i="5"/>
  <c r="L40" i="5" s="1"/>
  <c r="B29" i="6" s="1"/>
  <c r="L41" i="5"/>
  <c r="B30" i="6" s="1"/>
  <c r="L57" i="5"/>
  <c r="B46" i="6" s="1"/>
  <c r="J47" i="5"/>
  <c r="B36" i="3" s="1"/>
  <c r="J33" i="5"/>
  <c r="B22" i="3" s="1"/>
  <c r="J58" i="5"/>
  <c r="B47" i="3" s="1"/>
  <c r="J45" i="5"/>
  <c r="B34" i="3" s="1"/>
  <c r="M23" i="5"/>
  <c r="M46" i="5" s="1"/>
  <c r="B35" i="7" s="1"/>
  <c r="K23" i="5"/>
  <c r="K37" i="5" s="1"/>
  <c r="B26" i="4" s="1"/>
  <c r="J55" i="5"/>
  <c r="B44" i="3" s="1"/>
  <c r="J41" i="5"/>
  <c r="B30" i="3" s="1"/>
  <c r="J35" i="5"/>
  <c r="B24" i="3" s="1"/>
  <c r="N23" i="5"/>
  <c r="N33" i="5" s="1"/>
  <c r="B22" i="8" s="1"/>
  <c r="J31" i="5"/>
  <c r="B20" i="3" s="1"/>
  <c r="M40" i="5"/>
  <c r="B29" i="7" s="1"/>
  <c r="M38" i="5"/>
  <c r="B27" i="7" s="1"/>
  <c r="I33" i="5"/>
  <c r="B22" i="2" s="1"/>
  <c r="I41" i="5"/>
  <c r="B30" i="2" s="1"/>
  <c r="I49" i="5"/>
  <c r="B38" i="2" s="1"/>
  <c r="I57" i="5"/>
  <c r="B46" i="2" s="1"/>
  <c r="I51" i="5"/>
  <c r="B40" i="2" s="1"/>
  <c r="I44" i="5"/>
  <c r="B33" i="2" s="1"/>
  <c r="I28" i="5"/>
  <c r="B17" i="2" s="1"/>
  <c r="I34" i="5"/>
  <c r="B23" i="2" s="1"/>
  <c r="I42" i="5"/>
  <c r="I50" i="5"/>
  <c r="B39" i="2" s="1"/>
  <c r="I58" i="5"/>
  <c r="B47" i="2" s="1"/>
  <c r="I43" i="5"/>
  <c r="B32" i="2" s="1"/>
  <c r="I59" i="5"/>
  <c r="B48" i="2" s="1"/>
  <c r="I36" i="5"/>
  <c r="B25" i="2" s="1"/>
  <c r="I52" i="5"/>
  <c r="B41" i="2" s="1"/>
  <c r="I35" i="5"/>
  <c r="B24" i="2" s="1"/>
  <c r="I29" i="5"/>
  <c r="B18" i="2" s="1"/>
  <c r="I37" i="5"/>
  <c r="B26" i="2" s="1"/>
  <c r="I45" i="5"/>
  <c r="B34" i="2" s="1"/>
  <c r="I53" i="5"/>
  <c r="B42" i="2" s="1"/>
  <c r="I31" i="5"/>
  <c r="B20" i="2" s="1"/>
  <c r="I47" i="5"/>
  <c r="B36" i="2" s="1"/>
  <c r="I32" i="5"/>
  <c r="B21" i="2" s="1"/>
  <c r="I40" i="5"/>
  <c r="B29" i="2" s="1"/>
  <c r="I48" i="5"/>
  <c r="B37" i="2" s="1"/>
  <c r="I56" i="5"/>
  <c r="B45" i="2" s="1"/>
  <c r="I30" i="5"/>
  <c r="B19" i="2" s="1"/>
  <c r="I38" i="5"/>
  <c r="B27" i="2" s="1"/>
  <c r="I46" i="5"/>
  <c r="B35" i="2" s="1"/>
  <c r="I54" i="5"/>
  <c r="B43" i="2" s="1"/>
  <c r="I39" i="5"/>
  <c r="B28" i="2" s="1"/>
  <c r="I55" i="5"/>
  <c r="B44" i="2" s="1"/>
  <c r="B31" i="2"/>
  <c r="W2" i="5"/>
  <c r="U15" i="5" s="1"/>
  <c r="W15" i="5" s="1"/>
  <c r="U13" i="5"/>
  <c r="W13" i="5" s="1"/>
  <c r="K33" i="5" l="1"/>
  <c r="B22" i="4" s="1"/>
  <c r="K31" i="5"/>
  <c r="B20" i="4" s="1"/>
  <c r="K46" i="5"/>
  <c r="B35" i="4" s="1"/>
  <c r="K44" i="5"/>
  <c r="B33" i="4" s="1"/>
  <c r="K29" i="5"/>
  <c r="B18" i="4" s="1"/>
  <c r="K51" i="5"/>
  <c r="B40" i="4" s="1"/>
  <c r="K36" i="5"/>
  <c r="B25" i="4" s="1"/>
  <c r="K50" i="5"/>
  <c r="B39" i="4" s="1"/>
  <c r="K32" i="5"/>
  <c r="B21" i="4" s="1"/>
  <c r="N54" i="5"/>
  <c r="B43" i="8" s="1"/>
  <c r="N40" i="5"/>
  <c r="B29" i="8" s="1"/>
  <c r="K30" i="5"/>
  <c r="B19" i="4" s="1"/>
  <c r="K56" i="5"/>
  <c r="B45" i="4" s="1"/>
  <c r="K41" i="5"/>
  <c r="B30" i="4" s="1"/>
  <c r="K57" i="5"/>
  <c r="B46" i="4" s="1"/>
  <c r="K34" i="5"/>
  <c r="B23" i="4" s="1"/>
  <c r="K58" i="5"/>
  <c r="B47" i="4" s="1"/>
  <c r="N46" i="5"/>
  <c r="B35" i="8" s="1"/>
  <c r="M48" i="5"/>
  <c r="B37" i="7" s="1"/>
  <c r="M53" i="5"/>
  <c r="B42" i="7" s="1"/>
  <c r="K53" i="5"/>
  <c r="B42" i="4" s="1"/>
  <c r="K42" i="5"/>
  <c r="B31" i="4" s="1"/>
  <c r="K54" i="5"/>
  <c r="B43" i="4" s="1"/>
  <c r="K40" i="5"/>
  <c r="B29" i="4" s="1"/>
  <c r="K49" i="5"/>
  <c r="B38" i="4" s="1"/>
  <c r="K43" i="5"/>
  <c r="B32" i="4" s="1"/>
  <c r="K59" i="5"/>
  <c r="B48" i="4" s="1"/>
  <c r="K55" i="5"/>
  <c r="B44" i="4" s="1"/>
  <c r="K28" i="5"/>
  <c r="B17" i="4" s="1"/>
  <c r="K47" i="5"/>
  <c r="B36" i="4" s="1"/>
  <c r="K45" i="5"/>
  <c r="B34" i="4" s="1"/>
  <c r="K48" i="5"/>
  <c r="B37" i="4" s="1"/>
  <c r="K35" i="5"/>
  <c r="B24" i="4" s="1"/>
  <c r="K39" i="5"/>
  <c r="B28" i="4" s="1"/>
  <c r="K38" i="5"/>
  <c r="B27" i="4" s="1"/>
  <c r="K52" i="5"/>
  <c r="B41" i="4" s="1"/>
  <c r="N43" i="5"/>
  <c r="B32" i="8" s="1"/>
  <c r="N52" i="5"/>
  <c r="B41" i="8" s="1"/>
  <c r="M45" i="5"/>
  <c r="B34" i="7" s="1"/>
  <c r="M29" i="5"/>
  <c r="B18" i="7" s="1"/>
  <c r="M34" i="5"/>
  <c r="B23" i="7" s="1"/>
  <c r="M43" i="5"/>
  <c r="B32" i="7" s="1"/>
  <c r="M37" i="5"/>
  <c r="B26" i="7" s="1"/>
  <c r="M39" i="5"/>
  <c r="B28" i="7" s="1"/>
  <c r="L55" i="5"/>
  <c r="B44" i="6" s="1"/>
  <c r="L43" i="5"/>
  <c r="B32" i="6" s="1"/>
  <c r="L59" i="5"/>
  <c r="B48" i="6" s="1"/>
  <c r="L58" i="5"/>
  <c r="B47" i="6" s="1"/>
  <c r="L56" i="5"/>
  <c r="B45" i="6" s="1"/>
  <c r="L39" i="5"/>
  <c r="B28" i="6" s="1"/>
  <c r="L54" i="5"/>
  <c r="B43" i="6" s="1"/>
  <c r="L42" i="5"/>
  <c r="B31" i="6" s="1"/>
  <c r="M31" i="5"/>
  <c r="B20" i="7" s="1"/>
  <c r="M49" i="5"/>
  <c r="B38" i="7" s="1"/>
  <c r="M28" i="5"/>
  <c r="B17" i="7" s="1"/>
  <c r="M58" i="5"/>
  <c r="B47" i="7" s="1"/>
  <c r="M54" i="5"/>
  <c r="B43" i="7" s="1"/>
  <c r="M32" i="5"/>
  <c r="B21" i="7" s="1"/>
  <c r="M55" i="5"/>
  <c r="B44" i="7" s="1"/>
  <c r="M59" i="5"/>
  <c r="B48" i="7" s="1"/>
  <c r="M50" i="5"/>
  <c r="B39" i="7" s="1"/>
  <c r="M30" i="5"/>
  <c r="B19" i="7" s="1"/>
  <c r="M42" i="5"/>
  <c r="B31" i="7" s="1"/>
  <c r="U10" i="5"/>
  <c r="W10" i="5" s="1"/>
  <c r="M51" i="5"/>
  <c r="B40" i="7" s="1"/>
  <c r="M44" i="5"/>
  <c r="B33" i="7" s="1"/>
  <c r="L38" i="5"/>
  <c r="B27" i="6" s="1"/>
  <c r="U14" i="5"/>
  <c r="W14" i="5" s="1"/>
  <c r="U12" i="5"/>
  <c r="W12" i="5" s="1"/>
  <c r="U9" i="5"/>
  <c r="W9" i="5" s="1"/>
  <c r="M47" i="5"/>
  <c r="B36" i="7" s="1"/>
  <c r="M41" i="5"/>
  <c r="B30" i="7" s="1"/>
  <c r="N53" i="5"/>
  <c r="B42" i="8" s="1"/>
  <c r="N34" i="5"/>
  <c r="B23" i="8" s="1"/>
  <c r="N49" i="5"/>
  <c r="B38" i="8" s="1"/>
  <c r="N32" i="5"/>
  <c r="B21" i="8" s="1"/>
  <c r="N51" i="5"/>
  <c r="B40" i="8" s="1"/>
  <c r="N42" i="5"/>
  <c r="B31" i="8" s="1"/>
  <c r="N39" i="5"/>
  <c r="B28" i="8" s="1"/>
  <c r="N38" i="5"/>
  <c r="B27" i="8" s="1"/>
  <c r="N57" i="5"/>
  <c r="B46" i="8" s="1"/>
  <c r="N55" i="5"/>
  <c r="B44" i="8" s="1"/>
  <c r="N31" i="5"/>
  <c r="B20" i="8" s="1"/>
  <c r="N50" i="5"/>
  <c r="B39" i="8" s="1"/>
  <c r="N47" i="5"/>
  <c r="B36" i="8" s="1"/>
  <c r="N41" i="5"/>
  <c r="B30" i="8" s="1"/>
  <c r="N36" i="5"/>
  <c r="B25" i="8" s="1"/>
  <c r="N59" i="5"/>
  <c r="B48" i="8" s="1"/>
  <c r="N35" i="5"/>
  <c r="B24" i="8" s="1"/>
  <c r="N44" i="5"/>
  <c r="B33" i="8" s="1"/>
  <c r="N28" i="5"/>
  <c r="B17" i="8" s="1"/>
  <c r="N58" i="5"/>
  <c r="B47" i="8" s="1"/>
  <c r="N56" i="5"/>
  <c r="B45" i="8" s="1"/>
  <c r="M56" i="5"/>
  <c r="B45" i="7" s="1"/>
  <c r="U8" i="5"/>
  <c r="W8" i="5" s="1"/>
  <c r="M33" i="5"/>
  <c r="B22" i="7" s="1"/>
  <c r="M35" i="5"/>
  <c r="B24" i="7" s="1"/>
  <c r="N30" i="5"/>
  <c r="B19" i="8" s="1"/>
  <c r="L36" i="5"/>
  <c r="B25" i="6" s="1"/>
  <c r="L45" i="5"/>
  <c r="B34" i="6" s="1"/>
  <c r="L37" i="5"/>
  <c r="B26" i="6" s="1"/>
  <c r="L50" i="5"/>
  <c r="B39" i="6" s="1"/>
  <c r="L52" i="5"/>
  <c r="B41" i="6" s="1"/>
  <c r="L35" i="5"/>
  <c r="B24" i="6" s="1"/>
  <c r="L30" i="5"/>
  <c r="B19" i="6" s="1"/>
  <c r="L53" i="5"/>
  <c r="B42" i="6" s="1"/>
  <c r="L34" i="5"/>
  <c r="B23" i="6" s="1"/>
  <c r="L29" i="5"/>
  <c r="B18" i="6" s="1"/>
  <c r="L51" i="5"/>
  <c r="B40" i="6" s="1"/>
  <c r="L31" i="5"/>
  <c r="B20" i="6" s="1"/>
  <c r="L44" i="5"/>
  <c r="B33" i="6" s="1"/>
  <c r="L49" i="5"/>
  <c r="B38" i="6" s="1"/>
  <c r="L33" i="5"/>
  <c r="B22" i="6" s="1"/>
  <c r="L48" i="5"/>
  <c r="B37" i="6" s="1"/>
  <c r="L32" i="5"/>
  <c r="B21" i="6" s="1"/>
  <c r="L47" i="5"/>
  <c r="B36" i="6" s="1"/>
  <c r="L46" i="5"/>
  <c r="B35" i="6" s="1"/>
  <c r="N45" i="5"/>
  <c r="B34" i="8" s="1"/>
  <c r="N29" i="5"/>
  <c r="B18" i="8" s="1"/>
  <c r="U11" i="5"/>
  <c r="W11" i="5" s="1"/>
  <c r="M52" i="5"/>
  <c r="B41" i="7" s="1"/>
  <c r="M36" i="5"/>
  <c r="B25" i="7" s="1"/>
  <c r="N48" i="5"/>
  <c r="B37" i="8" s="1"/>
  <c r="M57" i="5"/>
  <c r="B46" i="7" s="1"/>
  <c r="N37" i="5"/>
  <c r="B26" i="8" s="1"/>
  <c r="L28" i="5"/>
  <c r="B17" i="6" s="1"/>
</calcChain>
</file>

<file path=xl/comments1.xml><?xml version="1.0" encoding="utf-8"?>
<comments xmlns="http://schemas.openxmlformats.org/spreadsheetml/2006/main">
  <authors>
    <author>Author</author>
  </authors>
  <commentList>
    <comment ref="I18" authorId="0" shapeId="0">
      <text>
        <r>
          <rPr>
            <b/>
            <sz val="9"/>
            <color indexed="81"/>
            <rFont val="Tahoma"/>
            <family val="2"/>
          </rPr>
          <t>Author:</t>
        </r>
        <r>
          <rPr>
            <sz val="9"/>
            <color indexed="81"/>
            <rFont val="Tahoma"/>
            <family val="2"/>
          </rPr>
          <t xml:space="preserve">
Calc - linear regression, nominal power to biochar output
</t>
        </r>
      </text>
    </comment>
  </commentList>
</comments>
</file>

<file path=xl/comments2.xml><?xml version="1.0" encoding="utf-8"?>
<comments xmlns="http://schemas.openxmlformats.org/spreadsheetml/2006/main">
  <authors>
    <author>Author</author>
  </authors>
  <commentList>
    <comment ref="A45" authorId="0" shapeId="0">
      <text>
        <r>
          <rPr>
            <b/>
            <sz val="9"/>
            <color indexed="81"/>
            <rFont val="Tahoma"/>
            <family val="2"/>
          </rPr>
          <t>Author:</t>
        </r>
        <r>
          <rPr>
            <sz val="9"/>
            <color indexed="81"/>
            <rFont val="Tahoma"/>
            <family val="2"/>
          </rPr>
          <t xml:space="preserve">
20 years * 23 sqm</t>
        </r>
      </text>
    </comment>
  </commentList>
</comments>
</file>

<file path=xl/sharedStrings.xml><?xml version="1.0" encoding="utf-8"?>
<sst xmlns="http://schemas.openxmlformats.org/spreadsheetml/2006/main" count="2064" uniqueCount="355">
  <si>
    <t>Unit processes used in ecoinvent 3.6 to model biomass furnaces</t>
  </si>
  <si>
    <t>Manufacturing and disposal</t>
  </si>
  <si>
    <t>Example:</t>
  </si>
  <si>
    <t>CH</t>
  </si>
  <si>
    <t>1.0</t>
  </si>
  <si>
    <t>unit</t>
  </si>
  <si>
    <t>furnace, wood chips, with silo, 50kW</t>
  </si>
  <si>
    <t>megajoule</t>
  </si>
  <si>
    <t>heat, central or small-scale, other than natural gas</t>
  </si>
  <si>
    <t>market for heat, central or small-scale, other than natural gas</t>
  </si>
  <si>
    <t>ei_cutoff_36</t>
  </si>
  <si>
    <t>kilogram</t>
  </si>
  <si>
    <t>steel, low-alloyed, hot rolled</t>
  </si>
  <si>
    <t>market for steel, low-alloyed, hot rolled</t>
  </si>
  <si>
    <t>GLO</t>
  </si>
  <si>
    <t>kilowatt hour</t>
  </si>
  <si>
    <t>electricity, low voltage</t>
  </si>
  <si>
    <t>market for electricity, low voltage</t>
  </si>
  <si>
    <t>sheet rolling, steel</t>
  </si>
  <si>
    <t>RER</t>
  </si>
  <si>
    <t>cast iron</t>
  </si>
  <si>
    <t>market for cast iron</t>
  </si>
  <si>
    <t>refractory, fireclay, packed</t>
  </si>
  <si>
    <t>market for refractory, fireclay, packed</t>
  </si>
  <si>
    <t>stone wool</t>
  </si>
  <si>
    <t>market for stone wool</t>
  </si>
  <si>
    <t>polystyrene foam slab</t>
  </si>
  <si>
    <t>market for polystyrene foam slab</t>
  </si>
  <si>
    <t>steel, chromium steel 18/8, hot rolled</t>
  </si>
  <si>
    <t>market for steel, chromium steel 18/8, hot rolled</t>
  </si>
  <si>
    <t>cubic meter</t>
  </si>
  <si>
    <t>concrete, normal</t>
  </si>
  <si>
    <t>market for concrete, normal</t>
  </si>
  <si>
    <t>copper</t>
  </si>
  <si>
    <t>market for copper</t>
  </si>
  <si>
    <t>polyethylene, high density, granulate</t>
  </si>
  <si>
    <t>market for polyethylene, high density, granulate</t>
  </si>
  <si>
    <t>electronics, for control units</t>
  </si>
  <si>
    <t>market for electronics, for control units</t>
  </si>
  <si>
    <t>lubricating oil</t>
  </si>
  <si>
    <t>market for lubricating oil</t>
  </si>
  <si>
    <t>alkyd paint, white, without solvent, in 60% solution state</t>
  </si>
  <si>
    <t>market for alkyd paint, white, without solvent, in 60% solution state</t>
  </si>
  <si>
    <t>waste mineral oil</t>
  </si>
  <si>
    <t>market for waste mineral oil</t>
  </si>
  <si>
    <t>electronics scrap from control units</t>
  </si>
  <si>
    <t>market for electronics scrap from control units</t>
  </si>
  <si>
    <t>waste polyethylene</t>
  </si>
  <si>
    <t>market for waste polyethylene</t>
  </si>
  <si>
    <t>scrap copper</t>
  </si>
  <si>
    <t>market for scrap copper</t>
  </si>
  <si>
    <t>waste polystyrene isolation, flame-retardant</t>
  </si>
  <si>
    <t>market for waste polystyrene isolation, flame-retardant</t>
  </si>
  <si>
    <t>waste mineral wool, for final disposal</t>
  </si>
  <si>
    <t>market for waste mineral wool, final disposal</t>
  </si>
  <si>
    <t>inert waste, for final disposal</t>
  </si>
  <si>
    <t>market for inert waste, for final disposal</t>
  </si>
  <si>
    <t>iron scrap, unsorted</t>
  </si>
  <si>
    <t>iron scrap, unsorted, Recycled Content cut-off</t>
  </si>
  <si>
    <t>scrap steel</t>
  </si>
  <si>
    <t>market for scrap steel</t>
  </si>
  <si>
    <t>waste concrete</t>
  </si>
  <si>
    <t>market for waste concrete</t>
  </si>
  <si>
    <t>square meter-year</t>
  </si>
  <si>
    <t>Occupation, industrial area</t>
  </si>
  <si>
    <t>natural resource - land</t>
  </si>
  <si>
    <t>biosphere3</t>
  </si>
  <si>
    <t>square meter</t>
  </si>
  <si>
    <t>Transformation, from unspecified</t>
  </si>
  <si>
    <t>CORINE x</t>
  </si>
  <si>
    <t>Transformation, to industrial area</t>
  </si>
  <si>
    <t>CORINE 121a</t>
  </si>
  <si>
    <t>This dataset represent the production and the disposal of a wood chips burning furnace with a storage silo, typical for central heating system.</t>
  </si>
  <si>
    <t>Geography: Could be used for Central European conditions</t>
  </si>
  <si>
    <t>Technology: Boiler of modern technology available on the European and Swiss market, with combustion chamber in refractory bricks. The model of reference is a wood chips boiler from brand ETA, mod. Hack 50 kW. It was compared with two other boilers with similar technology (KWB Multifire 50 kW, Lindner&amp;Sommerauer SL-T 50 kW). Austrian technology, commericialized and manufactured also in Switzerland (Swiss brand Buderus).</t>
  </si>
  <si>
    <t>Source of picture: http://www.eta.co.at/15.0.html</t>
  </si>
  <si>
    <t>Image:</t>
  </si>
  <si>
    <t>This dataset represents the production and the disposal of a wood chips burning furnace for district heating networks, with the woodchips storage silo included.</t>
  </si>
  <si>
    <t>Technology: Source of image: http://www.holzfeuerung.ch/index.php?ses=3a5003f8c163</t>
  </si>
  <si>
    <t>Boiler of modern technology available on European and Swiss market, with conveyor grate technology and combustion chambers in refractory bricks, designed for an optimal combustion process. The model of reference is a woodchips boiler, brand Uniconfort mod.Global with capacity of 1000 kW. It was compared with two other models with similar technology (Froling mod.Lambdamat 1000kW, Schmid mod.Pyrotronic UTSR 1000kW). Represent the typical boiler for a district heating network or for heating several industrial/residential buildings.</t>
  </si>
  <si>
    <t>Example</t>
  </si>
  <si>
    <r>
      <t xml:space="preserve">furnace production, wood chips, with silo, </t>
    </r>
    <r>
      <rPr>
        <sz val="11"/>
        <color rgb="FFFF0000"/>
        <rFont val="Calibri"/>
        <family val="2"/>
        <scheme val="minor"/>
      </rPr>
      <t>50kW</t>
    </r>
  </si>
  <si>
    <r>
      <t xml:space="preserve">furnace production, wood chips, with silo, </t>
    </r>
    <r>
      <rPr>
        <sz val="11"/>
        <color rgb="FFFF0000"/>
        <rFont val="Calibri"/>
        <family val="2"/>
        <scheme val="minor"/>
      </rPr>
      <t>1000kW</t>
    </r>
  </si>
  <si>
    <t>furnace, wood chips, with silo, 1000kW</t>
  </si>
  <si>
    <t>iron-nickel-chromium alloy</t>
  </si>
  <si>
    <t>market for iron-nickel-chromium alloy</t>
  </si>
  <si>
    <t>aluminium, wrought alloy</t>
  </si>
  <si>
    <t>market for aluminium, wrought alloy</t>
  </si>
  <si>
    <t>drawing of pipe, steel</t>
  </si>
  <si>
    <t>scrap aluminium</t>
  </si>
  <si>
    <t>market for scrap aluminium</t>
  </si>
  <si>
    <t>Analysis -</t>
  </si>
  <si>
    <t>Capacity</t>
  </si>
  <si>
    <t>Plant 1</t>
  </si>
  <si>
    <t>Plant 2</t>
  </si>
  <si>
    <t>Capacity, kW</t>
  </si>
  <si>
    <t>Heat, MJ</t>
  </si>
  <si>
    <t>Electricity, kWh</t>
  </si>
  <si>
    <t>Electronic parts, kg</t>
  </si>
  <si>
    <t>Steel + iron, kg</t>
  </si>
  <si>
    <t>Plastic parts, kg</t>
  </si>
  <si>
    <t>Paint</t>
  </si>
  <si>
    <t>Summed weight, kg</t>
  </si>
  <si>
    <t>Footprint, m2</t>
  </si>
  <si>
    <t>Lubricating oil, kg</t>
  </si>
  <si>
    <t>Refractory clay, kg</t>
  </si>
  <si>
    <r>
      <t>furnace production, wood chips, with silo, 300</t>
    </r>
    <r>
      <rPr>
        <sz val="11"/>
        <color rgb="FFFF0000"/>
        <rFont val="Calibri"/>
        <family val="2"/>
        <scheme val="minor"/>
      </rPr>
      <t>kW</t>
    </r>
  </si>
  <si>
    <t>This dataset represent the production and the disposal of a wood chips burning furnace for local heating networks, with a storage silo for the wood chips.</t>
  </si>
  <si>
    <t>Technology: Source of image: http://www.froeling.com/ch/produkte/hackgut-ab-150kw/froeling-turbomat.html</t>
  </si>
  <si>
    <t>Furnace of modern technology available on the European and Swiss market, with tilting grate technology and combustion chambers in refractory bricks, designed for an optimal combustion process (cyclone integrated). The model of reference is a woodchip boiler, brand Froling mod.Turbomat 320 kW. It was compared with another model with similar technology, brand Schmid mod.Pyrotronic UTSR 300 kW. Represent the typical boiler for providing heat for local heating networks, commercial premises and multi-storey housing.</t>
  </si>
  <si>
    <t>Image: https://db3.ecoinvent.org/images/a72d5cfd-c704-4fe4-8ea1-803b35adf55e</t>
  </si>
  <si>
    <t>This dataset represents the production and the disposal of a wood chips burning furnace for district heating networks, with the woodchips storage silo, with a lifetime of 20 years.</t>
  </si>
  <si>
    <t>Technology: Source of image: http://www.uniconfort.com/en/global-model-boilers</t>
  </si>
  <si>
    <t>Boiler of modern technology available on the European and Swiss market, with conveyor grate technology and combustion chambers in refractory bricks, designed for an optimal combustion process. The model of reference is a woodchips boiler, brand Uniconfort mod.Global with capacity of 5000 kW. It was compared with another model with similar technology (Schmid mod.Pyrotronic UTSR 5000kW). Represent the typical boiler for a wide district heating network or for heating many industrial/residential buildings.</t>
  </si>
  <si>
    <t>Image: https://db3.ecoinvent.org/images/246d4ed5-9cf1-4cf9-8227-4531e35e30b3</t>
  </si>
  <si>
    <t>furnace production, wood chips, with silo, 5000kW</t>
  </si>
  <si>
    <t>Plant 3</t>
  </si>
  <si>
    <t>Plant 4</t>
  </si>
  <si>
    <t>Summed weight, ton</t>
  </si>
  <si>
    <t>P2</t>
  </si>
  <si>
    <t>P3</t>
  </si>
  <si>
    <t>P4</t>
  </si>
  <si>
    <t>P1</t>
  </si>
  <si>
    <t>Pyreg 500</t>
  </si>
  <si>
    <t>Based on ecoinvent unit processes for manufacturing of furnances</t>
  </si>
  <si>
    <t>Adjusting amounts based on weight of the machine</t>
  </si>
  <si>
    <t>Weight</t>
  </si>
  <si>
    <t>Footprint</t>
  </si>
  <si>
    <t>Height</t>
  </si>
  <si>
    <t>m2</t>
  </si>
  <si>
    <t>m</t>
  </si>
  <si>
    <t>Footprint of the actual plant, while in ecoinvent, may include more space around and silo</t>
  </si>
  <si>
    <t>tonnes</t>
  </si>
  <si>
    <t>Lifetime</t>
  </si>
  <si>
    <t>years</t>
  </si>
  <si>
    <t>kW, biomass in</t>
  </si>
  <si>
    <t>https://www.pyreg.de/wp-content/uploads/2020_pyreg_brochure_biomass_EN.pdf</t>
  </si>
  <si>
    <t>Biochar production</t>
  </si>
  <si>
    <t>t/yr</t>
  </si>
  <si>
    <t>LCA ratio per kg biochar</t>
  </si>
  <si>
    <t>plant unit per kg biochar</t>
  </si>
  <si>
    <t>Reactor footprint</t>
  </si>
  <si>
    <t>https://www.eta.co.at/produkte/produktuebersicht/pellets/eta-pc-20-bis-105-kw/</t>
  </si>
  <si>
    <t>kg, dry weight (empty water tanks)</t>
  </si>
  <si>
    <t>Reactor weight</t>
  </si>
  <si>
    <t>https://www.froeling.com/fileadmin/content/produkte/Prospekte_Flyer/DE/DE_Prospekt_Turbomat.pdf</t>
  </si>
  <si>
    <t>Ratios relative to plant 1, by scale</t>
  </si>
  <si>
    <t>Left Col</t>
  </si>
  <si>
    <t>Right Col</t>
  </si>
  <si>
    <t>osef</t>
  </si>
  <si>
    <t>Base values</t>
  </si>
  <si>
    <t>New values</t>
  </si>
  <si>
    <t>Weight, tonnes</t>
  </si>
  <si>
    <t>Plant</t>
  </si>
  <si>
    <t>Left col</t>
  </si>
  <si>
    <t>Right col</t>
  </si>
  <si>
    <t>P500</t>
  </si>
  <si>
    <t>Pyreg 1500</t>
  </si>
  <si>
    <t>P1500</t>
  </si>
  <si>
    <t>amount</t>
  </si>
  <si>
    <t>product</t>
  </si>
  <si>
    <t>activity</t>
  </si>
  <si>
    <t>region</t>
  </si>
  <si>
    <t>BioMaCon 160kW</t>
  </si>
  <si>
    <t>BioMaCon 400kW</t>
  </si>
  <si>
    <t>BioGreen</t>
  </si>
  <si>
    <t>BMC160</t>
  </si>
  <si>
    <t>BMC400</t>
  </si>
  <si>
    <t>MMT</t>
  </si>
  <si>
    <t>Pamjoja report</t>
  </si>
  <si>
    <t>Linear regression, between 2 plants of closest mass</t>
  </si>
  <si>
    <t>('ei_cutoff_36', 'bcbd879f69e35215acd79231704c7fdc')</t>
  </si>
  <si>
    <t>('ei_cutoff_36', '98d12075de26b147df7d83e95f888de8')</t>
  </si>
  <si>
    <t>('ei_cutoff_36', '90bdce9febd5ee1332d9cd0d005ee996')</t>
  </si>
  <si>
    <t>('ei_cutoff_36', 'bde12088c6224b6c5c5a3092e4246957')</t>
  </si>
  <si>
    <t>('ei_cutoff_36', '640f5193b1c59a1a21bf4dc17a848637')</t>
  </si>
  <si>
    <t>('ei_cutoff_36', '88502cc0cdc26c2a9643cd707721b5e4')</t>
  </si>
  <si>
    <t>('ei_cutoff_36', 'bd08b2fae561fd53d02dc0827d605798')</t>
  </si>
  <si>
    <t>('ei_cutoff_36', 'be2173bcb9cdc4e0db0711cd2ac79778')</t>
  </si>
  <si>
    <t>('ei_cutoff_36', '7893c696024a5e6e4fda701f34a8c246')</t>
  </si>
  <si>
    <t>('ei_cutoff_36', '3e391b67aca2fc0bb829b0b04451bef5')</t>
  </si>
  <si>
    <t>('ei_cutoff_36', '26561d30ca7d9fa3fa69b3152bd72a55')</t>
  </si>
  <si>
    <t>('ei_cutoff_36', '0f5ed29b7475105fcab8a2f009906eb4')</t>
  </si>
  <si>
    <t>('ei_cutoff_36', 'ea81fd5da7acc50eaa03c0ac34868030')</t>
  </si>
  <si>
    <t>('ei_cutoff_36', 'a668bccebfdedd14d27815c9771db57e')</t>
  </si>
  <si>
    <t>('ei_cutoff_36', 'e10f2730ef93941a19f4f9fddce7a53a')</t>
  </si>
  <si>
    <t>('ei_cutoff_36', '2428888f15e5bebf4af25a0518767b0e')</t>
  </si>
  <si>
    <t>('ei_cutoff_36', '22b54f34063b85ead042d81cbc2ac07b')</t>
  </si>
  <si>
    <t>('ei_cutoff_36', '6902caccae1978984a0dc7a4c97e85b9')</t>
  </si>
  <si>
    <t>('ei_cutoff_36', 'aeef600aff39cda78a11dcf3f4043d2e')</t>
  </si>
  <si>
    <t>('ei_cutoff_36', 'a053a053eb94176b8e28119aad0d916f')</t>
  </si>
  <si>
    <t>('ei_cutoff_36', 'bd87b896984018e6d0e5c3adb6710895')</t>
  </si>
  <si>
    <t>('ei_cutoff_36', '721e1adea067e2064595d1931b96d739')</t>
  </si>
  <si>
    <t>('ei_cutoff_36', '27d5aaca02d3aa66aca42129cbfb6246')</t>
  </si>
  <si>
    <t>('ei_cutoff_36', 'ed05f4053fcc2ff9f297cdd3039bd2e0')</t>
  </si>
  <si>
    <t>('ei_cutoff_36', '1b09181e61ae0e0f82174f0e7b09f827')</t>
  </si>
  <si>
    <t>key</t>
  </si>
  <si>
    <t>('ei_cutoff_36', '4807b642d5ad18d8171586dbe553000e')</t>
  </si>
  <si>
    <t>('ei_cutoff_36', 'b4f2456cf9cbe7dfeb67c91780bd3e38')</t>
  </si>
  <si>
    <t>('ei_cutoff_36', 'b0c85b6d3b1fcbe01727668de86f2db5')</t>
  </si>
  <si>
    <t>('ei_cutoff_36', '60eed578fdcf85798c93cd9647bb8467')</t>
  </si>
  <si>
    <t>('biosphere3', 'fe9c3a98-a6d2-452d-a9a4-a13e64f1b95b')</t>
  </si>
  <si>
    <t>('biosphere3', '29630a65-f38c-48a5-9744-c0121f586640')</t>
  </si>
  <si>
    <t>('biosphere3', '4624deff-2016-41d4-b2bf-3db8dab88779')</t>
  </si>
  <si>
    <t>transport, freight, lorry 16-32 metric ton, EURO6</t>
  </si>
  <si>
    <t>MRG transport, freight, lorry 16-32 metric ton, EURO6</t>
  </si>
  <si>
    <t>ton kilometer</t>
  </si>
  <si>
    <t>('background-system', '54b1b234e1ee7969eee83577287ae5a3_copy1')</t>
  </si>
  <si>
    <t>transport, freight, lorry 7.5-16 metric ton, EURO6</t>
  </si>
  <si>
    <t>MRG transport, freight, lorry 7.5-16 metric ton, EURO6</t>
  </si>
  <si>
    <t>('background-system', '9a8353163bc2be747f7e11af4f7f1b6a_copy1')</t>
  </si>
  <si>
    <t>transport, freight, lorry &gt;32 metric ton, EURO6</t>
  </si>
  <si>
    <t>MRG transport, freight, lorry &gt;32 metric ton, EURO6</t>
  </si>
  <si>
    <t>('background-system', 'e070d1bbf7f78a1b5eaf1f2576904cdc_copy1')</t>
  </si>
  <si>
    <t>Transport distance, road</t>
  </si>
  <si>
    <t>Transport distance, ship</t>
  </si>
  <si>
    <t>km</t>
  </si>
  <si>
    <t>Hamburg-Uppsala, by road</t>
  </si>
  <si>
    <t>Göteborg - Uppsala</t>
  </si>
  <si>
    <t>Australia-Adelaide, via Good Hope Cap, to Gothenburg, from sea-distances.org</t>
  </si>
  <si>
    <t>8.92857142857143E-08</t>
  </si>
  <si>
    <t>('background-system', 'b9bbf27802ab228a297bf10e06c93059_copy1')</t>
  </si>
  <si>
    <t>MRG transport, freight, sea, container ship</t>
  </si>
  <si>
    <t>transport, freight, sea, container ship</t>
  </si>
  <si>
    <t>Data on pyrolysis reactors, collected by Mattias G. Ecotopic AB, and in BSc thesis from Helena S.</t>
  </si>
  <si>
    <t xml:space="preserve">C40-3 </t>
  </si>
  <si>
    <t xml:space="preserve">C63-3 </t>
  </si>
  <si>
    <t xml:space="preserve">C100-3 </t>
  </si>
  <si>
    <t xml:space="preserve">C160-3 </t>
  </si>
  <si>
    <t xml:space="preserve">C250-3 </t>
  </si>
  <si>
    <t xml:space="preserve">C400-3 </t>
  </si>
  <si>
    <t xml:space="preserve">Feed-In hight A [mm] </t>
  </si>
  <si>
    <t xml:space="preserve">Total hight B [mm] </t>
  </si>
  <si>
    <t xml:space="preserve">Width C [mm] </t>
  </si>
  <si>
    <t xml:space="preserve">Transport width [mm] </t>
  </si>
  <si>
    <t xml:space="preserve">Gate width (A) for installation room [mm] </t>
  </si>
  <si>
    <t xml:space="preserve">Total depth D [mm] </t>
  </si>
  <si>
    <t xml:space="preserve">Diameter exhaust gas pipe [mm] </t>
  </si>
  <si>
    <t xml:space="preserve">Biochar discharge [mm] </t>
  </si>
  <si>
    <t xml:space="preserve">Nominal power [kW] </t>
  </si>
  <si>
    <t>Biomacon Units</t>
  </si>
  <si>
    <t>Type</t>
  </si>
  <si>
    <t xml:space="preserve">Weight [kg] </t>
  </si>
  <si>
    <t>Lindeborgs</t>
  </si>
  <si>
    <t>Hamilton + VegTech</t>
  </si>
  <si>
    <t xml:space="preserve">http://www.diva-portal.org/smash/get/diva2:1114266/FULLTEXT01.pdf </t>
  </si>
  <si>
    <t>A PYREG®P-500 module consists of 2 modules a  and an :</t>
  </si>
  <si>
    <t>1/  PYREG© module container, made of:</t>
  </si>
  <si>
    <t>Receiver tank</t>
  </si>
  <si>
    <t>PYREG reactor</t>
  </si>
  <si>
    <t>Combustion chamber</t>
  </si>
  <si>
    <t>Screw conveyor for ash discharge</t>
  </si>
  <si>
    <t>High-temperature heat exchanger</t>
  </si>
  <si>
    <t>Field cabinet with automation technology</t>
  </si>
  <si>
    <t>Fan for exhaust gas and combustion air</t>
  </si>
  <si>
    <t>Exhaust gas scrubber (optional)</t>
  </si>
  <si>
    <t>Cooling fan</t>
  </si>
  <si>
    <t>2/ Exhaust technology container (not shown on picture), made of:</t>
  </si>
  <si>
    <t>Dimensions</t>
  </si>
  <si>
    <t>Total weight</t>
  </si>
  <si>
    <t>kg</t>
  </si>
  <si>
    <t>Details on each sub-components can be found in Appendix 3 from BSc Thesis</t>
  </si>
  <si>
    <t>kWh/yr</t>
  </si>
  <si>
    <t>m3/yr, without scrubbing of exhaust gases</t>
  </si>
  <si>
    <t>m3/yr, with scrubbing of exhaust gases</t>
  </si>
  <si>
    <t>Gas LPG supply, approx</t>
  </si>
  <si>
    <t>Pressurised water, approx</t>
  </si>
  <si>
    <t>Electricity supply, max approx</t>
  </si>
  <si>
    <t>kg/yr</t>
  </si>
  <si>
    <t>Assembly space</t>
  </si>
  <si>
    <t>9000x3000x2800 mm (L/W/H)</t>
  </si>
  <si>
    <t>3000x3000x2800 mm (L/W/H)</t>
  </si>
  <si>
    <t>Additional space for storage unit</t>
  </si>
  <si>
    <t>Additional space for big bag station</t>
  </si>
  <si>
    <t>Performance parameters</t>
  </si>
  <si>
    <t>Energy input</t>
  </si>
  <si>
    <t>kW, max</t>
  </si>
  <si>
    <t>Annual mass flow, input</t>
  </si>
  <si>
    <t>t/yr, max approx, original substance with 50% dry matter, with LHV &gt; 10MJ/kg OS</t>
  </si>
  <si>
    <t>Conversion rate</t>
  </si>
  <si>
    <t>up to</t>
  </si>
  <si>
    <t>Usable heat</t>
  </si>
  <si>
    <t>kW th. Up to</t>
  </si>
  <si>
    <t>FPP40 from Earth systems</t>
  </si>
  <si>
    <t>14 t main module, 4 t for heat exchanger and gas cleaning</t>
  </si>
  <si>
    <t>Biochar output [kg/hour] from alt. Source</t>
  </si>
  <si>
    <t>Annual uptime [hour/year] assumed</t>
  </si>
  <si>
    <t>data verified</t>
  </si>
  <si>
    <t>verified data</t>
  </si>
  <si>
    <t>http://www.biogreen-energy.com/wp-content/uploads/2013/03/Biogreen-Product-BiogreenCM600-en.pdf</t>
  </si>
  <si>
    <t>http://www.biogreen-energy.com/industrial-pyrolysis-capacities/</t>
  </si>
  <si>
    <t>http://www.biogreen-energy.com/f-a-q/</t>
  </si>
  <si>
    <t>To check - no weight info found</t>
  </si>
  <si>
    <t>From Pamoja report</t>
  </si>
  <si>
    <t>Mail from Mattias</t>
  </si>
  <si>
    <t xml:space="preserve">Hi Elias, </t>
  </si>
  <si>
    <t xml:space="preserve">The best estimation I have at the moment for the Earth Systems FPP40 are estimated at 18t for the charmaker and 16t for the dryer. This is the transport weight where cadges, thermal oxidizer and more is included and I do not know how they have split the parts between the containers. </t>
  </si>
  <si>
    <t>Best wishes,</t>
  </si>
  <si>
    <t>Mattias Gustafsson</t>
  </si>
  <si>
    <t>18t without dryer, 18+16 (with drier)</t>
  </si>
  <si>
    <t>MPP40 Earth Systems Mobile unit</t>
  </si>
  <si>
    <t xml:space="preserve">https://bioenergyinternational.com/technology-suppliers/telge-atervinning-a-first-in-europe-for-aussie-biochar-technology </t>
  </si>
  <si>
    <t xml:space="preserve">Footprint of the actual plant, while in ecoinvent, may include more space around and silo. </t>
  </si>
  <si>
    <t>Size: 12.19m long x 2.44m wide x 2.59m high, for the pyrolysis unit</t>
  </si>
  <si>
    <t>From drawings</t>
  </si>
  <si>
    <t>Weight by volume, for upscaling to P1500</t>
  </si>
  <si>
    <t>t/m3</t>
  </si>
  <si>
    <t>18 (P500) * scaled by volume</t>
  </si>
  <si>
    <t>ToBeChecked, weight - mail sent to Ludwig</t>
  </si>
  <si>
    <t>See documents</t>
  </si>
  <si>
    <t>https://www.esenergy.com.au/charmaker-mpp-key-features</t>
  </si>
  <si>
    <t>m3, biomass in</t>
  </si>
  <si>
    <t>2-4 tonnes biochar per batch  https://www.esenergy.com.au/charmaker-mpp-key-features</t>
  </si>
  <si>
    <t>temperature range, 300-550C</t>
  </si>
  <si>
    <t>processing time, 4-5 hours</t>
  </si>
  <si>
    <t xml:space="preserve">38m3 biomass in, about 10-18 tonnes wet wood. </t>
  </si>
  <si>
    <t xml:space="preserve">https://www.esenergy.com.au/charmaker-mpp-key-features </t>
  </si>
  <si>
    <t>Batch time</t>
  </si>
  <si>
    <t>h</t>
  </si>
  <si>
    <t>Loading-Unloading</t>
  </si>
  <si>
    <t>Production per batch</t>
  </si>
  <si>
    <t>Annual use:</t>
  </si>
  <si>
    <t>times</t>
  </si>
  <si>
    <t>Hours in use</t>
  </si>
  <si>
    <t>hours</t>
  </si>
  <si>
    <t>Uptime</t>
  </si>
  <si>
    <t>Annual production:</t>
  </si>
  <si>
    <t>tonnes per year</t>
  </si>
  <si>
    <t>(no night time operation?)</t>
  </si>
  <si>
    <t>kWh/kg bc</t>
  </si>
  <si>
    <t>kg LPG /kg bc</t>
  </si>
  <si>
    <t>kg water / kg bc</t>
  </si>
  <si>
    <t>LGP emission in ecoinvent, transport process</t>
  </si>
  <si>
    <t>km driven</t>
  </si>
  <si>
    <t>kg LPG</t>
  </si>
  <si>
    <t>kg CO2</t>
  </si>
  <si>
    <t>thus, per kg LPG</t>
  </si>
  <si>
    <t>kg CO</t>
  </si>
  <si>
    <t>Pyreg1500</t>
  </si>
  <si>
    <t>MPP40</t>
  </si>
  <si>
    <t>Pyreg500</t>
  </si>
  <si>
    <t>BioMaCon160</t>
  </si>
  <si>
    <t>BioMaCon400</t>
  </si>
  <si>
    <t>S</t>
  </si>
  <si>
    <t>E</t>
  </si>
  <si>
    <t>M</t>
  </si>
  <si>
    <t>Reactor lifetime</t>
  </si>
  <si>
    <t>t yr-1</t>
  </si>
  <si>
    <t>Infrastructure factor</t>
  </si>
  <si>
    <t>unit kg-1 biochar</t>
  </si>
  <si>
    <t>Not used in the study</t>
  </si>
  <si>
    <t>t</t>
  </si>
  <si>
    <t>Reactor name</t>
  </si>
  <si>
    <t>Name in the paper</t>
  </si>
  <si>
    <t>&gt;&gt; Supporting information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</si>
</sst>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E+00"/>
    <numFmt numFmtId="166" formatCode="0.0000E+00"/>
    <numFmt numFmtId="167" formatCode="_-* #,##0_-;\-* #,##0_-;_-* &quot;-&quot;??_-;_-@_-"/>
  </numFmts>
  <fonts count="18">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0"/>
      <color theme="1"/>
      <name val="Arial Unicode MS"/>
    </font>
    <font>
      <sz val="11"/>
      <color theme="1"/>
      <name val="Calibri"/>
      <family val="2"/>
      <scheme val="minor"/>
    </font>
    <font>
      <sz val="12"/>
      <color rgb="FF000000"/>
      <name val="Arial"/>
      <family val="2"/>
    </font>
    <font>
      <b/>
      <sz val="12"/>
      <color rgb="FF000000"/>
      <name val="Arial"/>
      <family val="2"/>
    </font>
    <font>
      <b/>
      <sz val="11.5"/>
      <color rgb="FF000000"/>
      <name val="Arial"/>
      <family val="2"/>
    </font>
    <font>
      <sz val="11.5"/>
      <color rgb="FF000000"/>
      <name val="Arial"/>
      <family val="2"/>
    </font>
    <font>
      <sz val="12"/>
      <color theme="1"/>
      <name val="Calibri"/>
      <family val="2"/>
      <scheme val="minor"/>
    </font>
    <font>
      <b/>
      <sz val="12"/>
      <color theme="1"/>
      <name val="Calibri"/>
      <family val="2"/>
      <scheme val="minor"/>
    </font>
    <font>
      <i/>
      <sz val="11.5"/>
      <color rgb="FF000000"/>
      <name val="Arial"/>
      <family val="2"/>
    </font>
    <font>
      <b/>
      <u/>
      <sz val="11"/>
      <color theme="10"/>
      <name val="Calibri"/>
      <family val="2"/>
      <scheme val="minor"/>
    </font>
    <font>
      <sz val="11"/>
      <color theme="1"/>
      <name val="Nexa Bold"/>
    </font>
    <font>
      <i/>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4">
    <xf numFmtId="0" fontId="0" fillId="0" borderId="0"/>
    <xf numFmtId="0" fontId="5"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63">
    <xf numFmtId="0" fontId="0" fillId="0" borderId="0" xfId="0"/>
    <xf numFmtId="0" fontId="2" fillId="0" borderId="0" xfId="0" applyFont="1"/>
    <xf numFmtId="0" fontId="0" fillId="2" borderId="0" xfId="0" applyFill="1"/>
    <xf numFmtId="0" fontId="0" fillId="3" borderId="0" xfId="0" applyFill="1"/>
    <xf numFmtId="0" fontId="5" fillId="0" borderId="0" xfId="1"/>
    <xf numFmtId="0" fontId="0" fillId="4" borderId="0" xfId="0" applyFill="1"/>
    <xf numFmtId="0" fontId="0" fillId="0" borderId="0" xfId="0" applyAlignment="1">
      <alignment horizontal="right"/>
    </xf>
    <xf numFmtId="2" fontId="0" fillId="0" borderId="0" xfId="0" applyNumberFormat="1"/>
    <xf numFmtId="164" fontId="0" fillId="0" borderId="0" xfId="0" applyNumberFormat="1"/>
    <xf numFmtId="1" fontId="0" fillId="0" borderId="0" xfId="0" applyNumberFormat="1"/>
    <xf numFmtId="0" fontId="1" fillId="2" borderId="0" xfId="0" applyFont="1" applyFill="1"/>
    <xf numFmtId="0" fontId="1" fillId="3" borderId="0" xfId="0" applyFont="1" applyFill="1"/>
    <xf numFmtId="165" fontId="0" fillId="0" borderId="0" xfId="0" applyNumberFormat="1"/>
    <xf numFmtId="164" fontId="0" fillId="0" borderId="0" xfId="0" applyNumberFormat="1" applyAlignment="1">
      <alignment horizontal="right"/>
    </xf>
    <xf numFmtId="164"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0" fillId="2" borderId="0" xfId="0" applyFill="1" applyAlignment="1">
      <alignment horizontal="right"/>
    </xf>
    <xf numFmtId="0" fontId="1" fillId="2" borderId="0" xfId="0" applyFont="1" applyFill="1" applyAlignment="1">
      <alignment horizontal="right"/>
    </xf>
    <xf numFmtId="0" fontId="0" fillId="3" borderId="0" xfId="0" applyFill="1" applyAlignment="1">
      <alignment horizontal="right"/>
    </xf>
    <xf numFmtId="0" fontId="1" fillId="3" borderId="0" xfId="0" applyFont="1" applyFill="1" applyAlignment="1">
      <alignment horizontal="right"/>
    </xf>
    <xf numFmtId="0" fontId="2" fillId="0" borderId="0" xfId="0" applyFont="1" applyAlignment="1">
      <alignment horizontal="right"/>
    </xf>
    <xf numFmtId="2" fontId="2" fillId="0" borderId="0" xfId="0" applyNumberFormat="1" applyFont="1"/>
    <xf numFmtId="1" fontId="1" fillId="4" borderId="0" xfId="0" applyNumberFormat="1" applyFont="1" applyFill="1"/>
    <xf numFmtId="1" fontId="0" fillId="0" borderId="0" xfId="0" applyNumberFormat="1" applyAlignment="1">
      <alignment horizontal="center"/>
    </xf>
    <xf numFmtId="2" fontId="0" fillId="0" borderId="0" xfId="0" applyNumberFormat="1" applyAlignment="1">
      <alignment horizontal="right"/>
    </xf>
    <xf numFmtId="165" fontId="2" fillId="0" borderId="0" xfId="0" applyNumberFormat="1" applyFont="1"/>
    <xf numFmtId="0" fontId="0" fillId="0" borderId="0" xfId="0" applyAlignment="1">
      <alignment horizontal="left"/>
    </xf>
    <xf numFmtId="0" fontId="6" fillId="0" borderId="0" xfId="0" applyFont="1" applyAlignment="1">
      <alignment vertical="center"/>
    </xf>
    <xf numFmtId="0" fontId="6" fillId="4" borderId="0" xfId="0" applyFont="1" applyFill="1" applyAlignment="1">
      <alignment vertical="center"/>
    </xf>
    <xf numFmtId="0" fontId="0" fillId="5" borderId="0" xfId="0" applyFill="1"/>
    <xf numFmtId="166" fontId="2" fillId="0" borderId="0" xfId="0" applyNumberFormat="1" applyFont="1"/>
    <xf numFmtId="0" fontId="11" fillId="0" borderId="0" xfId="0" applyFont="1" applyAlignment="1">
      <alignment vertical="center"/>
    </xf>
    <xf numFmtId="0" fontId="11" fillId="0" borderId="0" xfId="0" applyFont="1" applyAlignment="1">
      <alignment horizontal="right" vertical="center"/>
    </xf>
    <xf numFmtId="0" fontId="10" fillId="0" borderId="0" xfId="0" applyFont="1" applyAlignment="1">
      <alignment horizontal="right" vertical="center"/>
    </xf>
    <xf numFmtId="0" fontId="10" fillId="0" borderId="0" xfId="0" applyFont="1" applyAlignment="1">
      <alignment horizontal="center" vertical="center"/>
    </xf>
    <xf numFmtId="0" fontId="5" fillId="0" borderId="0" xfId="1" applyAlignment="1">
      <alignment horizontal="left" vertical="center"/>
    </xf>
    <xf numFmtId="0" fontId="0" fillId="0" borderId="0" xfId="0" applyAlignment="1"/>
    <xf numFmtId="0" fontId="9" fillId="0" borderId="0" xfId="0" applyFont="1" applyAlignment="1">
      <alignment horizontal="right" vertical="center"/>
    </xf>
    <xf numFmtId="0" fontId="9" fillId="0" borderId="0" xfId="0" applyFont="1" applyAlignment="1">
      <alignment vertical="center"/>
    </xf>
    <xf numFmtId="0" fontId="8" fillId="0" borderId="0" xfId="0" applyFont="1" applyAlignment="1">
      <alignment vertical="center"/>
    </xf>
    <xf numFmtId="0" fontId="12" fillId="0" borderId="0" xfId="0" applyFont="1"/>
    <xf numFmtId="0" fontId="8" fillId="0" borderId="0" xfId="0" applyFont="1" applyAlignment="1">
      <alignment horizontal="right" vertical="center"/>
    </xf>
    <xf numFmtId="0" fontId="13" fillId="0" borderId="0" xfId="0" applyFont="1"/>
    <xf numFmtId="0" fontId="12" fillId="0" borderId="0" xfId="0" applyFont="1" applyAlignment="1"/>
    <xf numFmtId="9" fontId="0" fillId="0" borderId="0" xfId="0" applyNumberFormat="1"/>
    <xf numFmtId="0" fontId="11" fillId="4" borderId="0" xfId="0" applyFont="1" applyFill="1" applyAlignment="1">
      <alignment vertical="center"/>
    </xf>
    <xf numFmtId="0" fontId="14" fillId="0" borderId="0" xfId="0" applyFont="1" applyAlignment="1">
      <alignment horizontal="right" vertical="center"/>
    </xf>
    <xf numFmtId="167" fontId="0" fillId="0" borderId="0" xfId="2" applyNumberFormat="1" applyFont="1"/>
    <xf numFmtId="0" fontId="14" fillId="0" borderId="0" xfId="0" applyFont="1" applyAlignment="1">
      <alignment vertical="center"/>
    </xf>
    <xf numFmtId="0" fontId="14" fillId="4" borderId="0" xfId="0" applyFont="1" applyFill="1" applyAlignment="1">
      <alignment vertical="center"/>
    </xf>
    <xf numFmtId="0" fontId="15" fillId="0" borderId="0" xfId="1" applyFont="1"/>
    <xf numFmtId="0" fontId="0" fillId="0" borderId="0" xfId="0" applyAlignment="1">
      <alignment vertical="center"/>
    </xf>
    <xf numFmtId="0" fontId="16" fillId="0" borderId="0" xfId="0" applyFont="1" applyAlignment="1">
      <alignment vertical="center"/>
    </xf>
    <xf numFmtId="2" fontId="2" fillId="0" borderId="0" xfId="0" applyNumberFormat="1" applyFont="1" applyFill="1"/>
    <xf numFmtId="0" fontId="2" fillId="0" borderId="0" xfId="0" applyFont="1" applyFill="1"/>
    <xf numFmtId="0" fontId="0" fillId="0" borderId="0" xfId="0" applyFill="1"/>
    <xf numFmtId="164" fontId="0" fillId="4" borderId="0" xfId="0" applyNumberFormat="1" applyFill="1"/>
    <xf numFmtId="9" fontId="0" fillId="0" borderId="0" xfId="3" applyFont="1"/>
    <xf numFmtId="0" fontId="12" fillId="4" borderId="0" xfId="0" applyFont="1" applyFill="1"/>
    <xf numFmtId="0" fontId="17" fillId="0" borderId="0" xfId="0" applyFont="1" applyAlignment="1">
      <alignment horizontal="center"/>
    </xf>
    <xf numFmtId="11" fontId="0" fillId="0" borderId="0" xfId="0" applyNumberFormat="1"/>
    <xf numFmtId="0" fontId="1" fillId="0" borderId="0" xfId="0" applyFont="1"/>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a:t>
            </a:r>
            <a:r>
              <a:rPr lang="en-GB" baseline="0"/>
              <a:t> ratios as function of capacity</a:t>
            </a:r>
          </a:p>
        </c:rich>
      </c:tx>
      <c:layout>
        <c:manualLayout>
          <c:xMode val="edge"/>
          <c:yMode val="edge"/>
          <c:x val="0.1889790026246719"/>
          <c:y val="2.4937655860349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scatterChart>
        <c:scatterStyle val="lineMarker"/>
        <c:varyColors val="0"/>
        <c:ser>
          <c:idx val="0"/>
          <c:order val="0"/>
          <c:tx>
            <c:strRef>
              <c:f>scaling!$H$7</c:f>
              <c:strCache>
                <c:ptCount val="1"/>
                <c:pt idx="0">
                  <c:v>Heat, MJ</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scaling!$I$6:$L$6</c:f>
              <c:numCache>
                <c:formatCode>0</c:formatCode>
                <c:ptCount val="4"/>
                <c:pt idx="0">
                  <c:v>1</c:v>
                </c:pt>
                <c:pt idx="1">
                  <c:v>6</c:v>
                </c:pt>
                <c:pt idx="2">
                  <c:v>20</c:v>
                </c:pt>
                <c:pt idx="3">
                  <c:v>100</c:v>
                </c:pt>
              </c:numCache>
            </c:numRef>
          </c:xVal>
          <c:yVal>
            <c:numRef>
              <c:f>scaling!$I$7:$L$7</c:f>
              <c:numCache>
                <c:formatCode>0.0</c:formatCode>
                <c:ptCount val="4"/>
                <c:pt idx="0">
                  <c:v>1</c:v>
                </c:pt>
                <c:pt idx="1">
                  <c:v>1.6875</c:v>
                </c:pt>
                <c:pt idx="2">
                  <c:v>3.625</c:v>
                </c:pt>
                <c:pt idx="3">
                  <c:v>5.9812500000000002</c:v>
                </c:pt>
              </c:numCache>
            </c:numRef>
          </c:yVal>
          <c:smooth val="0"/>
          <c:extLst>
            <c:ext xmlns:c16="http://schemas.microsoft.com/office/drawing/2014/chart" uri="{C3380CC4-5D6E-409C-BE32-E72D297353CC}">
              <c16:uniqueId val="{00000000-340B-445E-B26D-C74F07939B06}"/>
            </c:ext>
          </c:extLst>
        </c:ser>
        <c:ser>
          <c:idx val="1"/>
          <c:order val="1"/>
          <c:tx>
            <c:strRef>
              <c:f>scaling!$H$8</c:f>
              <c:strCache>
                <c:ptCount val="1"/>
                <c:pt idx="0">
                  <c:v>Electricity, kWh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scaling!$I$6:$L$6</c:f>
              <c:numCache>
                <c:formatCode>0</c:formatCode>
                <c:ptCount val="4"/>
                <c:pt idx="0">
                  <c:v>1</c:v>
                </c:pt>
                <c:pt idx="1">
                  <c:v>6</c:v>
                </c:pt>
                <c:pt idx="2">
                  <c:v>20</c:v>
                </c:pt>
                <c:pt idx="3">
                  <c:v>100</c:v>
                </c:pt>
              </c:numCache>
            </c:numRef>
          </c:xVal>
          <c:yVal>
            <c:numRef>
              <c:f>scaling!$I$8:$L$8</c:f>
              <c:numCache>
                <c:formatCode>0.0</c:formatCode>
                <c:ptCount val="4"/>
                <c:pt idx="0">
                  <c:v>1</c:v>
                </c:pt>
                <c:pt idx="1">
                  <c:v>2.518939393939394</c:v>
                </c:pt>
                <c:pt idx="2">
                  <c:v>6.7424242424242422</c:v>
                </c:pt>
                <c:pt idx="3">
                  <c:v>11.125</c:v>
                </c:pt>
              </c:numCache>
            </c:numRef>
          </c:yVal>
          <c:smooth val="0"/>
          <c:extLst>
            <c:ext xmlns:c16="http://schemas.microsoft.com/office/drawing/2014/chart" uri="{C3380CC4-5D6E-409C-BE32-E72D297353CC}">
              <c16:uniqueId val="{00000001-340B-445E-B26D-C74F07939B06}"/>
            </c:ext>
          </c:extLst>
        </c:ser>
        <c:ser>
          <c:idx val="2"/>
          <c:order val="2"/>
          <c:tx>
            <c:strRef>
              <c:f>scaling!$H$9</c:f>
              <c:strCache>
                <c:ptCount val="1"/>
                <c:pt idx="0">
                  <c:v>Electronic parts, kg</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scaling!$I$6:$L$6</c:f>
              <c:numCache>
                <c:formatCode>0</c:formatCode>
                <c:ptCount val="4"/>
                <c:pt idx="0">
                  <c:v>1</c:v>
                </c:pt>
                <c:pt idx="1">
                  <c:v>6</c:v>
                </c:pt>
                <c:pt idx="2">
                  <c:v>20</c:v>
                </c:pt>
                <c:pt idx="3">
                  <c:v>100</c:v>
                </c:pt>
              </c:numCache>
            </c:numRef>
          </c:xVal>
          <c:yVal>
            <c:numRef>
              <c:f>scaling!$I$9:$L$9</c:f>
              <c:numCache>
                <c:formatCode>0.0</c:formatCode>
                <c:ptCount val="4"/>
                <c:pt idx="0">
                  <c:v>1</c:v>
                </c:pt>
                <c:pt idx="1">
                  <c:v>1.5</c:v>
                </c:pt>
                <c:pt idx="2">
                  <c:v>4</c:v>
                </c:pt>
                <c:pt idx="3">
                  <c:v>4</c:v>
                </c:pt>
              </c:numCache>
            </c:numRef>
          </c:yVal>
          <c:smooth val="0"/>
          <c:extLst>
            <c:ext xmlns:c16="http://schemas.microsoft.com/office/drawing/2014/chart" uri="{C3380CC4-5D6E-409C-BE32-E72D297353CC}">
              <c16:uniqueId val="{00000002-340B-445E-B26D-C74F07939B06}"/>
            </c:ext>
          </c:extLst>
        </c:ser>
        <c:ser>
          <c:idx val="3"/>
          <c:order val="3"/>
          <c:tx>
            <c:strRef>
              <c:f>scaling!$H$10</c:f>
              <c:strCache>
                <c:ptCount val="1"/>
                <c:pt idx="0">
                  <c:v>Steel + iron, kg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scaling!$I$6:$L$6</c:f>
              <c:numCache>
                <c:formatCode>0</c:formatCode>
                <c:ptCount val="4"/>
                <c:pt idx="0">
                  <c:v>1</c:v>
                </c:pt>
                <c:pt idx="1">
                  <c:v>6</c:v>
                </c:pt>
                <c:pt idx="2">
                  <c:v>20</c:v>
                </c:pt>
                <c:pt idx="3">
                  <c:v>100</c:v>
                </c:pt>
              </c:numCache>
            </c:numRef>
          </c:xVal>
          <c:yVal>
            <c:numRef>
              <c:f>scaling!$I$10:$L$10</c:f>
              <c:numCache>
                <c:formatCode>0.0</c:formatCode>
                <c:ptCount val="4"/>
                <c:pt idx="0">
                  <c:v>1</c:v>
                </c:pt>
                <c:pt idx="1">
                  <c:v>4.8114674441205052</c:v>
                </c:pt>
                <c:pt idx="2">
                  <c:v>24.839650145772595</c:v>
                </c:pt>
                <c:pt idx="3">
                  <c:v>74.477162293488817</c:v>
                </c:pt>
              </c:numCache>
            </c:numRef>
          </c:yVal>
          <c:smooth val="0"/>
          <c:extLst>
            <c:ext xmlns:c16="http://schemas.microsoft.com/office/drawing/2014/chart" uri="{C3380CC4-5D6E-409C-BE32-E72D297353CC}">
              <c16:uniqueId val="{00000003-340B-445E-B26D-C74F07939B06}"/>
            </c:ext>
          </c:extLst>
        </c:ser>
        <c:ser>
          <c:idx val="4"/>
          <c:order val="4"/>
          <c:tx>
            <c:strRef>
              <c:f>scaling!$H$11</c:f>
              <c:strCache>
                <c:ptCount val="1"/>
                <c:pt idx="0">
                  <c:v>Plastic parts, kg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scaling!$I$6:$L$6</c:f>
              <c:numCache>
                <c:formatCode>0</c:formatCode>
                <c:ptCount val="4"/>
                <c:pt idx="0">
                  <c:v>1</c:v>
                </c:pt>
                <c:pt idx="1">
                  <c:v>6</c:v>
                </c:pt>
                <c:pt idx="2">
                  <c:v>20</c:v>
                </c:pt>
                <c:pt idx="3">
                  <c:v>100</c:v>
                </c:pt>
              </c:numCache>
            </c:numRef>
          </c:xVal>
          <c:yVal>
            <c:numRef>
              <c:f>scaling!$I$11:$L$11</c:f>
              <c:numCache>
                <c:formatCode>0.0</c:formatCode>
                <c:ptCount val="4"/>
                <c:pt idx="0">
                  <c:v>1</c:v>
                </c:pt>
                <c:pt idx="1">
                  <c:v>1.5714285714285714</c:v>
                </c:pt>
                <c:pt idx="2">
                  <c:v>5.1428571428571432</c:v>
                </c:pt>
                <c:pt idx="3">
                  <c:v>5.1428571428571432</c:v>
                </c:pt>
              </c:numCache>
            </c:numRef>
          </c:yVal>
          <c:smooth val="0"/>
          <c:extLst>
            <c:ext xmlns:c16="http://schemas.microsoft.com/office/drawing/2014/chart" uri="{C3380CC4-5D6E-409C-BE32-E72D297353CC}">
              <c16:uniqueId val="{00000004-340B-445E-B26D-C74F07939B06}"/>
            </c:ext>
          </c:extLst>
        </c:ser>
        <c:ser>
          <c:idx val="5"/>
          <c:order val="5"/>
          <c:tx>
            <c:strRef>
              <c:f>scaling!$H$12</c:f>
              <c:strCache>
                <c:ptCount val="1"/>
                <c:pt idx="0">
                  <c:v>Paint</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scaling!$I$6:$L$6</c:f>
              <c:numCache>
                <c:formatCode>0</c:formatCode>
                <c:ptCount val="4"/>
                <c:pt idx="0">
                  <c:v>1</c:v>
                </c:pt>
                <c:pt idx="1">
                  <c:v>6</c:v>
                </c:pt>
                <c:pt idx="2">
                  <c:v>20</c:v>
                </c:pt>
                <c:pt idx="3">
                  <c:v>100</c:v>
                </c:pt>
              </c:numCache>
            </c:numRef>
          </c:xVal>
          <c:yVal>
            <c:numRef>
              <c:f>scaling!$I$12:$L$12</c:f>
              <c:numCache>
                <c:formatCode>0.0</c:formatCode>
                <c:ptCount val="4"/>
                <c:pt idx="0">
                  <c:v>1</c:v>
                </c:pt>
                <c:pt idx="1">
                  <c:v>5</c:v>
                </c:pt>
                <c:pt idx="2">
                  <c:v>7</c:v>
                </c:pt>
                <c:pt idx="3">
                  <c:v>12</c:v>
                </c:pt>
              </c:numCache>
            </c:numRef>
          </c:yVal>
          <c:smooth val="0"/>
          <c:extLst>
            <c:ext xmlns:c16="http://schemas.microsoft.com/office/drawing/2014/chart" uri="{C3380CC4-5D6E-409C-BE32-E72D297353CC}">
              <c16:uniqueId val="{00000005-340B-445E-B26D-C74F07939B06}"/>
            </c:ext>
          </c:extLst>
        </c:ser>
        <c:ser>
          <c:idx val="6"/>
          <c:order val="6"/>
          <c:tx>
            <c:strRef>
              <c:f>scaling!$H$13</c:f>
              <c:strCache>
                <c:ptCount val="1"/>
                <c:pt idx="0">
                  <c:v>Lubricating oil, kg</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scaling!$I$6:$L$6</c:f>
              <c:numCache>
                <c:formatCode>0</c:formatCode>
                <c:ptCount val="4"/>
                <c:pt idx="0">
                  <c:v>1</c:v>
                </c:pt>
                <c:pt idx="1">
                  <c:v>6</c:v>
                </c:pt>
                <c:pt idx="2">
                  <c:v>20</c:v>
                </c:pt>
                <c:pt idx="3">
                  <c:v>100</c:v>
                </c:pt>
              </c:numCache>
            </c:numRef>
          </c:xVal>
          <c:yVal>
            <c:numRef>
              <c:f>scaling!$I$13:$L$13</c:f>
              <c:numCache>
                <c:formatCode>0.0</c:formatCode>
                <c:ptCount val="4"/>
                <c:pt idx="0">
                  <c:v>1</c:v>
                </c:pt>
                <c:pt idx="1">
                  <c:v>1.4</c:v>
                </c:pt>
                <c:pt idx="2">
                  <c:v>2.8</c:v>
                </c:pt>
                <c:pt idx="3">
                  <c:v>12.8</c:v>
                </c:pt>
              </c:numCache>
            </c:numRef>
          </c:yVal>
          <c:smooth val="0"/>
          <c:extLst>
            <c:ext xmlns:c16="http://schemas.microsoft.com/office/drawing/2014/chart" uri="{C3380CC4-5D6E-409C-BE32-E72D297353CC}">
              <c16:uniqueId val="{00000006-340B-445E-B26D-C74F07939B06}"/>
            </c:ext>
          </c:extLst>
        </c:ser>
        <c:ser>
          <c:idx val="7"/>
          <c:order val="7"/>
          <c:tx>
            <c:strRef>
              <c:f>scaling!$H$14</c:f>
              <c:strCache>
                <c:ptCount val="1"/>
                <c:pt idx="0">
                  <c:v>Refractory clay, kg</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scaling!$I$6:$L$6</c:f>
              <c:numCache>
                <c:formatCode>0</c:formatCode>
                <c:ptCount val="4"/>
                <c:pt idx="0">
                  <c:v>1</c:v>
                </c:pt>
                <c:pt idx="1">
                  <c:v>6</c:v>
                </c:pt>
                <c:pt idx="2">
                  <c:v>20</c:v>
                </c:pt>
                <c:pt idx="3">
                  <c:v>100</c:v>
                </c:pt>
              </c:numCache>
            </c:numRef>
          </c:xVal>
          <c:yVal>
            <c:numRef>
              <c:f>scaling!$I$14:$L$14</c:f>
              <c:numCache>
                <c:formatCode>0.0</c:formatCode>
                <c:ptCount val="4"/>
                <c:pt idx="0">
                  <c:v>1</c:v>
                </c:pt>
                <c:pt idx="1">
                  <c:v>15.090909090909092</c:v>
                </c:pt>
                <c:pt idx="2">
                  <c:v>258.18181818181819</c:v>
                </c:pt>
                <c:pt idx="3">
                  <c:v>749.4545454545455</c:v>
                </c:pt>
              </c:numCache>
            </c:numRef>
          </c:yVal>
          <c:smooth val="0"/>
          <c:extLst>
            <c:ext xmlns:c16="http://schemas.microsoft.com/office/drawing/2014/chart" uri="{C3380CC4-5D6E-409C-BE32-E72D297353CC}">
              <c16:uniqueId val="{00000007-340B-445E-B26D-C74F07939B06}"/>
            </c:ext>
          </c:extLst>
        </c:ser>
        <c:ser>
          <c:idx val="8"/>
          <c:order val="8"/>
          <c:tx>
            <c:strRef>
              <c:f>scaling!$H$15</c:f>
              <c:strCache>
                <c:ptCount val="1"/>
                <c:pt idx="0">
                  <c:v>Summed weight, kg</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scaling!$I$6:$L$6</c:f>
              <c:numCache>
                <c:formatCode>0</c:formatCode>
                <c:ptCount val="4"/>
                <c:pt idx="0">
                  <c:v>1</c:v>
                </c:pt>
                <c:pt idx="1">
                  <c:v>6</c:v>
                </c:pt>
                <c:pt idx="2">
                  <c:v>20</c:v>
                </c:pt>
                <c:pt idx="3">
                  <c:v>100</c:v>
                </c:pt>
              </c:numCache>
            </c:numRef>
          </c:xVal>
          <c:yVal>
            <c:numRef>
              <c:f>scaling!$I$15:$L$15</c:f>
              <c:numCache>
                <c:formatCode>0.0</c:formatCode>
                <c:ptCount val="4"/>
                <c:pt idx="0">
                  <c:v>1</c:v>
                </c:pt>
                <c:pt idx="1">
                  <c:v>5.3120445777968284</c:v>
                </c:pt>
                <c:pt idx="2">
                  <c:v>34.687526789541366</c:v>
                </c:pt>
                <c:pt idx="3">
                  <c:v>103.02957565366481</c:v>
                </c:pt>
              </c:numCache>
            </c:numRef>
          </c:yVal>
          <c:smooth val="0"/>
          <c:extLst>
            <c:ext xmlns:c16="http://schemas.microsoft.com/office/drawing/2014/chart" uri="{C3380CC4-5D6E-409C-BE32-E72D297353CC}">
              <c16:uniqueId val="{00000008-340B-445E-B26D-C74F07939B06}"/>
            </c:ext>
          </c:extLst>
        </c:ser>
        <c:ser>
          <c:idx val="10"/>
          <c:order val="9"/>
          <c:tx>
            <c:strRef>
              <c:f>scaling!$H$17</c:f>
              <c:strCache>
                <c:ptCount val="1"/>
                <c:pt idx="0">
                  <c:v>Footprint, m2</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scaling!$I$6:$L$6</c:f>
              <c:numCache>
                <c:formatCode>0</c:formatCode>
                <c:ptCount val="4"/>
                <c:pt idx="0">
                  <c:v>1</c:v>
                </c:pt>
                <c:pt idx="1">
                  <c:v>6</c:v>
                </c:pt>
                <c:pt idx="2">
                  <c:v>20</c:v>
                </c:pt>
                <c:pt idx="3">
                  <c:v>100</c:v>
                </c:pt>
              </c:numCache>
            </c:numRef>
          </c:xVal>
          <c:yVal>
            <c:numRef>
              <c:f>scaling!$I$17:$L$17</c:f>
              <c:numCache>
                <c:formatCode>0.0</c:formatCode>
                <c:ptCount val="4"/>
                <c:pt idx="0">
                  <c:v>1</c:v>
                </c:pt>
                <c:pt idx="1">
                  <c:v>3.347826086956522</c:v>
                </c:pt>
                <c:pt idx="2">
                  <c:v>5.2173913043478262</c:v>
                </c:pt>
                <c:pt idx="3">
                  <c:v>18.260869565217391</c:v>
                </c:pt>
              </c:numCache>
            </c:numRef>
          </c:yVal>
          <c:smooth val="0"/>
          <c:extLst>
            <c:ext xmlns:c16="http://schemas.microsoft.com/office/drawing/2014/chart" uri="{C3380CC4-5D6E-409C-BE32-E72D297353CC}">
              <c16:uniqueId val="{0000000A-340B-445E-B26D-C74F07939B06}"/>
            </c:ext>
          </c:extLst>
        </c:ser>
        <c:dLbls>
          <c:showLegendKey val="0"/>
          <c:showVal val="0"/>
          <c:showCatName val="0"/>
          <c:showSerName val="0"/>
          <c:showPercent val="0"/>
          <c:showBubbleSize val="0"/>
        </c:dLbls>
        <c:axId val="585296368"/>
        <c:axId val="585301288"/>
      </c:scatterChart>
      <c:valAx>
        <c:axId val="585296368"/>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5301288"/>
        <c:crosses val="autoZero"/>
        <c:crossBetween val="midCat"/>
        <c:majorUnit val="20"/>
        <c:minorUnit val="10"/>
      </c:valAx>
      <c:valAx>
        <c:axId val="585301288"/>
        <c:scaling>
          <c:orientation val="minMax"/>
          <c:max val="101"/>
          <c:min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5296368"/>
        <c:crosses val="autoZero"/>
        <c:crossBetween val="midCat"/>
        <c:majorUnit val="9"/>
        <c:min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Technosphere</a:t>
            </a:r>
            <a:r>
              <a:rPr lang="en-GB" sz="1100" baseline="0"/>
              <a:t> input ratios</a:t>
            </a:r>
            <a:r>
              <a:rPr lang="en-GB" sz="1100"/>
              <a:t> ratios,</a:t>
            </a:r>
            <a:r>
              <a:rPr lang="en-GB" sz="1100" baseline="0"/>
              <a:t> as function of reactor weight</a:t>
            </a:r>
          </a:p>
        </c:rich>
      </c:tx>
      <c:layout>
        <c:manualLayout>
          <c:xMode val="edge"/>
          <c:yMode val="edge"/>
          <c:x val="0.11451033580358007"/>
          <c:y val="2.474134121898727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scatterChart>
        <c:scatterStyle val="lineMarker"/>
        <c:varyColors val="0"/>
        <c:ser>
          <c:idx val="0"/>
          <c:order val="0"/>
          <c:tx>
            <c:strRef>
              <c:f>scaling!$O$7</c:f>
              <c:strCache>
                <c:ptCount val="1"/>
                <c:pt idx="0">
                  <c:v>Capacity, kW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scaling!$P$7:$S$7</c:f>
              <c:numCache>
                <c:formatCode>0.0</c:formatCode>
                <c:ptCount val="4"/>
                <c:pt idx="0">
                  <c:v>1</c:v>
                </c:pt>
                <c:pt idx="1">
                  <c:v>6</c:v>
                </c:pt>
                <c:pt idx="2">
                  <c:v>20</c:v>
                </c:pt>
                <c:pt idx="3">
                  <c:v>100</c:v>
                </c:pt>
              </c:numCache>
            </c:numRef>
          </c:yVal>
          <c:smooth val="0"/>
          <c:extLst>
            <c:ext xmlns:c16="http://schemas.microsoft.com/office/drawing/2014/chart" uri="{C3380CC4-5D6E-409C-BE32-E72D297353CC}">
              <c16:uniqueId val="{00000000-1A3C-4426-8F3D-0EDE2A4480E8}"/>
            </c:ext>
          </c:extLst>
        </c:ser>
        <c:ser>
          <c:idx val="1"/>
          <c:order val="1"/>
          <c:tx>
            <c:strRef>
              <c:f>scaling!$O$8</c:f>
              <c:strCache>
                <c:ptCount val="1"/>
                <c:pt idx="0">
                  <c:v>Heat, MJ</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scaling!$P$8:$S$8</c:f>
              <c:numCache>
                <c:formatCode>0.0</c:formatCode>
                <c:ptCount val="4"/>
                <c:pt idx="0">
                  <c:v>1</c:v>
                </c:pt>
                <c:pt idx="1">
                  <c:v>1.6875</c:v>
                </c:pt>
                <c:pt idx="2">
                  <c:v>3.625</c:v>
                </c:pt>
                <c:pt idx="3">
                  <c:v>5.9812500000000002</c:v>
                </c:pt>
              </c:numCache>
            </c:numRef>
          </c:yVal>
          <c:smooth val="0"/>
          <c:extLst>
            <c:ext xmlns:c16="http://schemas.microsoft.com/office/drawing/2014/chart" uri="{C3380CC4-5D6E-409C-BE32-E72D297353CC}">
              <c16:uniqueId val="{00000001-1A3C-4426-8F3D-0EDE2A4480E8}"/>
            </c:ext>
          </c:extLst>
        </c:ser>
        <c:ser>
          <c:idx val="2"/>
          <c:order val="2"/>
          <c:tx>
            <c:strRef>
              <c:f>scaling!$O$9</c:f>
              <c:strCache>
                <c:ptCount val="1"/>
                <c:pt idx="0">
                  <c:v>Electricity, kWh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scaling!$P$9:$S$9</c:f>
              <c:numCache>
                <c:formatCode>0.0</c:formatCode>
                <c:ptCount val="4"/>
                <c:pt idx="0">
                  <c:v>1</c:v>
                </c:pt>
                <c:pt idx="1">
                  <c:v>2.518939393939394</c:v>
                </c:pt>
                <c:pt idx="2">
                  <c:v>6.7424242424242422</c:v>
                </c:pt>
                <c:pt idx="3">
                  <c:v>11.125</c:v>
                </c:pt>
              </c:numCache>
            </c:numRef>
          </c:yVal>
          <c:smooth val="0"/>
          <c:extLst>
            <c:ext xmlns:c16="http://schemas.microsoft.com/office/drawing/2014/chart" uri="{C3380CC4-5D6E-409C-BE32-E72D297353CC}">
              <c16:uniqueId val="{00000002-1A3C-4426-8F3D-0EDE2A4480E8}"/>
            </c:ext>
          </c:extLst>
        </c:ser>
        <c:ser>
          <c:idx val="3"/>
          <c:order val="3"/>
          <c:tx>
            <c:strRef>
              <c:f>scaling!$O$10</c:f>
              <c:strCache>
                <c:ptCount val="1"/>
                <c:pt idx="0">
                  <c:v>Electronic parts, kg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scaling!$P$10:$S$10</c:f>
              <c:numCache>
                <c:formatCode>0.0</c:formatCode>
                <c:ptCount val="4"/>
                <c:pt idx="0">
                  <c:v>1</c:v>
                </c:pt>
                <c:pt idx="1">
                  <c:v>1.5</c:v>
                </c:pt>
                <c:pt idx="2">
                  <c:v>4</c:v>
                </c:pt>
                <c:pt idx="3">
                  <c:v>4</c:v>
                </c:pt>
              </c:numCache>
            </c:numRef>
          </c:yVal>
          <c:smooth val="0"/>
          <c:extLst>
            <c:ext xmlns:c16="http://schemas.microsoft.com/office/drawing/2014/chart" uri="{C3380CC4-5D6E-409C-BE32-E72D297353CC}">
              <c16:uniqueId val="{00000003-1A3C-4426-8F3D-0EDE2A4480E8}"/>
            </c:ext>
          </c:extLst>
        </c:ser>
        <c:ser>
          <c:idx val="4"/>
          <c:order val="4"/>
          <c:tx>
            <c:strRef>
              <c:f>scaling!$O$11</c:f>
              <c:strCache>
                <c:ptCount val="1"/>
                <c:pt idx="0">
                  <c:v>Steel + iron, kg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scaling!$P$11:$S$11</c:f>
              <c:numCache>
                <c:formatCode>0.0</c:formatCode>
                <c:ptCount val="4"/>
                <c:pt idx="0">
                  <c:v>1</c:v>
                </c:pt>
                <c:pt idx="1">
                  <c:v>4.8114674441205052</c:v>
                </c:pt>
                <c:pt idx="2">
                  <c:v>24.839650145772595</c:v>
                </c:pt>
                <c:pt idx="3">
                  <c:v>74.477162293488817</c:v>
                </c:pt>
              </c:numCache>
            </c:numRef>
          </c:yVal>
          <c:smooth val="0"/>
          <c:extLst>
            <c:ext xmlns:c16="http://schemas.microsoft.com/office/drawing/2014/chart" uri="{C3380CC4-5D6E-409C-BE32-E72D297353CC}">
              <c16:uniqueId val="{00000004-1A3C-4426-8F3D-0EDE2A4480E8}"/>
            </c:ext>
          </c:extLst>
        </c:ser>
        <c:ser>
          <c:idx val="5"/>
          <c:order val="5"/>
          <c:tx>
            <c:strRef>
              <c:f>scaling!$O$12</c:f>
              <c:strCache>
                <c:ptCount val="1"/>
                <c:pt idx="0">
                  <c:v>Plastic parts, kg</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scaling!$P$12:$S$12</c:f>
              <c:numCache>
                <c:formatCode>0.0</c:formatCode>
                <c:ptCount val="4"/>
                <c:pt idx="0">
                  <c:v>1</c:v>
                </c:pt>
                <c:pt idx="1">
                  <c:v>1.5714285714285714</c:v>
                </c:pt>
                <c:pt idx="2">
                  <c:v>5.1428571428571432</c:v>
                </c:pt>
                <c:pt idx="3">
                  <c:v>5.1428571428571432</c:v>
                </c:pt>
              </c:numCache>
            </c:numRef>
          </c:yVal>
          <c:smooth val="0"/>
          <c:extLst>
            <c:ext xmlns:c16="http://schemas.microsoft.com/office/drawing/2014/chart" uri="{C3380CC4-5D6E-409C-BE32-E72D297353CC}">
              <c16:uniqueId val="{00000005-1A3C-4426-8F3D-0EDE2A4480E8}"/>
            </c:ext>
          </c:extLst>
        </c:ser>
        <c:ser>
          <c:idx val="6"/>
          <c:order val="6"/>
          <c:tx>
            <c:strRef>
              <c:f>scaling!$O$13</c:f>
              <c:strCache>
                <c:ptCount val="1"/>
                <c:pt idx="0">
                  <c:v>Paint</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scaling!$P$13:$S$13</c:f>
              <c:numCache>
                <c:formatCode>0.0</c:formatCode>
                <c:ptCount val="4"/>
                <c:pt idx="0">
                  <c:v>1</c:v>
                </c:pt>
                <c:pt idx="1">
                  <c:v>5</c:v>
                </c:pt>
                <c:pt idx="2">
                  <c:v>7</c:v>
                </c:pt>
                <c:pt idx="3">
                  <c:v>12</c:v>
                </c:pt>
              </c:numCache>
            </c:numRef>
          </c:yVal>
          <c:smooth val="0"/>
          <c:extLst>
            <c:ext xmlns:c16="http://schemas.microsoft.com/office/drawing/2014/chart" uri="{C3380CC4-5D6E-409C-BE32-E72D297353CC}">
              <c16:uniqueId val="{00000006-1A3C-4426-8F3D-0EDE2A4480E8}"/>
            </c:ext>
          </c:extLst>
        </c:ser>
        <c:ser>
          <c:idx val="7"/>
          <c:order val="7"/>
          <c:tx>
            <c:strRef>
              <c:f>scaling!$O$14</c:f>
              <c:strCache>
                <c:ptCount val="1"/>
                <c:pt idx="0">
                  <c:v>Lubricating oil, kg</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scaling!$P$6:$S$6</c:f>
              <c:numCache>
                <c:formatCode>0.0</c:formatCode>
                <c:ptCount val="4"/>
                <c:pt idx="0">
                  <c:v>1</c:v>
                </c:pt>
                <c:pt idx="1">
                  <c:v>5.3120445777968284</c:v>
                </c:pt>
                <c:pt idx="2">
                  <c:v>34.687526789541359</c:v>
                </c:pt>
                <c:pt idx="3">
                  <c:v>103.02957565366479</c:v>
                </c:pt>
              </c:numCache>
            </c:numRef>
          </c:xVal>
          <c:yVal>
            <c:numRef>
              <c:f>scaling!$P$14:$S$14</c:f>
              <c:numCache>
                <c:formatCode>0.0</c:formatCode>
                <c:ptCount val="4"/>
                <c:pt idx="0">
                  <c:v>1</c:v>
                </c:pt>
                <c:pt idx="1">
                  <c:v>1.4</c:v>
                </c:pt>
                <c:pt idx="2">
                  <c:v>2.8</c:v>
                </c:pt>
                <c:pt idx="3">
                  <c:v>12.8</c:v>
                </c:pt>
              </c:numCache>
            </c:numRef>
          </c:yVal>
          <c:smooth val="0"/>
          <c:extLst>
            <c:ext xmlns:c16="http://schemas.microsoft.com/office/drawing/2014/chart" uri="{C3380CC4-5D6E-409C-BE32-E72D297353CC}">
              <c16:uniqueId val="{00000007-1A3C-4426-8F3D-0EDE2A4480E8}"/>
            </c:ext>
          </c:extLst>
        </c:ser>
        <c:dLbls>
          <c:showLegendKey val="0"/>
          <c:showVal val="0"/>
          <c:showCatName val="0"/>
          <c:showSerName val="0"/>
          <c:showPercent val="0"/>
          <c:showBubbleSize val="0"/>
        </c:dLbls>
        <c:axId val="591333288"/>
        <c:axId val="591334272"/>
      </c:scatterChart>
      <c:valAx>
        <c:axId val="5913332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1334272"/>
        <c:crosses val="autoZero"/>
        <c:crossBetween val="midCat"/>
      </c:valAx>
      <c:valAx>
        <c:axId val="59133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1333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25972676609928"/>
          <c:y val="1.1748640237340392E-2"/>
          <c:w val="0.80975918635170607"/>
          <c:h val="0.4156965829962877"/>
        </c:manualLayout>
      </c:layout>
      <c:scatterChart>
        <c:scatterStyle val="lineMarker"/>
        <c:varyColors val="0"/>
        <c:ser>
          <c:idx val="0"/>
          <c:order val="0"/>
          <c:tx>
            <c:strRef>
              <c:f>scaling!$C$28</c:f>
              <c:strCache>
                <c:ptCount val="1"/>
                <c:pt idx="0">
                  <c:v>steel, low-alloyed, hot rolled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scaling!$D$28:$G$28</c:f>
              <c:numCache>
                <c:formatCode>General</c:formatCode>
                <c:ptCount val="4"/>
                <c:pt idx="0">
                  <c:v>936</c:v>
                </c:pt>
                <c:pt idx="1">
                  <c:v>4791</c:v>
                </c:pt>
                <c:pt idx="2">
                  <c:v>24424</c:v>
                </c:pt>
                <c:pt idx="3">
                  <c:v>74820</c:v>
                </c:pt>
              </c:numCache>
            </c:numRef>
          </c:yVal>
          <c:smooth val="0"/>
          <c:extLst>
            <c:ext xmlns:c16="http://schemas.microsoft.com/office/drawing/2014/chart" uri="{C3380CC4-5D6E-409C-BE32-E72D297353CC}">
              <c16:uniqueId val="{00000000-8A1F-4A21-9C0D-74CE2C01B29B}"/>
            </c:ext>
          </c:extLst>
        </c:ser>
        <c:ser>
          <c:idx val="1"/>
          <c:order val="1"/>
          <c:tx>
            <c:strRef>
              <c:f>scaling!$C$29</c:f>
              <c:strCache>
                <c:ptCount val="1"/>
                <c:pt idx="0">
                  <c:v>refractory, fireclay, packed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scaling!$D$29:$G$29</c:f>
              <c:numCache>
                <c:formatCode>General</c:formatCode>
                <c:ptCount val="4"/>
                <c:pt idx="0">
                  <c:v>55</c:v>
                </c:pt>
                <c:pt idx="1">
                  <c:v>830</c:v>
                </c:pt>
                <c:pt idx="2">
                  <c:v>14200</c:v>
                </c:pt>
                <c:pt idx="3">
                  <c:v>41220</c:v>
                </c:pt>
              </c:numCache>
            </c:numRef>
          </c:yVal>
          <c:smooth val="0"/>
          <c:extLst>
            <c:ext xmlns:c16="http://schemas.microsoft.com/office/drawing/2014/chart" uri="{C3380CC4-5D6E-409C-BE32-E72D297353CC}">
              <c16:uniqueId val="{00000001-8A1F-4A21-9C0D-74CE2C01B29B}"/>
            </c:ext>
          </c:extLst>
        </c:ser>
        <c:ser>
          <c:idx val="2"/>
          <c:order val="2"/>
          <c:tx>
            <c:strRef>
              <c:f>scaling!$C$30</c:f>
              <c:strCache>
                <c:ptCount val="1"/>
                <c:pt idx="0">
                  <c:v>heat, central or small-scale, other than natural gas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scaling!$D$30:$G$30</c:f>
              <c:numCache>
                <c:formatCode>General</c:formatCode>
                <c:ptCount val="4"/>
                <c:pt idx="0">
                  <c:v>1600</c:v>
                </c:pt>
                <c:pt idx="1">
                  <c:v>2700</c:v>
                </c:pt>
                <c:pt idx="2">
                  <c:v>5800</c:v>
                </c:pt>
                <c:pt idx="3">
                  <c:v>9570</c:v>
                </c:pt>
              </c:numCache>
            </c:numRef>
          </c:yVal>
          <c:smooth val="0"/>
          <c:extLst>
            <c:ext xmlns:c16="http://schemas.microsoft.com/office/drawing/2014/chart" uri="{C3380CC4-5D6E-409C-BE32-E72D297353CC}">
              <c16:uniqueId val="{00000002-8A1F-4A21-9C0D-74CE2C01B29B}"/>
            </c:ext>
          </c:extLst>
        </c:ser>
        <c:ser>
          <c:idx val="3"/>
          <c:order val="3"/>
          <c:tx>
            <c:strRef>
              <c:f>scaling!$C$31</c:f>
              <c:strCache>
                <c:ptCount val="1"/>
                <c:pt idx="0">
                  <c:v>electricity, low voltage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scaling!$D$31:$G$31</c:f>
              <c:numCache>
                <c:formatCode>General</c:formatCode>
                <c:ptCount val="4"/>
                <c:pt idx="0">
                  <c:v>528</c:v>
                </c:pt>
                <c:pt idx="1">
                  <c:v>1330</c:v>
                </c:pt>
                <c:pt idx="2">
                  <c:v>3560</c:v>
                </c:pt>
                <c:pt idx="3">
                  <c:v>5874</c:v>
                </c:pt>
              </c:numCache>
            </c:numRef>
          </c:yVal>
          <c:smooth val="0"/>
          <c:extLst>
            <c:ext xmlns:c16="http://schemas.microsoft.com/office/drawing/2014/chart" uri="{C3380CC4-5D6E-409C-BE32-E72D297353CC}">
              <c16:uniqueId val="{00000003-8A1F-4A21-9C0D-74CE2C01B29B}"/>
            </c:ext>
          </c:extLst>
        </c:ser>
        <c:ser>
          <c:idx val="4"/>
          <c:order val="4"/>
          <c:tx>
            <c:strRef>
              <c:f>scaling!$C$32</c:f>
              <c:strCache>
                <c:ptCount val="1"/>
                <c:pt idx="0">
                  <c:v>sheet rolling, steel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scaling!$D$32:$G$32</c:f>
              <c:numCache>
                <c:formatCode>0</c:formatCode>
                <c:ptCount val="4"/>
                <c:pt idx="0" formatCode="General">
                  <c:v>93</c:v>
                </c:pt>
                <c:pt idx="1">
                  <c:v>184.15</c:v>
                </c:pt>
                <c:pt idx="2" formatCode="General">
                  <c:v>805</c:v>
                </c:pt>
                <c:pt idx="3" formatCode="General">
                  <c:v>2005</c:v>
                </c:pt>
              </c:numCache>
            </c:numRef>
          </c:yVal>
          <c:smooth val="0"/>
          <c:extLst>
            <c:ext xmlns:c16="http://schemas.microsoft.com/office/drawing/2014/chart" uri="{C3380CC4-5D6E-409C-BE32-E72D297353CC}">
              <c16:uniqueId val="{00000004-8A1F-4A21-9C0D-74CE2C01B29B}"/>
            </c:ext>
          </c:extLst>
        </c:ser>
        <c:ser>
          <c:idx val="5"/>
          <c:order val="5"/>
          <c:tx>
            <c:strRef>
              <c:f>scaling!$C$33</c:f>
              <c:strCache>
                <c:ptCount val="1"/>
                <c:pt idx="0">
                  <c:v>cast iron</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scaling!$D$33:$G$33</c:f>
              <c:numCache>
                <c:formatCode>General</c:formatCode>
                <c:ptCount val="4"/>
                <c:pt idx="0">
                  <c:v>78</c:v>
                </c:pt>
                <c:pt idx="1">
                  <c:v>0</c:v>
                </c:pt>
                <c:pt idx="2">
                  <c:v>700</c:v>
                </c:pt>
                <c:pt idx="3">
                  <c:v>1115</c:v>
                </c:pt>
              </c:numCache>
            </c:numRef>
          </c:yVal>
          <c:smooth val="0"/>
          <c:extLst>
            <c:ext xmlns:c16="http://schemas.microsoft.com/office/drawing/2014/chart" uri="{C3380CC4-5D6E-409C-BE32-E72D297353CC}">
              <c16:uniqueId val="{00000005-8A1F-4A21-9C0D-74CE2C01B29B}"/>
            </c:ext>
          </c:extLst>
        </c:ser>
        <c:ser>
          <c:idx val="6"/>
          <c:order val="6"/>
          <c:tx>
            <c:strRef>
              <c:f>scaling!$C$34</c:f>
              <c:strCache>
                <c:ptCount val="1"/>
                <c:pt idx="0">
                  <c:v>stone wool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scaling!$D$34:$G$34</c:f>
              <c:numCache>
                <c:formatCode>General</c:formatCode>
                <c:ptCount val="4"/>
                <c:pt idx="0">
                  <c:v>49.5</c:v>
                </c:pt>
                <c:pt idx="1">
                  <c:v>338</c:v>
                </c:pt>
                <c:pt idx="2">
                  <c:v>476</c:v>
                </c:pt>
                <c:pt idx="3">
                  <c:v>1846</c:v>
                </c:pt>
              </c:numCache>
            </c:numRef>
          </c:yVal>
          <c:smooth val="0"/>
          <c:extLst>
            <c:ext xmlns:c16="http://schemas.microsoft.com/office/drawing/2014/chart" uri="{C3380CC4-5D6E-409C-BE32-E72D297353CC}">
              <c16:uniqueId val="{00000006-8A1F-4A21-9C0D-74CE2C01B29B}"/>
            </c:ext>
          </c:extLst>
        </c:ser>
        <c:ser>
          <c:idx val="7"/>
          <c:order val="7"/>
          <c:tx>
            <c:strRef>
              <c:f>scaling!$C$35</c:f>
              <c:strCache>
                <c:ptCount val="1"/>
                <c:pt idx="0">
                  <c:v>iron-nickel-chromium alloy</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scaling!$D$35:$G$35</c:f>
              <c:numCache>
                <c:formatCode>General</c:formatCode>
                <c:ptCount val="4"/>
                <c:pt idx="0">
                  <c:v>0</c:v>
                </c:pt>
                <c:pt idx="1">
                  <c:v>120</c:v>
                </c:pt>
                <c:pt idx="2">
                  <c:v>320</c:v>
                </c:pt>
                <c:pt idx="3">
                  <c:v>528</c:v>
                </c:pt>
              </c:numCache>
            </c:numRef>
          </c:yVal>
          <c:smooth val="0"/>
          <c:extLst>
            <c:ext xmlns:c16="http://schemas.microsoft.com/office/drawing/2014/chart" uri="{C3380CC4-5D6E-409C-BE32-E72D297353CC}">
              <c16:uniqueId val="{00000007-8A1F-4A21-9C0D-74CE2C01B29B}"/>
            </c:ext>
          </c:extLst>
        </c:ser>
        <c:ser>
          <c:idx val="8"/>
          <c:order val="8"/>
          <c:tx>
            <c:strRef>
              <c:f>scaling!$C$36</c:f>
              <c:strCache>
                <c:ptCount val="1"/>
                <c:pt idx="0">
                  <c:v>polystyrene foam slab</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scaling!$D$36:$G$36</c:f>
              <c:numCache>
                <c:formatCode>General</c:formatCode>
                <c:ptCount val="4"/>
                <c:pt idx="0">
                  <c:v>19</c:v>
                </c:pt>
                <c:pt idx="1">
                  <c:v>52</c:v>
                </c:pt>
                <c:pt idx="2">
                  <c:v>155</c:v>
                </c:pt>
                <c:pt idx="3">
                  <c:v>361</c:v>
                </c:pt>
              </c:numCache>
            </c:numRef>
          </c:yVal>
          <c:smooth val="0"/>
          <c:extLst>
            <c:ext xmlns:c16="http://schemas.microsoft.com/office/drawing/2014/chart" uri="{C3380CC4-5D6E-409C-BE32-E72D297353CC}">
              <c16:uniqueId val="{00000008-8A1F-4A21-9C0D-74CE2C01B29B}"/>
            </c:ext>
          </c:extLst>
        </c:ser>
        <c:ser>
          <c:idx val="9"/>
          <c:order val="9"/>
          <c:tx>
            <c:strRef>
              <c:f>scaling!$C$37</c:f>
              <c:strCache>
                <c:ptCount val="1"/>
                <c:pt idx="0">
                  <c:v>aluminium, wrought alloy</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scaling!$D$37:$G$37</c:f>
              <c:numCache>
                <c:formatCode>General</c:formatCode>
                <c:ptCount val="4"/>
                <c:pt idx="0">
                  <c:v>0</c:v>
                </c:pt>
                <c:pt idx="1">
                  <c:v>0</c:v>
                </c:pt>
                <c:pt idx="2">
                  <c:v>63</c:v>
                </c:pt>
                <c:pt idx="3">
                  <c:v>104</c:v>
                </c:pt>
              </c:numCache>
            </c:numRef>
          </c:yVal>
          <c:smooth val="0"/>
          <c:extLst>
            <c:ext xmlns:c16="http://schemas.microsoft.com/office/drawing/2014/chart" uri="{C3380CC4-5D6E-409C-BE32-E72D297353CC}">
              <c16:uniqueId val="{00000009-8A1F-4A21-9C0D-74CE2C01B29B}"/>
            </c:ext>
          </c:extLst>
        </c:ser>
        <c:ser>
          <c:idx val="10"/>
          <c:order val="10"/>
          <c:tx>
            <c:strRef>
              <c:f>scaling!$C$38</c:f>
              <c:strCache>
                <c:ptCount val="1"/>
                <c:pt idx="0">
                  <c:v>steel, chromium steel 18/8, hot rolled</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scaling!$D$38:$G$38</c:f>
              <c:numCache>
                <c:formatCode>General</c:formatCode>
                <c:ptCount val="4"/>
                <c:pt idx="0">
                  <c:v>15</c:v>
                </c:pt>
                <c:pt idx="1">
                  <c:v>40</c:v>
                </c:pt>
                <c:pt idx="2">
                  <c:v>53</c:v>
                </c:pt>
                <c:pt idx="3">
                  <c:v>70</c:v>
                </c:pt>
              </c:numCache>
            </c:numRef>
          </c:yVal>
          <c:smooth val="0"/>
          <c:extLst>
            <c:ext xmlns:c16="http://schemas.microsoft.com/office/drawing/2014/chart" uri="{C3380CC4-5D6E-409C-BE32-E72D297353CC}">
              <c16:uniqueId val="{0000000A-8A1F-4A21-9C0D-74CE2C01B29B}"/>
            </c:ext>
          </c:extLst>
        </c:ser>
        <c:ser>
          <c:idx val="11"/>
          <c:order val="11"/>
          <c:tx>
            <c:strRef>
              <c:f>scaling!$C$39</c:f>
              <c:strCache>
                <c:ptCount val="1"/>
                <c:pt idx="0">
                  <c:v>drawing of pipe, steel</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scaling!$D$39:$G$39</c:f>
              <c:numCache>
                <c:formatCode>General</c:formatCode>
                <c:ptCount val="4"/>
                <c:pt idx="0">
                  <c:v>0</c:v>
                </c:pt>
                <c:pt idx="1">
                  <c:v>0</c:v>
                </c:pt>
                <c:pt idx="2">
                  <c:v>53</c:v>
                </c:pt>
                <c:pt idx="3">
                  <c:v>70</c:v>
                </c:pt>
              </c:numCache>
            </c:numRef>
          </c:yVal>
          <c:smooth val="0"/>
          <c:extLst>
            <c:ext xmlns:c16="http://schemas.microsoft.com/office/drawing/2014/chart" uri="{C3380CC4-5D6E-409C-BE32-E72D297353CC}">
              <c16:uniqueId val="{0000000B-8A1F-4A21-9C0D-74CE2C01B29B}"/>
            </c:ext>
          </c:extLst>
        </c:ser>
        <c:ser>
          <c:idx val="12"/>
          <c:order val="12"/>
          <c:tx>
            <c:strRef>
              <c:f>scaling!$C$40</c:f>
              <c:strCache>
                <c:ptCount val="1"/>
                <c:pt idx="0">
                  <c:v>concrete, normal</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scaling!$D$40:$G$40</c:f>
              <c:numCache>
                <c:formatCode>General</c:formatCode>
                <c:ptCount val="4"/>
                <c:pt idx="0">
                  <c:v>8.6300000000000008</c:v>
                </c:pt>
                <c:pt idx="1">
                  <c:v>22.6</c:v>
                </c:pt>
                <c:pt idx="2">
                  <c:v>38</c:v>
                </c:pt>
                <c:pt idx="3">
                  <c:v>56</c:v>
                </c:pt>
              </c:numCache>
            </c:numRef>
          </c:yVal>
          <c:smooth val="0"/>
          <c:extLst>
            <c:ext xmlns:c16="http://schemas.microsoft.com/office/drawing/2014/chart" uri="{C3380CC4-5D6E-409C-BE32-E72D297353CC}">
              <c16:uniqueId val="{0000000C-8A1F-4A21-9C0D-74CE2C01B29B}"/>
            </c:ext>
          </c:extLst>
        </c:ser>
        <c:ser>
          <c:idx val="13"/>
          <c:order val="13"/>
          <c:tx>
            <c:strRef>
              <c:f>scaling!$C$41</c:f>
              <c:strCache>
                <c:ptCount val="1"/>
                <c:pt idx="0">
                  <c:v>copper</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scaling!$D$41:$G$41</c:f>
              <c:numCache>
                <c:formatCode>General</c:formatCode>
                <c:ptCount val="4"/>
                <c:pt idx="0">
                  <c:v>4</c:v>
                </c:pt>
                <c:pt idx="1">
                  <c:v>7</c:v>
                </c:pt>
                <c:pt idx="2">
                  <c:v>28</c:v>
                </c:pt>
                <c:pt idx="3">
                  <c:v>46</c:v>
                </c:pt>
              </c:numCache>
            </c:numRef>
          </c:yVal>
          <c:smooth val="0"/>
          <c:extLst>
            <c:ext xmlns:c16="http://schemas.microsoft.com/office/drawing/2014/chart" uri="{C3380CC4-5D6E-409C-BE32-E72D297353CC}">
              <c16:uniqueId val="{0000000D-8A1F-4A21-9C0D-74CE2C01B29B}"/>
            </c:ext>
          </c:extLst>
        </c:ser>
        <c:ser>
          <c:idx val="14"/>
          <c:order val="14"/>
          <c:tx>
            <c:strRef>
              <c:f>scaling!$C$42</c:f>
              <c:strCache>
                <c:ptCount val="1"/>
                <c:pt idx="0">
                  <c:v>polyethylene, high density, granulate</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scaling!$D$42:$G$42</c:f>
              <c:numCache>
                <c:formatCode>General</c:formatCode>
                <c:ptCount val="4"/>
                <c:pt idx="0">
                  <c:v>3.5</c:v>
                </c:pt>
                <c:pt idx="1">
                  <c:v>5.5</c:v>
                </c:pt>
                <c:pt idx="2">
                  <c:v>18</c:v>
                </c:pt>
                <c:pt idx="3">
                  <c:v>18</c:v>
                </c:pt>
              </c:numCache>
            </c:numRef>
          </c:yVal>
          <c:smooth val="0"/>
          <c:extLst>
            <c:ext xmlns:c16="http://schemas.microsoft.com/office/drawing/2014/chart" uri="{C3380CC4-5D6E-409C-BE32-E72D297353CC}">
              <c16:uniqueId val="{0000000E-8A1F-4A21-9C0D-74CE2C01B29B}"/>
            </c:ext>
          </c:extLst>
        </c:ser>
        <c:ser>
          <c:idx val="15"/>
          <c:order val="15"/>
          <c:tx>
            <c:strRef>
              <c:f>scaling!$C$43</c:f>
              <c:strCache>
                <c:ptCount val="1"/>
                <c:pt idx="0">
                  <c:v>electronics, for control units</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scaling!$D$43:$G$43</c:f>
              <c:numCache>
                <c:formatCode>General</c:formatCode>
                <c:ptCount val="4"/>
                <c:pt idx="0">
                  <c:v>3</c:v>
                </c:pt>
                <c:pt idx="1">
                  <c:v>4.5</c:v>
                </c:pt>
                <c:pt idx="2">
                  <c:v>12</c:v>
                </c:pt>
                <c:pt idx="3">
                  <c:v>12</c:v>
                </c:pt>
              </c:numCache>
            </c:numRef>
          </c:yVal>
          <c:smooth val="0"/>
          <c:extLst>
            <c:ext xmlns:c16="http://schemas.microsoft.com/office/drawing/2014/chart" uri="{C3380CC4-5D6E-409C-BE32-E72D297353CC}">
              <c16:uniqueId val="{0000000F-8A1F-4A21-9C0D-74CE2C01B29B}"/>
            </c:ext>
          </c:extLst>
        </c:ser>
        <c:ser>
          <c:idx val="16"/>
          <c:order val="16"/>
          <c:tx>
            <c:strRef>
              <c:f>scaling!$C$44</c:f>
              <c:strCache>
                <c:ptCount val="1"/>
                <c:pt idx="0">
                  <c:v>alkyd paint, white, without solvent, in 60% solution state</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scaling!$D$44:$G$44</c:f>
              <c:numCache>
                <c:formatCode>General</c:formatCode>
                <c:ptCount val="4"/>
                <c:pt idx="0">
                  <c:v>1</c:v>
                </c:pt>
                <c:pt idx="1">
                  <c:v>5</c:v>
                </c:pt>
                <c:pt idx="2">
                  <c:v>7</c:v>
                </c:pt>
                <c:pt idx="3">
                  <c:v>12</c:v>
                </c:pt>
              </c:numCache>
            </c:numRef>
          </c:yVal>
          <c:smooth val="0"/>
          <c:extLst>
            <c:ext xmlns:c16="http://schemas.microsoft.com/office/drawing/2014/chart" uri="{C3380CC4-5D6E-409C-BE32-E72D297353CC}">
              <c16:uniqueId val="{00000010-8A1F-4A21-9C0D-74CE2C01B29B}"/>
            </c:ext>
          </c:extLst>
        </c:ser>
        <c:ser>
          <c:idx val="17"/>
          <c:order val="17"/>
          <c:tx>
            <c:strRef>
              <c:f>scaling!$C$45</c:f>
              <c:strCache>
                <c:ptCount val="1"/>
                <c:pt idx="0">
                  <c:v>lubricating oil</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scaling!$D$45:$G$45</c:f>
              <c:numCache>
                <c:formatCode>General</c:formatCode>
                <c:ptCount val="4"/>
                <c:pt idx="0">
                  <c:v>2.5</c:v>
                </c:pt>
                <c:pt idx="1">
                  <c:v>3.5</c:v>
                </c:pt>
                <c:pt idx="2">
                  <c:v>7</c:v>
                </c:pt>
                <c:pt idx="3">
                  <c:v>32</c:v>
                </c:pt>
              </c:numCache>
            </c:numRef>
          </c:yVal>
          <c:smooth val="0"/>
          <c:extLst>
            <c:ext xmlns:c16="http://schemas.microsoft.com/office/drawing/2014/chart" uri="{C3380CC4-5D6E-409C-BE32-E72D297353CC}">
              <c16:uniqueId val="{00000011-8A1F-4A21-9C0D-74CE2C01B29B}"/>
            </c:ext>
          </c:extLst>
        </c:ser>
        <c:ser>
          <c:idx val="18"/>
          <c:order val="18"/>
          <c:tx>
            <c:strRef>
              <c:f>scaling!$C$46</c:f>
              <c:strCache>
                <c:ptCount val="1"/>
                <c:pt idx="0">
                  <c:v>waste mineral oil</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scaling!$D$46:$G$46</c:f>
              <c:numCache>
                <c:formatCode>General</c:formatCode>
                <c:ptCount val="4"/>
                <c:pt idx="0">
                  <c:v>-2.5</c:v>
                </c:pt>
                <c:pt idx="1">
                  <c:v>-3.5</c:v>
                </c:pt>
                <c:pt idx="2">
                  <c:v>-7</c:v>
                </c:pt>
                <c:pt idx="3">
                  <c:v>-32</c:v>
                </c:pt>
              </c:numCache>
            </c:numRef>
          </c:yVal>
          <c:smooth val="0"/>
          <c:extLst>
            <c:ext xmlns:c16="http://schemas.microsoft.com/office/drawing/2014/chart" uri="{C3380CC4-5D6E-409C-BE32-E72D297353CC}">
              <c16:uniqueId val="{00000012-8A1F-4A21-9C0D-74CE2C01B29B}"/>
            </c:ext>
          </c:extLst>
        </c:ser>
        <c:ser>
          <c:idx val="19"/>
          <c:order val="19"/>
          <c:tx>
            <c:strRef>
              <c:f>scaling!$C$47</c:f>
              <c:strCache>
                <c:ptCount val="1"/>
                <c:pt idx="0">
                  <c:v>electronics scrap from control units</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scaling!$D$47:$G$47</c:f>
              <c:numCache>
                <c:formatCode>General</c:formatCode>
                <c:ptCount val="4"/>
                <c:pt idx="0">
                  <c:v>-3</c:v>
                </c:pt>
                <c:pt idx="1">
                  <c:v>-4.5</c:v>
                </c:pt>
                <c:pt idx="2">
                  <c:v>-12</c:v>
                </c:pt>
                <c:pt idx="3">
                  <c:v>-12</c:v>
                </c:pt>
              </c:numCache>
            </c:numRef>
          </c:yVal>
          <c:smooth val="0"/>
          <c:extLst>
            <c:ext xmlns:c16="http://schemas.microsoft.com/office/drawing/2014/chart" uri="{C3380CC4-5D6E-409C-BE32-E72D297353CC}">
              <c16:uniqueId val="{00000013-8A1F-4A21-9C0D-74CE2C01B29B}"/>
            </c:ext>
          </c:extLst>
        </c:ser>
        <c:ser>
          <c:idx val="20"/>
          <c:order val="20"/>
          <c:tx>
            <c:strRef>
              <c:f>scaling!$C$48</c:f>
              <c:strCache>
                <c:ptCount val="1"/>
                <c:pt idx="0">
                  <c:v>waste polyethylene</c:v>
                </c:pt>
              </c:strCache>
            </c:strRef>
          </c:tx>
          <c:spPr>
            <a:ln w="19050"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scaling!$D$48:$G$48</c:f>
              <c:numCache>
                <c:formatCode>General</c:formatCode>
                <c:ptCount val="4"/>
                <c:pt idx="0">
                  <c:v>-3.5</c:v>
                </c:pt>
                <c:pt idx="1">
                  <c:v>-5.5</c:v>
                </c:pt>
                <c:pt idx="2">
                  <c:v>-18</c:v>
                </c:pt>
                <c:pt idx="3">
                  <c:v>-18</c:v>
                </c:pt>
              </c:numCache>
            </c:numRef>
          </c:yVal>
          <c:smooth val="0"/>
          <c:extLst>
            <c:ext xmlns:c16="http://schemas.microsoft.com/office/drawing/2014/chart" uri="{C3380CC4-5D6E-409C-BE32-E72D297353CC}">
              <c16:uniqueId val="{00000014-8A1F-4A21-9C0D-74CE2C01B29B}"/>
            </c:ext>
          </c:extLst>
        </c:ser>
        <c:ser>
          <c:idx val="21"/>
          <c:order val="21"/>
          <c:tx>
            <c:strRef>
              <c:f>scaling!$C$49</c:f>
              <c:strCache>
                <c:ptCount val="1"/>
                <c:pt idx="0">
                  <c:v>scrap copper</c:v>
                </c:pt>
              </c:strCache>
            </c:strRef>
          </c:tx>
          <c:spPr>
            <a:ln w="19050"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scaling!$D$49:$G$49</c:f>
              <c:numCache>
                <c:formatCode>General</c:formatCode>
                <c:ptCount val="4"/>
                <c:pt idx="0">
                  <c:v>-4</c:v>
                </c:pt>
                <c:pt idx="1">
                  <c:v>-7</c:v>
                </c:pt>
                <c:pt idx="2">
                  <c:v>-28</c:v>
                </c:pt>
                <c:pt idx="3">
                  <c:v>-46</c:v>
                </c:pt>
              </c:numCache>
            </c:numRef>
          </c:yVal>
          <c:smooth val="0"/>
          <c:extLst>
            <c:ext xmlns:c16="http://schemas.microsoft.com/office/drawing/2014/chart" uri="{C3380CC4-5D6E-409C-BE32-E72D297353CC}">
              <c16:uniqueId val="{00000015-8A1F-4A21-9C0D-74CE2C01B29B}"/>
            </c:ext>
          </c:extLst>
        </c:ser>
        <c:ser>
          <c:idx val="22"/>
          <c:order val="22"/>
          <c:tx>
            <c:strRef>
              <c:f>scaling!$C$50</c:f>
              <c:strCache>
                <c:ptCount val="1"/>
                <c:pt idx="0">
                  <c:v>scrap aluminium</c:v>
                </c:pt>
              </c:strCache>
            </c:strRef>
          </c:tx>
          <c:spPr>
            <a:ln w="19050"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scaling!$D$50:$G$50</c:f>
              <c:numCache>
                <c:formatCode>General</c:formatCode>
                <c:ptCount val="4"/>
                <c:pt idx="0">
                  <c:v>0</c:v>
                </c:pt>
                <c:pt idx="1">
                  <c:v>-12</c:v>
                </c:pt>
                <c:pt idx="2">
                  <c:v>-63</c:v>
                </c:pt>
                <c:pt idx="3">
                  <c:v>-104</c:v>
                </c:pt>
              </c:numCache>
            </c:numRef>
          </c:yVal>
          <c:smooth val="0"/>
          <c:extLst>
            <c:ext xmlns:c16="http://schemas.microsoft.com/office/drawing/2014/chart" uri="{C3380CC4-5D6E-409C-BE32-E72D297353CC}">
              <c16:uniqueId val="{00000016-8A1F-4A21-9C0D-74CE2C01B29B}"/>
            </c:ext>
          </c:extLst>
        </c:ser>
        <c:ser>
          <c:idx val="23"/>
          <c:order val="23"/>
          <c:tx>
            <c:strRef>
              <c:f>scaling!$C$51</c:f>
              <c:strCache>
                <c:ptCount val="1"/>
                <c:pt idx="0">
                  <c:v>waste polystyrene isolation, flame-retardant</c:v>
                </c:pt>
              </c:strCache>
            </c:strRef>
          </c:tx>
          <c:spPr>
            <a:ln w="19050"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scaling!$D$51:$G$51</c:f>
              <c:numCache>
                <c:formatCode>General</c:formatCode>
                <c:ptCount val="4"/>
                <c:pt idx="0">
                  <c:v>-19</c:v>
                </c:pt>
                <c:pt idx="1">
                  <c:v>-52</c:v>
                </c:pt>
                <c:pt idx="2">
                  <c:v>-155</c:v>
                </c:pt>
                <c:pt idx="3">
                  <c:v>-361</c:v>
                </c:pt>
              </c:numCache>
            </c:numRef>
          </c:yVal>
          <c:smooth val="0"/>
          <c:extLst>
            <c:ext xmlns:c16="http://schemas.microsoft.com/office/drawing/2014/chart" uri="{C3380CC4-5D6E-409C-BE32-E72D297353CC}">
              <c16:uniqueId val="{00000017-8A1F-4A21-9C0D-74CE2C01B29B}"/>
            </c:ext>
          </c:extLst>
        </c:ser>
        <c:ser>
          <c:idx val="24"/>
          <c:order val="24"/>
          <c:tx>
            <c:strRef>
              <c:f>scaling!$C$52</c:f>
              <c:strCache>
                <c:ptCount val="1"/>
                <c:pt idx="0">
                  <c:v>waste mineral wool, for final disposal</c:v>
                </c:pt>
              </c:strCache>
            </c:strRef>
          </c:tx>
          <c:spPr>
            <a:ln w="19050"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scaling!$D$52:$G$52</c:f>
              <c:numCache>
                <c:formatCode>General</c:formatCode>
                <c:ptCount val="4"/>
                <c:pt idx="0">
                  <c:v>-49.5</c:v>
                </c:pt>
                <c:pt idx="1">
                  <c:v>-338</c:v>
                </c:pt>
                <c:pt idx="2">
                  <c:v>-476</c:v>
                </c:pt>
                <c:pt idx="3">
                  <c:v>-1846</c:v>
                </c:pt>
              </c:numCache>
            </c:numRef>
          </c:yVal>
          <c:smooth val="0"/>
          <c:extLst>
            <c:ext xmlns:c16="http://schemas.microsoft.com/office/drawing/2014/chart" uri="{C3380CC4-5D6E-409C-BE32-E72D297353CC}">
              <c16:uniqueId val="{00000018-8A1F-4A21-9C0D-74CE2C01B29B}"/>
            </c:ext>
          </c:extLst>
        </c:ser>
        <c:ser>
          <c:idx val="25"/>
          <c:order val="25"/>
          <c:tx>
            <c:strRef>
              <c:f>scaling!$C$53</c:f>
              <c:strCache>
                <c:ptCount val="1"/>
                <c:pt idx="0">
                  <c:v>iron scrap, unsorted</c:v>
                </c:pt>
              </c:strCache>
            </c:strRef>
          </c:tx>
          <c:spPr>
            <a:ln w="19050"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scaling!$D$53:$G$53</c:f>
              <c:numCache>
                <c:formatCode>General</c:formatCode>
                <c:ptCount val="4"/>
                <c:pt idx="0">
                  <c:v>-78</c:v>
                </c:pt>
                <c:pt idx="1">
                  <c:v>0</c:v>
                </c:pt>
                <c:pt idx="2">
                  <c:v>-700</c:v>
                </c:pt>
                <c:pt idx="3">
                  <c:v>-1115</c:v>
                </c:pt>
              </c:numCache>
            </c:numRef>
          </c:yVal>
          <c:smooth val="0"/>
          <c:extLst>
            <c:ext xmlns:c16="http://schemas.microsoft.com/office/drawing/2014/chart" uri="{C3380CC4-5D6E-409C-BE32-E72D297353CC}">
              <c16:uniqueId val="{00000019-8A1F-4A21-9C0D-74CE2C01B29B}"/>
            </c:ext>
          </c:extLst>
        </c:ser>
        <c:ser>
          <c:idx val="26"/>
          <c:order val="26"/>
          <c:tx>
            <c:strRef>
              <c:f>scaling!$C$54</c:f>
              <c:strCache>
                <c:ptCount val="1"/>
                <c:pt idx="0">
                  <c:v>inert waste, for final disposal</c:v>
                </c:pt>
              </c:strCache>
            </c:strRef>
          </c:tx>
          <c:spPr>
            <a:ln w="19050"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scaling!$D$54:$G$54</c:f>
              <c:numCache>
                <c:formatCode>General</c:formatCode>
                <c:ptCount val="4"/>
                <c:pt idx="0">
                  <c:v>-55</c:v>
                </c:pt>
                <c:pt idx="1">
                  <c:v>-830</c:v>
                </c:pt>
                <c:pt idx="2">
                  <c:v>-14200</c:v>
                </c:pt>
                <c:pt idx="3">
                  <c:v>-41220</c:v>
                </c:pt>
              </c:numCache>
            </c:numRef>
          </c:yVal>
          <c:smooth val="0"/>
          <c:extLst>
            <c:ext xmlns:c16="http://schemas.microsoft.com/office/drawing/2014/chart" uri="{C3380CC4-5D6E-409C-BE32-E72D297353CC}">
              <c16:uniqueId val="{0000001A-8A1F-4A21-9C0D-74CE2C01B29B}"/>
            </c:ext>
          </c:extLst>
        </c:ser>
        <c:ser>
          <c:idx val="27"/>
          <c:order val="27"/>
          <c:tx>
            <c:strRef>
              <c:f>scaling!$C$55</c:f>
              <c:strCache>
                <c:ptCount val="1"/>
                <c:pt idx="0">
                  <c:v>scrap steel</c:v>
                </c:pt>
              </c:strCache>
            </c:strRef>
          </c:tx>
          <c:spPr>
            <a:ln w="19050"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scaling!$D$55:$G$55</c:f>
              <c:numCache>
                <c:formatCode>General</c:formatCode>
                <c:ptCount val="4"/>
                <c:pt idx="0">
                  <c:v>-951</c:v>
                </c:pt>
                <c:pt idx="1">
                  <c:v>-4951</c:v>
                </c:pt>
                <c:pt idx="2">
                  <c:v>-24477</c:v>
                </c:pt>
                <c:pt idx="3">
                  <c:v>-74890</c:v>
                </c:pt>
              </c:numCache>
            </c:numRef>
          </c:yVal>
          <c:smooth val="0"/>
          <c:extLst>
            <c:ext xmlns:c16="http://schemas.microsoft.com/office/drawing/2014/chart" uri="{C3380CC4-5D6E-409C-BE32-E72D297353CC}">
              <c16:uniqueId val="{0000001B-8A1F-4A21-9C0D-74CE2C01B29B}"/>
            </c:ext>
          </c:extLst>
        </c:ser>
        <c:ser>
          <c:idx val="28"/>
          <c:order val="28"/>
          <c:tx>
            <c:strRef>
              <c:f>scaling!$C$56</c:f>
              <c:strCache>
                <c:ptCount val="1"/>
                <c:pt idx="0">
                  <c:v>waste concrete</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scaling!$D$27:$G$27</c:f>
              <c:numCache>
                <c:formatCode>0.00</c:formatCode>
                <c:ptCount val="4"/>
                <c:pt idx="0">
                  <c:v>1.1665000000000001</c:v>
                </c:pt>
                <c:pt idx="1">
                  <c:v>6.1965000000000003</c:v>
                </c:pt>
                <c:pt idx="2">
                  <c:v>40.463000000000001</c:v>
                </c:pt>
                <c:pt idx="3">
                  <c:v>120.184</c:v>
                </c:pt>
              </c:numCache>
            </c:numRef>
          </c:xVal>
          <c:yVal>
            <c:numRef>
              <c:f>scaling!$D$56:$G$56</c:f>
              <c:numCache>
                <c:formatCode>General</c:formatCode>
                <c:ptCount val="4"/>
                <c:pt idx="0">
                  <c:v>-20288</c:v>
                </c:pt>
                <c:pt idx="1">
                  <c:v>-53004</c:v>
                </c:pt>
                <c:pt idx="2">
                  <c:v>-89300</c:v>
                </c:pt>
                <c:pt idx="3">
                  <c:v>-131600</c:v>
                </c:pt>
              </c:numCache>
            </c:numRef>
          </c:yVal>
          <c:smooth val="0"/>
          <c:extLst>
            <c:ext xmlns:c16="http://schemas.microsoft.com/office/drawing/2014/chart" uri="{C3380CC4-5D6E-409C-BE32-E72D297353CC}">
              <c16:uniqueId val="{0000001C-8A1F-4A21-9C0D-74CE2C01B29B}"/>
            </c:ext>
          </c:extLst>
        </c:ser>
        <c:dLbls>
          <c:showLegendKey val="0"/>
          <c:showVal val="0"/>
          <c:showCatName val="0"/>
          <c:showSerName val="0"/>
          <c:showPercent val="0"/>
          <c:showBubbleSize val="0"/>
        </c:dLbls>
        <c:axId val="585306536"/>
        <c:axId val="585306864"/>
      </c:scatterChart>
      <c:valAx>
        <c:axId val="585306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5306864"/>
        <c:crosses val="autoZero"/>
        <c:crossBetween val="midCat"/>
      </c:valAx>
      <c:valAx>
        <c:axId val="5853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85306536"/>
        <c:crosses val="autoZero"/>
        <c:crossBetween val="midCat"/>
      </c:valAx>
      <c:spPr>
        <a:noFill/>
        <a:ln>
          <a:noFill/>
        </a:ln>
        <a:effectLst/>
      </c:spPr>
    </c:plotArea>
    <c:legend>
      <c:legendPos val="b"/>
      <c:layout>
        <c:manualLayout>
          <c:xMode val="edge"/>
          <c:yMode val="edge"/>
          <c:x val="8.9980314960629929E-3"/>
          <c:y val="0.45817387337638954"/>
          <c:w val="0.99100205517102247"/>
          <c:h val="0.541826126623610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149679</xdr:colOff>
      <xdr:row>23</xdr:row>
      <xdr:rowOff>4900</xdr:rowOff>
    </xdr:from>
    <xdr:to>
      <xdr:col>10</xdr:col>
      <xdr:colOff>580572</xdr:colOff>
      <xdr:row>31</xdr:row>
      <xdr:rowOff>52553</xdr:rowOff>
    </xdr:to>
    <xdr:pic>
      <xdr:nvPicPr>
        <xdr:cNvPr id="2" name="Picture 1"/>
        <xdr:cNvPicPr>
          <a:picLocks noChangeAspect="1"/>
        </xdr:cNvPicPr>
      </xdr:nvPicPr>
      <xdr:blipFill>
        <a:blip xmlns:r="http://schemas.openxmlformats.org/officeDocument/2006/relationships" r:embed="rId1"/>
        <a:stretch>
          <a:fillRect/>
        </a:stretch>
      </xdr:blipFill>
      <xdr:spPr>
        <a:xfrm>
          <a:off x="4912179" y="4177757"/>
          <a:ext cx="2862036" cy="1644224"/>
        </a:xfrm>
        <a:prstGeom prst="rect">
          <a:avLst/>
        </a:prstGeom>
      </xdr:spPr>
    </xdr:pic>
    <xdr:clientData/>
  </xdr:twoCellAnchor>
  <xdr:twoCellAnchor editAs="oneCell">
    <xdr:from>
      <xdr:col>9</xdr:col>
      <xdr:colOff>42965</xdr:colOff>
      <xdr:row>6</xdr:row>
      <xdr:rowOff>99787</xdr:rowOff>
    </xdr:from>
    <xdr:to>
      <xdr:col>14</xdr:col>
      <xdr:colOff>262515</xdr:colOff>
      <xdr:row>15</xdr:row>
      <xdr:rowOff>136388</xdr:rowOff>
    </xdr:to>
    <xdr:pic>
      <xdr:nvPicPr>
        <xdr:cNvPr id="3" name="Picture 2"/>
        <xdr:cNvPicPr>
          <a:picLocks noChangeAspect="1"/>
        </xdr:cNvPicPr>
      </xdr:nvPicPr>
      <xdr:blipFill>
        <a:blip xmlns:r="http://schemas.openxmlformats.org/officeDocument/2006/relationships" r:embed="rId2"/>
        <a:stretch>
          <a:fillRect/>
        </a:stretch>
      </xdr:blipFill>
      <xdr:spPr>
        <a:xfrm>
          <a:off x="6628822" y="1188358"/>
          <a:ext cx="3258478" cy="16694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1507092</xdr:colOff>
      <xdr:row>11</xdr:row>
      <xdr:rowOff>27562</xdr:rowOff>
    </xdr:from>
    <xdr:to>
      <xdr:col>19</xdr:col>
      <xdr:colOff>520391</xdr:colOff>
      <xdr:row>28</xdr:row>
      <xdr:rowOff>111188</xdr:rowOff>
    </xdr:to>
    <xdr:pic>
      <xdr:nvPicPr>
        <xdr:cNvPr id="2" name="Picture 1" descr="https://db3.ecoinvent.org/images/e80a7e07-4587-4ea5-b376-eedf3a4f3ea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52235" y="1973383"/>
          <a:ext cx="2238192" cy="3090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1532190</xdr:colOff>
      <xdr:row>15</xdr:row>
      <xdr:rowOff>156308</xdr:rowOff>
    </xdr:from>
    <xdr:to>
      <xdr:col>5</xdr:col>
      <xdr:colOff>540629</xdr:colOff>
      <xdr:row>26</xdr:row>
      <xdr:rowOff>54512</xdr:rowOff>
    </xdr:to>
    <xdr:pic>
      <xdr:nvPicPr>
        <xdr:cNvPr id="3" name="Picture 2" descr="https://db3.ecoinvent.org/images/6a40e57f-7707-46d4-9379-5d5ffd8597b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12882" y="2940539"/>
          <a:ext cx="2505824" cy="19399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2177143</xdr:colOff>
      <xdr:row>12</xdr:row>
      <xdr:rowOff>40821</xdr:rowOff>
    </xdr:from>
    <xdr:to>
      <xdr:col>12</xdr:col>
      <xdr:colOff>486591</xdr:colOff>
      <xdr:row>24</xdr:row>
      <xdr:rowOff>132261</xdr:rowOff>
    </xdr:to>
    <xdr:pic>
      <xdr:nvPicPr>
        <xdr:cNvPr id="4" name="Picture 3" descr="https://db3.ecoinvent.org/images/a72d5cfd-c704-4fe4-8ea1-803b35adf55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300857" y="2163535"/>
          <a:ext cx="1765663" cy="2214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950468</xdr:colOff>
      <xdr:row>12</xdr:row>
      <xdr:rowOff>183739</xdr:rowOff>
    </xdr:from>
    <xdr:to>
      <xdr:col>29</xdr:col>
      <xdr:colOff>524459</xdr:colOff>
      <xdr:row>33</xdr:row>
      <xdr:rowOff>51757</xdr:rowOff>
    </xdr:to>
    <xdr:pic>
      <xdr:nvPicPr>
        <xdr:cNvPr id="5" name="Picture 4" descr="https://db3.ecoinvent.org/images/246d4ed5-9cf1-4cf9-8227-4531e35e30b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66832" y="2400466"/>
          <a:ext cx="3626445" cy="3747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313996</xdr:colOff>
      <xdr:row>2</xdr:row>
      <xdr:rowOff>83783</xdr:rowOff>
    </xdr:from>
    <xdr:to>
      <xdr:col>42</xdr:col>
      <xdr:colOff>563378</xdr:colOff>
      <xdr:row>22</xdr:row>
      <xdr:rowOff>127770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339436</xdr:colOff>
      <xdr:row>1</xdr:row>
      <xdr:rowOff>41564</xdr:rowOff>
    </xdr:from>
    <xdr:to>
      <xdr:col>32</xdr:col>
      <xdr:colOff>39485</xdr:colOff>
      <xdr:row>22</xdr:row>
      <xdr:rowOff>41564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354404</xdr:colOff>
      <xdr:row>21</xdr:row>
      <xdr:rowOff>146152</xdr:rowOff>
    </xdr:from>
    <xdr:to>
      <xdr:col>27</xdr:col>
      <xdr:colOff>298824</xdr:colOff>
      <xdr:row>63</xdr:row>
      <xdr:rowOff>7470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533169</xdr:colOff>
      <xdr:row>1</xdr:row>
      <xdr:rowOff>80587</xdr:rowOff>
    </xdr:from>
    <xdr:to>
      <xdr:col>25</xdr:col>
      <xdr:colOff>348993</xdr:colOff>
      <xdr:row>18</xdr:row>
      <xdr:rowOff>45969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2817533" y="265314"/>
          <a:ext cx="7158733" cy="3105746"/>
        </a:xfrm>
        <a:prstGeom prst="rect">
          <a:avLst/>
        </a:prstGeom>
      </xdr:spPr>
    </xdr:pic>
    <xdr:clientData/>
  </xdr:twoCellAnchor>
  <xdr:twoCellAnchor editAs="oneCell">
    <xdr:from>
      <xdr:col>13</xdr:col>
      <xdr:colOff>496968</xdr:colOff>
      <xdr:row>17</xdr:row>
      <xdr:rowOff>103447</xdr:rowOff>
    </xdr:from>
    <xdr:to>
      <xdr:col>20</xdr:col>
      <xdr:colOff>570906</xdr:colOff>
      <xdr:row>37</xdr:row>
      <xdr:rowOff>32340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81332" y="3243811"/>
          <a:ext cx="4357301" cy="36234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578032</xdr:colOff>
      <xdr:row>23</xdr:row>
      <xdr:rowOff>120831</xdr:rowOff>
    </xdr:from>
    <xdr:to>
      <xdr:col>18</xdr:col>
      <xdr:colOff>396165</xdr:colOff>
      <xdr:row>40</xdr:row>
      <xdr:rowOff>85884</xdr:rowOff>
    </xdr:to>
    <xdr:pic>
      <xdr:nvPicPr>
        <xdr:cNvPr id="2" name="Picture 1"/>
        <xdr:cNvPicPr>
          <a:picLocks noChangeAspect="1"/>
        </xdr:cNvPicPr>
      </xdr:nvPicPr>
      <xdr:blipFill>
        <a:blip xmlns:r="http://schemas.openxmlformats.org/officeDocument/2006/relationships" r:embed="rId1"/>
        <a:stretch>
          <a:fillRect/>
        </a:stretch>
      </xdr:blipFill>
      <xdr:spPr>
        <a:xfrm>
          <a:off x="8143603" y="4377145"/>
          <a:ext cx="7133333" cy="3111025"/>
        </a:xfrm>
        <a:prstGeom prst="rect">
          <a:avLst/>
        </a:prstGeom>
      </xdr:spPr>
    </xdr:pic>
    <xdr:clientData/>
  </xdr:twoCellAnchor>
  <xdr:twoCellAnchor editAs="oneCell">
    <xdr:from>
      <xdr:col>7</xdr:col>
      <xdr:colOff>214872</xdr:colOff>
      <xdr:row>0</xdr:row>
      <xdr:rowOff>153371</xdr:rowOff>
    </xdr:from>
    <xdr:to>
      <xdr:col>14</xdr:col>
      <xdr:colOff>288809</xdr:colOff>
      <xdr:row>20</xdr:row>
      <xdr:rowOff>84110</xdr:rowOff>
    </xdr:to>
    <xdr:pic>
      <xdr:nvPicPr>
        <xdr:cNvPr id="3" name="Picture 2"/>
        <xdr:cNvPicPr>
          <a:picLocks noChangeAspect="1"/>
        </xdr:cNvPicPr>
      </xdr:nvPicPr>
      <xdr:blipFill>
        <a:blip xmlns:r="http://schemas.openxmlformats.org/officeDocument/2006/relationships" r:embed="rId2"/>
        <a:stretch>
          <a:fillRect/>
        </a:stretch>
      </xdr:blipFill>
      <xdr:spPr>
        <a:xfrm>
          <a:off x="8497887" y="153371"/>
          <a:ext cx="4322834" cy="36660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25915</xdr:colOff>
      <xdr:row>0</xdr:row>
      <xdr:rowOff>0</xdr:rowOff>
    </xdr:from>
    <xdr:to>
      <xdr:col>16</xdr:col>
      <xdr:colOff>72849</xdr:colOff>
      <xdr:row>15</xdr:row>
      <xdr:rowOff>47274</xdr:rowOff>
    </xdr:to>
    <xdr:pic>
      <xdr:nvPicPr>
        <xdr:cNvPr id="2" name="Picture 1"/>
        <xdr:cNvPicPr>
          <a:picLocks noChangeAspect="1"/>
        </xdr:cNvPicPr>
      </xdr:nvPicPr>
      <xdr:blipFill>
        <a:blip xmlns:r="http://schemas.openxmlformats.org/officeDocument/2006/relationships" r:embed="rId1"/>
        <a:stretch>
          <a:fillRect/>
        </a:stretch>
      </xdr:blipFill>
      <xdr:spPr>
        <a:xfrm>
          <a:off x="8318268" y="0"/>
          <a:ext cx="5560228" cy="28487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239255</xdr:colOff>
      <xdr:row>0</xdr:row>
      <xdr:rowOff>25796</xdr:rowOff>
    </xdr:from>
    <xdr:to>
      <xdr:col>15</xdr:col>
      <xdr:colOff>286188</xdr:colOff>
      <xdr:row>15</xdr:row>
      <xdr:rowOff>73070</xdr:rowOff>
    </xdr:to>
    <xdr:pic>
      <xdr:nvPicPr>
        <xdr:cNvPr id="2" name="Picture 1"/>
        <xdr:cNvPicPr>
          <a:picLocks noChangeAspect="1"/>
        </xdr:cNvPicPr>
      </xdr:nvPicPr>
      <xdr:blipFill>
        <a:blip xmlns:r="http://schemas.openxmlformats.org/officeDocument/2006/relationships" r:embed="rId1"/>
        <a:stretch>
          <a:fillRect/>
        </a:stretch>
      </xdr:blipFill>
      <xdr:spPr>
        <a:xfrm>
          <a:off x="8657541" y="25796"/>
          <a:ext cx="5517004" cy="276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bioenergyinternational.com/technology-suppliers/telge-atervinning-a-first-in-europe-for-aussie-biochar-technolog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senergy.com.au/charmaker-mpp-key-features" TargetMode="External"/><Relationship Id="rId7" Type="http://schemas.openxmlformats.org/officeDocument/2006/relationships/comments" Target="../comments1.xml"/><Relationship Id="rId2" Type="http://schemas.openxmlformats.org/officeDocument/2006/relationships/hyperlink" Target="https://bioenergyinternational.com/technology-suppliers/telge-atervinning-a-first-in-europe-for-aussie-biochar-technology" TargetMode="External"/><Relationship Id="rId1" Type="http://schemas.openxmlformats.org/officeDocument/2006/relationships/hyperlink" Target="http://www.diva-portal.org/smash/get/diva2:1114266/FULLTEXT01.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pyreg.de/wp-content/uploads/2020_pyreg_brochure_biomass_EN.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pyreg.de/wp-content/uploads/2020_pyreg_brochure_biomass_EN.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E13" sqref="E13"/>
    </sheetView>
  </sheetViews>
  <sheetFormatPr defaultRowHeight="14.5"/>
  <cols>
    <col min="2" max="2" width="20.81640625" style="6" customWidth="1"/>
    <col min="3" max="5" width="8.90625" bestFit="1" customWidth="1"/>
    <col min="6" max="6" width="10.08984375" customWidth="1"/>
    <col min="7" max="7" width="12.7265625" customWidth="1"/>
    <col min="8" max="8" width="14.1796875" customWidth="1"/>
  </cols>
  <sheetData>
    <row r="1" spans="1:9">
      <c r="A1" s="62" t="s">
        <v>354</v>
      </c>
    </row>
    <row r="2" spans="1:9">
      <c r="B2" s="21" t="s">
        <v>353</v>
      </c>
      <c r="C2" s="16" t="s">
        <v>343</v>
      </c>
      <c r="D2" s="16" t="s">
        <v>344</v>
      </c>
      <c r="E2" s="16" t="s">
        <v>345</v>
      </c>
      <c r="F2" s="60" t="s">
        <v>350</v>
      </c>
      <c r="G2" s="60"/>
      <c r="H2" s="60"/>
    </row>
    <row r="3" spans="1:9">
      <c r="B3" s="21" t="s">
        <v>352</v>
      </c>
      <c r="C3" s="16" t="s">
        <v>338</v>
      </c>
      <c r="D3" s="16" t="s">
        <v>165</v>
      </c>
      <c r="E3" s="16" t="s">
        <v>339</v>
      </c>
      <c r="F3" s="16" t="s">
        <v>340</v>
      </c>
      <c r="G3" s="16" t="s">
        <v>341</v>
      </c>
      <c r="H3" s="16" t="s">
        <v>342</v>
      </c>
    </row>
    <row r="4" spans="1:9">
      <c r="B4" s="21" t="s">
        <v>346</v>
      </c>
      <c r="C4">
        <f>pyreg1500!B6</f>
        <v>20</v>
      </c>
      <c r="D4">
        <f>biogreen!B6</f>
        <v>20</v>
      </c>
      <c r="E4">
        <f>australian!B6</f>
        <v>20</v>
      </c>
      <c r="F4">
        <f>pyreg500!B6</f>
        <v>20</v>
      </c>
      <c r="G4">
        <f>biomacon160!B6</f>
        <v>20</v>
      </c>
      <c r="H4">
        <f>biomacon400!B6</f>
        <v>20</v>
      </c>
      <c r="I4" s="27" t="s">
        <v>134</v>
      </c>
    </row>
    <row r="5" spans="1:9">
      <c r="B5" s="21" t="s">
        <v>137</v>
      </c>
      <c r="C5">
        <f>pyreg1500!B8</f>
        <v>550</v>
      </c>
      <c r="D5">
        <f>biogreen!B8</f>
        <v>1680</v>
      </c>
      <c r="E5">
        <f>australian!B8</f>
        <v>1500</v>
      </c>
      <c r="F5">
        <f>pyreg500!B8</f>
        <v>190</v>
      </c>
      <c r="G5" s="9">
        <f>biomacon160!B8</f>
        <v>72.75</v>
      </c>
      <c r="H5" s="9">
        <f>biomacon400!B8</f>
        <v>413.25</v>
      </c>
      <c r="I5" s="27" t="s">
        <v>347</v>
      </c>
    </row>
    <row r="6" spans="1:9">
      <c r="B6" s="21" t="s">
        <v>348</v>
      </c>
      <c r="C6" s="61">
        <f>pyreg1500!B9</f>
        <v>9.0909090909090915E-8</v>
      </c>
      <c r="D6" s="61">
        <f>biogreen!B9</f>
        <v>2.9761904761904761E-8</v>
      </c>
      <c r="E6" s="61">
        <f>australian!B9</f>
        <v>3.3333333333333334E-8</v>
      </c>
      <c r="F6" s="61">
        <f>pyreg500!B9</f>
        <v>2.6315789473684208E-7</v>
      </c>
      <c r="G6" s="61">
        <f>biomacon160!B9</f>
        <v>6.8728522336769758E-7</v>
      </c>
      <c r="H6" s="61">
        <f>biomacon400!B9</f>
        <v>1.2099213551119178E-7</v>
      </c>
      <c r="I6" s="27" t="s">
        <v>349</v>
      </c>
    </row>
    <row r="7" spans="1:9">
      <c r="B7" s="21" t="str">
        <f>pyreg1500!A10</f>
        <v>Transport distance, road</v>
      </c>
      <c r="C7" s="9">
        <f>pyreg1500!B10</f>
        <v>1200</v>
      </c>
      <c r="D7" s="9">
        <f>biogreen!B10</f>
        <v>1200</v>
      </c>
      <c r="E7" s="9">
        <f>australian!B10</f>
        <v>450</v>
      </c>
      <c r="F7" s="9">
        <f>pyreg500!B10</f>
        <v>1200</v>
      </c>
      <c r="G7" s="9">
        <f>biomacon160!B10</f>
        <v>1200</v>
      </c>
      <c r="H7" s="9">
        <f>biomacon400!B10</f>
        <v>1200</v>
      </c>
      <c r="I7" s="27" t="s">
        <v>216</v>
      </c>
    </row>
    <row r="8" spans="1:9">
      <c r="B8" s="21" t="str">
        <f>biomacon160!A11</f>
        <v>Transport distance, ship</v>
      </c>
      <c r="C8" s="9">
        <f>pyreg1500!B11</f>
        <v>0</v>
      </c>
      <c r="D8" s="9">
        <f>biogreen!B11</f>
        <v>0</v>
      </c>
      <c r="E8" s="9">
        <f>australian!B11</f>
        <v>22880</v>
      </c>
      <c r="F8" s="9">
        <f>pyreg500!B11</f>
        <v>0</v>
      </c>
      <c r="G8" s="9">
        <f>biomacon160!B11</f>
        <v>0</v>
      </c>
      <c r="H8" s="9">
        <f>biomacon400!B11</f>
        <v>0</v>
      </c>
      <c r="I8" s="27" t="s">
        <v>216</v>
      </c>
    </row>
    <row r="9" spans="1:9">
      <c r="B9" s="21" t="s">
        <v>144</v>
      </c>
      <c r="C9" s="9">
        <f>pyreg1500!B14</f>
        <v>60</v>
      </c>
      <c r="D9" s="9">
        <f>biogreen!B14</f>
        <v>35</v>
      </c>
      <c r="E9" s="9">
        <f>australian!B14</f>
        <v>18</v>
      </c>
      <c r="F9" s="9">
        <f>pyreg500!B14</f>
        <v>18</v>
      </c>
      <c r="G9" s="9">
        <f>biomacon160!B14</f>
        <v>5.5620000000000003</v>
      </c>
      <c r="H9" s="9">
        <f>biomacon400!B14</f>
        <v>17.600000000000001</v>
      </c>
      <c r="I9" s="27" t="s">
        <v>351</v>
      </c>
    </row>
    <row r="10" spans="1:9">
      <c r="B10" s="21" t="s">
        <v>127</v>
      </c>
      <c r="C10" s="9">
        <f>pyreg1500!B12</f>
        <v>68.5</v>
      </c>
      <c r="D10" s="9">
        <f>biogreen!B12</f>
        <v>115.83</v>
      </c>
      <c r="E10" s="9">
        <f>australian!B12</f>
        <v>17.553599999999999</v>
      </c>
      <c r="F10" s="9">
        <f>pyreg500!B12</f>
        <v>36</v>
      </c>
      <c r="G10" s="9">
        <f>biomacon160!B12</f>
        <v>2.5</v>
      </c>
      <c r="H10" s="9">
        <f>biomacon400!B12</f>
        <v>4.3499999999999996</v>
      </c>
      <c r="I10" s="27" t="s">
        <v>129</v>
      </c>
    </row>
  </sheetData>
  <mergeCells count="1">
    <mergeCell ref="F2: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56" zoomScaleNormal="85" workbookViewId="0"/>
  </sheetViews>
  <sheetFormatPr defaultRowHeight="14.5"/>
  <cols>
    <col min="1" max="1" width="21.54296875" customWidth="1"/>
    <col min="2" max="2" width="12.1796875" customWidth="1"/>
    <col min="3" max="3" width="13.453125" customWidth="1"/>
    <col min="4" max="4" width="23" customWidth="1"/>
    <col min="5" max="5" width="31" customWidth="1"/>
  </cols>
  <sheetData>
    <row r="1" spans="1:8">
      <c r="A1" s="1" t="s">
        <v>300</v>
      </c>
    </row>
    <row r="2" spans="1:8">
      <c r="A2" t="s">
        <v>1</v>
      </c>
      <c r="H2" t="s">
        <v>294</v>
      </c>
    </row>
    <row r="3" spans="1:8">
      <c r="A3" t="s">
        <v>124</v>
      </c>
      <c r="H3" s="52" t="s">
        <v>295</v>
      </c>
    </row>
    <row r="4" spans="1:8">
      <c r="A4" t="s">
        <v>125</v>
      </c>
      <c r="H4" s="52" t="s">
        <v>296</v>
      </c>
    </row>
    <row r="5" spans="1:8">
      <c r="H5" s="52" t="s">
        <v>297</v>
      </c>
    </row>
    <row r="6" spans="1:8">
      <c r="A6" s="1" t="s">
        <v>133</v>
      </c>
      <c r="B6" s="1">
        <v>20</v>
      </c>
      <c r="C6" s="1" t="s">
        <v>134</v>
      </c>
      <c r="H6" s="53" t="s">
        <v>298</v>
      </c>
    </row>
    <row r="7" spans="1:8">
      <c r="A7" t="s">
        <v>92</v>
      </c>
      <c r="B7" s="5">
        <v>38</v>
      </c>
      <c r="C7" s="5" t="s">
        <v>311</v>
      </c>
      <c r="H7" s="4" t="s">
        <v>301</v>
      </c>
    </row>
    <row r="8" spans="1:8">
      <c r="A8" t="s">
        <v>137</v>
      </c>
      <c r="B8" s="5">
        <f>'pyrolysis data'!Q28</f>
        <v>1500</v>
      </c>
      <c r="C8" s="5" t="s">
        <v>138</v>
      </c>
    </row>
    <row r="9" spans="1:8">
      <c r="A9" t="s">
        <v>139</v>
      </c>
      <c r="B9" s="12">
        <f>1/(B6*B8*1000)</f>
        <v>3.3333333333333334E-8</v>
      </c>
      <c r="C9" t="s">
        <v>140</v>
      </c>
      <c r="D9" s="4"/>
      <c r="H9" t="s">
        <v>303</v>
      </c>
    </row>
    <row r="10" spans="1:8">
      <c r="A10" s="1" t="s">
        <v>214</v>
      </c>
      <c r="B10">
        <v>450</v>
      </c>
      <c r="C10" s="1" t="s">
        <v>216</v>
      </c>
      <c r="D10" t="s">
        <v>218</v>
      </c>
      <c r="H10" t="s">
        <v>310</v>
      </c>
    </row>
    <row r="11" spans="1:8">
      <c r="A11" s="1" t="s">
        <v>215</v>
      </c>
      <c r="B11">
        <v>22880</v>
      </c>
      <c r="C11" s="1" t="s">
        <v>216</v>
      </c>
      <c r="D11" t="s">
        <v>219</v>
      </c>
    </row>
    <row r="12" spans="1:8">
      <c r="A12" t="s">
        <v>127</v>
      </c>
      <c r="B12" s="54">
        <f>12.19*1.44</f>
        <v>17.553599999999999</v>
      </c>
      <c r="C12" s="55" t="s">
        <v>129</v>
      </c>
      <c r="D12" t="s">
        <v>302</v>
      </c>
    </row>
    <row r="13" spans="1:8">
      <c r="A13" t="s">
        <v>128</v>
      </c>
      <c r="B13" s="55">
        <v>2.59</v>
      </c>
      <c r="C13" s="55" t="s">
        <v>130</v>
      </c>
    </row>
    <row r="14" spans="1:8">
      <c r="A14" t="s">
        <v>126</v>
      </c>
      <c r="B14" s="55">
        <v>18</v>
      </c>
      <c r="C14" s="55" t="s">
        <v>132</v>
      </c>
      <c r="D14" s="56" t="s">
        <v>299</v>
      </c>
    </row>
    <row r="16" spans="1:8">
      <c r="B16" t="s">
        <v>159</v>
      </c>
      <c r="C16" t="s">
        <v>5</v>
      </c>
      <c r="D16" t="s">
        <v>160</v>
      </c>
      <c r="E16" t="s">
        <v>161</v>
      </c>
      <c r="F16" t="s">
        <v>162</v>
      </c>
      <c r="G16" t="s">
        <v>196</v>
      </c>
    </row>
    <row r="17" spans="2:7">
      <c r="B17" s="25">
        <f>scaling!N28</f>
        <v>11553.818364875317</v>
      </c>
      <c r="C17" s="2" t="s">
        <v>11</v>
      </c>
      <c r="D17" s="2" t="s">
        <v>12</v>
      </c>
      <c r="E17" s="2" t="s">
        <v>13</v>
      </c>
      <c r="F17" s="2" t="s">
        <v>14</v>
      </c>
      <c r="G17" s="28" t="s">
        <v>171</v>
      </c>
    </row>
    <row r="18" spans="2:7">
      <c r="B18" s="25">
        <f>scaling!N29</f>
        <v>5435.4541607692645</v>
      </c>
      <c r="C18" s="2" t="s">
        <v>11</v>
      </c>
      <c r="D18" s="2" t="s">
        <v>22</v>
      </c>
      <c r="E18" s="2" t="s">
        <v>23</v>
      </c>
      <c r="F18" s="2" t="s">
        <v>14</v>
      </c>
      <c r="G18" s="28" t="s">
        <v>172</v>
      </c>
    </row>
    <row r="19" spans="2:7">
      <c r="B19" s="25">
        <f>scaling!N30</f>
        <v>3767.8315556009511</v>
      </c>
      <c r="C19" s="2" t="s">
        <v>7</v>
      </c>
      <c r="D19" s="2" t="s">
        <v>8</v>
      </c>
      <c r="E19" s="2" t="s">
        <v>9</v>
      </c>
      <c r="F19" s="2" t="s">
        <v>3</v>
      </c>
      <c r="G19" s="29" t="s">
        <v>173</v>
      </c>
    </row>
    <row r="20" spans="2:7">
      <c r="B20" s="25">
        <f>scaling!N31</f>
        <v>2098.1497964484261</v>
      </c>
      <c r="C20" s="2" t="s">
        <v>15</v>
      </c>
      <c r="D20" s="2" t="s">
        <v>16</v>
      </c>
      <c r="E20" s="2" t="s">
        <v>17</v>
      </c>
      <c r="F20" s="2" t="s">
        <v>3</v>
      </c>
      <c r="G20" s="29" t="s">
        <v>193</v>
      </c>
    </row>
    <row r="21" spans="2:7">
      <c r="B21" s="25">
        <f>scaling!N32</f>
        <v>398.00910364350023</v>
      </c>
      <c r="C21" s="2" t="s">
        <v>11</v>
      </c>
      <c r="D21" s="2" t="s">
        <v>18</v>
      </c>
      <c r="E21" s="2" t="s">
        <v>18</v>
      </c>
      <c r="F21" s="2" t="s">
        <v>19</v>
      </c>
      <c r="G21" s="28" t="s">
        <v>174</v>
      </c>
    </row>
    <row r="22" spans="2:7">
      <c r="B22" s="25">
        <f>scaling!N33</f>
        <v>241.12325449053736</v>
      </c>
      <c r="C22" s="2" t="s">
        <v>11</v>
      </c>
      <c r="D22" s="10" t="s">
        <v>20</v>
      </c>
      <c r="E22" s="2" t="s">
        <v>21</v>
      </c>
      <c r="F22" s="2" t="s">
        <v>14</v>
      </c>
      <c r="G22" t="s">
        <v>194</v>
      </c>
    </row>
    <row r="23" spans="2:7">
      <c r="B23" s="25">
        <f>scaling!N34</f>
        <v>385.53572731384884</v>
      </c>
      <c r="C23" s="2" t="s">
        <v>11</v>
      </c>
      <c r="D23" s="2" t="s">
        <v>24</v>
      </c>
      <c r="E23" s="2" t="s">
        <v>25</v>
      </c>
      <c r="F23" s="2" t="s">
        <v>14</v>
      </c>
      <c r="G23" s="28" t="s">
        <v>195</v>
      </c>
    </row>
    <row r="24" spans="2:7">
      <c r="B24" s="25">
        <f>scaling!N35</f>
        <v>188.89235842586783</v>
      </c>
      <c r="C24" s="2" t="s">
        <v>11</v>
      </c>
      <c r="D24" s="10" t="s">
        <v>84</v>
      </c>
      <c r="E24" s="2" t="s">
        <v>85</v>
      </c>
      <c r="F24" s="2" t="s">
        <v>14</v>
      </c>
      <c r="G24" s="28" t="s">
        <v>175</v>
      </c>
    </row>
    <row r="25" spans="2:7">
      <c r="B25" s="25">
        <f>scaling!N36</f>
        <v>87.479564589321939</v>
      </c>
      <c r="C25" s="2" t="s">
        <v>11</v>
      </c>
      <c r="D25" s="2" t="s">
        <v>26</v>
      </c>
      <c r="E25" s="2" t="s">
        <v>27</v>
      </c>
      <c r="F25" s="2" t="s">
        <v>14</v>
      </c>
      <c r="G25" s="28" t="s">
        <v>197</v>
      </c>
    </row>
    <row r="26" spans="2:7">
      <c r="B26" s="25">
        <f>scaling!N37</f>
        <v>21.701092904148368</v>
      </c>
      <c r="C26" s="2" t="s">
        <v>11</v>
      </c>
      <c r="D26" s="10" t="s">
        <v>86</v>
      </c>
      <c r="E26" s="2" t="s">
        <v>87</v>
      </c>
      <c r="F26" s="2" t="s">
        <v>14</v>
      </c>
      <c r="G26" s="28" t="s">
        <v>176</v>
      </c>
    </row>
    <row r="27" spans="2:7">
      <c r="B27" s="25">
        <f>scaling!N38</f>
        <v>44.478003297681411</v>
      </c>
      <c r="C27" s="2" t="s">
        <v>11</v>
      </c>
      <c r="D27" s="2" t="s">
        <v>28</v>
      </c>
      <c r="E27" s="2" t="s">
        <v>29</v>
      </c>
      <c r="F27" s="2" t="s">
        <v>14</v>
      </c>
      <c r="G27" s="28" t="s">
        <v>177</v>
      </c>
    </row>
    <row r="28" spans="2:7">
      <c r="B28" s="25">
        <f>scaling!N39</f>
        <v>18.256474982854975</v>
      </c>
      <c r="C28" s="2" t="s">
        <v>11</v>
      </c>
      <c r="D28" s="10" t="s">
        <v>88</v>
      </c>
      <c r="E28" s="2" t="s">
        <v>88</v>
      </c>
      <c r="F28" s="2" t="s">
        <v>19</v>
      </c>
      <c r="G28" s="28" t="s">
        <v>178</v>
      </c>
    </row>
    <row r="29" spans="2:7">
      <c r="B29" s="25">
        <f>scaling!N40</f>
        <v>27.904711598791824</v>
      </c>
      <c r="C29" s="2" t="s">
        <v>30</v>
      </c>
      <c r="D29" s="2" t="s">
        <v>31</v>
      </c>
      <c r="E29" s="2" t="s">
        <v>32</v>
      </c>
      <c r="F29" s="2" t="s">
        <v>3</v>
      </c>
      <c r="G29" s="29" t="s">
        <v>179</v>
      </c>
    </row>
    <row r="30" spans="2:7">
      <c r="B30" s="25">
        <f>scaling!N41</f>
        <v>14.233697634716123</v>
      </c>
      <c r="C30" s="2" t="s">
        <v>11</v>
      </c>
      <c r="D30" s="2" t="s">
        <v>33</v>
      </c>
      <c r="E30" s="2" t="s">
        <v>34</v>
      </c>
      <c r="F30" s="2" t="s">
        <v>14</v>
      </c>
      <c r="G30" s="28" t="s">
        <v>198</v>
      </c>
    </row>
    <row r="31" spans="2:7">
      <c r="B31" s="25">
        <f>scaling!N42</f>
        <v>9.8057724016167391</v>
      </c>
      <c r="C31" s="2" t="s">
        <v>11</v>
      </c>
      <c r="D31" s="2" t="s">
        <v>35</v>
      </c>
      <c r="E31" s="2" t="s">
        <v>36</v>
      </c>
      <c r="F31" s="2" t="s">
        <v>14</v>
      </c>
      <c r="G31" s="28" t="s">
        <v>180</v>
      </c>
    </row>
    <row r="32" spans="2:7">
      <c r="B32" s="25">
        <f>scaling!N43</f>
        <v>7.0834634409700437</v>
      </c>
      <c r="C32" s="2" t="s">
        <v>11</v>
      </c>
      <c r="D32" s="2" t="s">
        <v>37</v>
      </c>
      <c r="E32" s="2" t="s">
        <v>38</v>
      </c>
      <c r="F32" s="2" t="s">
        <v>14</v>
      </c>
      <c r="G32" s="28" t="s">
        <v>181</v>
      </c>
    </row>
    <row r="33" spans="2:7">
      <c r="B33" s="25">
        <f>scaling!N44</f>
        <v>5.6889235842586778</v>
      </c>
      <c r="C33" s="2" t="s">
        <v>11</v>
      </c>
      <c r="D33" s="2" t="s">
        <v>41</v>
      </c>
      <c r="E33" s="2" t="s">
        <v>42</v>
      </c>
      <c r="F33" s="2" t="s">
        <v>19</v>
      </c>
      <c r="G33" s="28" t="s">
        <v>182</v>
      </c>
    </row>
    <row r="34" spans="2:7">
      <c r="B34" s="25">
        <f>scaling!N45</f>
        <v>4.7056162724526871</v>
      </c>
      <c r="C34" s="2" t="s">
        <v>11</v>
      </c>
      <c r="D34" s="2" t="s">
        <v>39</v>
      </c>
      <c r="E34" s="2" t="s">
        <v>40</v>
      </c>
      <c r="F34" s="2" t="s">
        <v>19</v>
      </c>
      <c r="G34" s="28" t="s">
        <v>183</v>
      </c>
    </row>
    <row r="35" spans="2:7">
      <c r="B35" s="25">
        <f>scaling!N46</f>
        <v>-4.7056162724526871</v>
      </c>
      <c r="C35" s="3" t="s">
        <v>11</v>
      </c>
      <c r="D35" s="3" t="s">
        <v>43</v>
      </c>
      <c r="E35" s="3" t="s">
        <v>44</v>
      </c>
      <c r="F35" s="3" t="s">
        <v>3</v>
      </c>
      <c r="G35" s="28" t="s">
        <v>184</v>
      </c>
    </row>
    <row r="36" spans="2:7">
      <c r="B36" s="25">
        <f>scaling!N47</f>
        <v>-7.0834634409700437</v>
      </c>
      <c r="C36" s="3" t="s">
        <v>11</v>
      </c>
      <c r="D36" s="3" t="s">
        <v>45</v>
      </c>
      <c r="E36" s="3" t="s">
        <v>46</v>
      </c>
      <c r="F36" s="3" t="s">
        <v>14</v>
      </c>
      <c r="G36" s="28" t="s">
        <v>185</v>
      </c>
    </row>
    <row r="37" spans="2:7">
      <c r="B37" s="25">
        <f>scaling!N48</f>
        <v>-9.8057724016167391</v>
      </c>
      <c r="C37" s="3" t="s">
        <v>11</v>
      </c>
      <c r="D37" s="3" t="s">
        <v>47</v>
      </c>
      <c r="E37" s="3" t="s">
        <v>48</v>
      </c>
      <c r="F37" s="3" t="s">
        <v>3</v>
      </c>
      <c r="G37" s="28" t="s">
        <v>199</v>
      </c>
    </row>
    <row r="38" spans="2:7">
      <c r="B38" s="25">
        <f>scaling!N49</f>
        <v>-14.233697634716123</v>
      </c>
      <c r="C38" s="3" t="s">
        <v>11</v>
      </c>
      <c r="D38" s="3" t="s">
        <v>49</v>
      </c>
      <c r="E38" s="3" t="s">
        <v>50</v>
      </c>
      <c r="F38" s="3" t="s">
        <v>3</v>
      </c>
      <c r="G38" s="28" t="s">
        <v>186</v>
      </c>
    </row>
    <row r="39" spans="2:7">
      <c r="B39" s="25">
        <f>scaling!N50</f>
        <v>-29.567551398596301</v>
      </c>
      <c r="C39" s="3" t="s">
        <v>11</v>
      </c>
      <c r="D39" s="11" t="s">
        <v>89</v>
      </c>
      <c r="E39" s="3" t="s">
        <v>90</v>
      </c>
      <c r="F39" s="3" t="s">
        <v>3</v>
      </c>
      <c r="G39" s="28" t="s">
        <v>187</v>
      </c>
    </row>
    <row r="40" spans="2:7">
      <c r="B40" s="25">
        <f>scaling!N51</f>
        <v>-87.479564589321939</v>
      </c>
      <c r="C40" s="3" t="s">
        <v>11</v>
      </c>
      <c r="D40" s="3" t="s">
        <v>51</v>
      </c>
      <c r="E40" s="3" t="s">
        <v>52</v>
      </c>
      <c r="F40" s="3" t="s">
        <v>3</v>
      </c>
      <c r="G40" s="28" t="s">
        <v>188</v>
      </c>
    </row>
    <row r="41" spans="2:7">
      <c r="B41" s="25">
        <f>scaling!N52</f>
        <v>-385.53572731384884</v>
      </c>
      <c r="C41" s="3" t="s">
        <v>11</v>
      </c>
      <c r="D41" s="3" t="s">
        <v>53</v>
      </c>
      <c r="E41" s="3" t="s">
        <v>54</v>
      </c>
      <c r="F41" s="3" t="s">
        <v>3</v>
      </c>
      <c r="G41" s="28" t="s">
        <v>189</v>
      </c>
    </row>
    <row r="42" spans="2:7">
      <c r="B42" s="25">
        <f>scaling!N53</f>
        <v>-241.12325449053736</v>
      </c>
      <c r="C42" s="3" t="s">
        <v>11</v>
      </c>
      <c r="D42" s="11" t="s">
        <v>57</v>
      </c>
      <c r="E42" s="3" t="s">
        <v>58</v>
      </c>
      <c r="F42" s="3" t="s">
        <v>14</v>
      </c>
      <c r="G42" s="28" t="s">
        <v>190</v>
      </c>
    </row>
    <row r="43" spans="2:7">
      <c r="B43" s="25">
        <f>scaling!N54</f>
        <v>-5435.4541607692645</v>
      </c>
      <c r="C43" s="3" t="s">
        <v>11</v>
      </c>
      <c r="D43" s="3" t="s">
        <v>55</v>
      </c>
      <c r="E43" s="3" t="s">
        <v>56</v>
      </c>
      <c r="F43" s="3" t="s">
        <v>3</v>
      </c>
      <c r="G43" s="28" t="s">
        <v>191</v>
      </c>
    </row>
    <row r="44" spans="2:7">
      <c r="B44" s="25">
        <f>scaling!N55</f>
        <v>-11676.960953117476</v>
      </c>
      <c r="C44" s="3" t="s">
        <v>11</v>
      </c>
      <c r="D44" s="3" t="s">
        <v>59</v>
      </c>
      <c r="E44" s="3" t="s">
        <v>60</v>
      </c>
      <c r="F44" s="3" t="s">
        <v>3</v>
      </c>
      <c r="G44" s="28" t="s">
        <v>192</v>
      </c>
    </row>
    <row r="45" spans="2:7">
      <c r="B45" s="25">
        <f>scaling!N56</f>
        <v>-65506.585207126496</v>
      </c>
      <c r="C45" s="3" t="s">
        <v>11</v>
      </c>
      <c r="D45" s="3" t="s">
        <v>61</v>
      </c>
      <c r="E45" s="3" t="s">
        <v>62</v>
      </c>
      <c r="F45" s="3" t="s">
        <v>3</v>
      </c>
      <c r="G45" s="28" t="s">
        <v>200</v>
      </c>
    </row>
    <row r="46" spans="2:7">
      <c r="B46" s="25">
        <f>scaling!N57</f>
        <v>1836.2371412312316</v>
      </c>
      <c r="C46" t="s">
        <v>63</v>
      </c>
      <c r="D46" t="s">
        <v>64</v>
      </c>
      <c r="E46" t="s">
        <v>65</v>
      </c>
      <c r="F46" t="s">
        <v>66</v>
      </c>
      <c r="G46" t="s">
        <v>201</v>
      </c>
    </row>
    <row r="47" spans="2:7">
      <c r="B47" s="25">
        <f>scaling!N58</f>
        <v>91.811857061561582</v>
      </c>
      <c r="C47" t="s">
        <v>67</v>
      </c>
      <c r="D47" t="s">
        <v>68</v>
      </c>
      <c r="E47" t="s">
        <v>65</v>
      </c>
      <c r="F47" t="s">
        <v>66</v>
      </c>
      <c r="G47" t="s">
        <v>202</v>
      </c>
    </row>
    <row r="48" spans="2:7">
      <c r="B48" s="25">
        <f>scaling!N59</f>
        <v>91.811857061561582</v>
      </c>
      <c r="C48" t="s">
        <v>67</v>
      </c>
      <c r="D48" t="s">
        <v>70</v>
      </c>
      <c r="E48" t="s">
        <v>65</v>
      </c>
      <c r="F48" t="s">
        <v>66</v>
      </c>
      <c r="G48" t="s">
        <v>203</v>
      </c>
    </row>
    <row r="49" spans="2:7">
      <c r="B49">
        <f>IF(AND(B14&gt;16,B14&lt;32),B14*B10,0)</f>
        <v>8100</v>
      </c>
      <c r="C49" s="30" t="s">
        <v>206</v>
      </c>
      <c r="D49" s="30" t="s">
        <v>204</v>
      </c>
      <c r="E49" s="30" t="s">
        <v>205</v>
      </c>
      <c r="F49" s="30" t="s">
        <v>19</v>
      </c>
      <c r="G49" s="30" t="s">
        <v>207</v>
      </c>
    </row>
    <row r="50" spans="2:7">
      <c r="B50">
        <f>IF(AND(B14&lt;16),B14*B10,0)</f>
        <v>0</v>
      </c>
      <c r="C50" s="30" t="s">
        <v>206</v>
      </c>
      <c r="D50" s="30" t="s">
        <v>208</v>
      </c>
      <c r="E50" s="30" t="s">
        <v>209</v>
      </c>
      <c r="F50" s="30" t="s">
        <v>19</v>
      </c>
      <c r="G50" s="30" t="s">
        <v>210</v>
      </c>
    </row>
    <row r="51" spans="2:7">
      <c r="B51">
        <f>IF(AND(B14&gt;32),B14*B10,0)</f>
        <v>0</v>
      </c>
      <c r="C51" s="30" t="s">
        <v>206</v>
      </c>
      <c r="D51" s="30" t="s">
        <v>211</v>
      </c>
      <c r="E51" s="30" t="s">
        <v>212</v>
      </c>
      <c r="F51" s="30" t="s">
        <v>19</v>
      </c>
      <c r="G51" s="30" t="s">
        <v>213</v>
      </c>
    </row>
    <row r="52" spans="2:7">
      <c r="B52">
        <f>B14*B11</f>
        <v>411840</v>
      </c>
      <c r="C52" s="30" t="s">
        <v>206</v>
      </c>
      <c r="D52" s="30" t="s">
        <v>223</v>
      </c>
      <c r="E52" s="30" t="s">
        <v>222</v>
      </c>
      <c r="F52" s="30" t="s">
        <v>14</v>
      </c>
      <c r="G52" s="30" t="s">
        <v>221</v>
      </c>
    </row>
  </sheetData>
  <hyperlinks>
    <hyperlink ref="H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3"/>
  <sheetViews>
    <sheetView topLeftCell="A2" zoomScale="43" zoomScaleNormal="70" workbookViewId="0">
      <selection activeCell="F50" sqref="F50"/>
    </sheetView>
  </sheetViews>
  <sheetFormatPr defaultRowHeight="14.5"/>
  <cols>
    <col min="3" max="3" width="24.7265625" customWidth="1"/>
    <col min="4" max="4" width="10.54296875" customWidth="1"/>
    <col min="6" max="6" width="10.6328125" customWidth="1"/>
    <col min="16" max="16" width="16.36328125" customWidth="1"/>
  </cols>
  <sheetData>
    <row r="1" spans="1:16">
      <c r="A1" s="1" t="s">
        <v>224</v>
      </c>
    </row>
    <row r="6" spans="1:16">
      <c r="A6" s="1" t="s">
        <v>240</v>
      </c>
      <c r="E6" s="15" t="s">
        <v>243</v>
      </c>
      <c r="I6" s="15" t="s">
        <v>244</v>
      </c>
      <c r="P6" s="1" t="s">
        <v>283</v>
      </c>
    </row>
    <row r="7" spans="1:16">
      <c r="C7" s="34" t="s">
        <v>241</v>
      </c>
      <c r="D7" s="35" t="s">
        <v>225</v>
      </c>
      <c r="E7" s="35" t="s">
        <v>226</v>
      </c>
      <c r="F7" s="35" t="s">
        <v>227</v>
      </c>
      <c r="G7" s="35" t="s">
        <v>228</v>
      </c>
      <c r="H7" s="35" t="s">
        <v>229</v>
      </c>
      <c r="I7" s="35" t="s">
        <v>230</v>
      </c>
    </row>
    <row r="8" spans="1:16">
      <c r="C8" s="33" t="s">
        <v>231</v>
      </c>
      <c r="D8" s="32">
        <v>1744</v>
      </c>
      <c r="E8" s="32">
        <v>1760</v>
      </c>
      <c r="F8" s="32">
        <v>1760</v>
      </c>
      <c r="G8" s="32">
        <v>2118</v>
      </c>
      <c r="H8" s="32">
        <v>2283</v>
      </c>
      <c r="I8" s="32">
        <v>2283</v>
      </c>
      <c r="P8" s="52" t="s">
        <v>295</v>
      </c>
    </row>
    <row r="9" spans="1:16">
      <c r="C9" s="33" t="s">
        <v>232</v>
      </c>
      <c r="D9" s="32">
        <v>1767</v>
      </c>
      <c r="E9" s="32">
        <v>1768</v>
      </c>
      <c r="F9" s="32">
        <v>1770</v>
      </c>
      <c r="G9" s="32">
        <v>2127</v>
      </c>
      <c r="H9" s="32">
        <v>2803</v>
      </c>
      <c r="I9" s="32">
        <v>2803</v>
      </c>
      <c r="P9" s="52" t="s">
        <v>296</v>
      </c>
    </row>
    <row r="10" spans="1:16">
      <c r="C10" s="33" t="s">
        <v>233</v>
      </c>
      <c r="D10" s="32">
        <v>1902</v>
      </c>
      <c r="E10" s="32">
        <v>1902</v>
      </c>
      <c r="F10" s="32">
        <v>1902</v>
      </c>
      <c r="G10" s="32">
        <v>2554</v>
      </c>
      <c r="H10" s="32">
        <v>5150</v>
      </c>
      <c r="I10" s="32">
        <v>5150</v>
      </c>
      <c r="P10" s="52" t="s">
        <v>297</v>
      </c>
    </row>
    <row r="11" spans="1:16">
      <c r="C11" s="33" t="s">
        <v>234</v>
      </c>
      <c r="D11" s="32">
        <v>1902</v>
      </c>
      <c r="E11" s="32">
        <v>1902</v>
      </c>
      <c r="F11" s="32">
        <v>1902</v>
      </c>
      <c r="G11" s="32">
        <v>2554</v>
      </c>
      <c r="H11" s="32">
        <v>2554</v>
      </c>
      <c r="I11" s="32">
        <v>2554</v>
      </c>
      <c r="P11" s="53" t="s">
        <v>298</v>
      </c>
    </row>
    <row r="12" spans="1:16">
      <c r="C12" s="33" t="s">
        <v>235</v>
      </c>
      <c r="D12" s="32">
        <v>2102</v>
      </c>
      <c r="E12" s="32">
        <v>2102</v>
      </c>
      <c r="F12" s="32">
        <v>2102</v>
      </c>
      <c r="G12" s="32">
        <v>2754</v>
      </c>
      <c r="H12" s="32">
        <v>2754</v>
      </c>
      <c r="I12" s="32">
        <v>2754</v>
      </c>
      <c r="P12" s="4" t="s">
        <v>301</v>
      </c>
    </row>
    <row r="13" spans="1:16">
      <c r="C13" s="33" t="s">
        <v>236</v>
      </c>
      <c r="D13" s="32">
        <v>4684</v>
      </c>
      <c r="E13" s="32">
        <v>5169</v>
      </c>
      <c r="F13" s="32">
        <v>5400</v>
      </c>
      <c r="G13" s="32">
        <v>6192</v>
      </c>
      <c r="H13" s="32">
        <v>8716</v>
      </c>
      <c r="I13" s="32">
        <v>10258</v>
      </c>
    </row>
    <row r="14" spans="1:16">
      <c r="C14" s="33" t="s">
        <v>237</v>
      </c>
      <c r="D14" s="32">
        <v>180</v>
      </c>
      <c r="E14" s="32">
        <v>180</v>
      </c>
      <c r="F14" s="32">
        <v>180</v>
      </c>
      <c r="G14" s="32">
        <v>300</v>
      </c>
      <c r="H14" s="32">
        <v>300</v>
      </c>
      <c r="I14" s="32">
        <v>300</v>
      </c>
      <c r="P14" t="s">
        <v>303</v>
      </c>
    </row>
    <row r="15" spans="1:16">
      <c r="C15" s="33" t="s">
        <v>238</v>
      </c>
      <c r="D15" s="32">
        <v>165</v>
      </c>
      <c r="E15" s="32">
        <v>196</v>
      </c>
      <c r="F15" s="32">
        <v>225</v>
      </c>
      <c r="G15" s="32">
        <v>293</v>
      </c>
      <c r="H15" s="32">
        <v>408</v>
      </c>
      <c r="I15" s="32">
        <v>408</v>
      </c>
    </row>
    <row r="16" spans="1:16">
      <c r="C16" s="33" t="s">
        <v>242</v>
      </c>
      <c r="D16" s="32">
        <v>4763</v>
      </c>
      <c r="E16" s="46">
        <v>5562</v>
      </c>
      <c r="F16" s="32">
        <v>7310</v>
      </c>
      <c r="G16" s="32">
        <v>9257</v>
      </c>
      <c r="H16" s="32">
        <v>14600</v>
      </c>
      <c r="I16" s="46">
        <v>17607</v>
      </c>
      <c r="P16" s="4" t="s">
        <v>316</v>
      </c>
    </row>
    <row r="17" spans="1:18">
      <c r="C17" s="33" t="s">
        <v>239</v>
      </c>
      <c r="D17" s="32">
        <v>40</v>
      </c>
      <c r="E17" s="46">
        <v>63</v>
      </c>
      <c r="F17" s="32">
        <v>100</v>
      </c>
      <c r="G17" s="32">
        <v>160</v>
      </c>
      <c r="H17" s="32">
        <v>250</v>
      </c>
      <c r="I17" s="46">
        <v>400</v>
      </c>
      <c r="P17" t="s">
        <v>313</v>
      </c>
    </row>
    <row r="18" spans="1:18" ht="15">
      <c r="C18" s="47" t="s">
        <v>285</v>
      </c>
      <c r="D18" s="49">
        <v>6.2</v>
      </c>
      <c r="E18" s="50">
        <v>9.6999999999999993</v>
      </c>
      <c r="F18" s="49">
        <v>13.8</v>
      </c>
      <c r="G18" s="49">
        <v>24.1</v>
      </c>
      <c r="H18" s="49">
        <v>34.200000000000003</v>
      </c>
      <c r="I18" s="46">
        <f>0.1352*I17+1.02</f>
        <v>55.1</v>
      </c>
      <c r="P18" t="s">
        <v>314</v>
      </c>
    </row>
    <row r="19" spans="1:18" ht="15">
      <c r="C19" s="47" t="s">
        <v>286</v>
      </c>
      <c r="D19" s="32">
        <v>7500</v>
      </c>
      <c r="E19" s="32">
        <v>7500</v>
      </c>
      <c r="F19" s="32">
        <v>7500</v>
      </c>
      <c r="G19" s="32">
        <v>7500</v>
      </c>
      <c r="H19" s="32">
        <v>7500</v>
      </c>
      <c r="I19" s="32">
        <v>7500</v>
      </c>
      <c r="P19" s="56" t="s">
        <v>315</v>
      </c>
    </row>
    <row r="20" spans="1:18">
      <c r="C20" s="33"/>
      <c r="D20" s="32"/>
      <c r="E20" s="32"/>
      <c r="F20" s="32"/>
      <c r="G20" s="32"/>
      <c r="H20" s="32"/>
      <c r="I20" s="32"/>
      <c r="P20" s="56" t="s">
        <v>312</v>
      </c>
    </row>
    <row r="21" spans="1:18">
      <c r="A21" s="1" t="s">
        <v>123</v>
      </c>
      <c r="C21" s="36" t="s">
        <v>245</v>
      </c>
      <c r="D21" s="32"/>
      <c r="E21" s="32"/>
      <c r="F21" s="32"/>
      <c r="G21" s="32"/>
      <c r="H21" s="32"/>
      <c r="I21" s="32"/>
      <c r="L21" s="1" t="s">
        <v>157</v>
      </c>
    </row>
    <row r="22" spans="1:18">
      <c r="C22" s="33"/>
      <c r="D22" s="32"/>
      <c r="E22" s="32"/>
      <c r="F22" s="32"/>
      <c r="G22" s="32"/>
      <c r="H22" s="32"/>
      <c r="I22" s="32"/>
      <c r="L22" t="s">
        <v>309</v>
      </c>
      <c r="P22" t="s">
        <v>317</v>
      </c>
      <c r="Q22">
        <v>5</v>
      </c>
      <c r="R22" t="s">
        <v>318</v>
      </c>
    </row>
    <row r="23" spans="1:18">
      <c r="C23" s="33"/>
      <c r="D23" s="32"/>
      <c r="E23" s="32"/>
      <c r="F23" s="32"/>
      <c r="G23" s="32"/>
      <c r="H23" s="32"/>
      <c r="I23" s="32"/>
      <c r="P23" t="s">
        <v>319</v>
      </c>
      <c r="Q23">
        <v>2</v>
      </c>
      <c r="R23" t="s">
        <v>318</v>
      </c>
    </row>
    <row r="24" spans="1:18" ht="15.5">
      <c r="C24" s="38" t="s">
        <v>241</v>
      </c>
      <c r="D24" s="39" t="s">
        <v>156</v>
      </c>
      <c r="E24" s="40"/>
      <c r="F24" s="40"/>
      <c r="G24" s="40"/>
      <c r="H24" s="40"/>
      <c r="I24" s="40"/>
      <c r="P24" t="s">
        <v>320</v>
      </c>
      <c r="Q24">
        <v>3</v>
      </c>
      <c r="R24" t="s">
        <v>132</v>
      </c>
    </row>
    <row r="25" spans="1:18" ht="15.5">
      <c r="C25" s="40" t="s">
        <v>246</v>
      </c>
      <c r="D25" s="40"/>
      <c r="E25" s="40"/>
      <c r="F25" s="40"/>
      <c r="G25" s="40"/>
      <c r="H25" s="40"/>
      <c r="I25" s="40"/>
      <c r="P25" t="s">
        <v>321</v>
      </c>
      <c r="Q25">
        <v>500</v>
      </c>
      <c r="R25" t="s">
        <v>322</v>
      </c>
    </row>
    <row r="26" spans="1:18" ht="15.5">
      <c r="C26" s="40"/>
      <c r="D26" s="40"/>
      <c r="E26" s="40"/>
      <c r="F26" s="40"/>
      <c r="G26" s="40"/>
      <c r="H26" s="40"/>
      <c r="I26" s="40"/>
      <c r="P26" t="s">
        <v>323</v>
      </c>
      <c r="Q26">
        <f>Q25*(Q23+Q22)</f>
        <v>3500</v>
      </c>
      <c r="R26" t="s">
        <v>324</v>
      </c>
    </row>
    <row r="27" spans="1:18" ht="15.5">
      <c r="C27" s="40" t="s">
        <v>247</v>
      </c>
      <c r="D27" s="40"/>
      <c r="E27" s="40"/>
      <c r="F27" s="40"/>
      <c r="G27" s="40"/>
      <c r="H27" s="40"/>
      <c r="I27" s="40"/>
      <c r="P27" t="s">
        <v>325</v>
      </c>
      <c r="Q27" s="58">
        <f>Q26/8760</f>
        <v>0.3995433789954338</v>
      </c>
      <c r="R27" t="s">
        <v>328</v>
      </c>
    </row>
    <row r="28" spans="1:18" ht="15.5">
      <c r="C28" s="40" t="s">
        <v>248</v>
      </c>
      <c r="D28" s="40"/>
      <c r="E28" s="40"/>
      <c r="F28" s="40"/>
      <c r="G28" s="40"/>
      <c r="H28" s="40"/>
      <c r="I28" s="40"/>
      <c r="P28" t="s">
        <v>326</v>
      </c>
      <c r="Q28">
        <f>Q24*Q25</f>
        <v>1500</v>
      </c>
      <c r="R28" t="s">
        <v>327</v>
      </c>
    </row>
    <row r="29" spans="1:18" ht="15.5">
      <c r="C29" s="40" t="s">
        <v>249</v>
      </c>
      <c r="D29" s="40"/>
      <c r="E29" s="40"/>
      <c r="F29" s="40"/>
      <c r="G29" s="40"/>
      <c r="H29" s="40"/>
      <c r="I29" s="40"/>
    </row>
    <row r="30" spans="1:18" ht="15.5">
      <c r="C30" s="40" t="s">
        <v>250</v>
      </c>
      <c r="D30" s="41"/>
      <c r="E30" s="41"/>
      <c r="F30" s="41"/>
      <c r="G30" s="41"/>
      <c r="H30" s="41"/>
      <c r="I30" s="41"/>
    </row>
    <row r="31" spans="1:18" ht="15.5">
      <c r="C31" s="40" t="s">
        <v>251</v>
      </c>
      <c r="D31" s="41"/>
      <c r="E31" s="41"/>
      <c r="F31" s="41"/>
      <c r="G31" s="41"/>
      <c r="H31" s="41"/>
      <c r="I31" s="41"/>
      <c r="P31" s="8"/>
    </row>
    <row r="32" spans="1:18" ht="15.5">
      <c r="C32" s="42" t="s">
        <v>258</v>
      </c>
      <c r="D32" s="41" t="s">
        <v>270</v>
      </c>
      <c r="E32" s="41"/>
      <c r="F32" s="41"/>
      <c r="G32" s="41"/>
      <c r="H32" s="41"/>
      <c r="I32" s="41"/>
    </row>
    <row r="33" spans="3:16" ht="15.5">
      <c r="C33" s="38" t="s">
        <v>259</v>
      </c>
      <c r="D33" s="43">
        <v>14000</v>
      </c>
      <c r="E33" s="43" t="s">
        <v>260</v>
      </c>
      <c r="F33" s="41"/>
      <c r="G33" s="41"/>
      <c r="H33" s="41"/>
      <c r="I33" s="41"/>
      <c r="P33" s="48"/>
    </row>
    <row r="34" spans="3:16" ht="15.5">
      <c r="C34" s="42"/>
      <c r="D34" s="41"/>
      <c r="E34" s="41"/>
      <c r="F34" s="41"/>
      <c r="G34" s="41"/>
      <c r="H34" s="41"/>
      <c r="I34" s="41"/>
    </row>
    <row r="35" spans="3:16" ht="15.5">
      <c r="C35" s="40" t="s">
        <v>257</v>
      </c>
      <c r="D35" s="41"/>
      <c r="E35" s="41"/>
      <c r="F35" s="41"/>
      <c r="G35" s="41"/>
      <c r="H35" s="41"/>
      <c r="I35" s="41"/>
    </row>
    <row r="36" spans="3:16" ht="15.5">
      <c r="C36" s="40" t="s">
        <v>252</v>
      </c>
      <c r="D36" s="41"/>
      <c r="E36" s="41"/>
      <c r="F36" s="41"/>
      <c r="G36" s="41"/>
      <c r="H36" s="41"/>
      <c r="I36" s="41"/>
    </row>
    <row r="37" spans="3:16" ht="15.5">
      <c r="C37" s="40" t="s">
        <v>253</v>
      </c>
      <c r="D37" s="41"/>
      <c r="E37" s="41"/>
      <c r="F37" s="41"/>
      <c r="G37" s="41"/>
      <c r="H37" s="41"/>
      <c r="I37" s="41"/>
    </row>
    <row r="38" spans="3:16" ht="15.5">
      <c r="C38" s="40" t="s">
        <v>254</v>
      </c>
      <c r="D38" s="41"/>
      <c r="E38" s="41"/>
      <c r="F38" s="41"/>
      <c r="G38" s="41"/>
      <c r="H38" s="41"/>
      <c r="I38" s="41"/>
    </row>
    <row r="39" spans="3:16" ht="15.5">
      <c r="C39" s="40" t="s">
        <v>255</v>
      </c>
      <c r="D39" s="41"/>
      <c r="E39" s="41"/>
      <c r="F39" s="41"/>
      <c r="G39" s="41"/>
      <c r="H39" s="41"/>
      <c r="I39" s="41"/>
    </row>
    <row r="40" spans="3:16" ht="15.5">
      <c r="C40" s="40" t="s">
        <v>256</v>
      </c>
      <c r="D40" s="41"/>
      <c r="E40" s="41"/>
      <c r="F40" s="41"/>
      <c r="G40" s="41"/>
      <c r="H40" s="41"/>
      <c r="I40" s="41"/>
    </row>
    <row r="41" spans="3:16" ht="15.5">
      <c r="C41" s="42" t="s">
        <v>258</v>
      </c>
      <c r="D41" s="41" t="s">
        <v>271</v>
      </c>
      <c r="E41" s="41"/>
      <c r="F41" s="41"/>
      <c r="G41" s="41"/>
      <c r="H41" s="41"/>
      <c r="I41" s="41"/>
    </row>
    <row r="42" spans="3:16" ht="15.5">
      <c r="C42" s="38" t="s">
        <v>259</v>
      </c>
      <c r="D42" s="43">
        <v>4000</v>
      </c>
      <c r="E42" s="43" t="s">
        <v>260</v>
      </c>
      <c r="F42" s="41"/>
      <c r="G42" s="41"/>
      <c r="H42" s="41"/>
      <c r="I42" s="41"/>
    </row>
    <row r="43" spans="3:16" ht="15.5">
      <c r="C43" s="40"/>
      <c r="D43" s="41"/>
      <c r="E43" s="41"/>
      <c r="F43" s="41"/>
      <c r="G43" s="41"/>
      <c r="H43" s="41"/>
      <c r="I43" s="41"/>
    </row>
    <row r="44" spans="3:16" ht="15.5">
      <c r="C44" s="40" t="s">
        <v>261</v>
      </c>
      <c r="D44" s="41"/>
      <c r="E44" s="41"/>
      <c r="F44" s="41"/>
      <c r="G44" s="41"/>
      <c r="H44" s="41"/>
      <c r="I44" s="41"/>
    </row>
    <row r="45" spans="3:16" ht="15.5">
      <c r="C45" s="40"/>
      <c r="D45" s="41"/>
      <c r="E45" s="41"/>
      <c r="F45" s="41"/>
      <c r="G45" s="41"/>
      <c r="H45" s="41"/>
      <c r="I45" s="41"/>
    </row>
    <row r="46" spans="3:16" ht="15.5">
      <c r="C46" s="41"/>
      <c r="D46" s="41"/>
      <c r="E46" s="41"/>
      <c r="F46" s="41"/>
      <c r="G46" s="41"/>
      <c r="H46" s="41"/>
      <c r="I46" s="41"/>
    </row>
    <row r="47" spans="3:16" ht="15.5">
      <c r="C47" s="40" t="s">
        <v>267</v>
      </c>
      <c r="D47" s="41">
        <v>100000</v>
      </c>
      <c r="E47" s="41" t="s">
        <v>262</v>
      </c>
      <c r="F47" s="59">
        <f>D47/550/1000</f>
        <v>0.18181818181818182</v>
      </c>
      <c r="G47" s="41" t="s">
        <v>329</v>
      </c>
      <c r="H47" s="41"/>
      <c r="I47" s="41"/>
      <c r="J47" s="1" t="s">
        <v>332</v>
      </c>
    </row>
    <row r="48" spans="3:16" ht="15.5">
      <c r="C48" s="44" t="s">
        <v>266</v>
      </c>
      <c r="D48" s="41">
        <v>150</v>
      </c>
      <c r="E48" s="41" t="s">
        <v>263</v>
      </c>
      <c r="F48" s="41"/>
      <c r="G48" s="41"/>
      <c r="H48" s="41"/>
      <c r="I48" s="41"/>
      <c r="J48">
        <v>1</v>
      </c>
      <c r="K48" t="s">
        <v>333</v>
      </c>
    </row>
    <row r="49" spans="3:11" ht="15.5">
      <c r="C49" s="44" t="s">
        <v>266</v>
      </c>
      <c r="D49" s="41">
        <v>900</v>
      </c>
      <c r="E49" s="41" t="s">
        <v>264</v>
      </c>
      <c r="F49" s="59">
        <f>D49/550/1000*1000</f>
        <v>1.6363636363636365</v>
      </c>
      <c r="G49" s="41" t="s">
        <v>331</v>
      </c>
      <c r="H49" s="41"/>
      <c r="I49" s="41"/>
      <c r="J49">
        <v>5.7847000000000003E-2</v>
      </c>
      <c r="K49" t="s">
        <v>334</v>
      </c>
    </row>
    <row r="50" spans="3:11" ht="15.5">
      <c r="C50" s="44" t="s">
        <v>265</v>
      </c>
      <c r="D50" s="41">
        <v>1500</v>
      </c>
      <c r="E50" s="41" t="s">
        <v>268</v>
      </c>
      <c r="F50" s="41">
        <f>D50/550/1000</f>
        <v>2.7272727272727271E-3</v>
      </c>
      <c r="G50" s="41" t="s">
        <v>330</v>
      </c>
      <c r="H50" s="41"/>
      <c r="I50" s="41"/>
      <c r="J50">
        <v>0.17233999999999999</v>
      </c>
      <c r="K50" t="s">
        <v>335</v>
      </c>
    </row>
    <row r="51" spans="3:11">
      <c r="C51" s="37"/>
      <c r="J51">
        <v>6.6529999999999996E-4</v>
      </c>
      <c r="K51" t="s">
        <v>337</v>
      </c>
    </row>
    <row r="52" spans="3:11" ht="15.5">
      <c r="C52" s="44" t="s">
        <v>269</v>
      </c>
      <c r="D52" s="41">
        <f>9*3+3*3</f>
        <v>36</v>
      </c>
      <c r="E52" s="41" t="s">
        <v>129</v>
      </c>
      <c r="J52" t="s">
        <v>336</v>
      </c>
    </row>
    <row r="53" spans="3:11" ht="15.5">
      <c r="C53" s="44" t="s">
        <v>272</v>
      </c>
      <c r="D53" s="41">
        <v>12</v>
      </c>
      <c r="E53" s="41" t="s">
        <v>129</v>
      </c>
      <c r="J53">
        <f>J50/$J$49</f>
        <v>2.9792383356094523</v>
      </c>
      <c r="K53" t="s">
        <v>335</v>
      </c>
    </row>
    <row r="54" spans="3:11" ht="15.5">
      <c r="C54" s="44" t="s">
        <v>273</v>
      </c>
      <c r="D54" s="41">
        <v>6</v>
      </c>
      <c r="E54" s="41" t="s">
        <v>129</v>
      </c>
      <c r="J54">
        <f>J51/$J$49</f>
        <v>1.1501028575379881E-2</v>
      </c>
      <c r="K54" t="s">
        <v>337</v>
      </c>
    </row>
    <row r="55" spans="3:11">
      <c r="C55" s="37"/>
    </row>
    <row r="56" spans="3:11" ht="15.5">
      <c r="C56" s="44" t="s">
        <v>274</v>
      </c>
    </row>
    <row r="57" spans="3:11" ht="15.5">
      <c r="C57" s="44" t="s">
        <v>275</v>
      </c>
      <c r="D57">
        <v>500</v>
      </c>
      <c r="E57" s="41" t="s">
        <v>276</v>
      </c>
    </row>
    <row r="58" spans="3:11" ht="15.5">
      <c r="C58" s="44" t="s">
        <v>277</v>
      </c>
      <c r="D58">
        <v>1850</v>
      </c>
      <c r="E58" s="41" t="s">
        <v>278</v>
      </c>
    </row>
    <row r="59" spans="3:11" ht="15.5">
      <c r="C59" s="44" t="s">
        <v>279</v>
      </c>
      <c r="D59" s="45">
        <v>0.6</v>
      </c>
      <c r="E59" s="41" t="s">
        <v>280</v>
      </c>
    </row>
    <row r="60" spans="3:11" ht="15.5">
      <c r="C60" s="44" t="s">
        <v>281</v>
      </c>
      <c r="D60">
        <v>150</v>
      </c>
      <c r="E60" s="41" t="s">
        <v>282</v>
      </c>
    </row>
    <row r="61" spans="3:11">
      <c r="C61" s="37"/>
    </row>
    <row r="62" spans="3:11">
      <c r="C62" s="37"/>
    </row>
    <row r="63" spans="3:11">
      <c r="C63" s="37"/>
    </row>
  </sheetData>
  <hyperlinks>
    <hyperlink ref="C21" r:id="rId1"/>
    <hyperlink ref="P12" r:id="rId2"/>
    <hyperlink ref="P16" r:id="rId3"/>
  </hyperlinks>
  <pageMargins left="0.7" right="0.7" top="0.75" bottom="0.75" header="0.3" footer="0.3"/>
  <pageSetup paperSize="9" orientation="portrait" r:id="rId4"/>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6"/>
  <sheetViews>
    <sheetView topLeftCell="L1" zoomScale="66" zoomScaleNormal="40" workbookViewId="0">
      <selection activeCell="W5" sqref="W5"/>
    </sheetView>
  </sheetViews>
  <sheetFormatPr defaultRowHeight="14.5"/>
  <cols>
    <col min="2" max="2" width="16.54296875" customWidth="1"/>
    <col min="3" max="3" width="29.81640625" customWidth="1"/>
    <col min="4" max="4" width="42.1796875" customWidth="1"/>
    <col min="9" max="9" width="14.453125" customWidth="1"/>
    <col min="10" max="10" width="32.54296875" customWidth="1"/>
    <col min="16" max="16" width="15.81640625" customWidth="1"/>
    <col min="17" max="17" width="29.453125" customWidth="1"/>
    <col min="18" max="18" width="38" customWidth="1"/>
    <col min="22" max="22" width="11.90625" customWidth="1"/>
    <col min="23" max="23" width="13.36328125" customWidth="1"/>
    <col min="24" max="24" width="28.90625" customWidth="1"/>
    <col min="25" max="25" width="22.90625" customWidth="1"/>
  </cols>
  <sheetData>
    <row r="1" spans="1:27">
      <c r="A1" s="1" t="s">
        <v>0</v>
      </c>
    </row>
    <row r="2" spans="1:27">
      <c r="A2" t="s">
        <v>1</v>
      </c>
    </row>
    <row r="5" spans="1:27">
      <c r="A5" t="s">
        <v>2</v>
      </c>
      <c r="B5" t="s">
        <v>81</v>
      </c>
      <c r="H5" t="s">
        <v>2</v>
      </c>
      <c r="I5" t="s">
        <v>106</v>
      </c>
      <c r="O5" t="s">
        <v>80</v>
      </c>
      <c r="P5" t="s">
        <v>82</v>
      </c>
      <c r="V5" t="s">
        <v>80</v>
      </c>
      <c r="W5" t="s">
        <v>115</v>
      </c>
    </row>
    <row r="6" spans="1:27">
      <c r="B6" t="s">
        <v>3</v>
      </c>
      <c r="P6" t="s">
        <v>3</v>
      </c>
      <c r="W6" t="s">
        <v>3</v>
      </c>
    </row>
    <row r="7" spans="1:27">
      <c r="A7" t="s">
        <v>72</v>
      </c>
      <c r="H7" t="s">
        <v>107</v>
      </c>
      <c r="O7" t="s">
        <v>77</v>
      </c>
      <c r="V7" t="s">
        <v>111</v>
      </c>
    </row>
    <row r="8" spans="1:27">
      <c r="A8" t="s">
        <v>73</v>
      </c>
      <c r="H8" t="s">
        <v>73</v>
      </c>
      <c r="O8" t="s">
        <v>73</v>
      </c>
      <c r="V8" t="s">
        <v>73</v>
      </c>
    </row>
    <row r="9" spans="1:27">
      <c r="A9" t="s">
        <v>74</v>
      </c>
      <c r="H9" t="s">
        <v>108</v>
      </c>
      <c r="O9" t="s">
        <v>78</v>
      </c>
      <c r="V9" t="s">
        <v>112</v>
      </c>
    </row>
    <row r="10" spans="1:27">
      <c r="A10" t="s">
        <v>75</v>
      </c>
      <c r="H10" t="s">
        <v>109</v>
      </c>
      <c r="O10" t="s">
        <v>79</v>
      </c>
      <c r="V10" t="s">
        <v>113</v>
      </c>
    </row>
    <row r="11" spans="1:27">
      <c r="A11" t="s">
        <v>76</v>
      </c>
      <c r="H11" t="s">
        <v>110</v>
      </c>
      <c r="O11" t="s">
        <v>76</v>
      </c>
      <c r="V11" t="s">
        <v>114</v>
      </c>
    </row>
    <row r="12" spans="1:27">
      <c r="B12" s="4"/>
    </row>
    <row r="13" spans="1:27">
      <c r="A13" t="s">
        <v>4</v>
      </c>
      <c r="B13" t="s">
        <v>5</v>
      </c>
      <c r="C13" t="s">
        <v>6</v>
      </c>
      <c r="O13" t="s">
        <v>4</v>
      </c>
      <c r="P13" t="s">
        <v>5</v>
      </c>
      <c r="Q13" t="s">
        <v>83</v>
      </c>
    </row>
    <row r="15" spans="1:27">
      <c r="A15" s="2">
        <v>1600</v>
      </c>
      <c r="B15" s="2" t="s">
        <v>7</v>
      </c>
      <c r="C15" s="2" t="s">
        <v>8</v>
      </c>
      <c r="D15" s="2" t="s">
        <v>9</v>
      </c>
      <c r="E15" s="2" t="s">
        <v>3</v>
      </c>
      <c r="H15" s="2">
        <v>4791</v>
      </c>
      <c r="I15" s="2" t="s">
        <v>11</v>
      </c>
      <c r="J15" s="2" t="s">
        <v>18</v>
      </c>
      <c r="K15" s="2" t="s">
        <v>18</v>
      </c>
      <c r="L15" s="2" t="s">
        <v>19</v>
      </c>
      <c r="O15" s="2">
        <v>24424</v>
      </c>
      <c r="P15" s="2" t="s">
        <v>11</v>
      </c>
      <c r="Q15" s="2" t="s">
        <v>12</v>
      </c>
      <c r="R15" s="2" t="s">
        <v>13</v>
      </c>
      <c r="S15" s="2" t="s">
        <v>14</v>
      </c>
      <c r="T15" s="2"/>
      <c r="V15" s="2">
        <v>74820</v>
      </c>
      <c r="W15" s="2" t="s">
        <v>11</v>
      </c>
      <c r="X15" s="2" t="s">
        <v>12</v>
      </c>
      <c r="Y15" s="2" t="s">
        <v>13</v>
      </c>
      <c r="Z15" s="2" t="s">
        <v>14</v>
      </c>
      <c r="AA15" t="s">
        <v>10</v>
      </c>
    </row>
    <row r="16" spans="1:27">
      <c r="A16" s="2">
        <v>936</v>
      </c>
      <c r="B16" s="2" t="s">
        <v>11</v>
      </c>
      <c r="C16" s="2" t="s">
        <v>12</v>
      </c>
      <c r="D16" s="2" t="s">
        <v>13</v>
      </c>
      <c r="E16" s="2" t="s">
        <v>14</v>
      </c>
      <c r="H16" s="2">
        <v>4791</v>
      </c>
      <c r="I16" s="2" t="s">
        <v>11</v>
      </c>
      <c r="J16" s="2" t="s">
        <v>12</v>
      </c>
      <c r="K16" s="2" t="s">
        <v>13</v>
      </c>
      <c r="L16" s="2" t="s">
        <v>14</v>
      </c>
      <c r="O16" s="2">
        <v>14200</v>
      </c>
      <c r="P16" s="2" t="s">
        <v>11</v>
      </c>
      <c r="Q16" s="2" t="s">
        <v>22</v>
      </c>
      <c r="R16" s="2" t="s">
        <v>23</v>
      </c>
      <c r="S16" s="2" t="s">
        <v>14</v>
      </c>
      <c r="T16" s="2"/>
      <c r="V16" s="2">
        <v>41220</v>
      </c>
      <c r="W16" s="2" t="s">
        <v>11</v>
      </c>
      <c r="X16" s="2" t="s">
        <v>22</v>
      </c>
      <c r="Y16" s="2" t="s">
        <v>23</v>
      </c>
      <c r="Z16" s="2" t="s">
        <v>14</v>
      </c>
      <c r="AA16" t="s">
        <v>10</v>
      </c>
    </row>
    <row r="17" spans="1:32">
      <c r="A17" s="2">
        <v>528</v>
      </c>
      <c r="B17" s="2" t="s">
        <v>15</v>
      </c>
      <c r="C17" s="2" t="s">
        <v>16</v>
      </c>
      <c r="D17" s="2" t="s">
        <v>17</v>
      </c>
      <c r="E17" s="2" t="s">
        <v>3</v>
      </c>
      <c r="H17" s="2">
        <v>2700</v>
      </c>
      <c r="I17" s="2" t="s">
        <v>7</v>
      </c>
      <c r="J17" s="2" t="s">
        <v>8</v>
      </c>
      <c r="K17" s="2" t="s">
        <v>9</v>
      </c>
      <c r="L17" s="2" t="s">
        <v>3</v>
      </c>
      <c r="O17" s="2">
        <v>5800</v>
      </c>
      <c r="P17" s="2" t="s">
        <v>7</v>
      </c>
      <c r="Q17" s="2" t="s">
        <v>8</v>
      </c>
      <c r="R17" s="2" t="s">
        <v>9</v>
      </c>
      <c r="S17" s="2" t="s">
        <v>3</v>
      </c>
      <c r="T17" s="2"/>
      <c r="V17" s="2">
        <v>9570</v>
      </c>
      <c r="W17" s="2" t="s">
        <v>7</v>
      </c>
      <c r="X17" s="2" t="s">
        <v>8</v>
      </c>
      <c r="Y17" s="2" t="s">
        <v>9</v>
      </c>
      <c r="Z17" s="2" t="s">
        <v>3</v>
      </c>
      <c r="AA17" t="s">
        <v>10</v>
      </c>
    </row>
    <row r="18" spans="1:32">
      <c r="A18" s="2">
        <v>93</v>
      </c>
      <c r="B18" s="2" t="s">
        <v>11</v>
      </c>
      <c r="C18" s="2" t="s">
        <v>18</v>
      </c>
      <c r="D18" s="2" t="s">
        <v>18</v>
      </c>
      <c r="E18" s="2" t="s">
        <v>19</v>
      </c>
      <c r="H18" s="2">
        <v>1330</v>
      </c>
      <c r="I18" s="2" t="s">
        <v>15</v>
      </c>
      <c r="J18" s="2" t="s">
        <v>16</v>
      </c>
      <c r="K18" s="2" t="s">
        <v>17</v>
      </c>
      <c r="L18" s="2" t="s">
        <v>3</v>
      </c>
      <c r="O18" s="2">
        <v>3560</v>
      </c>
      <c r="P18" s="2" t="s">
        <v>15</v>
      </c>
      <c r="Q18" s="2" t="s">
        <v>16</v>
      </c>
      <c r="R18" s="2" t="s">
        <v>17</v>
      </c>
      <c r="S18" s="2" t="s">
        <v>3</v>
      </c>
      <c r="T18" s="2"/>
      <c r="V18" s="2">
        <v>5874</v>
      </c>
      <c r="W18" s="2" t="s">
        <v>15</v>
      </c>
      <c r="X18" s="2" t="s">
        <v>16</v>
      </c>
      <c r="Y18" s="2" t="s">
        <v>17</v>
      </c>
      <c r="Z18" s="2" t="s">
        <v>3</v>
      </c>
      <c r="AA18" t="s">
        <v>10</v>
      </c>
    </row>
    <row r="19" spans="1:32">
      <c r="A19" s="2">
        <v>78</v>
      </c>
      <c r="B19" s="2" t="s">
        <v>11</v>
      </c>
      <c r="C19" s="2" t="s">
        <v>20</v>
      </c>
      <c r="D19" s="2" t="s">
        <v>21</v>
      </c>
      <c r="E19" s="2" t="s">
        <v>14</v>
      </c>
      <c r="H19" s="2">
        <v>830</v>
      </c>
      <c r="I19" s="2" t="s">
        <v>11</v>
      </c>
      <c r="J19" s="2" t="s">
        <v>22</v>
      </c>
      <c r="K19" s="2" t="s">
        <v>23</v>
      </c>
      <c r="L19" s="2" t="s">
        <v>14</v>
      </c>
      <c r="O19" s="2">
        <v>805</v>
      </c>
      <c r="P19" s="2" t="s">
        <v>11</v>
      </c>
      <c r="Q19" s="2" t="s">
        <v>18</v>
      </c>
      <c r="R19" s="2" t="s">
        <v>18</v>
      </c>
      <c r="S19" s="2" t="s">
        <v>19</v>
      </c>
      <c r="T19" s="2"/>
      <c r="V19" s="2">
        <v>2005</v>
      </c>
      <c r="W19" s="2" t="s">
        <v>11</v>
      </c>
      <c r="X19" s="2" t="s">
        <v>18</v>
      </c>
      <c r="Y19" s="2" t="s">
        <v>18</v>
      </c>
      <c r="Z19" s="2" t="s">
        <v>19</v>
      </c>
      <c r="AA19" t="s">
        <v>10</v>
      </c>
    </row>
    <row r="20" spans="1:32">
      <c r="A20" s="2">
        <v>55</v>
      </c>
      <c r="B20" s="2" t="s">
        <v>11</v>
      </c>
      <c r="C20" s="2" t="s">
        <v>22</v>
      </c>
      <c r="D20" s="2" t="s">
        <v>23</v>
      </c>
      <c r="E20" s="2" t="s">
        <v>14</v>
      </c>
      <c r="H20" s="2">
        <v>338</v>
      </c>
      <c r="I20" s="2" t="s">
        <v>11</v>
      </c>
      <c r="J20" s="2" t="s">
        <v>24</v>
      </c>
      <c r="K20" s="2" t="s">
        <v>25</v>
      </c>
      <c r="L20" s="2" t="s">
        <v>14</v>
      </c>
      <c r="O20" s="2">
        <v>700</v>
      </c>
      <c r="P20" s="2" t="s">
        <v>11</v>
      </c>
      <c r="Q20" s="10" t="s">
        <v>20</v>
      </c>
      <c r="R20" s="2" t="s">
        <v>21</v>
      </c>
      <c r="S20" s="2" t="s">
        <v>14</v>
      </c>
      <c r="T20" s="2"/>
      <c r="V20" s="2">
        <v>1115</v>
      </c>
      <c r="W20" s="2" t="s">
        <v>11</v>
      </c>
      <c r="X20" s="2" t="s">
        <v>20</v>
      </c>
      <c r="Y20" s="2" t="s">
        <v>21</v>
      </c>
      <c r="Z20" s="2" t="s">
        <v>14</v>
      </c>
    </row>
    <row r="21" spans="1:32">
      <c r="A21" s="2">
        <v>49.5</v>
      </c>
      <c r="B21" s="2" t="s">
        <v>11</v>
      </c>
      <c r="C21" s="2" t="s">
        <v>24</v>
      </c>
      <c r="D21" s="2" t="s">
        <v>25</v>
      </c>
      <c r="E21" s="2" t="s">
        <v>14</v>
      </c>
      <c r="H21" s="2">
        <v>120</v>
      </c>
      <c r="I21" s="2" t="s">
        <v>11</v>
      </c>
      <c r="J21" s="2" t="s">
        <v>84</v>
      </c>
      <c r="K21" s="2" t="s">
        <v>85</v>
      </c>
      <c r="L21" s="2" t="s">
        <v>14</v>
      </c>
      <c r="O21" s="2">
        <v>476</v>
      </c>
      <c r="P21" s="2" t="s">
        <v>11</v>
      </c>
      <c r="Q21" s="2" t="s">
        <v>24</v>
      </c>
      <c r="R21" s="2" t="s">
        <v>25</v>
      </c>
      <c r="S21" s="2" t="s">
        <v>14</v>
      </c>
      <c r="T21" s="2"/>
      <c r="V21" s="2">
        <v>1846</v>
      </c>
      <c r="W21" s="2" t="s">
        <v>11</v>
      </c>
      <c r="X21" s="2" t="s">
        <v>24</v>
      </c>
      <c r="Y21" s="2" t="s">
        <v>25</v>
      </c>
      <c r="Z21" s="2" t="s">
        <v>14</v>
      </c>
      <c r="AA21" t="s">
        <v>10</v>
      </c>
    </row>
    <row r="22" spans="1:32">
      <c r="A22" s="2">
        <v>19</v>
      </c>
      <c r="B22" s="2" t="s">
        <v>11</v>
      </c>
      <c r="C22" s="2" t="s">
        <v>26</v>
      </c>
      <c r="D22" s="2" t="s">
        <v>27</v>
      </c>
      <c r="E22" s="2" t="s">
        <v>14</v>
      </c>
      <c r="H22" s="2">
        <v>52</v>
      </c>
      <c r="I22" s="2" t="s">
        <v>11</v>
      </c>
      <c r="J22" s="2" t="s">
        <v>26</v>
      </c>
      <c r="K22" s="2" t="s">
        <v>27</v>
      </c>
      <c r="L22" s="2" t="s">
        <v>14</v>
      </c>
      <c r="O22" s="2">
        <v>320</v>
      </c>
      <c r="P22" s="2" t="s">
        <v>11</v>
      </c>
      <c r="Q22" s="10" t="s">
        <v>84</v>
      </c>
      <c r="R22" s="2" t="s">
        <v>85</v>
      </c>
      <c r="S22" s="2" t="s">
        <v>14</v>
      </c>
      <c r="T22" s="2"/>
      <c r="V22" s="2">
        <v>528</v>
      </c>
      <c r="W22" s="2" t="s">
        <v>11</v>
      </c>
      <c r="X22" s="2" t="s">
        <v>84</v>
      </c>
      <c r="Y22" s="2" t="s">
        <v>85</v>
      </c>
      <c r="Z22" s="2" t="s">
        <v>14</v>
      </c>
      <c r="AA22" t="s">
        <v>10</v>
      </c>
    </row>
    <row r="23" spans="1:32">
      <c r="A23" s="2">
        <v>15</v>
      </c>
      <c r="B23" s="2" t="s">
        <v>11</v>
      </c>
      <c r="C23" s="2" t="s">
        <v>28</v>
      </c>
      <c r="D23" s="2" t="s">
        <v>29</v>
      </c>
      <c r="E23" s="2" t="s">
        <v>14</v>
      </c>
      <c r="H23" s="2">
        <v>40</v>
      </c>
      <c r="I23" s="2" t="s">
        <v>11</v>
      </c>
      <c r="J23" s="2" t="s">
        <v>28</v>
      </c>
      <c r="K23" s="2" t="s">
        <v>29</v>
      </c>
      <c r="L23" s="2" t="s">
        <v>14</v>
      </c>
      <c r="O23" s="2">
        <v>155</v>
      </c>
      <c r="P23" s="2" t="s">
        <v>11</v>
      </c>
      <c r="Q23" s="2" t="s">
        <v>26</v>
      </c>
      <c r="R23" s="2" t="s">
        <v>27</v>
      </c>
      <c r="S23" s="2" t="s">
        <v>14</v>
      </c>
      <c r="T23" s="2"/>
      <c r="V23" s="2">
        <v>361</v>
      </c>
      <c r="W23" s="2" t="s">
        <v>11</v>
      </c>
      <c r="X23" s="2" t="s">
        <v>26</v>
      </c>
      <c r="Y23" s="2" t="s">
        <v>27</v>
      </c>
      <c r="Z23" s="2" t="s">
        <v>14</v>
      </c>
      <c r="AA23" t="s">
        <v>10</v>
      </c>
    </row>
    <row r="24" spans="1:32">
      <c r="A24" s="2">
        <v>8.6300000000000008</v>
      </c>
      <c r="B24" s="2" t="s">
        <v>30</v>
      </c>
      <c r="C24" s="2" t="s">
        <v>31</v>
      </c>
      <c r="D24" s="2" t="s">
        <v>32</v>
      </c>
      <c r="E24" s="2" t="s">
        <v>3</v>
      </c>
      <c r="H24" s="2">
        <v>22.6</v>
      </c>
      <c r="I24" s="2" t="s">
        <v>30</v>
      </c>
      <c r="J24" s="2" t="s">
        <v>31</v>
      </c>
      <c r="K24" s="2" t="s">
        <v>32</v>
      </c>
      <c r="L24" s="2" t="s">
        <v>3</v>
      </c>
      <c r="O24" s="2">
        <v>63</v>
      </c>
      <c r="P24" s="2" t="s">
        <v>11</v>
      </c>
      <c r="Q24" s="10" t="s">
        <v>86</v>
      </c>
      <c r="R24" s="2" t="s">
        <v>87</v>
      </c>
      <c r="S24" s="2" t="s">
        <v>14</v>
      </c>
      <c r="T24" s="2"/>
      <c r="V24" s="2">
        <v>104</v>
      </c>
      <c r="W24" s="2" t="s">
        <v>11</v>
      </c>
      <c r="X24" s="2" t="s">
        <v>86</v>
      </c>
      <c r="Y24" s="2" t="s">
        <v>87</v>
      </c>
      <c r="Z24" s="2" t="s">
        <v>14</v>
      </c>
      <c r="AA24" t="s">
        <v>10</v>
      </c>
    </row>
    <row r="25" spans="1:32">
      <c r="A25" s="2">
        <v>4</v>
      </c>
      <c r="B25" s="2" t="s">
        <v>11</v>
      </c>
      <c r="C25" s="2" t="s">
        <v>33</v>
      </c>
      <c r="D25" s="2" t="s">
        <v>34</v>
      </c>
      <c r="E25" s="2" t="s">
        <v>14</v>
      </c>
      <c r="H25" s="2">
        <v>7</v>
      </c>
      <c r="I25" s="2" t="s">
        <v>11</v>
      </c>
      <c r="J25" s="2" t="s">
        <v>33</v>
      </c>
      <c r="K25" s="2" t="s">
        <v>34</v>
      </c>
      <c r="L25" s="2" t="s">
        <v>14</v>
      </c>
      <c r="O25" s="2">
        <v>53</v>
      </c>
      <c r="P25" s="2" t="s">
        <v>11</v>
      </c>
      <c r="Q25" s="2" t="s">
        <v>28</v>
      </c>
      <c r="R25" s="2" t="s">
        <v>29</v>
      </c>
      <c r="S25" s="2" t="s">
        <v>14</v>
      </c>
      <c r="T25" s="2"/>
      <c r="V25" s="2">
        <v>70</v>
      </c>
      <c r="W25" s="2" t="s">
        <v>11</v>
      </c>
      <c r="X25" s="2" t="s">
        <v>28</v>
      </c>
      <c r="Y25" s="2" t="s">
        <v>29</v>
      </c>
      <c r="Z25" s="2" t="s">
        <v>14</v>
      </c>
      <c r="AA25" t="s">
        <v>10</v>
      </c>
    </row>
    <row r="26" spans="1:32">
      <c r="A26" s="2">
        <v>3.5</v>
      </c>
      <c r="B26" s="2" t="s">
        <v>11</v>
      </c>
      <c r="C26" s="2" t="s">
        <v>35</v>
      </c>
      <c r="D26" s="2" t="s">
        <v>36</v>
      </c>
      <c r="E26" s="2" t="s">
        <v>14</v>
      </c>
      <c r="H26" s="2">
        <v>5.5</v>
      </c>
      <c r="I26" s="2" t="s">
        <v>11</v>
      </c>
      <c r="J26" s="2" t="s">
        <v>35</v>
      </c>
      <c r="K26" s="2" t="s">
        <v>36</v>
      </c>
      <c r="L26" s="2" t="s">
        <v>14</v>
      </c>
      <c r="O26" s="2">
        <v>53</v>
      </c>
      <c r="P26" s="2" t="s">
        <v>11</v>
      </c>
      <c r="Q26" s="10" t="s">
        <v>88</v>
      </c>
      <c r="R26" s="2" t="s">
        <v>88</v>
      </c>
      <c r="S26" s="2" t="s">
        <v>19</v>
      </c>
      <c r="T26" s="2"/>
      <c r="V26" s="2">
        <v>70</v>
      </c>
      <c r="W26" s="2" t="s">
        <v>11</v>
      </c>
      <c r="X26" s="2" t="s">
        <v>88</v>
      </c>
      <c r="Y26" s="2" t="s">
        <v>88</v>
      </c>
      <c r="Z26" s="2" t="s">
        <v>19</v>
      </c>
      <c r="AA26" t="s">
        <v>10</v>
      </c>
    </row>
    <row r="27" spans="1:32">
      <c r="A27" s="2">
        <v>3</v>
      </c>
      <c r="B27" s="2" t="s">
        <v>11</v>
      </c>
      <c r="C27" s="2" t="s">
        <v>37</v>
      </c>
      <c r="D27" s="2" t="s">
        <v>38</v>
      </c>
      <c r="E27" s="2" t="s">
        <v>14</v>
      </c>
      <c r="H27" s="2">
        <v>5</v>
      </c>
      <c r="I27" s="2" t="s">
        <v>11</v>
      </c>
      <c r="J27" s="2" t="s">
        <v>41</v>
      </c>
      <c r="K27" s="2" t="s">
        <v>42</v>
      </c>
      <c r="L27" s="2" t="s">
        <v>19</v>
      </c>
      <c r="O27" s="2">
        <v>38</v>
      </c>
      <c r="P27" s="2" t="s">
        <v>30</v>
      </c>
      <c r="Q27" s="2" t="s">
        <v>31</v>
      </c>
      <c r="R27" s="2" t="s">
        <v>32</v>
      </c>
      <c r="S27" s="2" t="s">
        <v>3</v>
      </c>
      <c r="T27" s="2"/>
      <c r="V27" s="2">
        <v>56</v>
      </c>
      <c r="W27" s="2" t="s">
        <v>30</v>
      </c>
      <c r="X27" s="2" t="s">
        <v>31</v>
      </c>
      <c r="Y27" s="2" t="s">
        <v>32</v>
      </c>
      <c r="Z27" s="2" t="s">
        <v>3</v>
      </c>
      <c r="AA27" t="s">
        <v>10</v>
      </c>
    </row>
    <row r="28" spans="1:32">
      <c r="A28" s="2">
        <v>2.5</v>
      </c>
      <c r="B28" s="2" t="s">
        <v>11</v>
      </c>
      <c r="C28" s="2" t="s">
        <v>39</v>
      </c>
      <c r="D28" s="2" t="s">
        <v>40</v>
      </c>
      <c r="E28" s="2" t="s">
        <v>19</v>
      </c>
      <c r="H28" s="2">
        <v>4.5</v>
      </c>
      <c r="I28" s="2" t="s">
        <v>11</v>
      </c>
      <c r="J28" s="2" t="s">
        <v>37</v>
      </c>
      <c r="K28" s="2" t="s">
        <v>38</v>
      </c>
      <c r="L28" s="2" t="s">
        <v>14</v>
      </c>
      <c r="O28" s="2">
        <v>28</v>
      </c>
      <c r="P28" s="2" t="s">
        <v>11</v>
      </c>
      <c r="Q28" s="2" t="s">
        <v>33</v>
      </c>
      <c r="R28" s="2" t="s">
        <v>34</v>
      </c>
      <c r="S28" s="2" t="s">
        <v>14</v>
      </c>
      <c r="T28" s="2"/>
      <c r="V28" s="2">
        <v>46</v>
      </c>
      <c r="W28" s="2" t="s">
        <v>11</v>
      </c>
      <c r="X28" s="2" t="s">
        <v>33</v>
      </c>
      <c r="Y28" s="2" t="s">
        <v>34</v>
      </c>
      <c r="Z28" s="2" t="s">
        <v>14</v>
      </c>
      <c r="AA28" t="s">
        <v>10</v>
      </c>
    </row>
    <row r="29" spans="1:32">
      <c r="A29" s="2">
        <v>1</v>
      </c>
      <c r="B29" s="2" t="s">
        <v>11</v>
      </c>
      <c r="C29" s="2" t="s">
        <v>41</v>
      </c>
      <c r="D29" s="2" t="s">
        <v>42</v>
      </c>
      <c r="E29" s="2" t="s">
        <v>19</v>
      </c>
      <c r="H29" s="2">
        <v>3.5</v>
      </c>
      <c r="I29" s="2" t="s">
        <v>11</v>
      </c>
      <c r="J29" s="2" t="s">
        <v>39</v>
      </c>
      <c r="K29" s="2" t="s">
        <v>40</v>
      </c>
      <c r="L29" s="2" t="s">
        <v>19</v>
      </c>
      <c r="O29" s="2">
        <v>18</v>
      </c>
      <c r="P29" s="2" t="s">
        <v>11</v>
      </c>
      <c r="Q29" s="2" t="s">
        <v>35</v>
      </c>
      <c r="R29" s="2" t="s">
        <v>36</v>
      </c>
      <c r="S29" s="2" t="s">
        <v>14</v>
      </c>
      <c r="T29" s="2"/>
      <c r="V29" s="2">
        <v>18</v>
      </c>
      <c r="W29" s="2" t="s">
        <v>11</v>
      </c>
      <c r="X29" s="2" t="s">
        <v>35</v>
      </c>
      <c r="Y29" s="2" t="s">
        <v>36</v>
      </c>
      <c r="Z29" s="2" t="s">
        <v>14</v>
      </c>
      <c r="AF29" t="s">
        <v>10</v>
      </c>
    </row>
    <row r="30" spans="1:32">
      <c r="A30" s="3">
        <v>-2.5</v>
      </c>
      <c r="B30" s="3" t="s">
        <v>11</v>
      </c>
      <c r="C30" s="3" t="s">
        <v>43</v>
      </c>
      <c r="D30" s="3" t="s">
        <v>44</v>
      </c>
      <c r="E30" s="3" t="s">
        <v>3</v>
      </c>
      <c r="H30" s="3">
        <v>-3.5</v>
      </c>
      <c r="I30" s="3" t="s">
        <v>11</v>
      </c>
      <c r="J30" s="3" t="s">
        <v>43</v>
      </c>
      <c r="K30" s="3" t="s">
        <v>44</v>
      </c>
      <c r="L30" s="3" t="s">
        <v>3</v>
      </c>
      <c r="O30" s="2">
        <v>12</v>
      </c>
      <c r="P30" s="2" t="s">
        <v>11</v>
      </c>
      <c r="Q30" s="2" t="s">
        <v>37</v>
      </c>
      <c r="R30" s="2" t="s">
        <v>38</v>
      </c>
      <c r="S30" s="2" t="s">
        <v>14</v>
      </c>
      <c r="T30" s="2"/>
      <c r="V30" s="2">
        <v>12</v>
      </c>
      <c r="W30" s="2" t="s">
        <v>11</v>
      </c>
      <c r="X30" s="2" t="s">
        <v>37</v>
      </c>
      <c r="Y30" s="2" t="s">
        <v>38</v>
      </c>
      <c r="Z30" s="2" t="s">
        <v>14</v>
      </c>
      <c r="AA30" t="s">
        <v>10</v>
      </c>
    </row>
    <row r="31" spans="1:32">
      <c r="A31" s="3">
        <v>-3</v>
      </c>
      <c r="B31" s="3" t="s">
        <v>11</v>
      </c>
      <c r="C31" s="3" t="s">
        <v>45</v>
      </c>
      <c r="D31" s="3" t="s">
        <v>46</v>
      </c>
      <c r="E31" s="3" t="s">
        <v>14</v>
      </c>
      <c r="H31" s="3">
        <v>-4.5</v>
      </c>
      <c r="I31" s="3" t="s">
        <v>11</v>
      </c>
      <c r="J31" s="3" t="s">
        <v>45</v>
      </c>
      <c r="K31" s="3" t="s">
        <v>46</v>
      </c>
      <c r="L31" s="3" t="s">
        <v>14</v>
      </c>
      <c r="O31" s="2">
        <v>7</v>
      </c>
      <c r="P31" s="2" t="s">
        <v>11</v>
      </c>
      <c r="Q31" s="2" t="s">
        <v>41</v>
      </c>
      <c r="R31" s="2" t="s">
        <v>42</v>
      </c>
      <c r="S31" s="2" t="s">
        <v>19</v>
      </c>
      <c r="T31" s="2"/>
      <c r="V31" s="2">
        <v>12</v>
      </c>
      <c r="W31" s="2" t="s">
        <v>11</v>
      </c>
      <c r="X31" s="2" t="s">
        <v>41</v>
      </c>
      <c r="Y31" s="2" t="s">
        <v>42</v>
      </c>
      <c r="Z31" s="2" t="s">
        <v>19</v>
      </c>
      <c r="AA31" t="s">
        <v>10</v>
      </c>
    </row>
    <row r="32" spans="1:32">
      <c r="A32" s="3">
        <v>-3.5</v>
      </c>
      <c r="B32" s="3" t="s">
        <v>11</v>
      </c>
      <c r="C32" s="3" t="s">
        <v>47</v>
      </c>
      <c r="D32" s="3" t="s">
        <v>48</v>
      </c>
      <c r="E32" s="3" t="s">
        <v>3</v>
      </c>
      <c r="H32" s="3">
        <v>-5.5</v>
      </c>
      <c r="I32" s="3" t="s">
        <v>11</v>
      </c>
      <c r="J32" s="3" t="s">
        <v>47</v>
      </c>
      <c r="K32" s="3" t="s">
        <v>48</v>
      </c>
      <c r="L32" s="3" t="s">
        <v>3</v>
      </c>
      <c r="O32" s="2">
        <v>7</v>
      </c>
      <c r="P32" s="2" t="s">
        <v>11</v>
      </c>
      <c r="Q32" s="2" t="s">
        <v>39</v>
      </c>
      <c r="R32" s="2" t="s">
        <v>40</v>
      </c>
      <c r="S32" s="2" t="s">
        <v>19</v>
      </c>
      <c r="T32" s="2"/>
      <c r="V32" s="2">
        <v>32</v>
      </c>
      <c r="W32" s="2" t="s">
        <v>11</v>
      </c>
      <c r="X32" s="2" t="s">
        <v>39</v>
      </c>
      <c r="Y32" s="2" t="s">
        <v>40</v>
      </c>
      <c r="Z32" s="2" t="s">
        <v>19</v>
      </c>
      <c r="AA32" t="s">
        <v>10</v>
      </c>
    </row>
    <row r="33" spans="1:27">
      <c r="A33" s="3">
        <v>-4</v>
      </c>
      <c r="B33" s="3" t="s">
        <v>11</v>
      </c>
      <c r="C33" s="3" t="s">
        <v>49</v>
      </c>
      <c r="D33" s="3" t="s">
        <v>50</v>
      </c>
      <c r="E33" s="3" t="s">
        <v>3</v>
      </c>
      <c r="H33" s="3">
        <v>-7</v>
      </c>
      <c r="I33" s="3" t="s">
        <v>11</v>
      </c>
      <c r="J33" s="3" t="s">
        <v>49</v>
      </c>
      <c r="K33" s="3" t="s">
        <v>50</v>
      </c>
      <c r="L33" s="3" t="s">
        <v>3</v>
      </c>
      <c r="O33" s="3">
        <v>-7</v>
      </c>
      <c r="P33" s="3" t="s">
        <v>11</v>
      </c>
      <c r="Q33" s="3" t="s">
        <v>43</v>
      </c>
      <c r="R33" s="3" t="s">
        <v>44</v>
      </c>
      <c r="S33" s="3" t="s">
        <v>3</v>
      </c>
      <c r="T33" s="3"/>
      <c r="V33" s="3">
        <v>-32</v>
      </c>
      <c r="W33" s="3" t="s">
        <v>11</v>
      </c>
      <c r="X33" s="3" t="s">
        <v>43</v>
      </c>
      <c r="Y33" s="3" t="s">
        <v>44</v>
      </c>
      <c r="Z33" s="3" t="s">
        <v>3</v>
      </c>
    </row>
    <row r="34" spans="1:27">
      <c r="A34" s="3">
        <v>-19</v>
      </c>
      <c r="B34" s="3" t="s">
        <v>11</v>
      </c>
      <c r="C34" s="3" t="s">
        <v>51</v>
      </c>
      <c r="D34" s="3" t="s">
        <v>52</v>
      </c>
      <c r="E34" s="3" t="s">
        <v>3</v>
      </c>
      <c r="H34" s="3">
        <v>-12</v>
      </c>
      <c r="I34" s="3" t="s">
        <v>11</v>
      </c>
      <c r="J34" s="3" t="s">
        <v>89</v>
      </c>
      <c r="K34" s="3" t="s">
        <v>90</v>
      </c>
      <c r="L34" s="3" t="s">
        <v>3</v>
      </c>
      <c r="O34" s="3">
        <v>-12</v>
      </c>
      <c r="P34" s="3" t="s">
        <v>11</v>
      </c>
      <c r="Q34" s="3" t="s">
        <v>45</v>
      </c>
      <c r="R34" s="3" t="s">
        <v>46</v>
      </c>
      <c r="S34" s="3" t="s">
        <v>14</v>
      </c>
      <c r="T34" s="3"/>
      <c r="V34" s="3">
        <v>-12</v>
      </c>
      <c r="W34" s="3" t="s">
        <v>11</v>
      </c>
      <c r="X34" s="3" t="s">
        <v>45</v>
      </c>
      <c r="Y34" s="3" t="s">
        <v>46</v>
      </c>
      <c r="Z34" s="3" t="s">
        <v>14</v>
      </c>
    </row>
    <row r="35" spans="1:27">
      <c r="A35" s="3">
        <v>-49.5</v>
      </c>
      <c r="B35" s="3" t="s">
        <v>11</v>
      </c>
      <c r="C35" s="3" t="s">
        <v>53</v>
      </c>
      <c r="D35" s="3" t="s">
        <v>54</v>
      </c>
      <c r="E35" s="3" t="s">
        <v>3</v>
      </c>
      <c r="H35" s="3">
        <v>-52</v>
      </c>
      <c r="I35" s="3" t="s">
        <v>11</v>
      </c>
      <c r="J35" s="3" t="s">
        <v>51</v>
      </c>
      <c r="K35" s="3" t="s">
        <v>52</v>
      </c>
      <c r="L35" s="3" t="s">
        <v>3</v>
      </c>
      <c r="O35" s="3">
        <v>-18</v>
      </c>
      <c r="P35" s="3" t="s">
        <v>11</v>
      </c>
      <c r="Q35" s="3" t="s">
        <v>47</v>
      </c>
      <c r="R35" s="3" t="s">
        <v>48</v>
      </c>
      <c r="S35" s="3" t="s">
        <v>3</v>
      </c>
      <c r="T35" s="3"/>
      <c r="V35" s="3">
        <v>-18</v>
      </c>
      <c r="W35" s="3" t="s">
        <v>11</v>
      </c>
      <c r="X35" s="3" t="s">
        <v>47</v>
      </c>
      <c r="Y35" s="3" t="s">
        <v>48</v>
      </c>
      <c r="Z35" s="3" t="s">
        <v>3</v>
      </c>
      <c r="AA35" t="s">
        <v>10</v>
      </c>
    </row>
    <row r="36" spans="1:27">
      <c r="A36" s="3">
        <v>-55</v>
      </c>
      <c r="B36" s="3" t="s">
        <v>11</v>
      </c>
      <c r="C36" s="3" t="s">
        <v>55</v>
      </c>
      <c r="D36" s="3" t="s">
        <v>56</v>
      </c>
      <c r="E36" s="3" t="s">
        <v>3</v>
      </c>
      <c r="H36" s="3">
        <v>-338</v>
      </c>
      <c r="I36" s="3" t="s">
        <v>11</v>
      </c>
      <c r="J36" s="3" t="s">
        <v>53</v>
      </c>
      <c r="K36" s="3" t="s">
        <v>54</v>
      </c>
      <c r="L36" s="3" t="s">
        <v>3</v>
      </c>
      <c r="O36" s="3">
        <v>-28</v>
      </c>
      <c r="P36" s="3" t="s">
        <v>11</v>
      </c>
      <c r="Q36" s="3" t="s">
        <v>49</v>
      </c>
      <c r="R36" s="3" t="s">
        <v>50</v>
      </c>
      <c r="S36" s="3" t="s">
        <v>3</v>
      </c>
      <c r="T36" s="3"/>
      <c r="V36" s="3">
        <v>-46</v>
      </c>
      <c r="W36" s="3" t="s">
        <v>11</v>
      </c>
      <c r="X36" s="3" t="s">
        <v>49</v>
      </c>
      <c r="Y36" s="3" t="s">
        <v>50</v>
      </c>
      <c r="Z36" s="3" t="s">
        <v>3</v>
      </c>
      <c r="AA36" t="s">
        <v>10</v>
      </c>
    </row>
    <row r="37" spans="1:27">
      <c r="A37" s="3">
        <v>-78</v>
      </c>
      <c r="B37" s="3" t="s">
        <v>11</v>
      </c>
      <c r="C37" s="3" t="s">
        <v>57</v>
      </c>
      <c r="D37" s="3" t="s">
        <v>58</v>
      </c>
      <c r="E37" s="3" t="s">
        <v>14</v>
      </c>
      <c r="H37" s="3">
        <v>-830</v>
      </c>
      <c r="I37" s="3" t="s">
        <v>11</v>
      </c>
      <c r="J37" s="3" t="s">
        <v>55</v>
      </c>
      <c r="K37" s="3" t="s">
        <v>56</v>
      </c>
      <c r="L37" s="3" t="s">
        <v>3</v>
      </c>
      <c r="O37" s="3">
        <v>-63</v>
      </c>
      <c r="P37" s="3" t="s">
        <v>11</v>
      </c>
      <c r="Q37" s="11" t="s">
        <v>89</v>
      </c>
      <c r="R37" s="3" t="s">
        <v>90</v>
      </c>
      <c r="S37" s="3" t="s">
        <v>3</v>
      </c>
      <c r="T37" s="3"/>
      <c r="V37" s="3">
        <v>-104</v>
      </c>
      <c r="W37" s="3" t="s">
        <v>11</v>
      </c>
      <c r="X37" s="3" t="s">
        <v>89</v>
      </c>
      <c r="Y37" s="3" t="s">
        <v>90</v>
      </c>
      <c r="Z37" s="3" t="s">
        <v>3</v>
      </c>
      <c r="AA37" t="s">
        <v>10</v>
      </c>
    </row>
    <row r="38" spans="1:27">
      <c r="A38" s="3">
        <v>-951</v>
      </c>
      <c r="B38" s="3" t="s">
        <v>11</v>
      </c>
      <c r="C38" s="3" t="s">
        <v>59</v>
      </c>
      <c r="D38" s="3" t="s">
        <v>60</v>
      </c>
      <c r="E38" s="3" t="s">
        <v>3</v>
      </c>
      <c r="H38" s="3">
        <v>-4951</v>
      </c>
      <c r="I38" s="3" t="s">
        <v>11</v>
      </c>
      <c r="J38" s="3" t="s">
        <v>59</v>
      </c>
      <c r="K38" s="3" t="s">
        <v>60</v>
      </c>
      <c r="L38" s="3" t="s">
        <v>3</v>
      </c>
      <c r="O38" s="3">
        <v>-155</v>
      </c>
      <c r="P38" s="3" t="s">
        <v>11</v>
      </c>
      <c r="Q38" s="3" t="s">
        <v>51</v>
      </c>
      <c r="R38" s="3" t="s">
        <v>52</v>
      </c>
      <c r="S38" s="3" t="s">
        <v>3</v>
      </c>
      <c r="T38" s="3"/>
      <c r="V38" s="3">
        <v>-361</v>
      </c>
      <c r="W38" s="3" t="s">
        <v>11</v>
      </c>
      <c r="X38" s="3" t="s">
        <v>51</v>
      </c>
      <c r="Y38" s="3" t="s">
        <v>52</v>
      </c>
      <c r="Z38" s="3" t="s">
        <v>3</v>
      </c>
      <c r="AA38" t="s">
        <v>10</v>
      </c>
    </row>
    <row r="39" spans="1:27">
      <c r="A39" s="3">
        <v>-20288</v>
      </c>
      <c r="B39" s="3" t="s">
        <v>11</v>
      </c>
      <c r="C39" s="3" t="s">
        <v>61</v>
      </c>
      <c r="D39" s="3" t="s">
        <v>62</v>
      </c>
      <c r="E39" s="3" t="s">
        <v>3</v>
      </c>
      <c r="H39" s="3">
        <v>-53004</v>
      </c>
      <c r="I39" s="3" t="s">
        <v>11</v>
      </c>
      <c r="J39" s="3" t="s">
        <v>61</v>
      </c>
      <c r="K39" s="3" t="s">
        <v>62</v>
      </c>
      <c r="L39" s="3" t="s">
        <v>3</v>
      </c>
      <c r="O39" s="3">
        <v>-476</v>
      </c>
      <c r="P39" s="3" t="s">
        <v>11</v>
      </c>
      <c r="Q39" s="3" t="s">
        <v>53</v>
      </c>
      <c r="R39" s="3" t="s">
        <v>54</v>
      </c>
      <c r="S39" s="3" t="s">
        <v>3</v>
      </c>
      <c r="T39" s="3"/>
      <c r="V39" s="3">
        <v>-1846</v>
      </c>
      <c r="W39" s="3" t="s">
        <v>11</v>
      </c>
      <c r="X39" s="3" t="s">
        <v>53</v>
      </c>
      <c r="Y39" s="3" t="s">
        <v>54</v>
      </c>
      <c r="Z39" s="3" t="s">
        <v>3</v>
      </c>
    </row>
    <row r="40" spans="1:27">
      <c r="O40" s="3">
        <v>-700</v>
      </c>
      <c r="P40" s="3" t="s">
        <v>11</v>
      </c>
      <c r="Q40" s="11" t="s">
        <v>57</v>
      </c>
      <c r="R40" s="3" t="s">
        <v>58</v>
      </c>
      <c r="S40" s="3" t="s">
        <v>14</v>
      </c>
      <c r="T40" s="3"/>
      <c r="V40" s="3">
        <v>-1115</v>
      </c>
      <c r="W40" s="3" t="s">
        <v>11</v>
      </c>
      <c r="X40" s="3" t="s">
        <v>57</v>
      </c>
      <c r="Y40" s="3" t="s">
        <v>58</v>
      </c>
      <c r="Z40" s="3" t="s">
        <v>14</v>
      </c>
      <c r="AA40" t="s">
        <v>10</v>
      </c>
    </row>
    <row r="41" spans="1:27">
      <c r="O41" s="3">
        <v>-14200</v>
      </c>
      <c r="P41" s="3" t="s">
        <v>11</v>
      </c>
      <c r="Q41" s="3" t="s">
        <v>55</v>
      </c>
      <c r="R41" s="3" t="s">
        <v>56</v>
      </c>
      <c r="S41" s="3" t="s">
        <v>3</v>
      </c>
      <c r="T41" s="3"/>
      <c r="V41" s="3">
        <v>-41220</v>
      </c>
      <c r="W41" s="3" t="s">
        <v>11</v>
      </c>
      <c r="X41" s="3" t="s">
        <v>55</v>
      </c>
      <c r="Y41" s="3" t="s">
        <v>56</v>
      </c>
      <c r="Z41" s="3" t="s">
        <v>3</v>
      </c>
      <c r="AA41" t="s">
        <v>10</v>
      </c>
    </row>
    <row r="42" spans="1:27">
      <c r="O42" s="3">
        <v>-24477</v>
      </c>
      <c r="P42" s="3" t="s">
        <v>11</v>
      </c>
      <c r="Q42" s="3" t="s">
        <v>59</v>
      </c>
      <c r="R42" s="3" t="s">
        <v>60</v>
      </c>
      <c r="S42" s="3" t="s">
        <v>3</v>
      </c>
      <c r="T42" s="3"/>
      <c r="V42" s="3">
        <v>-74890</v>
      </c>
      <c r="W42" s="3" t="s">
        <v>11</v>
      </c>
      <c r="X42" s="3" t="s">
        <v>59</v>
      </c>
      <c r="Y42" s="3" t="s">
        <v>60</v>
      </c>
      <c r="Z42" s="3" t="s">
        <v>3</v>
      </c>
      <c r="AA42" t="s">
        <v>10</v>
      </c>
    </row>
    <row r="43" spans="1:27">
      <c r="O43" s="3">
        <v>-89300</v>
      </c>
      <c r="P43" s="3" t="s">
        <v>11</v>
      </c>
      <c r="Q43" s="3" t="s">
        <v>61</v>
      </c>
      <c r="R43" s="3" t="s">
        <v>62</v>
      </c>
      <c r="S43" s="3" t="s">
        <v>3</v>
      </c>
      <c r="T43" s="3"/>
      <c r="V43" s="3">
        <v>-131600</v>
      </c>
      <c r="W43" s="3" t="s">
        <v>11</v>
      </c>
      <c r="X43" s="3" t="s">
        <v>61</v>
      </c>
      <c r="Y43" s="3" t="s">
        <v>62</v>
      </c>
      <c r="Z43" s="3" t="s">
        <v>3</v>
      </c>
      <c r="AA43" t="s">
        <v>10</v>
      </c>
    </row>
    <row r="45" spans="1:27">
      <c r="A45">
        <v>460</v>
      </c>
      <c r="B45" t="s">
        <v>63</v>
      </c>
      <c r="C45" t="s">
        <v>64</v>
      </c>
      <c r="D45" t="s">
        <v>65</v>
      </c>
      <c r="E45" t="s">
        <v>66</v>
      </c>
      <c r="H45">
        <v>1540</v>
      </c>
      <c r="I45" t="s">
        <v>63</v>
      </c>
      <c r="J45" t="s">
        <v>64</v>
      </c>
      <c r="K45" t="s">
        <v>65</v>
      </c>
      <c r="L45" t="s">
        <v>66</v>
      </c>
      <c r="O45">
        <v>2400</v>
      </c>
      <c r="P45" t="s">
        <v>63</v>
      </c>
      <c r="Q45" t="s">
        <v>64</v>
      </c>
      <c r="R45" t="s">
        <v>65</v>
      </c>
      <c r="S45" t="s">
        <v>66</v>
      </c>
      <c r="V45">
        <v>8400</v>
      </c>
      <c r="W45" t="s">
        <v>63</v>
      </c>
      <c r="X45" t="s">
        <v>64</v>
      </c>
      <c r="Y45" t="s">
        <v>65</v>
      </c>
      <c r="Z45" t="s">
        <v>66</v>
      </c>
    </row>
    <row r="46" spans="1:27">
      <c r="A46">
        <v>23</v>
      </c>
      <c r="B46" t="s">
        <v>67</v>
      </c>
      <c r="C46" t="s">
        <v>68</v>
      </c>
      <c r="D46" t="s">
        <v>65</v>
      </c>
      <c r="E46" t="s">
        <v>66</v>
      </c>
      <c r="F46" t="s">
        <v>69</v>
      </c>
      <c r="H46">
        <v>77</v>
      </c>
      <c r="I46" t="s">
        <v>67</v>
      </c>
      <c r="J46" t="s">
        <v>68</v>
      </c>
      <c r="K46" t="s">
        <v>65</v>
      </c>
      <c r="L46" t="s">
        <v>66</v>
      </c>
      <c r="M46" t="s">
        <v>69</v>
      </c>
      <c r="O46">
        <v>120</v>
      </c>
      <c r="P46" t="s">
        <v>67</v>
      </c>
      <c r="Q46" t="s">
        <v>68</v>
      </c>
      <c r="R46" t="s">
        <v>65</v>
      </c>
      <c r="S46" t="s">
        <v>66</v>
      </c>
      <c r="T46" t="s">
        <v>69</v>
      </c>
      <c r="V46">
        <v>420</v>
      </c>
      <c r="W46" t="s">
        <v>67</v>
      </c>
      <c r="X46" t="s">
        <v>68</v>
      </c>
      <c r="Y46" t="s">
        <v>65</v>
      </c>
      <c r="Z46" t="s">
        <v>66</v>
      </c>
      <c r="AA46" t="s">
        <v>69</v>
      </c>
    </row>
    <row r="47" spans="1:27">
      <c r="A47">
        <v>23</v>
      </c>
      <c r="B47" t="s">
        <v>67</v>
      </c>
      <c r="C47" t="s">
        <v>70</v>
      </c>
      <c r="D47" t="s">
        <v>65</v>
      </c>
      <c r="E47" t="s">
        <v>66</v>
      </c>
      <c r="F47" t="s">
        <v>71</v>
      </c>
      <c r="H47">
        <v>77</v>
      </c>
      <c r="I47" t="s">
        <v>67</v>
      </c>
      <c r="J47" t="s">
        <v>70</v>
      </c>
      <c r="K47" t="s">
        <v>65</v>
      </c>
      <c r="L47" t="s">
        <v>66</v>
      </c>
      <c r="M47" t="s">
        <v>71</v>
      </c>
      <c r="O47">
        <v>120</v>
      </c>
      <c r="P47" t="s">
        <v>67</v>
      </c>
      <c r="Q47" t="s">
        <v>70</v>
      </c>
      <c r="R47" t="s">
        <v>65</v>
      </c>
      <c r="S47" t="s">
        <v>66</v>
      </c>
      <c r="T47" t="s">
        <v>71</v>
      </c>
      <c r="V47">
        <v>420</v>
      </c>
      <c r="W47" t="s">
        <v>67</v>
      </c>
      <c r="X47" t="s">
        <v>70</v>
      </c>
      <c r="Y47" t="s">
        <v>65</v>
      </c>
      <c r="Z47" t="s">
        <v>66</v>
      </c>
      <c r="AA47" t="s">
        <v>71</v>
      </c>
    </row>
    <row r="50" spans="1:10">
      <c r="H50" t="s">
        <v>144</v>
      </c>
      <c r="I50">
        <v>6330</v>
      </c>
      <c r="J50" t="s">
        <v>143</v>
      </c>
    </row>
    <row r="51" spans="1:10">
      <c r="A51" t="s">
        <v>141</v>
      </c>
      <c r="B51">
        <f>1*0.9</f>
        <v>0.9</v>
      </c>
      <c r="C51" t="s">
        <v>67</v>
      </c>
      <c r="D51" t="s">
        <v>142</v>
      </c>
      <c r="H51" t="s">
        <v>141</v>
      </c>
      <c r="I51" s="7">
        <f>2.78*3.34</f>
        <v>9.2851999999999997</v>
      </c>
      <c r="J51" t="s">
        <v>129</v>
      </c>
    </row>
    <row r="52" spans="1:10">
      <c r="B52" s="8">
        <f>A47/B51</f>
        <v>25.555555555555554</v>
      </c>
      <c r="I52" s="7">
        <f>H47/I51</f>
        <v>8.2927669840175771</v>
      </c>
    </row>
    <row r="53" spans="1:10">
      <c r="I53" t="s">
        <v>145</v>
      </c>
    </row>
    <row r="64" spans="1:10">
      <c r="F64" s="6"/>
    </row>
    <row r="65" spans="6:6">
      <c r="F65" s="6"/>
    </row>
    <row r="66" spans="6:6">
      <c r="F66" s="6"/>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9"/>
  <sheetViews>
    <sheetView topLeftCell="A44" zoomScale="64" zoomScaleNormal="85" workbookViewId="0">
      <selection activeCell="AG15" sqref="AG15"/>
    </sheetView>
  </sheetViews>
  <sheetFormatPr defaultRowHeight="14.5"/>
  <cols>
    <col min="2" max="2" width="3.54296875" customWidth="1"/>
    <col min="3" max="3" width="32.36328125" customWidth="1"/>
    <col min="8" max="8" width="16.453125" customWidth="1"/>
    <col min="9" max="11" width="9" bestFit="1" customWidth="1"/>
    <col min="12" max="12" width="9.453125" bestFit="1" customWidth="1"/>
    <col min="14" max="14" width="10.6328125" customWidth="1"/>
    <col min="20" max="20" width="3" customWidth="1"/>
  </cols>
  <sheetData>
    <row r="2" spans="2:26">
      <c r="V2" t="s">
        <v>147</v>
      </c>
      <c r="W2">
        <f>IF(U5&lt;P5,0,IF(U5&lt;Q5,1,IF(U5&lt;R5,2,IF(U5&lt;S5,3,4))))</f>
        <v>2</v>
      </c>
    </row>
    <row r="3" spans="2:26">
      <c r="V3" t="s">
        <v>148</v>
      </c>
      <c r="W3">
        <f>IF(U5&gt;S5,5,IF(U5&gt;R5,4,IF(U5&gt;Q5,3,IF(U5&gt;P5,2,1))))</f>
        <v>3</v>
      </c>
    </row>
    <row r="4" spans="2:26">
      <c r="J4" t="s">
        <v>146</v>
      </c>
      <c r="O4">
        <v>0</v>
      </c>
      <c r="P4" s="1">
        <v>1</v>
      </c>
      <c r="Q4" s="1">
        <v>2</v>
      </c>
      <c r="R4" s="1">
        <v>3</v>
      </c>
      <c r="S4" s="1">
        <v>4</v>
      </c>
      <c r="U4" s="16" t="s">
        <v>126</v>
      </c>
      <c r="V4" s="1" t="s">
        <v>150</v>
      </c>
      <c r="W4" s="1" t="s">
        <v>151</v>
      </c>
    </row>
    <row r="5" spans="2:26">
      <c r="B5" s="1" t="s">
        <v>91</v>
      </c>
      <c r="D5" t="s">
        <v>93</v>
      </c>
      <c r="E5" t="s">
        <v>94</v>
      </c>
      <c r="F5" t="s">
        <v>116</v>
      </c>
      <c r="G5" t="s">
        <v>117</v>
      </c>
      <c r="I5" t="s">
        <v>122</v>
      </c>
      <c r="J5" t="s">
        <v>119</v>
      </c>
      <c r="K5" t="s">
        <v>120</v>
      </c>
      <c r="L5" t="s">
        <v>121</v>
      </c>
      <c r="P5" s="14">
        <f>P6*$D$16</f>
        <v>1.1665000000000001</v>
      </c>
      <c r="Q5" s="14">
        <f t="shared" ref="Q5:S5" si="0">Q6*$D$16</f>
        <v>6.1965000000000003</v>
      </c>
      <c r="R5" s="14">
        <f t="shared" si="0"/>
        <v>40.463000000000001</v>
      </c>
      <c r="S5" s="14">
        <f t="shared" si="0"/>
        <v>120.184</v>
      </c>
      <c r="U5" s="16">
        <v>12</v>
      </c>
    </row>
    <row r="6" spans="2:26">
      <c r="C6" s="6" t="s">
        <v>95</v>
      </c>
      <c r="D6">
        <v>50</v>
      </c>
      <c r="E6">
        <v>300</v>
      </c>
      <c r="F6">
        <v>1000</v>
      </c>
      <c r="G6">
        <v>5000</v>
      </c>
      <c r="H6" t="str">
        <f>C6</f>
        <v>Capacity, kW</v>
      </c>
      <c r="I6" s="9">
        <f>D6/$D6</f>
        <v>1</v>
      </c>
      <c r="J6" s="9">
        <f>E6/$D6</f>
        <v>6</v>
      </c>
      <c r="K6" s="9">
        <f t="shared" ref="K6:L17" si="1">F6/$D6</f>
        <v>20</v>
      </c>
      <c r="L6" s="9">
        <f t="shared" si="1"/>
        <v>100</v>
      </c>
      <c r="N6" s="8"/>
      <c r="O6" s="13" t="str">
        <f>H16</f>
        <v>Summed weight, ton</v>
      </c>
      <c r="P6" s="8">
        <f>I16</f>
        <v>1</v>
      </c>
      <c r="Q6" s="8">
        <f t="shared" ref="Q6:S6" si="2">J16</f>
        <v>5.3120445777968284</v>
      </c>
      <c r="R6" s="8">
        <f t="shared" si="2"/>
        <v>34.687526789541359</v>
      </c>
      <c r="S6" s="8">
        <f t="shared" si="2"/>
        <v>103.02957565366479</v>
      </c>
      <c r="U6" s="15" t="s">
        <v>149</v>
      </c>
      <c r="W6" s="13"/>
      <c r="X6" s="13"/>
      <c r="Y6" s="13"/>
      <c r="Z6" s="13"/>
    </row>
    <row r="7" spans="2:26">
      <c r="C7" s="6" t="s">
        <v>96</v>
      </c>
      <c r="D7">
        <f>ecoinvent!A15</f>
        <v>1600</v>
      </c>
      <c r="E7">
        <f>ecoinvent!$H$17</f>
        <v>2700</v>
      </c>
      <c r="F7">
        <f>ecoinvent!O17</f>
        <v>5800</v>
      </c>
      <c r="G7">
        <f>ecoinvent!V17</f>
        <v>9570</v>
      </c>
      <c r="H7" t="str">
        <f t="shared" ref="H7:H17" si="3">C7</f>
        <v>Heat, MJ</v>
      </c>
      <c r="I7" s="8">
        <f t="shared" ref="I7:I17" si="4">D7/$D7</f>
        <v>1</v>
      </c>
      <c r="J7" s="8">
        <f>E7/$D7</f>
        <v>1.6875</v>
      </c>
      <c r="K7" s="8">
        <f t="shared" si="1"/>
        <v>3.625</v>
      </c>
      <c r="L7" s="8">
        <f t="shared" si="1"/>
        <v>5.9812500000000002</v>
      </c>
      <c r="N7" s="8"/>
      <c r="O7" s="13" t="str">
        <f>H6</f>
        <v>Capacity, kW</v>
      </c>
      <c r="P7" s="13">
        <f t="shared" ref="P7:S15" si="5">I6</f>
        <v>1</v>
      </c>
      <c r="Q7" s="13">
        <f t="shared" si="5"/>
        <v>6</v>
      </c>
      <c r="R7" s="13">
        <f t="shared" si="5"/>
        <v>20</v>
      </c>
      <c r="S7" s="13">
        <f t="shared" si="5"/>
        <v>100</v>
      </c>
      <c r="U7" s="15" t="s">
        <v>149</v>
      </c>
      <c r="W7" s="13"/>
      <c r="X7" s="13"/>
      <c r="Y7" s="13"/>
      <c r="Z7" s="13"/>
    </row>
    <row r="8" spans="2:26">
      <c r="C8" s="6" t="s">
        <v>97</v>
      </c>
      <c r="D8">
        <f>ecoinvent!A17</f>
        <v>528</v>
      </c>
      <c r="E8">
        <f>ecoinvent!$H$18</f>
        <v>1330</v>
      </c>
      <c r="F8">
        <f>ecoinvent!O18</f>
        <v>3560</v>
      </c>
      <c r="G8">
        <f>ecoinvent!V18</f>
        <v>5874</v>
      </c>
      <c r="H8" t="str">
        <f t="shared" si="3"/>
        <v>Electricity, kWh</v>
      </c>
      <c r="I8" s="8">
        <f t="shared" si="4"/>
        <v>1</v>
      </c>
      <c r="J8" s="8">
        <f t="shared" ref="J8:J17" si="6">E8/$D8</f>
        <v>2.518939393939394</v>
      </c>
      <c r="K8" s="8">
        <f t="shared" si="1"/>
        <v>6.7424242424242422</v>
      </c>
      <c r="L8" s="8">
        <f t="shared" si="1"/>
        <v>11.125</v>
      </c>
      <c r="N8" s="8"/>
      <c r="O8" s="13" t="str">
        <f t="shared" ref="O8:O15" si="7">H7</f>
        <v>Heat, MJ</v>
      </c>
      <c r="P8" s="13">
        <f t="shared" si="5"/>
        <v>1</v>
      </c>
      <c r="Q8" s="13">
        <f t="shared" si="5"/>
        <v>1.6875</v>
      </c>
      <c r="R8" s="13">
        <f t="shared" si="5"/>
        <v>3.625</v>
      </c>
      <c r="S8" s="13">
        <f t="shared" si="5"/>
        <v>5.9812500000000002</v>
      </c>
      <c r="U8" s="13">
        <f>( ( INDEX(P8:S8,1,$W$3) - INDEX(P8:S8,1,$W$2) ) / ( INDEX($P$6:$S$6,1,$W$3) - INDEX($P$6:$S$6,1,$W$2) ) ) * ( $U$5-INDEX($P$6:$S$6,1,$W$3) ) + INDEX(P8:S8,1,$W$3)</f>
        <v>2.1286132228269592</v>
      </c>
      <c r="V8">
        <f>D7</f>
        <v>1600</v>
      </c>
      <c r="W8" s="13">
        <f>U8*V8</f>
        <v>3405.7811565231345</v>
      </c>
      <c r="X8" s="13"/>
      <c r="Y8" s="13"/>
      <c r="Z8" s="13"/>
    </row>
    <row r="9" spans="2:26">
      <c r="C9" s="6" t="s">
        <v>98</v>
      </c>
      <c r="D9">
        <f>ecoinvent!A27</f>
        <v>3</v>
      </c>
      <c r="E9">
        <f>ecoinvent!$H$28</f>
        <v>4.5</v>
      </c>
      <c r="F9">
        <f>ecoinvent!O30</f>
        <v>12</v>
      </c>
      <c r="G9">
        <f>ecoinvent!V30</f>
        <v>12</v>
      </c>
      <c r="H9" t="str">
        <f t="shared" si="3"/>
        <v>Electronic parts, kg</v>
      </c>
      <c r="I9" s="8">
        <f t="shared" si="4"/>
        <v>1</v>
      </c>
      <c r="J9" s="8">
        <f t="shared" si="6"/>
        <v>1.5</v>
      </c>
      <c r="K9" s="8">
        <f t="shared" si="1"/>
        <v>4</v>
      </c>
      <c r="L9" s="8">
        <f t="shared" si="1"/>
        <v>4</v>
      </c>
      <c r="N9" s="8"/>
      <c r="O9" s="13" t="str">
        <f t="shared" si="7"/>
        <v>Electricity, kWh</v>
      </c>
      <c r="P9" s="13">
        <f t="shared" si="5"/>
        <v>1</v>
      </c>
      <c r="Q9" s="13">
        <f t="shared" si="5"/>
        <v>2.518939393939394</v>
      </c>
      <c r="R9" s="13">
        <f t="shared" si="5"/>
        <v>6.7424242424242422</v>
      </c>
      <c r="S9" s="13">
        <f t="shared" si="5"/>
        <v>11.125</v>
      </c>
      <c r="U9" s="13">
        <f t="shared" ref="U9:U15" si="8">( ( INDEX(P9:S9,1,$W$3) - INDEX(P9:S9,1,$W$2) ) / ( INDEX($P$6:$S$6,1,$W$3) - INDEX($P$6:$S$6,1,$W$2) ) ) * ( $U$5-INDEX($P$6:$S$6,1,$W$3) ) + INDEX(P9:S9,1,$W$3)</f>
        <v>3.4805058523011918</v>
      </c>
      <c r="V9">
        <f t="shared" ref="V9:V15" si="9">D8</f>
        <v>528</v>
      </c>
      <c r="W9" s="13">
        <f t="shared" ref="W9:W15" si="10">U9*V9</f>
        <v>1837.7070900150293</v>
      </c>
      <c r="X9" s="13"/>
      <c r="Y9" s="13"/>
      <c r="Z9" s="13"/>
    </row>
    <row r="10" spans="2:26">
      <c r="C10" s="6" t="s">
        <v>99</v>
      </c>
      <c r="D10">
        <f>ecoinvent!A16+ecoinvent!A19+ecoinvent!A23</f>
        <v>1029</v>
      </c>
      <c r="E10">
        <f>ecoinvent!$H$16+ecoinvent!$H$21+ecoinvent!$H$23</f>
        <v>4951</v>
      </c>
      <c r="F10">
        <f>ecoinvent!O15+ecoinvent!O20+ecoinvent!O22+ecoinvent!O25+ecoinvent!O24</f>
        <v>25560</v>
      </c>
      <c r="G10">
        <f>ecoinvent!V15+ecoinvent!V20+ecoinvent!V22+ecoinvent!V24+ecoinvent!V25</f>
        <v>76637</v>
      </c>
      <c r="H10" t="str">
        <f t="shared" si="3"/>
        <v>Steel + iron, kg</v>
      </c>
      <c r="I10" s="8">
        <f t="shared" si="4"/>
        <v>1</v>
      </c>
      <c r="J10" s="8">
        <f t="shared" si="6"/>
        <v>4.8114674441205052</v>
      </c>
      <c r="K10" s="8">
        <f t="shared" si="1"/>
        <v>24.839650145772595</v>
      </c>
      <c r="L10" s="8">
        <f t="shared" si="1"/>
        <v>74.477162293488817</v>
      </c>
      <c r="N10" s="8"/>
      <c r="O10" s="13" t="str">
        <f t="shared" si="7"/>
        <v>Electronic parts, kg</v>
      </c>
      <c r="P10" s="13">
        <f t="shared" si="5"/>
        <v>1</v>
      </c>
      <c r="Q10" s="13">
        <f t="shared" si="5"/>
        <v>1.5</v>
      </c>
      <c r="R10" s="13">
        <f t="shared" si="5"/>
        <v>4</v>
      </c>
      <c r="S10" s="13">
        <f t="shared" si="5"/>
        <v>4</v>
      </c>
      <c r="U10" s="13">
        <f t="shared" si="8"/>
        <v>2.0691783520347862</v>
      </c>
      <c r="V10">
        <f t="shared" si="9"/>
        <v>3</v>
      </c>
      <c r="W10" s="13">
        <f t="shared" si="10"/>
        <v>6.2075350561043585</v>
      </c>
      <c r="X10" s="13"/>
      <c r="Y10" s="13"/>
      <c r="Z10" s="13"/>
    </row>
    <row r="11" spans="2:26">
      <c r="C11" s="6" t="s">
        <v>100</v>
      </c>
      <c r="D11" s="6">
        <f>ecoinvent!A26</f>
        <v>3.5</v>
      </c>
      <c r="E11">
        <f>ecoinvent!$H$26</f>
        <v>5.5</v>
      </c>
      <c r="F11">
        <f>ecoinvent!O29</f>
        <v>18</v>
      </c>
      <c r="G11">
        <f>ecoinvent!V29</f>
        <v>18</v>
      </c>
      <c r="H11" t="str">
        <f t="shared" si="3"/>
        <v>Plastic parts, kg</v>
      </c>
      <c r="I11" s="8">
        <f t="shared" si="4"/>
        <v>1</v>
      </c>
      <c r="J11" s="8">
        <f t="shared" si="6"/>
        <v>1.5714285714285714</v>
      </c>
      <c r="K11" s="8">
        <f t="shared" si="1"/>
        <v>5.1428571428571432</v>
      </c>
      <c r="L11" s="8">
        <f t="shared" si="1"/>
        <v>5.1428571428571432</v>
      </c>
      <c r="N11" s="8"/>
      <c r="O11" s="13" t="str">
        <f t="shared" si="7"/>
        <v>Steel + iron, kg</v>
      </c>
      <c r="P11" s="13">
        <f t="shared" si="5"/>
        <v>1</v>
      </c>
      <c r="Q11" s="13">
        <f t="shared" si="5"/>
        <v>4.8114674441205052</v>
      </c>
      <c r="R11" s="13">
        <f t="shared" si="5"/>
        <v>24.839650145772595</v>
      </c>
      <c r="S11" s="13">
        <f t="shared" si="5"/>
        <v>74.477162293488817</v>
      </c>
      <c r="U11" s="13">
        <f t="shared" si="8"/>
        <v>9.371310653871685</v>
      </c>
      <c r="V11">
        <f t="shared" si="9"/>
        <v>1029</v>
      </c>
      <c r="W11" s="13">
        <f t="shared" si="10"/>
        <v>9643.0786628339647</v>
      </c>
      <c r="X11" s="13"/>
      <c r="Y11" s="13"/>
      <c r="Z11" s="13"/>
    </row>
    <row r="12" spans="2:26">
      <c r="C12" s="6" t="s">
        <v>101</v>
      </c>
      <c r="D12">
        <f>ecoinvent!A29</f>
        <v>1</v>
      </c>
      <c r="E12">
        <f>ecoinvent!$H$27</f>
        <v>5</v>
      </c>
      <c r="F12">
        <f>ecoinvent!O31</f>
        <v>7</v>
      </c>
      <c r="G12">
        <f>ecoinvent!V31</f>
        <v>12</v>
      </c>
      <c r="H12" t="str">
        <f t="shared" si="3"/>
        <v>Paint</v>
      </c>
      <c r="I12" s="8">
        <f t="shared" si="4"/>
        <v>1</v>
      </c>
      <c r="J12" s="8">
        <f t="shared" si="6"/>
        <v>5</v>
      </c>
      <c r="K12" s="8">
        <f t="shared" si="1"/>
        <v>7</v>
      </c>
      <c r="L12" s="8">
        <f t="shared" si="1"/>
        <v>12</v>
      </c>
      <c r="N12" s="8"/>
      <c r="O12" s="13" t="str">
        <f t="shared" si="7"/>
        <v>Plastic parts, kg</v>
      </c>
      <c r="P12" s="13">
        <f t="shared" si="5"/>
        <v>1</v>
      </c>
      <c r="Q12" s="13">
        <f t="shared" si="5"/>
        <v>1.5714285714285714</v>
      </c>
      <c r="R12" s="13">
        <f t="shared" si="5"/>
        <v>5.1428571428571432</v>
      </c>
      <c r="S12" s="13">
        <f t="shared" si="5"/>
        <v>5.1428571428571432</v>
      </c>
      <c r="U12" s="13">
        <f t="shared" si="8"/>
        <v>2.3845405029068374</v>
      </c>
      <c r="V12">
        <f t="shared" si="9"/>
        <v>3.5</v>
      </c>
      <c r="W12" s="13">
        <f t="shared" si="10"/>
        <v>8.3458917601739309</v>
      </c>
      <c r="X12" s="13"/>
      <c r="Y12" s="13"/>
      <c r="Z12" s="13"/>
    </row>
    <row r="13" spans="2:26">
      <c r="C13" s="6" t="s">
        <v>104</v>
      </c>
      <c r="D13">
        <f>ecoinvent!A28</f>
        <v>2.5</v>
      </c>
      <c r="E13">
        <f>ecoinvent!$H$29</f>
        <v>3.5</v>
      </c>
      <c r="F13">
        <f>ecoinvent!O32</f>
        <v>7</v>
      </c>
      <c r="G13">
        <f>ecoinvent!V32</f>
        <v>32</v>
      </c>
      <c r="H13" t="str">
        <f t="shared" si="3"/>
        <v>Lubricating oil, kg</v>
      </c>
      <c r="I13" s="8">
        <f t="shared" si="4"/>
        <v>1</v>
      </c>
      <c r="J13" s="8">
        <f t="shared" si="6"/>
        <v>1.4</v>
      </c>
      <c r="K13" s="8">
        <f t="shared" si="1"/>
        <v>2.8</v>
      </c>
      <c r="L13" s="8">
        <f t="shared" si="1"/>
        <v>12.8</v>
      </c>
      <c r="N13" s="8"/>
      <c r="O13" s="13" t="str">
        <f t="shared" si="7"/>
        <v>Paint</v>
      </c>
      <c r="P13" s="13">
        <f t="shared" si="5"/>
        <v>1</v>
      </c>
      <c r="Q13" s="13">
        <f t="shared" si="5"/>
        <v>5</v>
      </c>
      <c r="R13" s="13">
        <f t="shared" si="5"/>
        <v>7</v>
      </c>
      <c r="S13" s="13">
        <f t="shared" si="5"/>
        <v>12</v>
      </c>
      <c r="U13" s="13">
        <f t="shared" si="8"/>
        <v>5.4553426816278288</v>
      </c>
      <c r="V13">
        <f t="shared" si="9"/>
        <v>1</v>
      </c>
      <c r="W13" s="13">
        <f t="shared" si="10"/>
        <v>5.4553426816278288</v>
      </c>
      <c r="X13" s="13"/>
      <c r="Y13" s="13"/>
      <c r="Z13" s="13"/>
    </row>
    <row r="14" spans="2:26">
      <c r="C14" s="6" t="s">
        <v>105</v>
      </c>
      <c r="D14">
        <f>ecoinvent!A20</f>
        <v>55</v>
      </c>
      <c r="E14">
        <f>ecoinvent!$H$19</f>
        <v>830</v>
      </c>
      <c r="F14">
        <f>ecoinvent!O16</f>
        <v>14200</v>
      </c>
      <c r="G14">
        <f>ecoinvent!V16</f>
        <v>41220</v>
      </c>
      <c r="H14" t="str">
        <f t="shared" si="3"/>
        <v>Refractory clay, kg</v>
      </c>
      <c r="I14" s="8">
        <f t="shared" si="4"/>
        <v>1</v>
      </c>
      <c r="J14" s="8">
        <f t="shared" si="6"/>
        <v>15.090909090909092</v>
      </c>
      <c r="K14" s="8">
        <f t="shared" si="1"/>
        <v>258.18181818181819</v>
      </c>
      <c r="L14" s="8">
        <f t="shared" si="1"/>
        <v>749.4545454545455</v>
      </c>
      <c r="N14" s="8"/>
      <c r="O14" s="13" t="str">
        <f t="shared" si="7"/>
        <v>Lubricating oil, kg</v>
      </c>
      <c r="P14" s="13">
        <f t="shared" si="5"/>
        <v>1</v>
      </c>
      <c r="Q14" s="13">
        <f t="shared" si="5"/>
        <v>1.4</v>
      </c>
      <c r="R14" s="13">
        <f t="shared" si="5"/>
        <v>2.8</v>
      </c>
      <c r="S14" s="13">
        <f t="shared" si="5"/>
        <v>12.8</v>
      </c>
      <c r="U14" s="13">
        <f t="shared" si="8"/>
        <v>1.7187398771394802</v>
      </c>
      <c r="V14">
        <f t="shared" si="9"/>
        <v>2.5</v>
      </c>
      <c r="W14" s="13">
        <f t="shared" si="10"/>
        <v>4.2968496928487001</v>
      </c>
      <c r="X14" s="13"/>
      <c r="Y14" s="13"/>
      <c r="Z14" s="13"/>
    </row>
    <row r="15" spans="2:26">
      <c r="C15" s="6" t="s">
        <v>102</v>
      </c>
      <c r="D15">
        <f>ecoinvent!A16+ecoinvent!A19+ecoinvent!A20+ecoinvent!A21+ecoinvent!A22+ecoinvent!A23+ecoinvent!A25+ecoinvent!A26+ecoinvent!A27+ecoinvent!A28+ecoinvent!A29</f>
        <v>1166.5</v>
      </c>
      <c r="E15">
        <f>ecoinvent!H16+ecoinvent!H19+ecoinvent!H20+ecoinvent!H21+ecoinvent!H22+ecoinvent!H23+ecoinvent!H25+ecoinvent!H26+ecoinvent!H27+ecoinvent!H28+ecoinvent!H29</f>
        <v>6196.5</v>
      </c>
      <c r="F15">
        <f>ecoinvent!O15+ecoinvent!O16+ecoinvent!O20+ecoinvent!O21+ecoinvent!O22+ecoinvent!O23+ecoinvent!O24+ecoinvent!O25+ecoinvent!O28+ecoinvent!O29+ecoinvent!O30+ecoinvent!O31+ecoinvent!O32</f>
        <v>40463</v>
      </c>
      <c r="G15">
        <f>ecoinvent!V30+ecoinvent!V31+ecoinvent!V29+ecoinvent!V32+ecoinvent!V28+ecoinvent!V25+ecoinvent!V24+ecoinvent!V23+ecoinvent!V22+ecoinvent!V20+ecoinvent!V21+ecoinvent!V16+ecoinvent!V15</f>
        <v>120184</v>
      </c>
      <c r="H15" t="str">
        <f t="shared" si="3"/>
        <v>Summed weight, kg</v>
      </c>
      <c r="I15" s="8">
        <f t="shared" si="4"/>
        <v>1</v>
      </c>
      <c r="J15" s="8">
        <f t="shared" si="6"/>
        <v>5.3120445777968284</v>
      </c>
      <c r="K15" s="8">
        <f t="shared" si="1"/>
        <v>34.687526789541366</v>
      </c>
      <c r="L15" s="8">
        <f t="shared" si="1"/>
        <v>103.02957565366481</v>
      </c>
      <c r="N15" s="8"/>
      <c r="O15" s="13" t="str">
        <f t="shared" si="7"/>
        <v>Refractory clay, kg</v>
      </c>
      <c r="P15" s="13">
        <f t="shared" si="5"/>
        <v>1</v>
      </c>
      <c r="Q15" s="13">
        <f t="shared" si="5"/>
        <v>15.090909090909092</v>
      </c>
      <c r="R15" s="13">
        <f t="shared" si="5"/>
        <v>258.18181818181819</v>
      </c>
      <c r="S15" s="13">
        <f t="shared" si="5"/>
        <v>749.4545454545455</v>
      </c>
      <c r="U15" s="13">
        <f t="shared" si="8"/>
        <v>70.435742303309752</v>
      </c>
      <c r="V15">
        <f t="shared" si="9"/>
        <v>55</v>
      </c>
      <c r="W15" s="13">
        <f t="shared" si="10"/>
        <v>3873.9658266820365</v>
      </c>
    </row>
    <row r="16" spans="2:26">
      <c r="C16" s="6" t="s">
        <v>118</v>
      </c>
      <c r="D16" s="8">
        <f>D15/1000</f>
        <v>1.1665000000000001</v>
      </c>
      <c r="E16" s="8">
        <f t="shared" ref="E16:G16" si="11">E15/1000</f>
        <v>6.1965000000000003</v>
      </c>
      <c r="F16" s="8">
        <f t="shared" si="11"/>
        <v>40.463000000000001</v>
      </c>
      <c r="G16" s="8">
        <f t="shared" si="11"/>
        <v>120.184</v>
      </c>
      <c r="H16" t="str">
        <f t="shared" si="3"/>
        <v>Summed weight, ton</v>
      </c>
      <c r="I16" s="8">
        <f t="shared" si="4"/>
        <v>1</v>
      </c>
      <c r="J16" s="8">
        <f t="shared" si="6"/>
        <v>5.3120445777968284</v>
      </c>
      <c r="K16" s="8">
        <f t="shared" si="1"/>
        <v>34.687526789541359</v>
      </c>
      <c r="L16" s="8">
        <f t="shared" si="1"/>
        <v>103.02957565366479</v>
      </c>
      <c r="N16" s="8"/>
      <c r="O16" s="8"/>
      <c r="P16" s="8"/>
      <c r="Q16" s="8"/>
    </row>
    <row r="17" spans="3:17">
      <c r="C17" s="6" t="s">
        <v>103</v>
      </c>
      <c r="D17">
        <f>ecoinvent!A46</f>
        <v>23</v>
      </c>
      <c r="E17">
        <f>ecoinvent!$H$46</f>
        <v>77</v>
      </c>
      <c r="F17">
        <f>ecoinvent!O46</f>
        <v>120</v>
      </c>
      <c r="G17">
        <f>ecoinvent!V47</f>
        <v>420</v>
      </c>
      <c r="H17" t="str">
        <f t="shared" si="3"/>
        <v>Footprint, m2</v>
      </c>
      <c r="I17" s="8">
        <f t="shared" si="4"/>
        <v>1</v>
      </c>
      <c r="J17" s="8">
        <f t="shared" si="6"/>
        <v>3.347826086956522</v>
      </c>
      <c r="K17" s="8">
        <f t="shared" si="1"/>
        <v>5.2173913043478262</v>
      </c>
      <c r="L17" s="8">
        <f t="shared" si="1"/>
        <v>18.260869565217391</v>
      </c>
      <c r="N17" s="8"/>
      <c r="O17" s="8"/>
      <c r="P17" s="8"/>
      <c r="Q17" s="8"/>
    </row>
    <row r="23" spans="3:17">
      <c r="H23" s="21" t="s">
        <v>154</v>
      </c>
      <c r="I23">
        <f>IF(I27&lt;$D$27,0,IF(I27&lt;$E$27,1,IF(I27&lt;$F$27,2,IF(I27&lt;$G$27,3,4))))</f>
        <v>2</v>
      </c>
      <c r="J23">
        <f>IF(J27&lt;$D$27,0,IF(J27&lt;$E$27,1,IF(J27&lt;$F$27,2,IF(J27&lt;$G$27,3,4))))</f>
        <v>3</v>
      </c>
      <c r="K23">
        <f t="shared" ref="K23:N23" si="12">IF(K27&lt;$D$27,0,IF(K27&lt;$E$27,1,IF(K27&lt;$F$27,2,IF(K27&lt;$G$27,3,4))))</f>
        <v>1</v>
      </c>
      <c r="L23">
        <f t="shared" si="12"/>
        <v>2</v>
      </c>
      <c r="M23">
        <f t="shared" si="12"/>
        <v>2</v>
      </c>
      <c r="N23">
        <f t="shared" si="12"/>
        <v>2</v>
      </c>
    </row>
    <row r="24" spans="3:17">
      <c r="C24" s="27" t="s">
        <v>170</v>
      </c>
      <c r="H24" s="21" t="s">
        <v>155</v>
      </c>
      <c r="I24">
        <f>IF(I27&gt;$G$27,5,IF(I27&gt;$F$27,4,IF(I27&gt;$E$27,3,IF(I27&gt;$D$27,2,1))))</f>
        <v>3</v>
      </c>
      <c r="J24">
        <f>IF(J27&gt;$G$27,5,IF(J27&gt;$F$27,4,IF(J27&gt;$E$27,3,IF(J27&gt;$D$27,2,1))))</f>
        <v>4</v>
      </c>
      <c r="K24">
        <f t="shared" ref="K24:N24" si="13">IF(K27&gt;$G$27,5,IF(K27&gt;$F$27,4,IF(K27&gt;$E$27,3,IF(K27&gt;$D$27,2,1))))</f>
        <v>2</v>
      </c>
      <c r="L24">
        <f t="shared" si="13"/>
        <v>3</v>
      </c>
      <c r="M24">
        <f t="shared" si="13"/>
        <v>3</v>
      </c>
      <c r="N24">
        <f t="shared" si="13"/>
        <v>3</v>
      </c>
    </row>
    <row r="25" spans="3:17">
      <c r="H25" s="21"/>
      <c r="I25" s="15"/>
    </row>
    <row r="26" spans="3:17">
      <c r="C26" s="21" t="s">
        <v>153</v>
      </c>
      <c r="D26" s="1" t="s">
        <v>122</v>
      </c>
      <c r="E26" s="1" t="s">
        <v>119</v>
      </c>
      <c r="F26" s="1" t="s">
        <v>120</v>
      </c>
      <c r="G26" s="1" t="s">
        <v>121</v>
      </c>
      <c r="H26" s="21" t="s">
        <v>153</v>
      </c>
      <c r="I26" s="16" t="s">
        <v>156</v>
      </c>
      <c r="J26" s="16" t="s">
        <v>158</v>
      </c>
      <c r="K26" s="16" t="s">
        <v>166</v>
      </c>
      <c r="L26" s="16" t="s">
        <v>167</v>
      </c>
      <c r="M26" s="16" t="s">
        <v>165</v>
      </c>
      <c r="N26" s="16" t="s">
        <v>168</v>
      </c>
    </row>
    <row r="27" spans="3:17">
      <c r="C27" s="21" t="s">
        <v>152</v>
      </c>
      <c r="D27" s="22">
        <f>D16</f>
        <v>1.1665000000000001</v>
      </c>
      <c r="E27" s="22">
        <f t="shared" ref="E27:G27" si="14">E16</f>
        <v>6.1965000000000003</v>
      </c>
      <c r="F27" s="22">
        <f t="shared" si="14"/>
        <v>40.463000000000001</v>
      </c>
      <c r="G27" s="22">
        <f t="shared" si="14"/>
        <v>120.184</v>
      </c>
      <c r="H27" s="21" t="s">
        <v>152</v>
      </c>
      <c r="I27" s="15">
        <f>pyreg500!B14</f>
        <v>18</v>
      </c>
      <c r="J27" s="15">
        <f>pyreg1500!B14</f>
        <v>60</v>
      </c>
      <c r="K27" s="15">
        <f>biomacon160!B14</f>
        <v>5.5620000000000003</v>
      </c>
      <c r="L27" s="15">
        <f>biomacon400!B14</f>
        <v>17.600000000000001</v>
      </c>
      <c r="M27" s="15">
        <f>biogreen!B14</f>
        <v>35</v>
      </c>
      <c r="N27" s="15">
        <f>australian!B14</f>
        <v>18</v>
      </c>
    </row>
    <row r="28" spans="3:17">
      <c r="C28" s="17" t="s">
        <v>12</v>
      </c>
      <c r="D28">
        <f>ecoinvent!A16</f>
        <v>936</v>
      </c>
      <c r="E28">
        <f>ecoinvent!H16</f>
        <v>4791</v>
      </c>
      <c r="F28">
        <f>ecoinvent!O15</f>
        <v>24424</v>
      </c>
      <c r="G28">
        <f>ecoinvent!V15</f>
        <v>74820</v>
      </c>
      <c r="I28" s="24">
        <f>( ( INDEX($D28:$G28,1,I$24) - INDEX($D28:$G28,1,I$23) ) / ( INDEX($D$27:$G$27,1,I$24) - INDEX($D$27:$G$27,1,I$23) ) ) * ( I$27-INDEX($D$27:$G$27,1,I$24) ) + INDEX($D28:$G28,1,I$24)</f>
        <v>11553.818364875317</v>
      </c>
      <c r="J28" s="24">
        <f>( ( INDEX($D28:$G28,1,J$24) - INDEX($D28:$G28,1,J$23) ) / ( INDEX($D$27:$G$27,1,J$24) - INDEX($D$27:$G$27,1,J$23) ) ) * ( J$27-INDEX($D$27:$G$27,1,J$24) ) + INDEX($D28:$G28,1,J$24)</f>
        <v>36774.405188093479</v>
      </c>
      <c r="K28" s="24">
        <f t="shared" ref="K28:N43" si="15">( ( INDEX($D28:$G28,1,K$24) - INDEX($D28:$G28,1,K$23) ) / ( INDEX($D$27:$G$27,1,K$24) - INDEX($D$27:$G$27,1,K$23) ) ) * ( K$27-INDEX($D$27:$G$27,1,K$24) ) + INDEX($D28:$G28,1,K$24)</f>
        <v>4304.718190854871</v>
      </c>
      <c r="L28" s="24">
        <f t="shared" si="15"/>
        <v>11324.638261859252</v>
      </c>
      <c r="M28" s="24">
        <f t="shared" si="15"/>
        <v>21293.97274305809</v>
      </c>
      <c r="N28" s="24">
        <f t="shared" si="15"/>
        <v>11553.818364875317</v>
      </c>
    </row>
    <row r="29" spans="3:17">
      <c r="C29" s="17" t="s">
        <v>22</v>
      </c>
      <c r="D29">
        <f>ecoinvent!A20</f>
        <v>55</v>
      </c>
      <c r="E29">
        <f>ecoinvent!H19</f>
        <v>830</v>
      </c>
      <c r="F29">
        <f>ecoinvent!O16</f>
        <v>14200</v>
      </c>
      <c r="G29">
        <f>ecoinvent!V16</f>
        <v>41220</v>
      </c>
      <c r="I29" s="24">
        <f t="shared" ref="I29:I59" si="16">( ( INDEX($D29:$G29,1,I$24) - INDEX($D29:$G29,1,I$23) ) / ( INDEX($D$27:$G$27,1,I$24) - INDEX($D$27:$G$27,1,I$23) ) ) * ( I$27-INDEX($D$27:$G$27,1,I$24) ) + INDEX($D29:$G29,1,I$24)</f>
        <v>5435.4541607692645</v>
      </c>
      <c r="J29" s="24">
        <f>( ( INDEX($D29:$G29,1,J$24) - INDEX($D29:$G29,1,J$23) ) / ( INDEX($D$27:$G$27,1,J$24) - INDEX($D$27:$G$27,1,J$23) ) ) * ( J$27-INDEX($D$27:$G$27,1,J$24) ) + INDEX($D29:$G29,1,J$24)</f>
        <v>20821.714980996225</v>
      </c>
      <c r="K29" s="24">
        <f t="shared" si="15"/>
        <v>732.23906560636181</v>
      </c>
      <c r="L29" s="24">
        <f t="shared" si="15"/>
        <v>5279.3833627595468</v>
      </c>
      <c r="M29" s="24">
        <f t="shared" si="15"/>
        <v>12068.463076182277</v>
      </c>
      <c r="N29" s="24">
        <f t="shared" si="15"/>
        <v>5435.4541607692645</v>
      </c>
    </row>
    <row r="30" spans="3:17">
      <c r="C30" s="17" t="s">
        <v>8</v>
      </c>
      <c r="D30">
        <f>ecoinvent!A15</f>
        <v>1600</v>
      </c>
      <c r="E30">
        <f>ecoinvent!H17</f>
        <v>2700</v>
      </c>
      <c r="F30">
        <f>ecoinvent!O17</f>
        <v>5800</v>
      </c>
      <c r="G30">
        <f>ecoinvent!V17</f>
        <v>9570</v>
      </c>
      <c r="I30" s="24">
        <f t="shared" si="16"/>
        <v>3767.8315556009511</v>
      </c>
      <c r="J30" s="24">
        <f t="shared" ref="J30:N59" si="17">( ( INDEX($D30:$G30,1,J$24) - INDEX($D30:$G30,1,J$23) ) / ( INDEX($D$27:$G$27,1,J$24) - INDEX($D$27:$G$27,1,J$23) ) ) * ( J$27-INDEX($D$27:$G$27,1,J$24) ) + INDEX($D30:$G30,1,J$24)</f>
        <v>6723.9032375409242</v>
      </c>
      <c r="K30" s="24">
        <f t="shared" si="15"/>
        <v>2561.2425447316105</v>
      </c>
      <c r="L30" s="24">
        <f t="shared" si="15"/>
        <v>3731.644609166387</v>
      </c>
      <c r="M30" s="24">
        <f t="shared" si="15"/>
        <v>5305.7767790699372</v>
      </c>
      <c r="N30" s="24">
        <f t="shared" si="15"/>
        <v>3767.8315556009511</v>
      </c>
    </row>
    <row r="31" spans="3:17">
      <c r="C31" s="17" t="s">
        <v>16</v>
      </c>
      <c r="D31">
        <f>ecoinvent!A17</f>
        <v>528</v>
      </c>
      <c r="E31">
        <f>ecoinvent!H18</f>
        <v>1330</v>
      </c>
      <c r="F31">
        <f>ecoinvent!O18</f>
        <v>3560</v>
      </c>
      <c r="G31">
        <f>ecoinvent!V18</f>
        <v>5874</v>
      </c>
      <c r="I31" s="24">
        <f t="shared" si="16"/>
        <v>2098.1497964484261</v>
      </c>
      <c r="J31" s="24">
        <f t="shared" si="17"/>
        <v>4127.0854354561534</v>
      </c>
      <c r="K31" s="24">
        <f t="shared" si="15"/>
        <v>1228.8332007952285</v>
      </c>
      <c r="L31" s="24">
        <f t="shared" si="15"/>
        <v>2072.1185414325946</v>
      </c>
      <c r="M31" s="24">
        <f t="shared" si="15"/>
        <v>3204.4781346212771</v>
      </c>
      <c r="N31" s="24">
        <f t="shared" si="15"/>
        <v>2098.1497964484261</v>
      </c>
    </row>
    <row r="32" spans="3:17">
      <c r="C32" s="17" t="s">
        <v>18</v>
      </c>
      <c r="D32">
        <f>ecoinvent!A18</f>
        <v>93</v>
      </c>
      <c r="E32" s="23">
        <v>184.15</v>
      </c>
      <c r="F32">
        <f>ecoinvent!O19</f>
        <v>805</v>
      </c>
      <c r="G32">
        <f>ecoinvent!V19</f>
        <v>2005</v>
      </c>
      <c r="I32" s="24">
        <f t="shared" si="16"/>
        <v>398.00910364350023</v>
      </c>
      <c r="J32" s="24">
        <f t="shared" si="17"/>
        <v>1099.0806061138219</v>
      </c>
      <c r="K32" s="24">
        <f t="shared" si="15"/>
        <v>172.65205268389661</v>
      </c>
      <c r="L32" s="24">
        <f t="shared" si="15"/>
        <v>390.7617921293392</v>
      </c>
      <c r="M32" s="24">
        <f t="shared" si="15"/>
        <v>706.01984299534524</v>
      </c>
      <c r="N32" s="24">
        <f t="shared" si="15"/>
        <v>398.00910364350023</v>
      </c>
    </row>
    <row r="33" spans="3:14">
      <c r="C33" s="18" t="s">
        <v>20</v>
      </c>
      <c r="D33">
        <f>ecoinvent!A19</f>
        <v>78</v>
      </c>
      <c r="E33" s="5">
        <v>0</v>
      </c>
      <c r="F33">
        <f>ecoinvent!O20</f>
        <v>700</v>
      </c>
      <c r="G33">
        <f>ecoinvent!V20</f>
        <v>1115</v>
      </c>
      <c r="I33" s="24">
        <f t="shared" si="16"/>
        <v>241.12325449053736</v>
      </c>
      <c r="J33" s="24">
        <f t="shared" si="17"/>
        <v>801.70287628103006</v>
      </c>
      <c r="K33" s="24">
        <f t="shared" si="15"/>
        <v>9.8391650099403591</v>
      </c>
      <c r="L33" s="24">
        <f t="shared" si="15"/>
        <v>232.95200852144222</v>
      </c>
      <c r="M33" s="24">
        <f t="shared" si="15"/>
        <v>588.40120817708259</v>
      </c>
      <c r="N33" s="24">
        <f t="shared" si="15"/>
        <v>241.12325449053736</v>
      </c>
    </row>
    <row r="34" spans="3:14">
      <c r="C34" s="17" t="s">
        <v>24</v>
      </c>
      <c r="D34">
        <f>ecoinvent!A21</f>
        <v>49.5</v>
      </c>
      <c r="E34">
        <f>ecoinvent!H20</f>
        <v>338</v>
      </c>
      <c r="F34">
        <f>ecoinvent!O21</f>
        <v>476</v>
      </c>
      <c r="G34">
        <f>ecoinvent!V21</f>
        <v>1846</v>
      </c>
      <c r="I34" s="24">
        <f t="shared" si="16"/>
        <v>385.53572731384884</v>
      </c>
      <c r="J34" s="24">
        <f t="shared" si="17"/>
        <v>811.74202531328024</v>
      </c>
      <c r="K34" s="24">
        <f t="shared" si="15"/>
        <v>301.60770377733598</v>
      </c>
      <c r="L34" s="24">
        <f t="shared" si="15"/>
        <v>383.92482453708431</v>
      </c>
      <c r="M34" s="24">
        <f t="shared" si="15"/>
        <v>453.99909532633916</v>
      </c>
      <c r="N34" s="24">
        <f t="shared" si="15"/>
        <v>385.53572731384884</v>
      </c>
    </row>
    <row r="35" spans="3:14">
      <c r="C35" s="18" t="s">
        <v>84</v>
      </c>
      <c r="D35" s="5">
        <v>0</v>
      </c>
      <c r="E35">
        <f>ecoinvent!H21</f>
        <v>120</v>
      </c>
      <c r="F35">
        <f>ecoinvent!O22</f>
        <v>320</v>
      </c>
      <c r="G35">
        <f>ecoinvent!V22</f>
        <v>528</v>
      </c>
      <c r="I35" s="24">
        <f t="shared" si="16"/>
        <v>188.89235842586783</v>
      </c>
      <c r="J35" s="24">
        <f t="shared" si="17"/>
        <v>370.9739717263958</v>
      </c>
      <c r="K35" s="24">
        <f t="shared" si="15"/>
        <v>104.86282306163022</v>
      </c>
      <c r="L35" s="24">
        <f t="shared" si="15"/>
        <v>186.55771672041206</v>
      </c>
      <c r="M35" s="24">
        <f t="shared" si="15"/>
        <v>288.11463090773788</v>
      </c>
      <c r="N35" s="24">
        <f t="shared" si="15"/>
        <v>188.89235842586783</v>
      </c>
    </row>
    <row r="36" spans="3:14">
      <c r="C36" s="17" t="s">
        <v>26</v>
      </c>
      <c r="D36">
        <f>ecoinvent!A22</f>
        <v>19</v>
      </c>
      <c r="E36">
        <f>ecoinvent!H22</f>
        <v>52</v>
      </c>
      <c r="F36">
        <f>ecoinvent!O23</f>
        <v>155</v>
      </c>
      <c r="G36">
        <f>ecoinvent!V23</f>
        <v>361</v>
      </c>
      <c r="I36" s="24">
        <f t="shared" si="16"/>
        <v>87.479564589321939</v>
      </c>
      <c r="J36" s="24">
        <f t="shared" si="17"/>
        <v>205.48383738287276</v>
      </c>
      <c r="K36" s="24">
        <f t="shared" si="15"/>
        <v>47.837276341948311</v>
      </c>
      <c r="L36" s="24">
        <f t="shared" si="15"/>
        <v>86.277224111012217</v>
      </c>
      <c r="M36" s="24">
        <f t="shared" si="15"/>
        <v>138.57903491748499</v>
      </c>
      <c r="N36" s="24">
        <f t="shared" si="15"/>
        <v>87.479564589321939</v>
      </c>
    </row>
    <row r="37" spans="3:14">
      <c r="C37" s="18" t="s">
        <v>86</v>
      </c>
      <c r="D37" s="5">
        <v>0</v>
      </c>
      <c r="E37" s="5">
        <v>0</v>
      </c>
      <c r="F37">
        <f>ecoinvent!O24</f>
        <v>63</v>
      </c>
      <c r="G37">
        <f>ecoinvent!V24</f>
        <v>104</v>
      </c>
      <c r="I37" s="24">
        <f t="shared" si="16"/>
        <v>21.701092904148368</v>
      </c>
      <c r="J37" s="24">
        <f t="shared" si="17"/>
        <v>73.047754042222252</v>
      </c>
      <c r="K37" s="24">
        <f t="shared" si="15"/>
        <v>0</v>
      </c>
      <c r="L37" s="24">
        <f t="shared" si="15"/>
        <v>20.9656807669298</v>
      </c>
      <c r="M37" s="24">
        <f t="shared" si="15"/>
        <v>52.956108735937434</v>
      </c>
      <c r="N37" s="24">
        <f t="shared" si="15"/>
        <v>21.701092904148368</v>
      </c>
    </row>
    <row r="38" spans="3:14">
      <c r="C38" s="17" t="s">
        <v>28</v>
      </c>
      <c r="D38">
        <f>ecoinvent!A23</f>
        <v>15</v>
      </c>
      <c r="E38">
        <f>ecoinvent!H23</f>
        <v>40</v>
      </c>
      <c r="F38">
        <f>ecoinvent!O25</f>
        <v>53</v>
      </c>
      <c r="G38">
        <f>ecoinvent!V25</f>
        <v>70</v>
      </c>
      <c r="I38" s="24">
        <f t="shared" si="16"/>
        <v>44.478003297681411</v>
      </c>
      <c r="J38" s="24">
        <f t="shared" si="17"/>
        <v>57.166141919945815</v>
      </c>
      <c r="K38" s="24">
        <f t="shared" si="15"/>
        <v>36.84642147117296</v>
      </c>
      <c r="L38" s="24">
        <f t="shared" si="15"/>
        <v>44.326251586826785</v>
      </c>
      <c r="M38" s="24">
        <f t="shared" si="15"/>
        <v>50.927451009002965</v>
      </c>
      <c r="N38" s="24">
        <f t="shared" si="15"/>
        <v>44.478003297681411</v>
      </c>
    </row>
    <row r="39" spans="3:14">
      <c r="C39" s="18" t="s">
        <v>88</v>
      </c>
      <c r="D39" s="5">
        <f>0</f>
        <v>0</v>
      </c>
      <c r="E39" s="5">
        <v>0</v>
      </c>
      <c r="F39">
        <f>ecoinvent!O26</f>
        <v>53</v>
      </c>
      <c r="G39">
        <f>ecoinvent!V26</f>
        <v>70</v>
      </c>
      <c r="I39" s="24">
        <f t="shared" si="16"/>
        <v>18.256474982854975</v>
      </c>
      <c r="J39" s="24">
        <f t="shared" si="17"/>
        <v>57.166141919945815</v>
      </c>
      <c r="K39" s="24">
        <f t="shared" si="15"/>
        <v>0</v>
      </c>
      <c r="L39" s="24">
        <f t="shared" si="15"/>
        <v>17.637794930909195</v>
      </c>
      <c r="M39" s="24">
        <f t="shared" si="15"/>
        <v>44.550377190550535</v>
      </c>
      <c r="N39" s="24">
        <f t="shared" si="15"/>
        <v>18.256474982854975</v>
      </c>
    </row>
    <row r="40" spans="3:14">
      <c r="C40" s="17" t="s">
        <v>31</v>
      </c>
      <c r="D40">
        <f>ecoinvent!A24</f>
        <v>8.6300000000000008</v>
      </c>
      <c r="E40">
        <f>ecoinvent!H24</f>
        <v>22.6</v>
      </c>
      <c r="F40">
        <f>ecoinvent!O27</f>
        <v>38</v>
      </c>
      <c r="G40">
        <f>ecoinvent!V27</f>
        <v>56</v>
      </c>
      <c r="I40" s="24">
        <f t="shared" si="16"/>
        <v>27.904711598791824</v>
      </c>
      <c r="J40" s="24">
        <f t="shared" si="17"/>
        <v>42.411209091707335</v>
      </c>
      <c r="K40" s="24">
        <f t="shared" si="15"/>
        <v>20.837780318091454</v>
      </c>
      <c r="L40" s="24">
        <f t="shared" si="15"/>
        <v>27.724944187471728</v>
      </c>
      <c r="M40" s="24">
        <f t="shared" si="15"/>
        <v>35.544826579895819</v>
      </c>
      <c r="N40" s="24">
        <f t="shared" si="15"/>
        <v>27.904711598791824</v>
      </c>
    </row>
    <row r="41" spans="3:14">
      <c r="C41" s="17" t="s">
        <v>33</v>
      </c>
      <c r="D41">
        <f>ecoinvent!A25</f>
        <v>4</v>
      </c>
      <c r="E41">
        <f>ecoinvent!H25</f>
        <v>7</v>
      </c>
      <c r="F41">
        <f>ecoinvent!O28</f>
        <v>28</v>
      </c>
      <c r="G41">
        <f>ecoinvent!V28</f>
        <v>46</v>
      </c>
      <c r="I41" s="24">
        <f t="shared" si="16"/>
        <v>14.233697634716123</v>
      </c>
      <c r="J41" s="24">
        <f t="shared" si="17"/>
        <v>32.411209091707335</v>
      </c>
      <c r="K41" s="24">
        <f t="shared" si="15"/>
        <v>6.6215705765407558</v>
      </c>
      <c r="L41" s="24">
        <f t="shared" si="15"/>
        <v>13.988560255643268</v>
      </c>
      <c r="M41" s="24">
        <f t="shared" si="15"/>
        <v>24.652036245312477</v>
      </c>
      <c r="N41" s="24">
        <f t="shared" si="15"/>
        <v>14.233697634716123</v>
      </c>
    </row>
    <row r="42" spans="3:14">
      <c r="C42" s="17" t="s">
        <v>35</v>
      </c>
      <c r="D42">
        <f>ecoinvent!A26</f>
        <v>3.5</v>
      </c>
      <c r="E42">
        <f>ecoinvent!H26</f>
        <v>5.5</v>
      </c>
      <c r="F42">
        <f>ecoinvent!O29</f>
        <v>18</v>
      </c>
      <c r="G42">
        <f>ecoinvent!V29</f>
        <v>18</v>
      </c>
      <c r="I42" s="24">
        <f t="shared" si="16"/>
        <v>9.8057724016167391</v>
      </c>
      <c r="J42" s="24">
        <f t="shared" si="17"/>
        <v>18</v>
      </c>
      <c r="K42" s="24">
        <f t="shared" si="15"/>
        <v>5.2477137176938369</v>
      </c>
      <c r="L42" s="24">
        <f t="shared" si="15"/>
        <v>9.6598572950257537</v>
      </c>
      <c r="M42" s="24">
        <f t="shared" si="15"/>
        <v>16.007164431733617</v>
      </c>
      <c r="N42" s="24">
        <f t="shared" si="15"/>
        <v>9.8057724016167391</v>
      </c>
    </row>
    <row r="43" spans="3:14">
      <c r="C43" s="17" t="s">
        <v>37</v>
      </c>
      <c r="D43">
        <f>ecoinvent!A27</f>
        <v>3</v>
      </c>
      <c r="E43">
        <f>ecoinvent!H28</f>
        <v>4.5</v>
      </c>
      <c r="F43">
        <f>ecoinvent!O30</f>
        <v>12</v>
      </c>
      <c r="G43">
        <f>ecoinvent!V30</f>
        <v>12</v>
      </c>
      <c r="I43" s="24">
        <f t="shared" si="16"/>
        <v>7.0834634409700437</v>
      </c>
      <c r="J43" s="24">
        <f t="shared" si="17"/>
        <v>12</v>
      </c>
      <c r="K43" s="24">
        <f t="shared" si="15"/>
        <v>4.3107852882703774</v>
      </c>
      <c r="L43" s="24">
        <f t="shared" si="15"/>
        <v>6.9959143770154526</v>
      </c>
      <c r="M43" s="24">
        <f t="shared" si="15"/>
        <v>10.804298659040171</v>
      </c>
      <c r="N43" s="24">
        <f t="shared" si="15"/>
        <v>7.0834634409700437</v>
      </c>
    </row>
    <row r="44" spans="3:14">
      <c r="C44" s="17" t="s">
        <v>41</v>
      </c>
      <c r="D44">
        <f>ecoinvent!A29</f>
        <v>1</v>
      </c>
      <c r="E44">
        <f>ecoinvent!H27</f>
        <v>5</v>
      </c>
      <c r="F44">
        <f>ecoinvent!O31</f>
        <v>7</v>
      </c>
      <c r="G44">
        <f>ecoinvent!V31</f>
        <v>12</v>
      </c>
      <c r="I44" s="24">
        <f t="shared" si="16"/>
        <v>5.6889235842586778</v>
      </c>
      <c r="J44" s="24">
        <f t="shared" si="17"/>
        <v>8.2253358588075915</v>
      </c>
      <c r="K44" s="24">
        <f t="shared" si="17"/>
        <v>4.4954274353876738</v>
      </c>
      <c r="L44" s="24">
        <f t="shared" si="17"/>
        <v>5.6655771672041206</v>
      </c>
      <c r="M44" s="24">
        <f t="shared" si="17"/>
        <v>6.6811463090773788</v>
      </c>
      <c r="N44" s="24">
        <f t="shared" si="17"/>
        <v>5.6889235842586778</v>
      </c>
    </row>
    <row r="45" spans="3:14">
      <c r="C45" s="17" t="s">
        <v>39</v>
      </c>
      <c r="D45">
        <f>ecoinvent!A28</f>
        <v>2.5</v>
      </c>
      <c r="E45">
        <f>ecoinvent!H29</f>
        <v>3.5</v>
      </c>
      <c r="F45">
        <f>ecoinvent!O32</f>
        <v>7</v>
      </c>
      <c r="G45">
        <f>ecoinvent!V32</f>
        <v>32</v>
      </c>
      <c r="I45" s="24">
        <f t="shared" si="16"/>
        <v>4.7056162724526871</v>
      </c>
      <c r="J45" s="24">
        <f t="shared" si="17"/>
        <v>13.12667929403796</v>
      </c>
      <c r="K45" s="24">
        <f t="shared" si="17"/>
        <v>3.3738568588469184</v>
      </c>
      <c r="L45" s="24">
        <f t="shared" si="17"/>
        <v>4.6647600426072113</v>
      </c>
      <c r="M45" s="24">
        <f t="shared" si="17"/>
        <v>6.4420060408854125</v>
      </c>
      <c r="N45" s="24">
        <f t="shared" si="17"/>
        <v>4.7056162724526871</v>
      </c>
    </row>
    <row r="46" spans="3:14">
      <c r="C46" s="19" t="s">
        <v>43</v>
      </c>
      <c r="D46">
        <f>ecoinvent!A30</f>
        <v>-2.5</v>
      </c>
      <c r="E46">
        <f>ecoinvent!H30</f>
        <v>-3.5</v>
      </c>
      <c r="F46">
        <f>ecoinvent!O33</f>
        <v>-7</v>
      </c>
      <c r="G46">
        <f>ecoinvent!V33</f>
        <v>-32</v>
      </c>
      <c r="I46" s="24">
        <f t="shared" si="16"/>
        <v>-4.7056162724526871</v>
      </c>
      <c r="J46" s="24">
        <f t="shared" si="17"/>
        <v>-13.12667929403796</v>
      </c>
      <c r="K46" s="24">
        <f t="shared" si="17"/>
        <v>-3.3738568588469184</v>
      </c>
      <c r="L46" s="24">
        <f t="shared" si="17"/>
        <v>-4.6647600426072113</v>
      </c>
      <c r="M46" s="24">
        <f t="shared" si="17"/>
        <v>-6.4420060408854125</v>
      </c>
      <c r="N46" s="24">
        <f t="shared" si="17"/>
        <v>-4.7056162724526871</v>
      </c>
    </row>
    <row r="47" spans="3:14">
      <c r="C47" s="19" t="s">
        <v>45</v>
      </c>
      <c r="D47">
        <f>ecoinvent!A31</f>
        <v>-3</v>
      </c>
      <c r="E47">
        <f>ecoinvent!H31</f>
        <v>-4.5</v>
      </c>
      <c r="F47">
        <f>ecoinvent!O34</f>
        <v>-12</v>
      </c>
      <c r="G47">
        <f>ecoinvent!V34</f>
        <v>-12</v>
      </c>
      <c r="I47" s="24">
        <f t="shared" si="16"/>
        <v>-7.0834634409700437</v>
      </c>
      <c r="J47" s="24">
        <f t="shared" si="17"/>
        <v>-12</v>
      </c>
      <c r="K47" s="24">
        <f t="shared" si="17"/>
        <v>-4.3107852882703774</v>
      </c>
      <c r="L47" s="24">
        <f t="shared" si="17"/>
        <v>-6.9959143770154526</v>
      </c>
      <c r="M47" s="24">
        <f t="shared" si="17"/>
        <v>-10.804298659040171</v>
      </c>
      <c r="N47" s="24">
        <f t="shared" si="17"/>
        <v>-7.0834634409700437</v>
      </c>
    </row>
    <row r="48" spans="3:14">
      <c r="C48" s="19" t="s">
        <v>47</v>
      </c>
      <c r="D48">
        <f>ecoinvent!A32</f>
        <v>-3.5</v>
      </c>
      <c r="E48">
        <f>ecoinvent!H32</f>
        <v>-5.5</v>
      </c>
      <c r="F48">
        <f>ecoinvent!O35</f>
        <v>-18</v>
      </c>
      <c r="G48">
        <f>ecoinvent!V35</f>
        <v>-18</v>
      </c>
      <c r="I48" s="24">
        <f t="shared" si="16"/>
        <v>-9.8057724016167391</v>
      </c>
      <c r="J48" s="24">
        <f t="shared" si="17"/>
        <v>-18</v>
      </c>
      <c r="K48" s="24">
        <f t="shared" si="17"/>
        <v>-5.2477137176938369</v>
      </c>
      <c r="L48" s="24">
        <f t="shared" si="17"/>
        <v>-9.6598572950257537</v>
      </c>
      <c r="M48" s="24">
        <f t="shared" si="17"/>
        <v>-16.007164431733617</v>
      </c>
      <c r="N48" s="24">
        <f t="shared" si="17"/>
        <v>-9.8057724016167391</v>
      </c>
    </row>
    <row r="49" spans="3:14">
      <c r="C49" s="19" t="s">
        <v>49</v>
      </c>
      <c r="D49">
        <f>ecoinvent!A33</f>
        <v>-4</v>
      </c>
      <c r="E49">
        <f>ecoinvent!H33</f>
        <v>-7</v>
      </c>
      <c r="F49">
        <f>ecoinvent!O36</f>
        <v>-28</v>
      </c>
      <c r="G49">
        <f>ecoinvent!V36</f>
        <v>-46</v>
      </c>
      <c r="I49" s="24">
        <f t="shared" si="16"/>
        <v>-14.233697634716123</v>
      </c>
      <c r="J49" s="24">
        <f t="shared" si="17"/>
        <v>-32.411209091707335</v>
      </c>
      <c r="K49" s="24">
        <f t="shared" si="17"/>
        <v>-6.6215705765407558</v>
      </c>
      <c r="L49" s="24">
        <f t="shared" si="17"/>
        <v>-13.988560255643268</v>
      </c>
      <c r="M49" s="24">
        <f t="shared" si="17"/>
        <v>-24.652036245312477</v>
      </c>
      <c r="N49" s="24">
        <f t="shared" si="17"/>
        <v>-14.233697634716123</v>
      </c>
    </row>
    <row r="50" spans="3:14">
      <c r="C50" s="20" t="s">
        <v>89</v>
      </c>
      <c r="D50" s="5">
        <v>0</v>
      </c>
      <c r="E50">
        <f>ecoinvent!H34</f>
        <v>-12</v>
      </c>
      <c r="F50">
        <f>ecoinvent!O37</f>
        <v>-63</v>
      </c>
      <c r="G50">
        <f>ecoinvent!V37</f>
        <v>-104</v>
      </c>
      <c r="I50" s="24">
        <f t="shared" si="16"/>
        <v>-29.567551398596301</v>
      </c>
      <c r="J50" s="24">
        <f t="shared" si="17"/>
        <v>-73.047754042222252</v>
      </c>
      <c r="K50" s="24">
        <f t="shared" si="17"/>
        <v>-10.486282306163021</v>
      </c>
      <c r="L50" s="24">
        <f t="shared" si="17"/>
        <v>-28.972217763705082</v>
      </c>
      <c r="M50" s="24">
        <f t="shared" si="17"/>
        <v>-54.869230881473158</v>
      </c>
      <c r="N50" s="24">
        <f t="shared" si="17"/>
        <v>-29.567551398596301</v>
      </c>
    </row>
    <row r="51" spans="3:14">
      <c r="C51" s="19" t="s">
        <v>51</v>
      </c>
      <c r="D51">
        <f>ecoinvent!A34</f>
        <v>-19</v>
      </c>
      <c r="E51">
        <f>ecoinvent!H35</f>
        <v>-52</v>
      </c>
      <c r="F51">
        <f>ecoinvent!O38</f>
        <v>-155</v>
      </c>
      <c r="G51">
        <f>ecoinvent!V38</f>
        <v>-361</v>
      </c>
      <c r="I51" s="24">
        <f t="shared" si="16"/>
        <v>-87.479564589321939</v>
      </c>
      <c r="J51" s="24">
        <f t="shared" si="17"/>
        <v>-205.48383738287276</v>
      </c>
      <c r="K51" s="24">
        <f t="shared" si="17"/>
        <v>-47.837276341948311</v>
      </c>
      <c r="L51" s="24">
        <f t="shared" si="17"/>
        <v>-86.277224111012217</v>
      </c>
      <c r="M51" s="24">
        <f t="shared" si="17"/>
        <v>-138.57903491748499</v>
      </c>
      <c r="N51" s="24">
        <f t="shared" si="17"/>
        <v>-87.479564589321939</v>
      </c>
    </row>
    <row r="52" spans="3:14">
      <c r="C52" s="19" t="s">
        <v>53</v>
      </c>
      <c r="D52">
        <f>ecoinvent!A35</f>
        <v>-49.5</v>
      </c>
      <c r="E52">
        <f>ecoinvent!H36</f>
        <v>-338</v>
      </c>
      <c r="F52">
        <f>ecoinvent!O39</f>
        <v>-476</v>
      </c>
      <c r="G52">
        <f>ecoinvent!V39</f>
        <v>-1846</v>
      </c>
      <c r="I52" s="24">
        <f t="shared" si="16"/>
        <v>-385.53572731384884</v>
      </c>
      <c r="J52" s="24">
        <f t="shared" si="17"/>
        <v>-811.74202531328024</v>
      </c>
      <c r="K52" s="24">
        <f t="shared" si="17"/>
        <v>-301.60770377733598</v>
      </c>
      <c r="L52" s="24">
        <f t="shared" si="17"/>
        <v>-383.92482453708431</v>
      </c>
      <c r="M52" s="24">
        <f t="shared" si="17"/>
        <v>-453.99909532633916</v>
      </c>
      <c r="N52" s="24">
        <f t="shared" si="17"/>
        <v>-385.53572731384884</v>
      </c>
    </row>
    <row r="53" spans="3:14">
      <c r="C53" s="20" t="s">
        <v>57</v>
      </c>
      <c r="D53">
        <f>ecoinvent!A37</f>
        <v>-78</v>
      </c>
      <c r="E53" s="5">
        <v>0</v>
      </c>
      <c r="F53">
        <f>ecoinvent!O40</f>
        <v>-700</v>
      </c>
      <c r="G53">
        <f>ecoinvent!V40</f>
        <v>-1115</v>
      </c>
      <c r="I53" s="24">
        <f t="shared" si="16"/>
        <v>-241.12325449053736</v>
      </c>
      <c r="J53" s="24">
        <f t="shared" si="17"/>
        <v>-801.70287628103006</v>
      </c>
      <c r="K53" s="24">
        <f t="shared" si="17"/>
        <v>-9.8391650099403591</v>
      </c>
      <c r="L53" s="24">
        <f t="shared" si="17"/>
        <v>-232.95200852144222</v>
      </c>
      <c r="M53" s="24">
        <f t="shared" si="17"/>
        <v>-588.40120817708259</v>
      </c>
      <c r="N53" s="24">
        <f t="shared" si="17"/>
        <v>-241.12325449053736</v>
      </c>
    </row>
    <row r="54" spans="3:14">
      <c r="C54" s="19" t="s">
        <v>55</v>
      </c>
      <c r="D54">
        <f>ecoinvent!A36</f>
        <v>-55</v>
      </c>
      <c r="E54">
        <f>ecoinvent!H37</f>
        <v>-830</v>
      </c>
      <c r="F54">
        <f>ecoinvent!O41</f>
        <v>-14200</v>
      </c>
      <c r="G54">
        <f>ecoinvent!V41</f>
        <v>-41220</v>
      </c>
      <c r="I54" s="24">
        <f t="shared" si="16"/>
        <v>-5435.4541607692645</v>
      </c>
      <c r="J54" s="24">
        <f t="shared" si="17"/>
        <v>-20821.714980996225</v>
      </c>
      <c r="K54" s="24">
        <f t="shared" si="17"/>
        <v>-732.23906560636181</v>
      </c>
      <c r="L54" s="24">
        <f t="shared" si="17"/>
        <v>-5279.3833627595468</v>
      </c>
      <c r="M54" s="24">
        <f t="shared" si="17"/>
        <v>-12068.463076182277</v>
      </c>
      <c r="N54" s="24">
        <f t="shared" si="17"/>
        <v>-5435.4541607692645</v>
      </c>
    </row>
    <row r="55" spans="3:14">
      <c r="C55" s="19" t="s">
        <v>59</v>
      </c>
      <c r="D55">
        <f>ecoinvent!A38</f>
        <v>-951</v>
      </c>
      <c r="E55">
        <f>ecoinvent!H38</f>
        <v>-4951</v>
      </c>
      <c r="F55">
        <f>ecoinvent!O42</f>
        <v>-24477</v>
      </c>
      <c r="G55">
        <f>ecoinvent!V42</f>
        <v>-74890</v>
      </c>
      <c r="I55" s="24">
        <f t="shared" si="16"/>
        <v>-11676.960953117476</v>
      </c>
      <c r="J55" s="24">
        <f t="shared" si="17"/>
        <v>-36831.571330013423</v>
      </c>
      <c r="K55" s="24">
        <f t="shared" si="17"/>
        <v>-4446.4274353876735</v>
      </c>
      <c r="L55" s="24">
        <f t="shared" si="17"/>
        <v>-11449.02988341383</v>
      </c>
      <c r="M55" s="24">
        <f t="shared" si="17"/>
        <v>-21364.031415522448</v>
      </c>
      <c r="N55" s="24">
        <f t="shared" si="17"/>
        <v>-11676.960953117476</v>
      </c>
    </row>
    <row r="56" spans="3:14">
      <c r="C56" s="19" t="s">
        <v>61</v>
      </c>
      <c r="D56">
        <f>ecoinvent!A39</f>
        <v>-20288</v>
      </c>
      <c r="E56">
        <f>ecoinvent!H39</f>
        <v>-53004</v>
      </c>
      <c r="F56">
        <f>ecoinvent!O43</f>
        <v>-89300</v>
      </c>
      <c r="G56">
        <f>ecoinvent!V43</f>
        <v>-131600</v>
      </c>
      <c r="I56" s="24">
        <f t="shared" si="16"/>
        <v>-65506.585207126496</v>
      </c>
      <c r="J56" s="24">
        <f t="shared" si="17"/>
        <v>-99666.341365512228</v>
      </c>
      <c r="K56" s="24">
        <f t="shared" si="17"/>
        <v>-48877.100994035784</v>
      </c>
      <c r="L56" s="24">
        <f t="shared" si="17"/>
        <v>-65082.894430420376</v>
      </c>
      <c r="M56" s="24">
        <f t="shared" si="17"/>
        <v>-83513.443217136271</v>
      </c>
      <c r="N56" s="24">
        <f t="shared" si="17"/>
        <v>-65506.585207126496</v>
      </c>
    </row>
    <row r="57" spans="3:14">
      <c r="C57" s="6" t="s">
        <v>64</v>
      </c>
      <c r="D57">
        <f>ecoinvent!A45</f>
        <v>460</v>
      </c>
      <c r="E57">
        <f>ecoinvent!H45</f>
        <v>1540</v>
      </c>
      <c r="F57">
        <f>ecoinvent!O45</f>
        <v>2400</v>
      </c>
      <c r="G57">
        <f>ecoinvent!V45</f>
        <v>8400</v>
      </c>
      <c r="I57" s="24">
        <f t="shared" si="16"/>
        <v>1836.2371412312316</v>
      </c>
      <c r="J57" s="24">
        <f t="shared" si="17"/>
        <v>3870.4030305691094</v>
      </c>
      <c r="K57" s="24">
        <f t="shared" si="17"/>
        <v>1403.765407554672</v>
      </c>
      <c r="L57" s="24">
        <f t="shared" si="17"/>
        <v>1826.198181897772</v>
      </c>
      <c r="M57" s="24">
        <f t="shared" si="17"/>
        <v>2262.8929129032726</v>
      </c>
      <c r="N57" s="24">
        <f t="shared" si="17"/>
        <v>1836.2371412312316</v>
      </c>
    </row>
    <row r="58" spans="3:14">
      <c r="C58" s="6" t="s">
        <v>68</v>
      </c>
      <c r="D58">
        <f>ecoinvent!A46</f>
        <v>23</v>
      </c>
      <c r="E58">
        <f>ecoinvent!H46</f>
        <v>77</v>
      </c>
      <c r="F58">
        <f>ecoinvent!O46</f>
        <v>120</v>
      </c>
      <c r="G58">
        <f>ecoinvent!V46</f>
        <v>420</v>
      </c>
      <c r="I58" s="24">
        <f t="shared" si="16"/>
        <v>91.811857061561582</v>
      </c>
      <c r="J58" s="24">
        <f t="shared" si="17"/>
        <v>193.5201515284555</v>
      </c>
      <c r="K58" s="24">
        <f t="shared" si="17"/>
        <v>70.188270377733602</v>
      </c>
      <c r="L58" s="24">
        <f t="shared" si="17"/>
        <v>91.309909094888596</v>
      </c>
      <c r="M58" s="24">
        <f t="shared" si="17"/>
        <v>113.14464564516365</v>
      </c>
      <c r="N58" s="24">
        <f t="shared" si="17"/>
        <v>91.811857061561582</v>
      </c>
    </row>
    <row r="59" spans="3:14">
      <c r="C59" s="6" t="s">
        <v>70</v>
      </c>
      <c r="D59">
        <f>ecoinvent!A47</f>
        <v>23</v>
      </c>
      <c r="E59">
        <f>ecoinvent!H47</f>
        <v>77</v>
      </c>
      <c r="F59">
        <f>ecoinvent!O47</f>
        <v>120</v>
      </c>
      <c r="G59">
        <f>ecoinvent!V47</f>
        <v>420</v>
      </c>
      <c r="I59" s="24">
        <f t="shared" si="16"/>
        <v>91.811857061561582</v>
      </c>
      <c r="J59" s="24">
        <f t="shared" si="17"/>
        <v>193.5201515284555</v>
      </c>
      <c r="K59" s="24">
        <f t="shared" si="17"/>
        <v>70.188270377733602</v>
      </c>
      <c r="L59" s="24">
        <f t="shared" si="17"/>
        <v>91.309909094888596</v>
      </c>
      <c r="M59" s="24">
        <f t="shared" si="17"/>
        <v>113.14464564516365</v>
      </c>
      <c r="N59" s="24">
        <f t="shared" si="17"/>
        <v>91.811857061561582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55" zoomScaleNormal="55" workbookViewId="0">
      <selection activeCell="B9" sqref="B9"/>
    </sheetView>
  </sheetViews>
  <sheetFormatPr defaultRowHeight="14.5"/>
  <cols>
    <col min="1" max="1" width="21.1796875" customWidth="1"/>
    <col min="2" max="2" width="12" bestFit="1" customWidth="1"/>
    <col min="3" max="3" width="14.08984375" customWidth="1"/>
    <col min="4" max="4" width="30.08984375" customWidth="1"/>
    <col min="5" max="5" width="28.36328125" customWidth="1"/>
  </cols>
  <sheetData>
    <row r="1" spans="1:9">
      <c r="A1" s="1" t="s">
        <v>123</v>
      </c>
    </row>
    <row r="2" spans="1:9">
      <c r="A2" t="s">
        <v>1</v>
      </c>
    </row>
    <row r="3" spans="1:9">
      <c r="A3" t="s">
        <v>124</v>
      </c>
    </row>
    <row r="4" spans="1:9">
      <c r="A4" t="s">
        <v>125</v>
      </c>
      <c r="E4" t="s">
        <v>305</v>
      </c>
    </row>
    <row r="5" spans="1:9">
      <c r="E5">
        <f>B14/B12/B13</f>
        <v>8.6206896551724144E-2</v>
      </c>
      <c r="F5" t="s">
        <v>306</v>
      </c>
    </row>
    <row r="6" spans="1:9">
      <c r="A6" s="1" t="s">
        <v>133</v>
      </c>
      <c r="B6" s="1">
        <v>20</v>
      </c>
      <c r="C6" s="1" t="s">
        <v>134</v>
      </c>
    </row>
    <row r="7" spans="1:9">
      <c r="A7" t="s">
        <v>92</v>
      </c>
      <c r="B7">
        <v>500</v>
      </c>
      <c r="C7" t="s">
        <v>135</v>
      </c>
    </row>
    <row r="8" spans="1:9">
      <c r="A8" s="1" t="s">
        <v>137</v>
      </c>
      <c r="B8" s="1">
        <v>190</v>
      </c>
      <c r="C8" s="1" t="s">
        <v>138</v>
      </c>
      <c r="D8" s="4" t="s">
        <v>136</v>
      </c>
    </row>
    <row r="9" spans="1:9">
      <c r="A9" s="1" t="s">
        <v>139</v>
      </c>
      <c r="B9" s="26">
        <f>1/(B6*B8*1000)</f>
        <v>2.6315789473684208E-7</v>
      </c>
      <c r="C9" s="1" t="s">
        <v>140</v>
      </c>
      <c r="D9" s="4"/>
    </row>
    <row r="10" spans="1:9">
      <c r="A10" s="1" t="s">
        <v>214</v>
      </c>
      <c r="B10" s="1">
        <v>1200</v>
      </c>
      <c r="C10" s="1" t="s">
        <v>216</v>
      </c>
      <c r="D10" t="s">
        <v>217</v>
      </c>
    </row>
    <row r="11" spans="1:9">
      <c r="A11" s="1" t="s">
        <v>215</v>
      </c>
      <c r="B11">
        <v>0</v>
      </c>
      <c r="C11" s="1" t="s">
        <v>216</v>
      </c>
      <c r="H11">
        <f>12*3</f>
        <v>36</v>
      </c>
      <c r="I11" t="s">
        <v>129</v>
      </c>
    </row>
    <row r="12" spans="1:9">
      <c r="A12" s="1" t="s">
        <v>127</v>
      </c>
      <c r="B12" s="1">
        <f>9*3+3*3</f>
        <v>36</v>
      </c>
      <c r="C12" s="1" t="s">
        <v>129</v>
      </c>
      <c r="D12" t="s">
        <v>131</v>
      </c>
      <c r="H12">
        <v>5.8</v>
      </c>
      <c r="I12" t="s">
        <v>130</v>
      </c>
    </row>
    <row r="13" spans="1:9">
      <c r="A13" s="1" t="s">
        <v>128</v>
      </c>
      <c r="B13" s="1">
        <v>5.8</v>
      </c>
      <c r="C13" s="1" t="s">
        <v>130</v>
      </c>
    </row>
    <row r="14" spans="1:9">
      <c r="A14" t="s">
        <v>126</v>
      </c>
      <c r="B14" s="1">
        <f>14+4</f>
        <v>18</v>
      </c>
      <c r="C14" s="1" t="s">
        <v>132</v>
      </c>
      <c r="D14" s="1" t="s">
        <v>284</v>
      </c>
    </row>
    <row r="16" spans="1:9">
      <c r="B16" t="s">
        <v>159</v>
      </c>
      <c r="C16" t="s">
        <v>5</v>
      </c>
      <c r="D16" t="s">
        <v>160</v>
      </c>
      <c r="E16" t="s">
        <v>161</v>
      </c>
      <c r="F16" t="s">
        <v>162</v>
      </c>
      <c r="G16" t="s">
        <v>196</v>
      </c>
    </row>
    <row r="17" spans="2:7">
      <c r="B17" s="25">
        <f>scaling!I28</f>
        <v>11553.818364875317</v>
      </c>
      <c r="C17" s="2" t="s">
        <v>11</v>
      </c>
      <c r="D17" s="2" t="s">
        <v>12</v>
      </c>
      <c r="E17" s="2" t="s">
        <v>13</v>
      </c>
      <c r="F17" s="2" t="s">
        <v>14</v>
      </c>
      <c r="G17" s="28" t="s">
        <v>171</v>
      </c>
    </row>
    <row r="18" spans="2:7">
      <c r="B18" s="25">
        <f>scaling!I29</f>
        <v>5435.4541607692645</v>
      </c>
      <c r="C18" s="2" t="s">
        <v>11</v>
      </c>
      <c r="D18" s="2" t="s">
        <v>22</v>
      </c>
      <c r="E18" s="2" t="s">
        <v>23</v>
      </c>
      <c r="F18" s="2" t="s">
        <v>14</v>
      </c>
      <c r="G18" s="28" t="s">
        <v>172</v>
      </c>
    </row>
    <row r="19" spans="2:7">
      <c r="B19" s="25">
        <f>scaling!I30</f>
        <v>3767.8315556009511</v>
      </c>
      <c r="C19" s="2" t="s">
        <v>7</v>
      </c>
      <c r="D19" s="2" t="s">
        <v>8</v>
      </c>
      <c r="E19" s="2" t="s">
        <v>9</v>
      </c>
      <c r="F19" s="5" t="s">
        <v>3</v>
      </c>
      <c r="G19" s="29" t="s">
        <v>173</v>
      </c>
    </row>
    <row r="20" spans="2:7">
      <c r="B20" s="25">
        <f>scaling!I31</f>
        <v>2098.1497964484261</v>
      </c>
      <c r="C20" s="2" t="s">
        <v>15</v>
      </c>
      <c r="D20" s="2" t="s">
        <v>16</v>
      </c>
      <c r="E20" s="2" t="s">
        <v>17</v>
      </c>
      <c r="F20" s="5" t="s">
        <v>3</v>
      </c>
      <c r="G20" s="29" t="s">
        <v>193</v>
      </c>
    </row>
    <row r="21" spans="2:7">
      <c r="B21" s="25">
        <f>scaling!I32</f>
        <v>398.00910364350023</v>
      </c>
      <c r="C21" s="2" t="s">
        <v>11</v>
      </c>
      <c r="D21" s="2" t="s">
        <v>18</v>
      </c>
      <c r="E21" s="2" t="s">
        <v>18</v>
      </c>
      <c r="F21" s="2" t="s">
        <v>19</v>
      </c>
      <c r="G21" s="28" t="s">
        <v>174</v>
      </c>
    </row>
    <row r="22" spans="2:7">
      <c r="B22" s="25">
        <f>scaling!I33</f>
        <v>241.12325449053736</v>
      </c>
      <c r="C22" s="2" t="s">
        <v>11</v>
      </c>
      <c r="D22" s="10" t="s">
        <v>20</v>
      </c>
      <c r="E22" s="2" t="s">
        <v>21</v>
      </c>
      <c r="F22" s="2" t="s">
        <v>14</v>
      </c>
      <c r="G22" t="s">
        <v>194</v>
      </c>
    </row>
    <row r="23" spans="2:7">
      <c r="B23" s="25">
        <f>scaling!I34</f>
        <v>385.53572731384884</v>
      </c>
      <c r="C23" s="2" t="s">
        <v>11</v>
      </c>
      <c r="D23" s="2" t="s">
        <v>24</v>
      </c>
      <c r="E23" s="2" t="s">
        <v>25</v>
      </c>
      <c r="F23" s="2" t="s">
        <v>14</v>
      </c>
      <c r="G23" s="28" t="s">
        <v>195</v>
      </c>
    </row>
    <row r="24" spans="2:7">
      <c r="B24" s="25">
        <f>scaling!I35</f>
        <v>188.89235842586783</v>
      </c>
      <c r="C24" s="2" t="s">
        <v>11</v>
      </c>
      <c r="D24" s="10" t="s">
        <v>84</v>
      </c>
      <c r="E24" s="2" t="s">
        <v>85</v>
      </c>
      <c r="F24" s="2" t="s">
        <v>14</v>
      </c>
      <c r="G24" s="28" t="s">
        <v>175</v>
      </c>
    </row>
    <row r="25" spans="2:7">
      <c r="B25" s="25">
        <f>scaling!I36</f>
        <v>87.479564589321939</v>
      </c>
      <c r="C25" s="2" t="s">
        <v>11</v>
      </c>
      <c r="D25" s="2" t="s">
        <v>26</v>
      </c>
      <c r="E25" s="2" t="s">
        <v>27</v>
      </c>
      <c r="F25" s="2" t="s">
        <v>14</v>
      </c>
      <c r="G25" s="28" t="s">
        <v>197</v>
      </c>
    </row>
    <row r="26" spans="2:7">
      <c r="B26" s="25">
        <f>scaling!I37</f>
        <v>21.701092904148368</v>
      </c>
      <c r="C26" s="2" t="s">
        <v>11</v>
      </c>
      <c r="D26" s="10" t="s">
        <v>86</v>
      </c>
      <c r="E26" s="2" t="s">
        <v>87</v>
      </c>
      <c r="F26" s="2" t="s">
        <v>14</v>
      </c>
      <c r="G26" s="28" t="s">
        <v>176</v>
      </c>
    </row>
    <row r="27" spans="2:7">
      <c r="B27" s="25">
        <f>scaling!I38</f>
        <v>44.478003297681411</v>
      </c>
      <c r="C27" s="2" t="s">
        <v>11</v>
      </c>
      <c r="D27" s="2" t="s">
        <v>28</v>
      </c>
      <c r="E27" s="2" t="s">
        <v>29</v>
      </c>
      <c r="F27" s="2" t="s">
        <v>14</v>
      </c>
      <c r="G27" s="28" t="s">
        <v>177</v>
      </c>
    </row>
    <row r="28" spans="2:7">
      <c r="B28" s="25">
        <f>scaling!I39</f>
        <v>18.256474982854975</v>
      </c>
      <c r="C28" s="2" t="s">
        <v>11</v>
      </c>
      <c r="D28" s="10" t="s">
        <v>88</v>
      </c>
      <c r="E28" s="2" t="s">
        <v>88</v>
      </c>
      <c r="F28" s="2" t="s">
        <v>19</v>
      </c>
      <c r="G28" s="28" t="s">
        <v>178</v>
      </c>
    </row>
    <row r="29" spans="2:7">
      <c r="B29" s="25">
        <f>scaling!I40</f>
        <v>27.904711598791824</v>
      </c>
      <c r="C29" s="2" t="s">
        <v>30</v>
      </c>
      <c r="D29" s="2" t="s">
        <v>31</v>
      </c>
      <c r="E29" s="2" t="s">
        <v>32</v>
      </c>
      <c r="F29" s="5" t="s">
        <v>3</v>
      </c>
      <c r="G29" s="29" t="s">
        <v>179</v>
      </c>
    </row>
    <row r="30" spans="2:7">
      <c r="B30" s="25">
        <f>scaling!I41</f>
        <v>14.233697634716123</v>
      </c>
      <c r="C30" s="2" t="s">
        <v>11</v>
      </c>
      <c r="D30" s="2" t="s">
        <v>33</v>
      </c>
      <c r="E30" s="2" t="s">
        <v>34</v>
      </c>
      <c r="F30" s="2" t="s">
        <v>14</v>
      </c>
      <c r="G30" s="28" t="s">
        <v>198</v>
      </c>
    </row>
    <row r="31" spans="2:7">
      <c r="B31" s="25">
        <f>scaling!I42</f>
        <v>9.8057724016167391</v>
      </c>
      <c r="C31" s="2" t="s">
        <v>11</v>
      </c>
      <c r="D31" s="2" t="s">
        <v>35</v>
      </c>
      <c r="E31" s="2" t="s">
        <v>36</v>
      </c>
      <c r="F31" s="2" t="s">
        <v>14</v>
      </c>
      <c r="G31" s="28" t="s">
        <v>180</v>
      </c>
    </row>
    <row r="32" spans="2:7">
      <c r="B32" s="25">
        <f>scaling!I43</f>
        <v>7.0834634409700437</v>
      </c>
      <c r="C32" s="2" t="s">
        <v>11</v>
      </c>
      <c r="D32" s="2" t="s">
        <v>37</v>
      </c>
      <c r="E32" s="2" t="s">
        <v>38</v>
      </c>
      <c r="F32" s="2" t="s">
        <v>14</v>
      </c>
      <c r="G32" s="28" t="s">
        <v>181</v>
      </c>
    </row>
    <row r="33" spans="2:7">
      <c r="B33" s="25">
        <f>scaling!I44</f>
        <v>5.6889235842586778</v>
      </c>
      <c r="C33" s="2" t="s">
        <v>11</v>
      </c>
      <c r="D33" s="2" t="s">
        <v>41</v>
      </c>
      <c r="E33" s="2" t="s">
        <v>42</v>
      </c>
      <c r="F33" s="2" t="s">
        <v>19</v>
      </c>
      <c r="G33" s="28" t="s">
        <v>182</v>
      </c>
    </row>
    <row r="34" spans="2:7">
      <c r="B34" s="25">
        <f>scaling!I45</f>
        <v>4.7056162724526871</v>
      </c>
      <c r="C34" s="2" t="s">
        <v>11</v>
      </c>
      <c r="D34" s="2" t="s">
        <v>39</v>
      </c>
      <c r="E34" s="2" t="s">
        <v>40</v>
      </c>
      <c r="F34" s="2" t="s">
        <v>19</v>
      </c>
      <c r="G34" s="28" t="s">
        <v>183</v>
      </c>
    </row>
    <row r="35" spans="2:7">
      <c r="B35" s="25">
        <f>scaling!I46</f>
        <v>-4.7056162724526871</v>
      </c>
      <c r="C35" s="3" t="s">
        <v>11</v>
      </c>
      <c r="D35" s="3" t="s">
        <v>43</v>
      </c>
      <c r="E35" s="3" t="s">
        <v>44</v>
      </c>
      <c r="F35" s="3" t="s">
        <v>3</v>
      </c>
      <c r="G35" s="28" t="s">
        <v>184</v>
      </c>
    </row>
    <row r="36" spans="2:7">
      <c r="B36" s="25">
        <f>scaling!I47</f>
        <v>-7.0834634409700437</v>
      </c>
      <c r="C36" s="3" t="s">
        <v>11</v>
      </c>
      <c r="D36" s="3" t="s">
        <v>45</v>
      </c>
      <c r="E36" s="3" t="s">
        <v>46</v>
      </c>
      <c r="F36" s="3" t="s">
        <v>14</v>
      </c>
      <c r="G36" s="28" t="s">
        <v>185</v>
      </c>
    </row>
    <row r="37" spans="2:7">
      <c r="B37" s="25">
        <f>scaling!I48</f>
        <v>-9.8057724016167391</v>
      </c>
      <c r="C37" s="3" t="s">
        <v>11</v>
      </c>
      <c r="D37" s="3" t="s">
        <v>47</v>
      </c>
      <c r="E37" s="3" t="s">
        <v>48</v>
      </c>
      <c r="F37" s="3" t="s">
        <v>3</v>
      </c>
      <c r="G37" s="28" t="s">
        <v>199</v>
      </c>
    </row>
    <row r="38" spans="2:7">
      <c r="B38" s="25">
        <f>scaling!I49</f>
        <v>-14.233697634716123</v>
      </c>
      <c r="C38" s="3" t="s">
        <v>11</v>
      </c>
      <c r="D38" s="3" t="s">
        <v>49</v>
      </c>
      <c r="E38" s="3" t="s">
        <v>50</v>
      </c>
      <c r="F38" s="3" t="s">
        <v>3</v>
      </c>
      <c r="G38" s="28" t="s">
        <v>186</v>
      </c>
    </row>
    <row r="39" spans="2:7">
      <c r="B39" s="25">
        <f>scaling!I50</f>
        <v>-29.567551398596301</v>
      </c>
      <c r="C39" s="3" t="s">
        <v>11</v>
      </c>
      <c r="D39" s="11" t="s">
        <v>89</v>
      </c>
      <c r="E39" s="3" t="s">
        <v>90</v>
      </c>
      <c r="F39" s="3" t="s">
        <v>3</v>
      </c>
      <c r="G39" s="28" t="s">
        <v>187</v>
      </c>
    </row>
    <row r="40" spans="2:7">
      <c r="B40" s="25">
        <f>scaling!I51</f>
        <v>-87.479564589321939</v>
      </c>
      <c r="C40" s="3" t="s">
        <v>11</v>
      </c>
      <c r="D40" s="3" t="s">
        <v>51</v>
      </c>
      <c r="E40" s="3" t="s">
        <v>52</v>
      </c>
      <c r="F40" s="3" t="s">
        <v>3</v>
      </c>
      <c r="G40" s="28" t="s">
        <v>188</v>
      </c>
    </row>
    <row r="41" spans="2:7">
      <c r="B41" s="25">
        <f>scaling!I52</f>
        <v>-385.53572731384884</v>
      </c>
      <c r="C41" s="3" t="s">
        <v>11</v>
      </c>
      <c r="D41" s="3" t="s">
        <v>53</v>
      </c>
      <c r="E41" s="3" t="s">
        <v>54</v>
      </c>
      <c r="F41" s="3" t="s">
        <v>3</v>
      </c>
      <c r="G41" s="28" t="s">
        <v>189</v>
      </c>
    </row>
    <row r="42" spans="2:7">
      <c r="B42" s="25">
        <f>scaling!I53</f>
        <v>-241.12325449053736</v>
      </c>
      <c r="C42" s="3" t="s">
        <v>11</v>
      </c>
      <c r="D42" s="11" t="s">
        <v>57</v>
      </c>
      <c r="E42" s="3" t="s">
        <v>58</v>
      </c>
      <c r="F42" s="3" t="s">
        <v>14</v>
      </c>
      <c r="G42" s="28" t="s">
        <v>190</v>
      </c>
    </row>
    <row r="43" spans="2:7">
      <c r="B43" s="25">
        <f>scaling!I54</f>
        <v>-5435.4541607692645</v>
      </c>
      <c r="C43" s="3" t="s">
        <v>11</v>
      </c>
      <c r="D43" s="3" t="s">
        <v>55</v>
      </c>
      <c r="E43" s="3" t="s">
        <v>56</v>
      </c>
      <c r="F43" s="3" t="s">
        <v>3</v>
      </c>
      <c r="G43" s="28" t="s">
        <v>191</v>
      </c>
    </row>
    <row r="44" spans="2:7">
      <c r="B44" s="25">
        <f>scaling!I55</f>
        <v>-11676.960953117476</v>
      </c>
      <c r="C44" s="3" t="s">
        <v>11</v>
      </c>
      <c r="D44" s="3" t="s">
        <v>59</v>
      </c>
      <c r="E44" s="3" t="s">
        <v>60</v>
      </c>
      <c r="F44" s="3" t="s">
        <v>3</v>
      </c>
      <c r="G44" s="28" t="s">
        <v>192</v>
      </c>
    </row>
    <row r="45" spans="2:7">
      <c r="B45" s="25">
        <f>scaling!I56</f>
        <v>-65506.585207126496</v>
      </c>
      <c r="C45" s="3" t="s">
        <v>11</v>
      </c>
      <c r="D45" s="3" t="s">
        <v>61</v>
      </c>
      <c r="E45" s="3" t="s">
        <v>62</v>
      </c>
      <c r="F45" s="3" t="s">
        <v>3</v>
      </c>
      <c r="G45" s="28" t="s">
        <v>200</v>
      </c>
    </row>
    <row r="46" spans="2:7">
      <c r="B46" s="25">
        <f>scaling!I57</f>
        <v>1836.2371412312316</v>
      </c>
      <c r="C46" t="s">
        <v>63</v>
      </c>
      <c r="D46" t="s">
        <v>64</v>
      </c>
      <c r="E46" t="s">
        <v>65</v>
      </c>
      <c r="F46" t="s">
        <v>66</v>
      </c>
      <c r="G46" t="s">
        <v>201</v>
      </c>
    </row>
    <row r="47" spans="2:7">
      <c r="B47" s="25">
        <f>scaling!I58</f>
        <v>91.811857061561582</v>
      </c>
      <c r="C47" t="s">
        <v>67</v>
      </c>
      <c r="D47" t="s">
        <v>68</v>
      </c>
      <c r="E47" t="s">
        <v>65</v>
      </c>
      <c r="F47" t="s">
        <v>66</v>
      </c>
      <c r="G47" t="s">
        <v>202</v>
      </c>
    </row>
    <row r="48" spans="2:7">
      <c r="B48" s="25">
        <f>scaling!I59</f>
        <v>91.811857061561582</v>
      </c>
      <c r="C48" t="s">
        <v>67</v>
      </c>
      <c r="D48" t="s">
        <v>70</v>
      </c>
      <c r="E48" t="s">
        <v>65</v>
      </c>
      <c r="F48" t="s">
        <v>66</v>
      </c>
      <c r="G48" t="s">
        <v>203</v>
      </c>
    </row>
    <row r="49" spans="2:7">
      <c r="B49">
        <f>IF(AND(B14&gt;16,B14&lt;32),B14*B10,0)</f>
        <v>21600</v>
      </c>
      <c r="C49" s="30" t="s">
        <v>206</v>
      </c>
      <c r="D49" s="30" t="s">
        <v>204</v>
      </c>
      <c r="E49" s="30" t="s">
        <v>205</v>
      </c>
      <c r="F49" s="30" t="s">
        <v>19</v>
      </c>
      <c r="G49" s="30" t="s">
        <v>207</v>
      </c>
    </row>
    <row r="50" spans="2:7">
      <c r="B50">
        <f>IF(AND(B14&lt;16),B14*B10,0)</f>
        <v>0</v>
      </c>
      <c r="C50" s="30" t="s">
        <v>206</v>
      </c>
      <c r="D50" s="30" t="s">
        <v>208</v>
      </c>
      <c r="E50" s="30" t="s">
        <v>209</v>
      </c>
      <c r="F50" s="30" t="s">
        <v>19</v>
      </c>
      <c r="G50" s="30" t="s">
        <v>210</v>
      </c>
    </row>
    <row r="51" spans="2:7">
      <c r="B51">
        <f>IF(AND(B14&gt;32),B14*B10,0)</f>
        <v>0</v>
      </c>
      <c r="C51" s="30" t="s">
        <v>206</v>
      </c>
      <c r="D51" s="30" t="s">
        <v>211</v>
      </c>
      <c r="E51" s="30" t="s">
        <v>212</v>
      </c>
      <c r="F51" s="30" t="s">
        <v>19</v>
      </c>
      <c r="G51" s="30" t="s">
        <v>213</v>
      </c>
    </row>
    <row r="52" spans="2:7">
      <c r="B52">
        <f>B14*B11</f>
        <v>0</v>
      </c>
      <c r="C52" s="30" t="s">
        <v>206</v>
      </c>
      <c r="D52" s="30" t="s">
        <v>223</v>
      </c>
      <c r="E52" s="30" t="s">
        <v>222</v>
      </c>
      <c r="F52" s="30" t="s">
        <v>14</v>
      </c>
      <c r="G52" s="30" t="s">
        <v>221</v>
      </c>
    </row>
  </sheetData>
  <hyperlinks>
    <hyperlink ref="D8"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70" zoomScaleNormal="70" workbookViewId="0">
      <selection activeCell="C8" sqref="C8"/>
    </sheetView>
  </sheetViews>
  <sheetFormatPr defaultRowHeight="14.5"/>
  <cols>
    <col min="1" max="1" width="19.453125" customWidth="1"/>
    <col min="2" max="2" width="12" bestFit="1" customWidth="1"/>
    <col min="3" max="3" width="14.08984375" customWidth="1"/>
    <col min="4" max="4" width="30.08984375" customWidth="1"/>
    <col min="5" max="5" width="25.54296875" customWidth="1"/>
  </cols>
  <sheetData>
    <row r="1" spans="1:7">
      <c r="A1" s="1" t="s">
        <v>157</v>
      </c>
    </row>
    <row r="2" spans="1:7">
      <c r="A2" t="s">
        <v>1</v>
      </c>
    </row>
    <row r="3" spans="1:7">
      <c r="A3" t="s">
        <v>124</v>
      </c>
    </row>
    <row r="4" spans="1:7">
      <c r="A4" t="s">
        <v>125</v>
      </c>
    </row>
    <row r="6" spans="1:7">
      <c r="A6" s="1" t="s">
        <v>133</v>
      </c>
      <c r="B6" s="1">
        <v>20</v>
      </c>
      <c r="C6" s="1" t="s">
        <v>134</v>
      </c>
      <c r="E6" t="s">
        <v>220</v>
      </c>
    </row>
    <row r="7" spans="1:7">
      <c r="A7" t="s">
        <v>92</v>
      </c>
      <c r="B7">
        <v>500</v>
      </c>
      <c r="C7" t="s">
        <v>135</v>
      </c>
    </row>
    <row r="8" spans="1:7">
      <c r="A8" s="1" t="s">
        <v>137</v>
      </c>
      <c r="B8" s="1">
        <v>550</v>
      </c>
      <c r="C8" s="1" t="s">
        <v>138</v>
      </c>
      <c r="D8" s="4" t="s">
        <v>136</v>
      </c>
    </row>
    <row r="9" spans="1:7">
      <c r="A9" s="1" t="s">
        <v>139</v>
      </c>
      <c r="B9" s="31">
        <f>1/(B6*B8*1000)</f>
        <v>9.0909090909090915E-8</v>
      </c>
      <c r="C9" s="1" t="s">
        <v>140</v>
      </c>
      <c r="D9" s="4"/>
    </row>
    <row r="10" spans="1:7">
      <c r="A10" s="1" t="s">
        <v>214</v>
      </c>
      <c r="B10">
        <v>1200</v>
      </c>
      <c r="C10" s="1" t="s">
        <v>216</v>
      </c>
      <c r="D10" t="s">
        <v>217</v>
      </c>
    </row>
    <row r="11" spans="1:7">
      <c r="A11" s="1" t="s">
        <v>215</v>
      </c>
      <c r="B11">
        <v>0</v>
      </c>
      <c r="C11" s="1" t="s">
        <v>216</v>
      </c>
    </row>
    <row r="12" spans="1:7">
      <c r="A12" s="1" t="s">
        <v>127</v>
      </c>
      <c r="B12" s="1">
        <f>13*4+5.5*3</f>
        <v>68.5</v>
      </c>
      <c r="C12" s="1" t="s">
        <v>129</v>
      </c>
      <c r="D12" t="s">
        <v>304</v>
      </c>
    </row>
    <row r="13" spans="1:7">
      <c r="A13" s="1" t="s">
        <v>128</v>
      </c>
      <c r="B13" s="1">
        <v>6</v>
      </c>
      <c r="C13" s="1" t="s">
        <v>130</v>
      </c>
      <c r="D13" t="s">
        <v>304</v>
      </c>
    </row>
    <row r="14" spans="1:7">
      <c r="A14" t="s">
        <v>126</v>
      </c>
      <c r="B14" s="57">
        <v>60</v>
      </c>
      <c r="C14" s="5" t="s">
        <v>132</v>
      </c>
      <c r="D14" s="5" t="s">
        <v>307</v>
      </c>
    </row>
    <row r="16" spans="1:7">
      <c r="B16" t="s">
        <v>159</v>
      </c>
      <c r="C16" t="s">
        <v>5</v>
      </c>
      <c r="D16" t="s">
        <v>160</v>
      </c>
      <c r="E16" t="s">
        <v>161</v>
      </c>
      <c r="F16" t="s">
        <v>162</v>
      </c>
      <c r="G16" t="s">
        <v>196</v>
      </c>
    </row>
    <row r="17" spans="2:7">
      <c r="B17" s="25">
        <f>scaling!J28</f>
        <v>36774.405188093479</v>
      </c>
      <c r="C17" s="2" t="s">
        <v>11</v>
      </c>
      <c r="D17" s="2" t="s">
        <v>12</v>
      </c>
      <c r="E17" s="2" t="s">
        <v>13</v>
      </c>
      <c r="F17" s="2" t="s">
        <v>14</v>
      </c>
      <c r="G17" s="28" t="s">
        <v>171</v>
      </c>
    </row>
    <row r="18" spans="2:7">
      <c r="B18" s="25">
        <f>scaling!J29</f>
        <v>20821.714980996225</v>
      </c>
      <c r="C18" s="2" t="s">
        <v>11</v>
      </c>
      <c r="D18" s="2" t="s">
        <v>22</v>
      </c>
      <c r="E18" s="2" t="s">
        <v>23</v>
      </c>
      <c r="F18" s="2" t="s">
        <v>14</v>
      </c>
      <c r="G18" s="28" t="s">
        <v>172</v>
      </c>
    </row>
    <row r="19" spans="2:7">
      <c r="B19" s="25">
        <f>scaling!J30</f>
        <v>6723.9032375409242</v>
      </c>
      <c r="C19" s="2" t="s">
        <v>7</v>
      </c>
      <c r="D19" s="2" t="s">
        <v>8</v>
      </c>
      <c r="E19" s="2" t="s">
        <v>9</v>
      </c>
      <c r="F19" s="2" t="s">
        <v>3</v>
      </c>
      <c r="G19" s="29" t="s">
        <v>173</v>
      </c>
    </row>
    <row r="20" spans="2:7">
      <c r="B20" s="25">
        <f>scaling!J31</f>
        <v>4127.0854354561534</v>
      </c>
      <c r="C20" s="2" t="s">
        <v>15</v>
      </c>
      <c r="D20" s="2" t="s">
        <v>16</v>
      </c>
      <c r="E20" s="2" t="s">
        <v>17</v>
      </c>
      <c r="F20" s="2" t="s">
        <v>3</v>
      </c>
      <c r="G20" s="29" t="s">
        <v>193</v>
      </c>
    </row>
    <row r="21" spans="2:7">
      <c r="B21" s="25">
        <f>scaling!J32</f>
        <v>1099.0806061138219</v>
      </c>
      <c r="C21" s="2" t="s">
        <v>11</v>
      </c>
      <c r="D21" s="2" t="s">
        <v>18</v>
      </c>
      <c r="E21" s="2" t="s">
        <v>18</v>
      </c>
      <c r="F21" s="2" t="s">
        <v>19</v>
      </c>
      <c r="G21" s="28" t="s">
        <v>174</v>
      </c>
    </row>
    <row r="22" spans="2:7">
      <c r="B22" s="25">
        <f>scaling!J33</f>
        <v>801.70287628103006</v>
      </c>
      <c r="C22" s="2" t="s">
        <v>11</v>
      </c>
      <c r="D22" s="10" t="s">
        <v>20</v>
      </c>
      <c r="E22" s="2" t="s">
        <v>21</v>
      </c>
      <c r="F22" s="2" t="s">
        <v>14</v>
      </c>
      <c r="G22" t="s">
        <v>194</v>
      </c>
    </row>
    <row r="23" spans="2:7">
      <c r="B23" s="25">
        <f>scaling!J34</f>
        <v>811.74202531328024</v>
      </c>
      <c r="C23" s="2" t="s">
        <v>11</v>
      </c>
      <c r="D23" s="2" t="s">
        <v>24</v>
      </c>
      <c r="E23" s="2" t="s">
        <v>25</v>
      </c>
      <c r="F23" s="2" t="s">
        <v>14</v>
      </c>
      <c r="G23" s="28" t="s">
        <v>195</v>
      </c>
    </row>
    <row r="24" spans="2:7">
      <c r="B24" s="25">
        <f>scaling!J35</f>
        <v>370.9739717263958</v>
      </c>
      <c r="C24" s="2" t="s">
        <v>11</v>
      </c>
      <c r="D24" s="10" t="s">
        <v>84</v>
      </c>
      <c r="E24" s="2" t="s">
        <v>85</v>
      </c>
      <c r="F24" s="2" t="s">
        <v>14</v>
      </c>
      <c r="G24" s="28" t="s">
        <v>175</v>
      </c>
    </row>
    <row r="25" spans="2:7">
      <c r="B25" s="25">
        <f>scaling!J36</f>
        <v>205.48383738287276</v>
      </c>
      <c r="C25" s="2" t="s">
        <v>11</v>
      </c>
      <c r="D25" s="2" t="s">
        <v>26</v>
      </c>
      <c r="E25" s="2" t="s">
        <v>27</v>
      </c>
      <c r="F25" s="2" t="s">
        <v>14</v>
      </c>
      <c r="G25" s="28" t="s">
        <v>197</v>
      </c>
    </row>
    <row r="26" spans="2:7">
      <c r="B26" s="25">
        <f>scaling!J37</f>
        <v>73.047754042222252</v>
      </c>
      <c r="C26" s="2" t="s">
        <v>11</v>
      </c>
      <c r="D26" s="10" t="s">
        <v>86</v>
      </c>
      <c r="E26" s="2" t="s">
        <v>87</v>
      </c>
      <c r="F26" s="2" t="s">
        <v>14</v>
      </c>
      <c r="G26" s="28" t="s">
        <v>176</v>
      </c>
    </row>
    <row r="27" spans="2:7">
      <c r="B27" s="25">
        <f>scaling!J38</f>
        <v>57.166141919945815</v>
      </c>
      <c r="C27" s="2" t="s">
        <v>11</v>
      </c>
      <c r="D27" s="2" t="s">
        <v>28</v>
      </c>
      <c r="E27" s="2" t="s">
        <v>29</v>
      </c>
      <c r="F27" s="2" t="s">
        <v>14</v>
      </c>
      <c r="G27" s="28" t="s">
        <v>177</v>
      </c>
    </row>
    <row r="28" spans="2:7">
      <c r="B28" s="25">
        <f>scaling!J39</f>
        <v>57.166141919945815</v>
      </c>
      <c r="C28" s="2" t="s">
        <v>11</v>
      </c>
      <c r="D28" s="10" t="s">
        <v>88</v>
      </c>
      <c r="E28" s="2" t="s">
        <v>88</v>
      </c>
      <c r="F28" s="2" t="s">
        <v>19</v>
      </c>
      <c r="G28" s="28" t="s">
        <v>178</v>
      </c>
    </row>
    <row r="29" spans="2:7">
      <c r="B29" s="25">
        <f>scaling!J40</f>
        <v>42.411209091707335</v>
      </c>
      <c r="C29" s="2" t="s">
        <v>30</v>
      </c>
      <c r="D29" s="2" t="s">
        <v>31</v>
      </c>
      <c r="E29" s="2" t="s">
        <v>32</v>
      </c>
      <c r="F29" s="2" t="s">
        <v>3</v>
      </c>
      <c r="G29" s="29" t="s">
        <v>179</v>
      </c>
    </row>
    <row r="30" spans="2:7">
      <c r="B30" s="25">
        <f>scaling!J41</f>
        <v>32.411209091707335</v>
      </c>
      <c r="C30" s="2" t="s">
        <v>11</v>
      </c>
      <c r="D30" s="2" t="s">
        <v>33</v>
      </c>
      <c r="E30" s="2" t="s">
        <v>34</v>
      </c>
      <c r="F30" s="2" t="s">
        <v>14</v>
      </c>
      <c r="G30" s="28" t="s">
        <v>198</v>
      </c>
    </row>
    <row r="31" spans="2:7">
      <c r="B31" s="25">
        <f>scaling!J42</f>
        <v>18</v>
      </c>
      <c r="C31" s="2" t="s">
        <v>11</v>
      </c>
      <c r="D31" s="2" t="s">
        <v>35</v>
      </c>
      <c r="E31" s="2" t="s">
        <v>36</v>
      </c>
      <c r="F31" s="2" t="s">
        <v>14</v>
      </c>
      <c r="G31" s="28" t="s">
        <v>180</v>
      </c>
    </row>
    <row r="32" spans="2:7">
      <c r="B32" s="25">
        <f>scaling!J43</f>
        <v>12</v>
      </c>
      <c r="C32" s="2" t="s">
        <v>11</v>
      </c>
      <c r="D32" s="2" t="s">
        <v>37</v>
      </c>
      <c r="E32" s="2" t="s">
        <v>38</v>
      </c>
      <c r="F32" s="2" t="s">
        <v>14</v>
      </c>
      <c r="G32" s="28" t="s">
        <v>181</v>
      </c>
    </row>
    <row r="33" spans="2:7">
      <c r="B33" s="25">
        <f>scaling!J44</f>
        <v>8.2253358588075915</v>
      </c>
      <c r="C33" s="2" t="s">
        <v>11</v>
      </c>
      <c r="D33" s="2" t="s">
        <v>41</v>
      </c>
      <c r="E33" s="2" t="s">
        <v>42</v>
      </c>
      <c r="F33" s="2" t="s">
        <v>19</v>
      </c>
      <c r="G33" s="28" t="s">
        <v>182</v>
      </c>
    </row>
    <row r="34" spans="2:7">
      <c r="B34" s="25">
        <f>scaling!J45</f>
        <v>13.12667929403796</v>
      </c>
      <c r="C34" s="2" t="s">
        <v>11</v>
      </c>
      <c r="D34" s="2" t="s">
        <v>39</v>
      </c>
      <c r="E34" s="2" t="s">
        <v>40</v>
      </c>
      <c r="F34" s="2" t="s">
        <v>19</v>
      </c>
      <c r="G34" s="28" t="s">
        <v>183</v>
      </c>
    </row>
    <row r="35" spans="2:7">
      <c r="B35" s="25">
        <f>scaling!J46</f>
        <v>-13.12667929403796</v>
      </c>
      <c r="C35" s="3" t="s">
        <v>11</v>
      </c>
      <c r="D35" s="3" t="s">
        <v>43</v>
      </c>
      <c r="E35" s="3" t="s">
        <v>44</v>
      </c>
      <c r="F35" s="3" t="s">
        <v>3</v>
      </c>
      <c r="G35" s="28" t="s">
        <v>184</v>
      </c>
    </row>
    <row r="36" spans="2:7">
      <c r="B36" s="25">
        <f>scaling!J47</f>
        <v>-12</v>
      </c>
      <c r="C36" s="3" t="s">
        <v>11</v>
      </c>
      <c r="D36" s="3" t="s">
        <v>45</v>
      </c>
      <c r="E36" s="3" t="s">
        <v>46</v>
      </c>
      <c r="F36" s="3" t="s">
        <v>14</v>
      </c>
      <c r="G36" s="28" t="s">
        <v>185</v>
      </c>
    </row>
    <row r="37" spans="2:7">
      <c r="B37" s="25">
        <f>scaling!J48</f>
        <v>-18</v>
      </c>
      <c r="C37" s="3" t="s">
        <v>11</v>
      </c>
      <c r="D37" s="3" t="s">
        <v>47</v>
      </c>
      <c r="E37" s="3" t="s">
        <v>48</v>
      </c>
      <c r="F37" s="3" t="s">
        <v>3</v>
      </c>
      <c r="G37" s="28" t="s">
        <v>199</v>
      </c>
    </row>
    <row r="38" spans="2:7">
      <c r="B38" s="25">
        <f>scaling!J49</f>
        <v>-32.411209091707335</v>
      </c>
      <c r="C38" s="3" t="s">
        <v>11</v>
      </c>
      <c r="D38" s="3" t="s">
        <v>49</v>
      </c>
      <c r="E38" s="3" t="s">
        <v>50</v>
      </c>
      <c r="F38" s="3" t="s">
        <v>3</v>
      </c>
      <c r="G38" s="28" t="s">
        <v>186</v>
      </c>
    </row>
    <row r="39" spans="2:7">
      <c r="B39" s="25">
        <f>scaling!J50</f>
        <v>-73.047754042222252</v>
      </c>
      <c r="C39" s="3" t="s">
        <v>11</v>
      </c>
      <c r="D39" s="11" t="s">
        <v>89</v>
      </c>
      <c r="E39" s="3" t="s">
        <v>90</v>
      </c>
      <c r="F39" s="3" t="s">
        <v>3</v>
      </c>
      <c r="G39" s="28" t="s">
        <v>187</v>
      </c>
    </row>
    <row r="40" spans="2:7">
      <c r="B40" s="25">
        <f>scaling!J51</f>
        <v>-205.48383738287276</v>
      </c>
      <c r="C40" s="3" t="s">
        <v>11</v>
      </c>
      <c r="D40" s="3" t="s">
        <v>51</v>
      </c>
      <c r="E40" s="3" t="s">
        <v>52</v>
      </c>
      <c r="F40" s="3" t="s">
        <v>3</v>
      </c>
      <c r="G40" s="28" t="s">
        <v>188</v>
      </c>
    </row>
    <row r="41" spans="2:7">
      <c r="B41" s="25">
        <f>scaling!J52</f>
        <v>-811.74202531328024</v>
      </c>
      <c r="C41" s="3" t="s">
        <v>11</v>
      </c>
      <c r="D41" s="3" t="s">
        <v>53</v>
      </c>
      <c r="E41" s="3" t="s">
        <v>54</v>
      </c>
      <c r="F41" s="3" t="s">
        <v>3</v>
      </c>
      <c r="G41" s="28" t="s">
        <v>189</v>
      </c>
    </row>
    <row r="42" spans="2:7">
      <c r="B42" s="25">
        <f>scaling!J53</f>
        <v>-801.70287628103006</v>
      </c>
      <c r="C42" s="3" t="s">
        <v>11</v>
      </c>
      <c r="D42" s="11" t="s">
        <v>57</v>
      </c>
      <c r="E42" s="3" t="s">
        <v>58</v>
      </c>
      <c r="F42" s="3" t="s">
        <v>14</v>
      </c>
      <c r="G42" s="28" t="s">
        <v>190</v>
      </c>
    </row>
    <row r="43" spans="2:7">
      <c r="B43" s="25">
        <f>scaling!J54</f>
        <v>-20821.714980996225</v>
      </c>
      <c r="C43" s="3" t="s">
        <v>11</v>
      </c>
      <c r="D43" s="3" t="s">
        <v>55</v>
      </c>
      <c r="E43" s="3" t="s">
        <v>56</v>
      </c>
      <c r="F43" s="3" t="s">
        <v>3</v>
      </c>
      <c r="G43" s="28" t="s">
        <v>191</v>
      </c>
    </row>
    <row r="44" spans="2:7">
      <c r="B44" s="25">
        <f>scaling!J55</f>
        <v>-36831.571330013423</v>
      </c>
      <c r="C44" s="3" t="s">
        <v>11</v>
      </c>
      <c r="D44" s="3" t="s">
        <v>59</v>
      </c>
      <c r="E44" s="3" t="s">
        <v>60</v>
      </c>
      <c r="F44" s="3" t="s">
        <v>3</v>
      </c>
      <c r="G44" s="28" t="s">
        <v>192</v>
      </c>
    </row>
    <row r="45" spans="2:7">
      <c r="B45" s="25">
        <f>scaling!J56</f>
        <v>-99666.341365512228</v>
      </c>
      <c r="C45" s="3" t="s">
        <v>11</v>
      </c>
      <c r="D45" s="3" t="s">
        <v>61</v>
      </c>
      <c r="E45" s="3" t="s">
        <v>62</v>
      </c>
      <c r="F45" s="3" t="s">
        <v>3</v>
      </c>
      <c r="G45" s="28" t="s">
        <v>200</v>
      </c>
    </row>
    <row r="46" spans="2:7">
      <c r="B46" s="25">
        <f>scaling!J57</f>
        <v>3870.4030305691094</v>
      </c>
      <c r="C46" t="s">
        <v>63</v>
      </c>
      <c r="D46" t="s">
        <v>64</v>
      </c>
      <c r="E46" t="s">
        <v>65</v>
      </c>
      <c r="F46" t="s">
        <v>66</v>
      </c>
      <c r="G46" t="s">
        <v>201</v>
      </c>
    </row>
    <row r="47" spans="2:7">
      <c r="B47" s="25">
        <f>scaling!J58</f>
        <v>193.5201515284555</v>
      </c>
      <c r="C47" t="s">
        <v>67</v>
      </c>
      <c r="D47" t="s">
        <v>68</v>
      </c>
      <c r="E47" t="s">
        <v>65</v>
      </c>
      <c r="F47" t="s">
        <v>66</v>
      </c>
      <c r="G47" t="s">
        <v>202</v>
      </c>
    </row>
    <row r="48" spans="2:7">
      <c r="B48" s="25">
        <f>scaling!J59</f>
        <v>193.5201515284555</v>
      </c>
      <c r="C48" t="s">
        <v>67</v>
      </c>
      <c r="D48" t="s">
        <v>70</v>
      </c>
      <c r="E48" t="s">
        <v>65</v>
      </c>
      <c r="F48" t="s">
        <v>66</v>
      </c>
      <c r="G48" t="s">
        <v>203</v>
      </c>
    </row>
    <row r="49" spans="2:7">
      <c r="B49">
        <f>IF(AND(B14&gt;16,B14&lt;32),B14*B10,0)</f>
        <v>0</v>
      </c>
      <c r="C49" s="30" t="s">
        <v>206</v>
      </c>
      <c r="D49" s="30" t="s">
        <v>204</v>
      </c>
      <c r="E49" s="30" t="s">
        <v>205</v>
      </c>
      <c r="F49" s="30" t="s">
        <v>19</v>
      </c>
      <c r="G49" s="30" t="s">
        <v>207</v>
      </c>
    </row>
    <row r="50" spans="2:7">
      <c r="B50">
        <f>IF(AND(B14&lt;16),B14*B10,0)</f>
        <v>0</v>
      </c>
      <c r="C50" s="30" t="s">
        <v>206</v>
      </c>
      <c r="D50" s="30" t="s">
        <v>208</v>
      </c>
      <c r="E50" s="30" t="s">
        <v>209</v>
      </c>
      <c r="F50" s="30" t="s">
        <v>19</v>
      </c>
      <c r="G50" s="30" t="s">
        <v>210</v>
      </c>
    </row>
    <row r="51" spans="2:7">
      <c r="B51">
        <f>IF(AND(B14&gt;32),B14*B10,0)</f>
        <v>72000</v>
      </c>
      <c r="C51" s="30" t="s">
        <v>206</v>
      </c>
      <c r="D51" s="30" t="s">
        <v>211</v>
      </c>
      <c r="E51" s="30" t="s">
        <v>212</v>
      </c>
      <c r="F51" s="30" t="s">
        <v>19</v>
      </c>
      <c r="G51" s="30" t="s">
        <v>213</v>
      </c>
    </row>
    <row r="52" spans="2:7">
      <c r="B52">
        <f>B14*B11</f>
        <v>0</v>
      </c>
      <c r="C52" s="30" t="s">
        <v>206</v>
      </c>
      <c r="D52" s="30" t="s">
        <v>223</v>
      </c>
      <c r="E52" s="30" t="s">
        <v>222</v>
      </c>
      <c r="F52" s="30" t="s">
        <v>14</v>
      </c>
      <c r="G52" s="30" t="s">
        <v>221</v>
      </c>
    </row>
  </sheetData>
  <hyperlinks>
    <hyperlink ref="D8"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topLeftCell="A36" zoomScale="85" zoomScaleNormal="85" workbookViewId="0">
      <selection activeCell="D46" sqref="D46:D48"/>
    </sheetView>
  </sheetViews>
  <sheetFormatPr defaultRowHeight="14.5"/>
  <cols>
    <col min="1" max="1" width="19.453125" customWidth="1"/>
    <col min="2" max="2" width="12" bestFit="1" customWidth="1"/>
    <col min="3" max="3" width="14.08984375" customWidth="1"/>
    <col min="4" max="4" width="30.08984375" customWidth="1"/>
    <col min="5" max="5" width="25.54296875" customWidth="1"/>
  </cols>
  <sheetData>
    <row r="1" spans="1:7">
      <c r="A1" s="1" t="s">
        <v>163</v>
      </c>
    </row>
    <row r="2" spans="1:7">
      <c r="A2" t="s">
        <v>1</v>
      </c>
    </row>
    <row r="3" spans="1:7">
      <c r="A3" t="s">
        <v>124</v>
      </c>
    </row>
    <row r="4" spans="1:7">
      <c r="A4" t="s">
        <v>125</v>
      </c>
    </row>
    <row r="6" spans="1:7">
      <c r="A6" s="1" t="s">
        <v>133</v>
      </c>
      <c r="B6" s="1">
        <v>20</v>
      </c>
      <c r="C6" s="1" t="s">
        <v>134</v>
      </c>
    </row>
    <row r="7" spans="1:7">
      <c r="A7" t="s">
        <v>92</v>
      </c>
      <c r="B7">
        <v>500</v>
      </c>
      <c r="C7" t="s">
        <v>135</v>
      </c>
    </row>
    <row r="8" spans="1:7">
      <c r="A8" s="1" t="s">
        <v>137</v>
      </c>
      <c r="B8" s="1">
        <f>'pyrolysis data'!E18*'pyrolysis data'!E19/1000</f>
        <v>72.75</v>
      </c>
      <c r="C8" s="1" t="s">
        <v>138</v>
      </c>
      <c r="D8" s="1" t="s">
        <v>288</v>
      </c>
    </row>
    <row r="9" spans="1:7">
      <c r="A9" s="1" t="s">
        <v>139</v>
      </c>
      <c r="B9" s="26">
        <f>1/(B6*B8*1000)</f>
        <v>6.8728522336769758E-7</v>
      </c>
      <c r="C9" s="1" t="s">
        <v>140</v>
      </c>
      <c r="D9" s="4"/>
    </row>
    <row r="10" spans="1:7">
      <c r="A10" s="1" t="s">
        <v>214</v>
      </c>
      <c r="B10">
        <v>1200</v>
      </c>
      <c r="C10" s="1" t="s">
        <v>216</v>
      </c>
      <c r="D10" t="s">
        <v>217</v>
      </c>
    </row>
    <row r="11" spans="1:7">
      <c r="A11" s="1" t="s">
        <v>215</v>
      </c>
      <c r="B11">
        <v>0</v>
      </c>
      <c r="C11" s="1" t="s">
        <v>216</v>
      </c>
    </row>
    <row r="12" spans="1:7">
      <c r="A12" t="s">
        <v>127</v>
      </c>
      <c r="B12">
        <f>1*2.5</f>
        <v>2.5</v>
      </c>
      <c r="C12" t="s">
        <v>129</v>
      </c>
      <c r="D12" t="s">
        <v>131</v>
      </c>
    </row>
    <row r="13" spans="1:7">
      <c r="A13" t="s">
        <v>128</v>
      </c>
      <c r="B13">
        <v>2.5</v>
      </c>
      <c r="C13" t="s">
        <v>130</v>
      </c>
    </row>
    <row r="14" spans="1:7">
      <c r="A14" t="s">
        <v>126</v>
      </c>
      <c r="B14" s="1">
        <f>'pyrolysis data'!E16/1000</f>
        <v>5.5620000000000003</v>
      </c>
      <c r="C14" s="1" t="s">
        <v>132</v>
      </c>
      <c r="D14" s="1" t="s">
        <v>288</v>
      </c>
    </row>
    <row r="16" spans="1:7">
      <c r="B16" t="s">
        <v>159</v>
      </c>
      <c r="C16" t="s">
        <v>5</v>
      </c>
      <c r="D16" t="s">
        <v>160</v>
      </c>
      <c r="E16" t="s">
        <v>161</v>
      </c>
      <c r="F16" t="s">
        <v>162</v>
      </c>
      <c r="G16" t="s">
        <v>196</v>
      </c>
    </row>
    <row r="17" spans="2:7">
      <c r="B17" s="25">
        <f>scaling!K28</f>
        <v>4304.718190854871</v>
      </c>
      <c r="C17" s="2" t="s">
        <v>11</v>
      </c>
      <c r="D17" s="2" t="s">
        <v>12</v>
      </c>
      <c r="E17" s="2" t="s">
        <v>13</v>
      </c>
      <c r="F17" s="2" t="s">
        <v>14</v>
      </c>
      <c r="G17" s="28" t="s">
        <v>171</v>
      </c>
    </row>
    <row r="18" spans="2:7">
      <c r="B18" s="25">
        <f>scaling!K29</f>
        <v>732.23906560636181</v>
      </c>
      <c r="C18" s="2" t="s">
        <v>11</v>
      </c>
      <c r="D18" s="2" t="s">
        <v>22</v>
      </c>
      <c r="E18" s="2" t="s">
        <v>23</v>
      </c>
      <c r="F18" s="2" t="s">
        <v>14</v>
      </c>
      <c r="G18" s="28" t="s">
        <v>172</v>
      </c>
    </row>
    <row r="19" spans="2:7">
      <c r="B19" s="25">
        <f>scaling!K30</f>
        <v>2561.2425447316105</v>
      </c>
      <c r="C19" s="2" t="s">
        <v>7</v>
      </c>
      <c r="D19" s="2" t="s">
        <v>8</v>
      </c>
      <c r="E19" s="2" t="s">
        <v>9</v>
      </c>
      <c r="F19" s="2" t="s">
        <v>3</v>
      </c>
      <c r="G19" s="29" t="s">
        <v>173</v>
      </c>
    </row>
    <row r="20" spans="2:7">
      <c r="B20" s="25">
        <f>scaling!K31</f>
        <v>1228.8332007952285</v>
      </c>
      <c r="C20" s="2" t="s">
        <v>15</v>
      </c>
      <c r="D20" s="2" t="s">
        <v>16</v>
      </c>
      <c r="E20" s="2" t="s">
        <v>17</v>
      </c>
      <c r="F20" s="2" t="s">
        <v>3</v>
      </c>
      <c r="G20" s="29" t="s">
        <v>193</v>
      </c>
    </row>
    <row r="21" spans="2:7">
      <c r="B21" s="25">
        <f>scaling!K32</f>
        <v>172.65205268389661</v>
      </c>
      <c r="C21" s="2" t="s">
        <v>11</v>
      </c>
      <c r="D21" s="2" t="s">
        <v>18</v>
      </c>
      <c r="E21" s="2" t="s">
        <v>18</v>
      </c>
      <c r="F21" s="2" t="s">
        <v>19</v>
      </c>
      <c r="G21" s="28" t="s">
        <v>174</v>
      </c>
    </row>
    <row r="22" spans="2:7">
      <c r="B22" s="25">
        <f>scaling!K33</f>
        <v>9.8391650099403591</v>
      </c>
      <c r="C22" s="2" t="s">
        <v>11</v>
      </c>
      <c r="D22" s="10" t="s">
        <v>20</v>
      </c>
      <c r="E22" s="2" t="s">
        <v>21</v>
      </c>
      <c r="F22" s="2" t="s">
        <v>14</v>
      </c>
      <c r="G22" t="s">
        <v>194</v>
      </c>
    </row>
    <row r="23" spans="2:7">
      <c r="B23" s="25">
        <f>scaling!K34</f>
        <v>301.60770377733598</v>
      </c>
      <c r="C23" s="2" t="s">
        <v>11</v>
      </c>
      <c r="D23" s="2" t="s">
        <v>24</v>
      </c>
      <c r="E23" s="2" t="s">
        <v>25</v>
      </c>
      <c r="F23" s="2" t="s">
        <v>14</v>
      </c>
      <c r="G23" s="28" t="s">
        <v>195</v>
      </c>
    </row>
    <row r="24" spans="2:7">
      <c r="B24" s="25">
        <f>scaling!K35</f>
        <v>104.86282306163022</v>
      </c>
      <c r="C24" s="2" t="s">
        <v>11</v>
      </c>
      <c r="D24" s="10" t="s">
        <v>84</v>
      </c>
      <c r="E24" s="2" t="s">
        <v>85</v>
      </c>
      <c r="F24" s="2" t="s">
        <v>14</v>
      </c>
      <c r="G24" s="28" t="s">
        <v>175</v>
      </c>
    </row>
    <row r="25" spans="2:7">
      <c r="B25" s="25">
        <f>scaling!K36</f>
        <v>47.837276341948311</v>
      </c>
      <c r="C25" s="2" t="s">
        <v>11</v>
      </c>
      <c r="D25" s="2" t="s">
        <v>26</v>
      </c>
      <c r="E25" s="2" t="s">
        <v>27</v>
      </c>
      <c r="F25" s="2" t="s">
        <v>14</v>
      </c>
      <c r="G25" s="28" t="s">
        <v>197</v>
      </c>
    </row>
    <row r="26" spans="2:7">
      <c r="B26" s="25">
        <f>scaling!K37</f>
        <v>0</v>
      </c>
      <c r="C26" s="2" t="s">
        <v>11</v>
      </c>
      <c r="D26" s="10" t="s">
        <v>86</v>
      </c>
      <c r="E26" s="2" t="s">
        <v>87</v>
      </c>
      <c r="F26" s="2" t="s">
        <v>14</v>
      </c>
      <c r="G26" s="28" t="s">
        <v>176</v>
      </c>
    </row>
    <row r="27" spans="2:7">
      <c r="B27" s="25">
        <f>scaling!K38</f>
        <v>36.84642147117296</v>
      </c>
      <c r="C27" s="2" t="s">
        <v>11</v>
      </c>
      <c r="D27" s="2" t="s">
        <v>28</v>
      </c>
      <c r="E27" s="2" t="s">
        <v>29</v>
      </c>
      <c r="F27" s="2" t="s">
        <v>14</v>
      </c>
      <c r="G27" s="28" t="s">
        <v>177</v>
      </c>
    </row>
    <row r="28" spans="2:7">
      <c r="B28" s="25">
        <f>scaling!K39</f>
        <v>0</v>
      </c>
      <c r="C28" s="2" t="s">
        <v>11</v>
      </c>
      <c r="D28" s="10" t="s">
        <v>88</v>
      </c>
      <c r="E28" s="2" t="s">
        <v>88</v>
      </c>
      <c r="F28" s="2" t="s">
        <v>19</v>
      </c>
      <c r="G28" s="28" t="s">
        <v>178</v>
      </c>
    </row>
    <row r="29" spans="2:7">
      <c r="B29" s="25">
        <f>scaling!K40</f>
        <v>20.837780318091454</v>
      </c>
      <c r="C29" s="2" t="s">
        <v>30</v>
      </c>
      <c r="D29" s="2" t="s">
        <v>31</v>
      </c>
      <c r="E29" s="2" t="s">
        <v>32</v>
      </c>
      <c r="F29" s="2" t="s">
        <v>3</v>
      </c>
      <c r="G29" s="29" t="s">
        <v>179</v>
      </c>
    </row>
    <row r="30" spans="2:7">
      <c r="B30" s="25">
        <f>scaling!K41</f>
        <v>6.6215705765407558</v>
      </c>
      <c r="C30" s="2" t="s">
        <v>11</v>
      </c>
      <c r="D30" s="2" t="s">
        <v>33</v>
      </c>
      <c r="E30" s="2" t="s">
        <v>34</v>
      </c>
      <c r="F30" s="2" t="s">
        <v>14</v>
      </c>
      <c r="G30" s="28" t="s">
        <v>198</v>
      </c>
    </row>
    <row r="31" spans="2:7">
      <c r="B31" s="25">
        <f>scaling!K42</f>
        <v>5.2477137176938369</v>
      </c>
      <c r="C31" s="2" t="s">
        <v>11</v>
      </c>
      <c r="D31" s="2" t="s">
        <v>35</v>
      </c>
      <c r="E31" s="2" t="s">
        <v>36</v>
      </c>
      <c r="F31" s="2" t="s">
        <v>14</v>
      </c>
      <c r="G31" s="28" t="s">
        <v>180</v>
      </c>
    </row>
    <row r="32" spans="2:7">
      <c r="B32" s="25">
        <f>scaling!K43</f>
        <v>4.3107852882703774</v>
      </c>
      <c r="C32" s="2" t="s">
        <v>11</v>
      </c>
      <c r="D32" s="2" t="s">
        <v>37</v>
      </c>
      <c r="E32" s="2" t="s">
        <v>38</v>
      </c>
      <c r="F32" s="2" t="s">
        <v>14</v>
      </c>
      <c r="G32" s="28" t="s">
        <v>181</v>
      </c>
    </row>
    <row r="33" spans="2:7">
      <c r="B33" s="25">
        <f>scaling!K44</f>
        <v>4.4954274353876738</v>
      </c>
      <c r="C33" s="2" t="s">
        <v>11</v>
      </c>
      <c r="D33" s="2" t="s">
        <v>41</v>
      </c>
      <c r="E33" s="2" t="s">
        <v>42</v>
      </c>
      <c r="F33" s="2" t="s">
        <v>19</v>
      </c>
      <c r="G33" s="28" t="s">
        <v>182</v>
      </c>
    </row>
    <row r="34" spans="2:7">
      <c r="B34" s="25">
        <f>scaling!K45</f>
        <v>3.3738568588469184</v>
      </c>
      <c r="C34" s="2" t="s">
        <v>11</v>
      </c>
      <c r="D34" s="2" t="s">
        <v>39</v>
      </c>
      <c r="E34" s="2" t="s">
        <v>40</v>
      </c>
      <c r="F34" s="2" t="s">
        <v>19</v>
      </c>
      <c r="G34" s="28" t="s">
        <v>183</v>
      </c>
    </row>
    <row r="35" spans="2:7">
      <c r="B35" s="25">
        <f>scaling!K46</f>
        <v>-3.3738568588469184</v>
      </c>
      <c r="C35" s="3" t="s">
        <v>11</v>
      </c>
      <c r="D35" s="3" t="s">
        <v>43</v>
      </c>
      <c r="E35" s="3" t="s">
        <v>44</v>
      </c>
      <c r="F35" s="3" t="s">
        <v>3</v>
      </c>
      <c r="G35" s="28" t="s">
        <v>184</v>
      </c>
    </row>
    <row r="36" spans="2:7">
      <c r="B36" s="25">
        <f>scaling!K47</f>
        <v>-4.3107852882703774</v>
      </c>
      <c r="C36" s="3" t="s">
        <v>11</v>
      </c>
      <c r="D36" s="3" t="s">
        <v>45</v>
      </c>
      <c r="E36" s="3" t="s">
        <v>46</v>
      </c>
      <c r="F36" s="3" t="s">
        <v>14</v>
      </c>
      <c r="G36" s="28" t="s">
        <v>185</v>
      </c>
    </row>
    <row r="37" spans="2:7">
      <c r="B37" s="25">
        <f>scaling!K48</f>
        <v>-5.2477137176938369</v>
      </c>
      <c r="C37" s="3" t="s">
        <v>11</v>
      </c>
      <c r="D37" s="3" t="s">
        <v>47</v>
      </c>
      <c r="E37" s="3" t="s">
        <v>48</v>
      </c>
      <c r="F37" s="3" t="s">
        <v>3</v>
      </c>
      <c r="G37" s="28" t="s">
        <v>199</v>
      </c>
    </row>
    <row r="38" spans="2:7">
      <c r="B38" s="25">
        <f>scaling!K49</f>
        <v>-6.6215705765407558</v>
      </c>
      <c r="C38" s="3" t="s">
        <v>11</v>
      </c>
      <c r="D38" s="3" t="s">
        <v>49</v>
      </c>
      <c r="E38" s="3" t="s">
        <v>50</v>
      </c>
      <c r="F38" s="3" t="s">
        <v>3</v>
      </c>
      <c r="G38" s="28" t="s">
        <v>186</v>
      </c>
    </row>
    <row r="39" spans="2:7">
      <c r="B39" s="25">
        <f>scaling!K50</f>
        <v>-10.486282306163021</v>
      </c>
      <c r="C39" s="3" t="s">
        <v>11</v>
      </c>
      <c r="D39" s="11" t="s">
        <v>89</v>
      </c>
      <c r="E39" s="3" t="s">
        <v>90</v>
      </c>
      <c r="F39" s="3" t="s">
        <v>3</v>
      </c>
      <c r="G39" s="28" t="s">
        <v>187</v>
      </c>
    </row>
    <row r="40" spans="2:7">
      <c r="B40" s="25">
        <f>scaling!K51</f>
        <v>-47.837276341948311</v>
      </c>
      <c r="C40" s="3" t="s">
        <v>11</v>
      </c>
      <c r="D40" s="3" t="s">
        <v>51</v>
      </c>
      <c r="E40" s="3" t="s">
        <v>52</v>
      </c>
      <c r="F40" s="3" t="s">
        <v>3</v>
      </c>
      <c r="G40" s="28" t="s">
        <v>188</v>
      </c>
    </row>
    <row r="41" spans="2:7">
      <c r="B41" s="25">
        <f>scaling!K52</f>
        <v>-301.60770377733598</v>
      </c>
      <c r="C41" s="3" t="s">
        <v>11</v>
      </c>
      <c r="D41" s="3" t="s">
        <v>53</v>
      </c>
      <c r="E41" s="3" t="s">
        <v>54</v>
      </c>
      <c r="F41" s="3" t="s">
        <v>3</v>
      </c>
      <c r="G41" s="28" t="s">
        <v>189</v>
      </c>
    </row>
    <row r="42" spans="2:7">
      <c r="B42" s="25">
        <f>scaling!K53</f>
        <v>-9.8391650099403591</v>
      </c>
      <c r="C42" s="3" t="s">
        <v>11</v>
      </c>
      <c r="D42" s="11" t="s">
        <v>57</v>
      </c>
      <c r="E42" s="3" t="s">
        <v>58</v>
      </c>
      <c r="F42" s="3" t="s">
        <v>14</v>
      </c>
      <c r="G42" s="28" t="s">
        <v>190</v>
      </c>
    </row>
    <row r="43" spans="2:7">
      <c r="B43" s="25">
        <f>scaling!K54</f>
        <v>-732.23906560636181</v>
      </c>
      <c r="C43" s="3" t="s">
        <v>11</v>
      </c>
      <c r="D43" s="3" t="s">
        <v>55</v>
      </c>
      <c r="E43" s="3" t="s">
        <v>56</v>
      </c>
      <c r="F43" s="3" t="s">
        <v>3</v>
      </c>
      <c r="G43" s="28" t="s">
        <v>191</v>
      </c>
    </row>
    <row r="44" spans="2:7">
      <c r="B44" s="25">
        <f>scaling!K55</f>
        <v>-4446.4274353876735</v>
      </c>
      <c r="C44" s="3" t="s">
        <v>11</v>
      </c>
      <c r="D44" s="3" t="s">
        <v>59</v>
      </c>
      <c r="E44" s="3" t="s">
        <v>60</v>
      </c>
      <c r="F44" s="3" t="s">
        <v>3</v>
      </c>
      <c r="G44" s="28" t="s">
        <v>192</v>
      </c>
    </row>
    <row r="45" spans="2:7">
      <c r="B45" s="25">
        <f>scaling!K56</f>
        <v>-48877.100994035784</v>
      </c>
      <c r="C45" s="3" t="s">
        <v>11</v>
      </c>
      <c r="D45" s="3" t="s">
        <v>61</v>
      </c>
      <c r="E45" s="3" t="s">
        <v>62</v>
      </c>
      <c r="F45" s="3" t="s">
        <v>3</v>
      </c>
      <c r="G45" s="28" t="s">
        <v>200</v>
      </c>
    </row>
    <row r="46" spans="2:7">
      <c r="B46" s="25">
        <f>scaling!K57</f>
        <v>1403.765407554672</v>
      </c>
      <c r="C46" t="s">
        <v>63</v>
      </c>
      <c r="D46" t="s">
        <v>64</v>
      </c>
      <c r="E46" t="s">
        <v>65</v>
      </c>
      <c r="F46" t="s">
        <v>66</v>
      </c>
      <c r="G46" t="s">
        <v>201</v>
      </c>
    </row>
    <row r="47" spans="2:7">
      <c r="B47" s="25">
        <f>scaling!K58</f>
        <v>70.188270377733602</v>
      </c>
      <c r="C47" t="s">
        <v>67</v>
      </c>
      <c r="D47" t="s">
        <v>68</v>
      </c>
      <c r="E47" t="s">
        <v>65</v>
      </c>
      <c r="F47" t="s">
        <v>66</v>
      </c>
      <c r="G47" t="s">
        <v>202</v>
      </c>
    </row>
    <row r="48" spans="2:7">
      <c r="B48" s="25">
        <f>scaling!K59</f>
        <v>70.188270377733602</v>
      </c>
      <c r="C48" t="s">
        <v>67</v>
      </c>
      <c r="D48" t="s">
        <v>70</v>
      </c>
      <c r="E48" t="s">
        <v>65</v>
      </c>
      <c r="F48" t="s">
        <v>66</v>
      </c>
      <c r="G48" t="s">
        <v>203</v>
      </c>
    </row>
    <row r="49" spans="2:7">
      <c r="B49">
        <f>IF(AND(B14&gt;16,B14&lt;32),B14*B10,0)</f>
        <v>0</v>
      </c>
      <c r="C49" s="30" t="s">
        <v>206</v>
      </c>
      <c r="D49" s="30" t="s">
        <v>204</v>
      </c>
      <c r="E49" s="30" t="s">
        <v>205</v>
      </c>
      <c r="F49" s="30" t="s">
        <v>19</v>
      </c>
      <c r="G49" s="30" t="s">
        <v>207</v>
      </c>
    </row>
    <row r="50" spans="2:7">
      <c r="B50">
        <f>IF(AND(B14&lt;16),B14*B10,0)</f>
        <v>6674.4000000000005</v>
      </c>
      <c r="C50" s="30" t="s">
        <v>206</v>
      </c>
      <c r="D50" s="30" t="s">
        <v>208</v>
      </c>
      <c r="E50" s="30" t="s">
        <v>209</v>
      </c>
      <c r="F50" s="30" t="s">
        <v>19</v>
      </c>
      <c r="G50" s="30" t="s">
        <v>210</v>
      </c>
    </row>
    <row r="51" spans="2:7">
      <c r="B51">
        <f>IF(AND(B14&gt;32),B14*B10,0)</f>
        <v>0</v>
      </c>
      <c r="C51" s="30" t="s">
        <v>206</v>
      </c>
      <c r="D51" s="30" t="s">
        <v>211</v>
      </c>
      <c r="E51" s="30" t="s">
        <v>212</v>
      </c>
      <c r="F51" s="30" t="s">
        <v>19</v>
      </c>
      <c r="G51" s="30" t="s">
        <v>213</v>
      </c>
    </row>
    <row r="52" spans="2:7">
      <c r="B52">
        <f>B14*B11</f>
        <v>0</v>
      </c>
      <c r="C52" s="30" t="s">
        <v>206</v>
      </c>
      <c r="D52" s="30" t="s">
        <v>223</v>
      </c>
      <c r="E52" s="30" t="s">
        <v>222</v>
      </c>
      <c r="F52" s="30" t="s">
        <v>14</v>
      </c>
      <c r="G52" s="30" t="s">
        <v>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70" zoomScaleNormal="70" workbookViewId="0">
      <selection activeCell="B12" sqref="B12"/>
    </sheetView>
  </sheetViews>
  <sheetFormatPr defaultRowHeight="14.5"/>
  <cols>
    <col min="1" max="1" width="19.453125" customWidth="1"/>
    <col min="2" max="2" width="12" bestFit="1" customWidth="1"/>
    <col min="3" max="3" width="14.08984375" customWidth="1"/>
    <col min="4" max="4" width="40.6328125" customWidth="1"/>
    <col min="5" max="5" width="25.54296875" customWidth="1"/>
  </cols>
  <sheetData>
    <row r="1" spans="1:7">
      <c r="A1" s="1" t="s">
        <v>164</v>
      </c>
    </row>
    <row r="2" spans="1:7">
      <c r="A2" t="s">
        <v>1</v>
      </c>
    </row>
    <row r="3" spans="1:7">
      <c r="A3" t="s">
        <v>124</v>
      </c>
    </row>
    <row r="4" spans="1:7">
      <c r="A4" t="s">
        <v>125</v>
      </c>
    </row>
    <row r="6" spans="1:7">
      <c r="A6" t="s">
        <v>133</v>
      </c>
      <c r="B6" s="1">
        <v>20</v>
      </c>
      <c r="C6" s="1" t="s">
        <v>134</v>
      </c>
    </row>
    <row r="7" spans="1:7">
      <c r="A7" t="s">
        <v>92</v>
      </c>
      <c r="B7">
        <v>500</v>
      </c>
      <c r="C7" t="s">
        <v>135</v>
      </c>
    </row>
    <row r="8" spans="1:7">
      <c r="A8" t="s">
        <v>137</v>
      </c>
      <c r="B8" s="1">
        <f>'pyrolysis data'!I18*'pyrolysis data'!I19/1000</f>
        <v>413.25</v>
      </c>
      <c r="C8" s="1" t="s">
        <v>138</v>
      </c>
      <c r="D8" s="1" t="s">
        <v>287</v>
      </c>
    </row>
    <row r="9" spans="1:7">
      <c r="A9" t="s">
        <v>139</v>
      </c>
      <c r="B9" s="26">
        <f>1/(B6*B8*1000)</f>
        <v>1.2099213551119178E-7</v>
      </c>
      <c r="C9" s="1" t="s">
        <v>140</v>
      </c>
      <c r="D9" s="51"/>
    </row>
    <row r="10" spans="1:7">
      <c r="A10" s="1" t="s">
        <v>214</v>
      </c>
      <c r="B10">
        <v>1200</v>
      </c>
      <c r="C10" s="1" t="s">
        <v>216</v>
      </c>
      <c r="D10" t="s">
        <v>217</v>
      </c>
    </row>
    <row r="11" spans="1:7">
      <c r="A11" s="1" t="s">
        <v>215</v>
      </c>
      <c r="B11">
        <v>0</v>
      </c>
      <c r="C11" s="1" t="s">
        <v>216</v>
      </c>
    </row>
    <row r="12" spans="1:7">
      <c r="A12" t="s">
        <v>127</v>
      </c>
      <c r="B12">
        <f>1.45*3</f>
        <v>4.3499999999999996</v>
      </c>
      <c r="C12" t="s">
        <v>129</v>
      </c>
      <c r="D12" t="s">
        <v>131</v>
      </c>
    </row>
    <row r="13" spans="1:7">
      <c r="A13" t="s">
        <v>128</v>
      </c>
      <c r="B13">
        <v>2</v>
      </c>
      <c r="C13" t="s">
        <v>130</v>
      </c>
    </row>
    <row r="14" spans="1:7">
      <c r="A14" t="s">
        <v>126</v>
      </c>
      <c r="B14" s="1">
        <v>17.600000000000001</v>
      </c>
      <c r="C14" s="1" t="s">
        <v>132</v>
      </c>
      <c r="D14" s="1" t="s">
        <v>287</v>
      </c>
    </row>
    <row r="16" spans="1:7">
      <c r="B16" t="s">
        <v>159</v>
      </c>
      <c r="C16" t="s">
        <v>5</v>
      </c>
      <c r="D16" t="s">
        <v>160</v>
      </c>
      <c r="E16" t="s">
        <v>161</v>
      </c>
      <c r="F16" t="s">
        <v>162</v>
      </c>
      <c r="G16" t="s">
        <v>196</v>
      </c>
    </row>
    <row r="17" spans="2:7">
      <c r="B17" s="25">
        <f>scaling!L28</f>
        <v>11324.638261859252</v>
      </c>
      <c r="C17" s="2" t="s">
        <v>11</v>
      </c>
      <c r="D17" s="2" t="s">
        <v>12</v>
      </c>
      <c r="E17" s="2" t="s">
        <v>13</v>
      </c>
      <c r="F17" s="2" t="s">
        <v>14</v>
      </c>
      <c r="G17" s="28" t="s">
        <v>171</v>
      </c>
    </row>
    <row r="18" spans="2:7">
      <c r="B18" s="25">
        <f>scaling!L29</f>
        <v>5279.3833627595468</v>
      </c>
      <c r="C18" s="2" t="s">
        <v>11</v>
      </c>
      <c r="D18" s="2" t="s">
        <v>22</v>
      </c>
      <c r="E18" s="2" t="s">
        <v>23</v>
      </c>
      <c r="F18" s="2" t="s">
        <v>14</v>
      </c>
      <c r="G18" s="28" t="s">
        <v>172</v>
      </c>
    </row>
    <row r="19" spans="2:7">
      <c r="B19" s="25">
        <f>scaling!L30</f>
        <v>3731.644609166387</v>
      </c>
      <c r="C19" s="2" t="s">
        <v>7</v>
      </c>
      <c r="D19" s="2" t="s">
        <v>8</v>
      </c>
      <c r="E19" s="2" t="s">
        <v>9</v>
      </c>
      <c r="F19" s="2" t="s">
        <v>3</v>
      </c>
      <c r="G19" s="29" t="s">
        <v>173</v>
      </c>
    </row>
    <row r="20" spans="2:7">
      <c r="B20" s="25">
        <f>scaling!L31</f>
        <v>2072.1185414325946</v>
      </c>
      <c r="C20" s="2" t="s">
        <v>15</v>
      </c>
      <c r="D20" s="2" t="s">
        <v>16</v>
      </c>
      <c r="E20" s="2" t="s">
        <v>17</v>
      </c>
      <c r="F20" s="2" t="s">
        <v>3</v>
      </c>
      <c r="G20" s="29" t="s">
        <v>193</v>
      </c>
    </row>
    <row r="21" spans="2:7">
      <c r="B21" s="25">
        <f>scaling!L32</f>
        <v>390.7617921293392</v>
      </c>
      <c r="C21" s="2" t="s">
        <v>11</v>
      </c>
      <c r="D21" s="2" t="s">
        <v>18</v>
      </c>
      <c r="E21" s="2" t="s">
        <v>18</v>
      </c>
      <c r="F21" s="2" t="s">
        <v>19</v>
      </c>
      <c r="G21" s="28" t="s">
        <v>174</v>
      </c>
    </row>
    <row r="22" spans="2:7">
      <c r="B22" s="25">
        <f>scaling!L33</f>
        <v>232.95200852144222</v>
      </c>
      <c r="C22" s="2" t="s">
        <v>11</v>
      </c>
      <c r="D22" s="10" t="s">
        <v>20</v>
      </c>
      <c r="E22" s="2" t="s">
        <v>21</v>
      </c>
      <c r="F22" s="2" t="s">
        <v>14</v>
      </c>
      <c r="G22" t="s">
        <v>194</v>
      </c>
    </row>
    <row r="23" spans="2:7">
      <c r="B23" s="25">
        <f>scaling!L34</f>
        <v>383.92482453708431</v>
      </c>
      <c r="C23" s="2" t="s">
        <v>11</v>
      </c>
      <c r="D23" s="2" t="s">
        <v>24</v>
      </c>
      <c r="E23" s="2" t="s">
        <v>25</v>
      </c>
      <c r="F23" s="2" t="s">
        <v>14</v>
      </c>
      <c r="G23" s="28" t="s">
        <v>195</v>
      </c>
    </row>
    <row r="24" spans="2:7">
      <c r="B24" s="25">
        <f>scaling!L35</f>
        <v>186.55771672041206</v>
      </c>
      <c r="C24" s="2" t="s">
        <v>11</v>
      </c>
      <c r="D24" s="10" t="s">
        <v>84</v>
      </c>
      <c r="E24" s="2" t="s">
        <v>85</v>
      </c>
      <c r="F24" s="2" t="s">
        <v>14</v>
      </c>
      <c r="G24" s="28" t="s">
        <v>175</v>
      </c>
    </row>
    <row r="25" spans="2:7">
      <c r="B25" s="25">
        <f>scaling!L36</f>
        <v>86.277224111012217</v>
      </c>
      <c r="C25" s="2" t="s">
        <v>11</v>
      </c>
      <c r="D25" s="2" t="s">
        <v>26</v>
      </c>
      <c r="E25" s="2" t="s">
        <v>27</v>
      </c>
      <c r="F25" s="2" t="s">
        <v>14</v>
      </c>
      <c r="G25" s="28" t="s">
        <v>197</v>
      </c>
    </row>
    <row r="26" spans="2:7">
      <c r="B26" s="25">
        <f>scaling!L37</f>
        <v>20.9656807669298</v>
      </c>
      <c r="C26" s="2" t="s">
        <v>11</v>
      </c>
      <c r="D26" s="10" t="s">
        <v>86</v>
      </c>
      <c r="E26" s="2" t="s">
        <v>87</v>
      </c>
      <c r="F26" s="2" t="s">
        <v>14</v>
      </c>
      <c r="G26" s="28" t="s">
        <v>176</v>
      </c>
    </row>
    <row r="27" spans="2:7">
      <c r="B27" s="25">
        <f>scaling!L38</f>
        <v>44.326251586826785</v>
      </c>
      <c r="C27" s="2" t="s">
        <v>11</v>
      </c>
      <c r="D27" s="2" t="s">
        <v>28</v>
      </c>
      <c r="E27" s="2" t="s">
        <v>29</v>
      </c>
      <c r="F27" s="2" t="s">
        <v>14</v>
      </c>
      <c r="G27" s="28" t="s">
        <v>177</v>
      </c>
    </row>
    <row r="28" spans="2:7">
      <c r="B28" s="25">
        <f>scaling!L39</f>
        <v>17.637794930909195</v>
      </c>
      <c r="C28" s="2" t="s">
        <v>11</v>
      </c>
      <c r="D28" s="10" t="s">
        <v>88</v>
      </c>
      <c r="E28" s="2" t="s">
        <v>88</v>
      </c>
      <c r="F28" s="2" t="s">
        <v>19</v>
      </c>
      <c r="G28" s="28" t="s">
        <v>178</v>
      </c>
    </row>
    <row r="29" spans="2:7">
      <c r="B29" s="25">
        <f>scaling!L40</f>
        <v>27.724944187471728</v>
      </c>
      <c r="C29" s="2" t="s">
        <v>30</v>
      </c>
      <c r="D29" s="2" t="s">
        <v>31</v>
      </c>
      <c r="E29" s="2" t="s">
        <v>32</v>
      </c>
      <c r="F29" s="2" t="s">
        <v>3</v>
      </c>
      <c r="G29" s="29" t="s">
        <v>179</v>
      </c>
    </row>
    <row r="30" spans="2:7">
      <c r="B30" s="25">
        <f>scaling!L41</f>
        <v>13.988560255643268</v>
      </c>
      <c r="C30" s="2" t="s">
        <v>11</v>
      </c>
      <c r="D30" s="2" t="s">
        <v>33</v>
      </c>
      <c r="E30" s="2" t="s">
        <v>34</v>
      </c>
      <c r="F30" s="2" t="s">
        <v>14</v>
      </c>
      <c r="G30" s="28" t="s">
        <v>198</v>
      </c>
    </row>
    <row r="31" spans="2:7">
      <c r="B31" s="25">
        <f>scaling!L42</f>
        <v>9.6598572950257537</v>
      </c>
      <c r="C31" s="2" t="s">
        <v>11</v>
      </c>
      <c r="D31" s="2" t="s">
        <v>35</v>
      </c>
      <c r="E31" s="2" t="s">
        <v>36</v>
      </c>
      <c r="F31" s="2" t="s">
        <v>14</v>
      </c>
      <c r="G31" s="28" t="s">
        <v>180</v>
      </c>
    </row>
    <row r="32" spans="2:7">
      <c r="B32" s="25">
        <f>scaling!L43</f>
        <v>6.9959143770154526</v>
      </c>
      <c r="C32" s="2" t="s">
        <v>11</v>
      </c>
      <c r="D32" s="2" t="s">
        <v>37</v>
      </c>
      <c r="E32" s="2" t="s">
        <v>38</v>
      </c>
      <c r="F32" s="2" t="s">
        <v>14</v>
      </c>
      <c r="G32" s="28" t="s">
        <v>181</v>
      </c>
    </row>
    <row r="33" spans="2:7">
      <c r="B33" s="25">
        <f>scaling!L44</f>
        <v>5.6655771672041206</v>
      </c>
      <c r="C33" s="2" t="s">
        <v>11</v>
      </c>
      <c r="D33" s="2" t="s">
        <v>41</v>
      </c>
      <c r="E33" s="2" t="s">
        <v>42</v>
      </c>
      <c r="F33" s="2" t="s">
        <v>19</v>
      </c>
      <c r="G33" s="28" t="s">
        <v>182</v>
      </c>
    </row>
    <row r="34" spans="2:7">
      <c r="B34" s="25">
        <f>scaling!L45</f>
        <v>4.6647600426072113</v>
      </c>
      <c r="C34" s="2" t="s">
        <v>11</v>
      </c>
      <c r="D34" s="2" t="s">
        <v>39</v>
      </c>
      <c r="E34" s="2" t="s">
        <v>40</v>
      </c>
      <c r="F34" s="2" t="s">
        <v>19</v>
      </c>
      <c r="G34" s="28" t="s">
        <v>183</v>
      </c>
    </row>
    <row r="35" spans="2:7">
      <c r="B35" s="25">
        <f>scaling!L46</f>
        <v>-4.6647600426072113</v>
      </c>
      <c r="C35" s="3" t="s">
        <v>11</v>
      </c>
      <c r="D35" s="3" t="s">
        <v>43</v>
      </c>
      <c r="E35" s="3" t="s">
        <v>44</v>
      </c>
      <c r="F35" s="3" t="s">
        <v>3</v>
      </c>
      <c r="G35" s="28" t="s">
        <v>184</v>
      </c>
    </row>
    <row r="36" spans="2:7">
      <c r="B36" s="25">
        <f>scaling!L47</f>
        <v>-6.9959143770154526</v>
      </c>
      <c r="C36" s="3" t="s">
        <v>11</v>
      </c>
      <c r="D36" s="3" t="s">
        <v>45</v>
      </c>
      <c r="E36" s="3" t="s">
        <v>46</v>
      </c>
      <c r="F36" s="3" t="s">
        <v>14</v>
      </c>
      <c r="G36" s="28" t="s">
        <v>185</v>
      </c>
    </row>
    <row r="37" spans="2:7">
      <c r="B37" s="25">
        <f>scaling!L48</f>
        <v>-9.6598572950257537</v>
      </c>
      <c r="C37" s="3" t="s">
        <v>11</v>
      </c>
      <c r="D37" s="3" t="s">
        <v>47</v>
      </c>
      <c r="E37" s="3" t="s">
        <v>48</v>
      </c>
      <c r="F37" s="3" t="s">
        <v>3</v>
      </c>
      <c r="G37" s="28" t="s">
        <v>199</v>
      </c>
    </row>
    <row r="38" spans="2:7">
      <c r="B38" s="25">
        <f>scaling!L49</f>
        <v>-13.988560255643268</v>
      </c>
      <c r="C38" s="3" t="s">
        <v>11</v>
      </c>
      <c r="D38" s="3" t="s">
        <v>49</v>
      </c>
      <c r="E38" s="3" t="s">
        <v>50</v>
      </c>
      <c r="F38" s="3" t="s">
        <v>3</v>
      </c>
      <c r="G38" s="28" t="s">
        <v>186</v>
      </c>
    </row>
    <row r="39" spans="2:7">
      <c r="B39" s="25">
        <f>scaling!L50</f>
        <v>-28.972217763705082</v>
      </c>
      <c r="C39" s="3" t="s">
        <v>11</v>
      </c>
      <c r="D39" s="11" t="s">
        <v>89</v>
      </c>
      <c r="E39" s="3" t="s">
        <v>90</v>
      </c>
      <c r="F39" s="3" t="s">
        <v>3</v>
      </c>
      <c r="G39" s="28" t="s">
        <v>187</v>
      </c>
    </row>
    <row r="40" spans="2:7">
      <c r="B40" s="25">
        <f>scaling!L51</f>
        <v>-86.277224111012217</v>
      </c>
      <c r="C40" s="3" t="s">
        <v>11</v>
      </c>
      <c r="D40" s="3" t="s">
        <v>51</v>
      </c>
      <c r="E40" s="3" t="s">
        <v>52</v>
      </c>
      <c r="F40" s="3" t="s">
        <v>3</v>
      </c>
      <c r="G40" s="28" t="s">
        <v>188</v>
      </c>
    </row>
    <row r="41" spans="2:7">
      <c r="B41" s="25">
        <f>scaling!L52</f>
        <v>-383.92482453708431</v>
      </c>
      <c r="C41" s="3" t="s">
        <v>11</v>
      </c>
      <c r="D41" s="3" t="s">
        <v>53</v>
      </c>
      <c r="E41" s="3" t="s">
        <v>54</v>
      </c>
      <c r="F41" s="3" t="s">
        <v>3</v>
      </c>
      <c r="G41" s="28" t="s">
        <v>189</v>
      </c>
    </row>
    <row r="42" spans="2:7">
      <c r="B42" s="25">
        <f>scaling!L53</f>
        <v>-232.95200852144222</v>
      </c>
      <c r="C42" s="3" t="s">
        <v>11</v>
      </c>
      <c r="D42" s="11" t="s">
        <v>57</v>
      </c>
      <c r="E42" s="3" t="s">
        <v>58</v>
      </c>
      <c r="F42" s="3" t="s">
        <v>14</v>
      </c>
      <c r="G42" s="28" t="s">
        <v>190</v>
      </c>
    </row>
    <row r="43" spans="2:7">
      <c r="B43" s="25">
        <f>scaling!L54</f>
        <v>-5279.3833627595468</v>
      </c>
      <c r="C43" s="3" t="s">
        <v>11</v>
      </c>
      <c r="D43" s="3" t="s">
        <v>55</v>
      </c>
      <c r="E43" s="3" t="s">
        <v>56</v>
      </c>
      <c r="F43" s="3" t="s">
        <v>3</v>
      </c>
      <c r="G43" s="28" t="s">
        <v>191</v>
      </c>
    </row>
    <row r="44" spans="2:7">
      <c r="B44" s="25">
        <f>scaling!L55</f>
        <v>-11449.02988341383</v>
      </c>
      <c r="C44" s="3" t="s">
        <v>11</v>
      </c>
      <c r="D44" s="3" t="s">
        <v>59</v>
      </c>
      <c r="E44" s="3" t="s">
        <v>60</v>
      </c>
      <c r="F44" s="3" t="s">
        <v>3</v>
      </c>
      <c r="G44" s="28" t="s">
        <v>192</v>
      </c>
    </row>
    <row r="45" spans="2:7">
      <c r="B45" s="25">
        <f>scaling!L56</f>
        <v>-65082.894430420376</v>
      </c>
      <c r="C45" s="3" t="s">
        <v>11</v>
      </c>
      <c r="D45" s="3" t="s">
        <v>61</v>
      </c>
      <c r="E45" s="3" t="s">
        <v>62</v>
      </c>
      <c r="F45" s="3" t="s">
        <v>3</v>
      </c>
      <c r="G45" s="28" t="s">
        <v>200</v>
      </c>
    </row>
    <row r="46" spans="2:7">
      <c r="B46" s="25">
        <f>scaling!L57</f>
        <v>1826.198181897772</v>
      </c>
      <c r="C46" t="s">
        <v>63</v>
      </c>
      <c r="D46" t="s">
        <v>64</v>
      </c>
      <c r="E46" t="s">
        <v>65</v>
      </c>
      <c r="F46" t="s">
        <v>66</v>
      </c>
      <c r="G46" t="s">
        <v>201</v>
      </c>
    </row>
    <row r="47" spans="2:7">
      <c r="B47" s="25">
        <f>scaling!L58</f>
        <v>91.309909094888596</v>
      </c>
      <c r="C47" t="s">
        <v>67</v>
      </c>
      <c r="D47" t="s">
        <v>68</v>
      </c>
      <c r="E47" t="s">
        <v>65</v>
      </c>
      <c r="F47" t="s">
        <v>66</v>
      </c>
      <c r="G47" t="s">
        <v>202</v>
      </c>
    </row>
    <row r="48" spans="2:7">
      <c r="B48" s="25">
        <f>scaling!L59</f>
        <v>91.309909094888596</v>
      </c>
      <c r="C48" t="s">
        <v>67</v>
      </c>
      <c r="D48" t="s">
        <v>70</v>
      </c>
      <c r="E48" t="s">
        <v>65</v>
      </c>
      <c r="F48" t="s">
        <v>66</v>
      </c>
      <c r="G48" t="s">
        <v>203</v>
      </c>
    </row>
    <row r="49" spans="2:7">
      <c r="B49">
        <f>IF(AND(B14&gt;16,B14&lt;32),B14*B10,0)</f>
        <v>21120</v>
      </c>
      <c r="C49" s="30" t="s">
        <v>206</v>
      </c>
      <c r="D49" s="30" t="s">
        <v>204</v>
      </c>
      <c r="E49" s="30" t="s">
        <v>205</v>
      </c>
      <c r="F49" s="30" t="s">
        <v>19</v>
      </c>
      <c r="G49" s="30" t="s">
        <v>207</v>
      </c>
    </row>
    <row r="50" spans="2:7">
      <c r="B50">
        <f>IF(AND(B14&lt;16),B14*B10,0)</f>
        <v>0</v>
      </c>
      <c r="C50" s="30" t="s">
        <v>206</v>
      </c>
      <c r="D50" s="30" t="s">
        <v>208</v>
      </c>
      <c r="E50" s="30" t="s">
        <v>209</v>
      </c>
      <c r="F50" s="30" t="s">
        <v>19</v>
      </c>
      <c r="G50" s="30" t="s">
        <v>210</v>
      </c>
    </row>
    <row r="51" spans="2:7">
      <c r="B51">
        <f>IF(AND(B14&gt;32),B14*B10,0)</f>
        <v>0</v>
      </c>
      <c r="C51" s="30" t="s">
        <v>206</v>
      </c>
      <c r="D51" s="30" t="s">
        <v>211</v>
      </c>
      <c r="E51" s="30" t="s">
        <v>212</v>
      </c>
      <c r="F51" s="30" t="s">
        <v>19</v>
      </c>
      <c r="G51" s="30" t="s">
        <v>213</v>
      </c>
    </row>
    <row r="52" spans="2:7">
      <c r="B52">
        <f>B14*B11</f>
        <v>0</v>
      </c>
      <c r="C52" s="30" t="s">
        <v>206</v>
      </c>
      <c r="D52" s="30" t="s">
        <v>223</v>
      </c>
      <c r="E52" s="30" t="s">
        <v>222</v>
      </c>
      <c r="F52" s="30" t="s">
        <v>14</v>
      </c>
      <c r="G52" s="30" t="s">
        <v>221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70" zoomScaleNormal="70" workbookViewId="0">
      <selection activeCell="D14" sqref="D14"/>
    </sheetView>
  </sheetViews>
  <sheetFormatPr defaultRowHeight="14.5"/>
  <cols>
    <col min="1" max="1" width="22.36328125" customWidth="1"/>
    <col min="2" max="2" width="10.36328125" customWidth="1"/>
    <col min="3" max="3" width="19.36328125" customWidth="1"/>
    <col min="4" max="4" width="27.453125" customWidth="1"/>
    <col min="5" max="5" width="38.81640625" customWidth="1"/>
  </cols>
  <sheetData>
    <row r="1" spans="1:7">
      <c r="A1" s="1" t="s">
        <v>165</v>
      </c>
    </row>
    <row r="2" spans="1:7">
      <c r="A2" t="s">
        <v>1</v>
      </c>
    </row>
    <row r="3" spans="1:7">
      <c r="A3" t="s">
        <v>124</v>
      </c>
      <c r="E3" t="s">
        <v>292</v>
      </c>
    </row>
    <row r="4" spans="1:7">
      <c r="A4" t="s">
        <v>125</v>
      </c>
      <c r="E4" t="s">
        <v>289</v>
      </c>
    </row>
    <row r="5" spans="1:7">
      <c r="E5" t="s">
        <v>290</v>
      </c>
    </row>
    <row r="6" spans="1:7">
      <c r="A6" s="1" t="s">
        <v>133</v>
      </c>
      <c r="B6" s="1">
        <v>20</v>
      </c>
      <c r="C6" s="1" t="s">
        <v>134</v>
      </c>
      <c r="E6" t="s">
        <v>291</v>
      </c>
    </row>
    <row r="7" spans="1:7">
      <c r="A7" t="s">
        <v>92</v>
      </c>
      <c r="B7">
        <v>500</v>
      </c>
      <c r="C7" t="s">
        <v>135</v>
      </c>
    </row>
    <row r="8" spans="1:7">
      <c r="A8" s="1" t="s">
        <v>137</v>
      </c>
      <c r="B8" s="1">
        <f>210*8000/1000</f>
        <v>1680</v>
      </c>
      <c r="C8" s="1" t="s">
        <v>138</v>
      </c>
      <c r="D8" t="s">
        <v>169</v>
      </c>
    </row>
    <row r="9" spans="1:7">
      <c r="A9" s="1" t="s">
        <v>139</v>
      </c>
      <c r="B9" s="26">
        <f>1/(B6*B8*1000)</f>
        <v>2.9761904761904761E-8</v>
      </c>
      <c r="C9" s="1" t="s">
        <v>140</v>
      </c>
    </row>
    <row r="10" spans="1:7">
      <c r="A10" s="1" t="s">
        <v>214</v>
      </c>
      <c r="B10">
        <v>1200</v>
      </c>
      <c r="C10" s="1" t="s">
        <v>216</v>
      </c>
      <c r="D10" t="s">
        <v>217</v>
      </c>
    </row>
    <row r="11" spans="1:7">
      <c r="A11" s="1" t="s">
        <v>215</v>
      </c>
      <c r="B11">
        <v>0</v>
      </c>
      <c r="C11" s="1" t="s">
        <v>216</v>
      </c>
    </row>
    <row r="12" spans="1:7">
      <c r="A12" t="s">
        <v>127</v>
      </c>
      <c r="B12">
        <f>14.3*8.1</f>
        <v>115.83</v>
      </c>
      <c r="C12" t="s">
        <v>129</v>
      </c>
      <c r="D12" t="s">
        <v>293</v>
      </c>
      <c r="E12" t="s">
        <v>131</v>
      </c>
    </row>
    <row r="13" spans="1:7">
      <c r="A13" t="s">
        <v>128</v>
      </c>
      <c r="C13" t="s">
        <v>130</v>
      </c>
    </row>
    <row r="14" spans="1:7">
      <c r="A14" t="s">
        <v>126</v>
      </c>
      <c r="B14" s="5">
        <v>35</v>
      </c>
      <c r="C14" t="s">
        <v>132</v>
      </c>
      <c r="D14" s="5" t="s">
        <v>308</v>
      </c>
    </row>
    <row r="16" spans="1:7">
      <c r="B16" t="s">
        <v>159</v>
      </c>
      <c r="C16" t="s">
        <v>5</v>
      </c>
      <c r="D16" t="s">
        <v>160</v>
      </c>
      <c r="E16" t="s">
        <v>161</v>
      </c>
      <c r="F16" t="s">
        <v>162</v>
      </c>
      <c r="G16" t="s">
        <v>196</v>
      </c>
    </row>
    <row r="17" spans="2:7">
      <c r="B17" s="25">
        <f>scaling!M28</f>
        <v>21293.97274305809</v>
      </c>
      <c r="C17" s="2" t="s">
        <v>11</v>
      </c>
      <c r="D17" s="2" t="s">
        <v>12</v>
      </c>
      <c r="E17" s="2" t="s">
        <v>13</v>
      </c>
      <c r="F17" s="2" t="s">
        <v>14</v>
      </c>
      <c r="G17" s="28" t="s">
        <v>171</v>
      </c>
    </row>
    <row r="18" spans="2:7">
      <c r="B18" s="25">
        <f>scaling!M29</f>
        <v>12068.463076182277</v>
      </c>
      <c r="C18" s="2" t="s">
        <v>11</v>
      </c>
      <c r="D18" s="2" t="s">
        <v>22</v>
      </c>
      <c r="E18" s="2" t="s">
        <v>23</v>
      </c>
      <c r="F18" s="2" t="s">
        <v>14</v>
      </c>
      <c r="G18" s="28" t="s">
        <v>172</v>
      </c>
    </row>
    <row r="19" spans="2:7">
      <c r="B19" s="25">
        <f>scaling!M30</f>
        <v>5305.7767790699372</v>
      </c>
      <c r="C19" s="2" t="s">
        <v>7</v>
      </c>
      <c r="D19" s="2" t="s">
        <v>8</v>
      </c>
      <c r="E19" s="2" t="s">
        <v>9</v>
      </c>
      <c r="F19" s="2" t="s">
        <v>3</v>
      </c>
      <c r="G19" s="29" t="s">
        <v>173</v>
      </c>
    </row>
    <row r="20" spans="2:7">
      <c r="B20" s="25">
        <f>scaling!M31</f>
        <v>3204.4781346212771</v>
      </c>
      <c r="C20" s="2" t="s">
        <v>15</v>
      </c>
      <c r="D20" s="2" t="s">
        <v>16</v>
      </c>
      <c r="E20" s="2" t="s">
        <v>17</v>
      </c>
      <c r="F20" s="2" t="s">
        <v>3</v>
      </c>
      <c r="G20" s="29" t="s">
        <v>193</v>
      </c>
    </row>
    <row r="21" spans="2:7">
      <c r="B21" s="25">
        <f>scaling!M32</f>
        <v>706.01984299534524</v>
      </c>
      <c r="C21" s="2" t="s">
        <v>11</v>
      </c>
      <c r="D21" s="2" t="s">
        <v>18</v>
      </c>
      <c r="E21" s="2" t="s">
        <v>18</v>
      </c>
      <c r="F21" s="2" t="s">
        <v>19</v>
      </c>
      <c r="G21" s="28" t="s">
        <v>174</v>
      </c>
    </row>
    <row r="22" spans="2:7">
      <c r="B22" s="25">
        <f>scaling!M33</f>
        <v>588.40120817708259</v>
      </c>
      <c r="C22" s="2" t="s">
        <v>11</v>
      </c>
      <c r="D22" s="10" t="s">
        <v>20</v>
      </c>
      <c r="E22" s="2" t="s">
        <v>21</v>
      </c>
      <c r="F22" s="2" t="s">
        <v>14</v>
      </c>
      <c r="G22" t="s">
        <v>194</v>
      </c>
    </row>
    <row r="23" spans="2:7">
      <c r="B23" s="25">
        <f>scaling!M34</f>
        <v>453.99909532633916</v>
      </c>
      <c r="C23" s="2" t="s">
        <v>11</v>
      </c>
      <c r="D23" s="2" t="s">
        <v>24</v>
      </c>
      <c r="E23" s="2" t="s">
        <v>25</v>
      </c>
      <c r="F23" s="2" t="s">
        <v>14</v>
      </c>
      <c r="G23" s="28" t="s">
        <v>195</v>
      </c>
    </row>
    <row r="24" spans="2:7">
      <c r="B24" s="25">
        <f>scaling!M35</f>
        <v>288.11463090773788</v>
      </c>
      <c r="C24" s="2" t="s">
        <v>11</v>
      </c>
      <c r="D24" s="10" t="s">
        <v>84</v>
      </c>
      <c r="E24" s="2" t="s">
        <v>85</v>
      </c>
      <c r="F24" s="2" t="s">
        <v>14</v>
      </c>
      <c r="G24" s="28" t="s">
        <v>175</v>
      </c>
    </row>
    <row r="25" spans="2:7">
      <c r="B25" s="25">
        <f>scaling!M36</f>
        <v>138.57903491748499</v>
      </c>
      <c r="C25" s="2" t="s">
        <v>11</v>
      </c>
      <c r="D25" s="2" t="s">
        <v>26</v>
      </c>
      <c r="E25" s="2" t="s">
        <v>27</v>
      </c>
      <c r="F25" s="2" t="s">
        <v>14</v>
      </c>
      <c r="G25" s="28" t="s">
        <v>197</v>
      </c>
    </row>
    <row r="26" spans="2:7">
      <c r="B26" s="25">
        <f>scaling!M37</f>
        <v>52.956108735937434</v>
      </c>
      <c r="C26" s="2" t="s">
        <v>11</v>
      </c>
      <c r="D26" s="10" t="s">
        <v>86</v>
      </c>
      <c r="E26" s="2" t="s">
        <v>87</v>
      </c>
      <c r="F26" s="2" t="s">
        <v>14</v>
      </c>
      <c r="G26" s="28" t="s">
        <v>176</v>
      </c>
    </row>
    <row r="27" spans="2:7">
      <c r="B27" s="25">
        <f>scaling!M38</f>
        <v>50.927451009002965</v>
      </c>
      <c r="C27" s="2" t="s">
        <v>11</v>
      </c>
      <c r="D27" s="2" t="s">
        <v>28</v>
      </c>
      <c r="E27" s="2" t="s">
        <v>29</v>
      </c>
      <c r="F27" s="2" t="s">
        <v>14</v>
      </c>
      <c r="G27" s="28" t="s">
        <v>177</v>
      </c>
    </row>
    <row r="28" spans="2:7">
      <c r="B28" s="25">
        <f>scaling!M39</f>
        <v>44.550377190550535</v>
      </c>
      <c r="C28" s="2" t="s">
        <v>11</v>
      </c>
      <c r="D28" s="10" t="s">
        <v>88</v>
      </c>
      <c r="E28" s="2" t="s">
        <v>88</v>
      </c>
      <c r="F28" s="2" t="s">
        <v>19</v>
      </c>
      <c r="G28" s="28" t="s">
        <v>178</v>
      </c>
    </row>
    <row r="29" spans="2:7">
      <c r="B29" s="25">
        <f>scaling!M40</f>
        <v>35.544826579895819</v>
      </c>
      <c r="C29" s="2" t="s">
        <v>30</v>
      </c>
      <c r="D29" s="2" t="s">
        <v>31</v>
      </c>
      <c r="E29" s="2" t="s">
        <v>32</v>
      </c>
      <c r="F29" s="2" t="s">
        <v>3</v>
      </c>
      <c r="G29" s="29" t="s">
        <v>179</v>
      </c>
    </row>
    <row r="30" spans="2:7">
      <c r="B30" s="25">
        <f>scaling!M41</f>
        <v>24.652036245312477</v>
      </c>
      <c r="C30" s="2" t="s">
        <v>11</v>
      </c>
      <c r="D30" s="2" t="s">
        <v>33</v>
      </c>
      <c r="E30" s="2" t="s">
        <v>34</v>
      </c>
      <c r="F30" s="2" t="s">
        <v>14</v>
      </c>
      <c r="G30" s="28" t="s">
        <v>198</v>
      </c>
    </row>
    <row r="31" spans="2:7">
      <c r="B31" s="25">
        <f>scaling!M42</f>
        <v>16.007164431733617</v>
      </c>
      <c r="C31" s="2" t="s">
        <v>11</v>
      </c>
      <c r="D31" s="2" t="s">
        <v>35</v>
      </c>
      <c r="E31" s="2" t="s">
        <v>36</v>
      </c>
      <c r="F31" s="2" t="s">
        <v>14</v>
      </c>
      <c r="G31" s="28" t="s">
        <v>180</v>
      </c>
    </row>
    <row r="32" spans="2:7">
      <c r="B32" s="25">
        <f>scaling!M43</f>
        <v>10.804298659040171</v>
      </c>
      <c r="C32" s="2" t="s">
        <v>11</v>
      </c>
      <c r="D32" s="2" t="s">
        <v>37</v>
      </c>
      <c r="E32" s="2" t="s">
        <v>38</v>
      </c>
      <c r="F32" s="2" t="s">
        <v>14</v>
      </c>
      <c r="G32" s="28" t="s">
        <v>181</v>
      </c>
    </row>
    <row r="33" spans="2:7">
      <c r="B33" s="25">
        <f>scaling!M44</f>
        <v>6.6811463090773788</v>
      </c>
      <c r="C33" s="2" t="s">
        <v>11</v>
      </c>
      <c r="D33" s="2" t="s">
        <v>41</v>
      </c>
      <c r="E33" s="2" t="s">
        <v>42</v>
      </c>
      <c r="F33" s="2" t="s">
        <v>19</v>
      </c>
      <c r="G33" s="28" t="s">
        <v>182</v>
      </c>
    </row>
    <row r="34" spans="2:7">
      <c r="B34" s="25">
        <f>scaling!M45</f>
        <v>6.4420060408854125</v>
      </c>
      <c r="C34" s="2" t="s">
        <v>11</v>
      </c>
      <c r="D34" s="2" t="s">
        <v>39</v>
      </c>
      <c r="E34" s="2" t="s">
        <v>40</v>
      </c>
      <c r="F34" s="2" t="s">
        <v>19</v>
      </c>
      <c r="G34" s="28" t="s">
        <v>183</v>
      </c>
    </row>
    <row r="35" spans="2:7">
      <c r="B35" s="25">
        <f>scaling!M46</f>
        <v>-6.4420060408854125</v>
      </c>
      <c r="C35" s="3" t="s">
        <v>11</v>
      </c>
      <c r="D35" s="3" t="s">
        <v>43</v>
      </c>
      <c r="E35" s="3" t="s">
        <v>44</v>
      </c>
      <c r="F35" s="3" t="s">
        <v>3</v>
      </c>
      <c r="G35" s="28" t="s">
        <v>184</v>
      </c>
    </row>
    <row r="36" spans="2:7">
      <c r="B36" s="25">
        <f>scaling!M47</f>
        <v>-10.804298659040171</v>
      </c>
      <c r="C36" s="3" t="s">
        <v>11</v>
      </c>
      <c r="D36" s="3" t="s">
        <v>45</v>
      </c>
      <c r="E36" s="3" t="s">
        <v>46</v>
      </c>
      <c r="F36" s="3" t="s">
        <v>14</v>
      </c>
      <c r="G36" s="28" t="s">
        <v>185</v>
      </c>
    </row>
    <row r="37" spans="2:7">
      <c r="B37" s="25">
        <f>scaling!M48</f>
        <v>-16.007164431733617</v>
      </c>
      <c r="C37" s="3" t="s">
        <v>11</v>
      </c>
      <c r="D37" s="3" t="s">
        <v>47</v>
      </c>
      <c r="E37" s="3" t="s">
        <v>48</v>
      </c>
      <c r="F37" s="3" t="s">
        <v>3</v>
      </c>
      <c r="G37" s="28" t="s">
        <v>199</v>
      </c>
    </row>
    <row r="38" spans="2:7">
      <c r="B38" s="25">
        <f>scaling!M49</f>
        <v>-24.652036245312477</v>
      </c>
      <c r="C38" s="3" t="s">
        <v>11</v>
      </c>
      <c r="D38" s="3" t="s">
        <v>49</v>
      </c>
      <c r="E38" s="3" t="s">
        <v>50</v>
      </c>
      <c r="F38" s="3" t="s">
        <v>3</v>
      </c>
      <c r="G38" s="28" t="s">
        <v>186</v>
      </c>
    </row>
    <row r="39" spans="2:7">
      <c r="B39" s="25">
        <f>scaling!M50</f>
        <v>-54.869230881473158</v>
      </c>
      <c r="C39" s="3" t="s">
        <v>11</v>
      </c>
      <c r="D39" s="11" t="s">
        <v>89</v>
      </c>
      <c r="E39" s="3" t="s">
        <v>90</v>
      </c>
      <c r="F39" s="3" t="s">
        <v>3</v>
      </c>
      <c r="G39" s="28" t="s">
        <v>187</v>
      </c>
    </row>
    <row r="40" spans="2:7">
      <c r="B40" s="25">
        <f>scaling!M51</f>
        <v>-138.57903491748499</v>
      </c>
      <c r="C40" s="3" t="s">
        <v>11</v>
      </c>
      <c r="D40" s="3" t="s">
        <v>51</v>
      </c>
      <c r="E40" s="3" t="s">
        <v>52</v>
      </c>
      <c r="F40" s="3" t="s">
        <v>3</v>
      </c>
      <c r="G40" s="28" t="s">
        <v>188</v>
      </c>
    </row>
    <row r="41" spans="2:7">
      <c r="B41" s="25">
        <f>scaling!M52</f>
        <v>-453.99909532633916</v>
      </c>
      <c r="C41" s="3" t="s">
        <v>11</v>
      </c>
      <c r="D41" s="3" t="s">
        <v>53</v>
      </c>
      <c r="E41" s="3" t="s">
        <v>54</v>
      </c>
      <c r="F41" s="3" t="s">
        <v>3</v>
      </c>
      <c r="G41" s="28" t="s">
        <v>189</v>
      </c>
    </row>
    <row r="42" spans="2:7">
      <c r="B42" s="25">
        <f>scaling!M53</f>
        <v>-588.40120817708259</v>
      </c>
      <c r="C42" s="3" t="s">
        <v>11</v>
      </c>
      <c r="D42" s="11" t="s">
        <v>57</v>
      </c>
      <c r="E42" s="3" t="s">
        <v>58</v>
      </c>
      <c r="F42" s="3" t="s">
        <v>14</v>
      </c>
      <c r="G42" s="28" t="s">
        <v>190</v>
      </c>
    </row>
    <row r="43" spans="2:7">
      <c r="B43" s="25">
        <f>scaling!M54</f>
        <v>-12068.463076182277</v>
      </c>
      <c r="C43" s="3" t="s">
        <v>11</v>
      </c>
      <c r="D43" s="3" t="s">
        <v>55</v>
      </c>
      <c r="E43" s="3" t="s">
        <v>56</v>
      </c>
      <c r="F43" s="3" t="s">
        <v>3</v>
      </c>
      <c r="G43" s="28" t="s">
        <v>191</v>
      </c>
    </row>
    <row r="44" spans="2:7">
      <c r="B44" s="25">
        <f>scaling!M55</f>
        <v>-21364.031415522448</v>
      </c>
      <c r="C44" s="3" t="s">
        <v>11</v>
      </c>
      <c r="D44" s="3" t="s">
        <v>59</v>
      </c>
      <c r="E44" s="3" t="s">
        <v>60</v>
      </c>
      <c r="F44" s="3" t="s">
        <v>3</v>
      </c>
      <c r="G44" s="28" t="s">
        <v>192</v>
      </c>
    </row>
    <row r="45" spans="2:7">
      <c r="B45" s="25">
        <f>scaling!M56</f>
        <v>-83513.443217136271</v>
      </c>
      <c r="C45" s="3" t="s">
        <v>11</v>
      </c>
      <c r="D45" s="3" t="s">
        <v>61</v>
      </c>
      <c r="E45" s="3" t="s">
        <v>62</v>
      </c>
      <c r="F45" s="3" t="s">
        <v>3</v>
      </c>
      <c r="G45" s="28" t="s">
        <v>200</v>
      </c>
    </row>
    <row r="46" spans="2:7">
      <c r="B46" s="25">
        <f>scaling!M57</f>
        <v>2262.8929129032726</v>
      </c>
      <c r="C46" t="s">
        <v>63</v>
      </c>
      <c r="D46" t="s">
        <v>64</v>
      </c>
      <c r="E46" t="s">
        <v>65</v>
      </c>
      <c r="F46" t="s">
        <v>66</v>
      </c>
      <c r="G46" t="s">
        <v>201</v>
      </c>
    </row>
    <row r="47" spans="2:7">
      <c r="B47" s="25">
        <f>scaling!M58</f>
        <v>113.14464564516365</v>
      </c>
      <c r="C47" t="s">
        <v>67</v>
      </c>
      <c r="D47" t="s">
        <v>68</v>
      </c>
      <c r="E47" t="s">
        <v>65</v>
      </c>
      <c r="F47" t="s">
        <v>66</v>
      </c>
      <c r="G47" t="s">
        <v>202</v>
      </c>
    </row>
    <row r="48" spans="2:7">
      <c r="B48" s="25">
        <f>scaling!M59</f>
        <v>113.14464564516365</v>
      </c>
      <c r="C48" t="s">
        <v>67</v>
      </c>
      <c r="D48" t="s">
        <v>70</v>
      </c>
      <c r="E48" t="s">
        <v>65</v>
      </c>
      <c r="F48" t="s">
        <v>66</v>
      </c>
      <c r="G48" t="s">
        <v>203</v>
      </c>
    </row>
    <row r="49" spans="2:7">
      <c r="B49">
        <f>IF(AND(B14&gt;16,B14&lt;32),B14*B10,0)</f>
        <v>0</v>
      </c>
      <c r="C49" s="30" t="s">
        <v>206</v>
      </c>
      <c r="D49" s="30" t="s">
        <v>204</v>
      </c>
      <c r="E49" s="30" t="s">
        <v>205</v>
      </c>
      <c r="F49" s="30" t="s">
        <v>19</v>
      </c>
      <c r="G49" s="30" t="s">
        <v>207</v>
      </c>
    </row>
    <row r="50" spans="2:7">
      <c r="B50">
        <f>IF(AND(B14&lt;16),B14*B10,0)</f>
        <v>0</v>
      </c>
      <c r="C50" s="30" t="s">
        <v>206</v>
      </c>
      <c r="D50" s="30" t="s">
        <v>208</v>
      </c>
      <c r="E50" s="30" t="s">
        <v>209</v>
      </c>
      <c r="F50" s="30" t="s">
        <v>19</v>
      </c>
      <c r="G50" s="30" t="s">
        <v>210</v>
      </c>
    </row>
    <row r="51" spans="2:7">
      <c r="B51">
        <f>IF(AND(B14&gt;32),B14*B10,0)</f>
        <v>42000</v>
      </c>
      <c r="C51" s="30" t="s">
        <v>206</v>
      </c>
      <c r="D51" s="30" t="s">
        <v>211</v>
      </c>
      <c r="E51" s="30" t="s">
        <v>212</v>
      </c>
      <c r="F51" s="30" t="s">
        <v>19</v>
      </c>
      <c r="G51" s="30" t="s">
        <v>213</v>
      </c>
    </row>
    <row r="52" spans="2:7">
      <c r="B52">
        <f>B14*B11</f>
        <v>0</v>
      </c>
      <c r="C52" s="30" t="s">
        <v>206</v>
      </c>
      <c r="D52" s="30" t="s">
        <v>223</v>
      </c>
      <c r="E52" s="30" t="s">
        <v>222</v>
      </c>
      <c r="F52" s="30" t="s">
        <v>14</v>
      </c>
      <c r="G52" s="30"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PaperSupportingInfo</vt:lpstr>
      <vt:lpstr>pyrolysis data</vt:lpstr>
      <vt:lpstr>ecoinvent</vt:lpstr>
      <vt:lpstr>scaling</vt:lpstr>
      <vt:lpstr>pyreg500</vt:lpstr>
      <vt:lpstr>pyreg1500</vt:lpstr>
      <vt:lpstr>biomacon160</vt:lpstr>
      <vt:lpstr>biomacon400</vt:lpstr>
      <vt:lpstr>biogreen</vt:lpstr>
      <vt:lpstr>australian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2021-05-04T15:54:53Z</dcterms:modified>
</cp:coreProperties>
</file>