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t\Desktop\Ιωάννης Τσαντήλας - 03120883 - Λογιστική Κόστους\"/>
    </mc:Choice>
  </mc:AlternateContent>
  <xr:revisionPtr revIDLastSave="0" documentId="13_ncr:1_{5340B34F-48C0-43AE-AFA2-1848855E07E4}" xr6:coauthVersionLast="47" xr6:coauthVersionMax="47" xr10:uidLastSave="{00000000-0000-0000-0000-000000000000}"/>
  <bookViews>
    <workbookView xWindow="-108" yWindow="-108" windowWidth="23256" windowHeight="12456" xr2:uid="{6C533A50-6C07-467B-AEBA-28A9E31993EC}"/>
  </bookViews>
  <sheets>
    <sheet name="Φύλλο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9" i="2" l="1"/>
  <c r="G128" i="2"/>
  <c r="G127" i="2"/>
  <c r="G125" i="2"/>
  <c r="G124" i="2"/>
  <c r="E129" i="2"/>
  <c r="E128" i="2"/>
  <c r="E127" i="2"/>
  <c r="E125" i="2"/>
  <c r="C125" i="2"/>
  <c r="E124" i="2"/>
  <c r="F122" i="2"/>
  <c r="G91" i="2"/>
  <c r="E91" i="2"/>
  <c r="C91" i="2"/>
  <c r="C95" i="2" s="1"/>
  <c r="C129" i="2"/>
  <c r="C128" i="2"/>
  <c r="C127" i="2"/>
  <c r="C124" i="2"/>
  <c r="B123" i="2"/>
  <c r="B122" i="2"/>
  <c r="G111" i="2"/>
  <c r="G110" i="2"/>
  <c r="G109" i="2"/>
  <c r="G108" i="2"/>
  <c r="E111" i="2"/>
  <c r="E110" i="2"/>
  <c r="E109" i="2"/>
  <c r="E108" i="2"/>
  <c r="C111" i="2"/>
  <c r="C110" i="2"/>
  <c r="C109" i="2"/>
  <c r="C108" i="2"/>
  <c r="I94" i="2"/>
  <c r="I93" i="2"/>
  <c r="I90" i="2"/>
  <c r="H89" i="2"/>
  <c r="I88" i="2"/>
  <c r="H87" i="2"/>
  <c r="H86" i="2"/>
  <c r="H85" i="2"/>
  <c r="H84" i="2"/>
  <c r="H81" i="2"/>
  <c r="G90" i="2"/>
  <c r="G88" i="2"/>
  <c r="F84" i="2"/>
  <c r="G93" i="2"/>
  <c r="G94" i="2"/>
  <c r="E95" i="2"/>
  <c r="E94" i="2"/>
  <c r="E93" i="2"/>
  <c r="E90" i="2"/>
  <c r="E88" i="2"/>
  <c r="D85" i="2"/>
  <c r="D84" i="2"/>
  <c r="B86" i="2"/>
  <c r="C88" i="2" s="1"/>
  <c r="C90" i="2" s="1"/>
  <c r="H68" i="2"/>
  <c r="G77" i="2"/>
  <c r="G76" i="2"/>
  <c r="G75" i="2"/>
  <c r="G74" i="2"/>
  <c r="F70" i="2"/>
  <c r="E77" i="2"/>
  <c r="E76" i="2"/>
  <c r="E75" i="2"/>
  <c r="E74" i="2"/>
  <c r="C77" i="2"/>
  <c r="C76" i="2"/>
  <c r="C75" i="2"/>
  <c r="C74" i="2"/>
  <c r="C94" i="2"/>
  <c r="C93" i="2"/>
  <c r="I91" i="2" l="1"/>
  <c r="I95" i="2" s="1"/>
  <c r="B89" i="2"/>
  <c r="B85" i="2"/>
  <c r="B57" i="2"/>
  <c r="D30" i="2"/>
  <c r="B50" i="2"/>
  <c r="E50" i="2" l="1"/>
  <c r="E48" i="2"/>
  <c r="B48" i="2"/>
  <c r="E46" i="2"/>
  <c r="B46" i="2"/>
  <c r="D38" i="2"/>
  <c r="C38" i="2"/>
  <c r="P26" i="2"/>
  <c r="B9" i="2"/>
  <c r="E9" i="2"/>
  <c r="E47" i="2" s="1"/>
  <c r="B47" i="2" l="1"/>
  <c r="B10" i="2"/>
  <c r="E10" i="2"/>
  <c r="E45" i="2" s="1"/>
  <c r="G37" i="2"/>
  <c r="H37" i="2" s="1"/>
  <c r="C37" i="2" s="1"/>
  <c r="F32" i="2"/>
  <c r="I32" i="2" s="1"/>
  <c r="F31" i="2"/>
  <c r="I31" i="2" s="1"/>
  <c r="D32" i="2"/>
  <c r="E32" i="2" s="1"/>
  <c r="H32" i="2" s="1"/>
  <c r="D31" i="2"/>
  <c r="E31" i="2" s="1"/>
  <c r="E30" i="2"/>
  <c r="C29" i="2"/>
  <c r="C33" i="2" s="1"/>
  <c r="D28" i="2"/>
  <c r="E28" i="2" s="1"/>
  <c r="D26" i="2"/>
  <c r="P27" i="2"/>
  <c r="H27" i="2"/>
  <c r="P25" i="2"/>
  <c r="F26" i="2" s="1"/>
  <c r="B38" i="2"/>
  <c r="B21" i="2"/>
  <c r="B20" i="2"/>
  <c r="C16" i="2"/>
  <c r="D16" i="2" s="1"/>
  <c r="C15" i="2"/>
  <c r="D15" i="2" s="1"/>
  <c r="C14" i="2"/>
  <c r="D14" i="2" s="1"/>
  <c r="E8" i="2"/>
  <c r="B8" i="2"/>
  <c r="F7" i="2"/>
  <c r="C7" i="2"/>
  <c r="F6" i="2"/>
  <c r="F9" i="2" s="1"/>
  <c r="C6" i="2"/>
  <c r="B115" i="2" l="1"/>
  <c r="B68" i="2"/>
  <c r="B102" i="2"/>
  <c r="C9" i="2"/>
  <c r="B45" i="2"/>
  <c r="F51" i="2"/>
  <c r="C51" i="2"/>
  <c r="G32" i="2"/>
  <c r="J32" i="2" s="1"/>
  <c r="H31" i="2"/>
  <c r="K31" i="2" s="1"/>
  <c r="B81" i="2"/>
  <c r="I26" i="2"/>
  <c r="K32" i="2"/>
  <c r="H30" i="2"/>
  <c r="K30" i="2" s="1"/>
  <c r="G31" i="2"/>
  <c r="J31" i="2" s="1"/>
  <c r="F47" i="2"/>
  <c r="F10" i="2"/>
  <c r="F45" i="2" s="1"/>
  <c r="F28" i="2"/>
  <c r="I28" i="2" s="1"/>
  <c r="H28" i="2"/>
  <c r="K28" i="2" s="1"/>
  <c r="G26" i="2"/>
  <c r="F30" i="2"/>
  <c r="I30" i="2" s="1"/>
  <c r="G28" i="2"/>
  <c r="J28" i="2" s="1"/>
  <c r="D6" i="2"/>
  <c r="C46" i="2"/>
  <c r="G30" i="2"/>
  <c r="J30" i="2" s="1"/>
  <c r="F8" i="2"/>
  <c r="F46" i="2"/>
  <c r="G6" i="2"/>
  <c r="I37" i="2"/>
  <c r="D37" i="2" s="1"/>
  <c r="D7" i="2"/>
  <c r="C48" i="2"/>
  <c r="C50" i="2"/>
  <c r="D123" i="2" s="1"/>
  <c r="E57" i="2"/>
  <c r="E59" i="2" s="1"/>
  <c r="K57" i="2"/>
  <c r="K59" i="2" s="1"/>
  <c r="K61" i="2" s="1"/>
  <c r="D29" i="2"/>
  <c r="G29" i="2" s="1"/>
  <c r="J29" i="2" s="1"/>
  <c r="F29" i="2"/>
  <c r="I29" i="2" s="1"/>
  <c r="B37" i="2"/>
  <c r="B51" i="2" s="1"/>
  <c r="B59" i="2"/>
  <c r="H57" i="2"/>
  <c r="H59" i="2" s="1"/>
  <c r="F50" i="2"/>
  <c r="G7" i="2"/>
  <c r="F48" i="2"/>
  <c r="F27" i="2"/>
  <c r="I27" i="2" s="1"/>
  <c r="G27" i="2"/>
  <c r="E26" i="2"/>
  <c r="C8" i="2"/>
  <c r="D21" i="2"/>
  <c r="D20" i="2"/>
  <c r="C20" i="2"/>
  <c r="C21" i="2"/>
  <c r="B119" i="2" l="1"/>
  <c r="B121" i="2"/>
  <c r="D115" i="2"/>
  <c r="D102" i="2"/>
  <c r="C47" i="2"/>
  <c r="C10" i="2"/>
  <c r="D89" i="2"/>
  <c r="F89" i="2"/>
  <c r="H61" i="2"/>
  <c r="B87" i="2"/>
  <c r="E51" i="2"/>
  <c r="G51" i="2"/>
  <c r="D51" i="2"/>
  <c r="G8" i="2"/>
  <c r="D33" i="2"/>
  <c r="D81" i="2"/>
  <c r="D68" i="2"/>
  <c r="I33" i="2"/>
  <c r="E60" i="2" s="1"/>
  <c r="E61" i="2" s="1"/>
  <c r="H26" i="2"/>
  <c r="J26" i="2"/>
  <c r="G33" i="2"/>
  <c r="F33" i="2"/>
  <c r="D46" i="2"/>
  <c r="D9" i="2"/>
  <c r="F57" i="2"/>
  <c r="F59" i="2" s="1"/>
  <c r="L57" i="2"/>
  <c r="L59" i="2" s="1"/>
  <c r="L61" i="2" s="1"/>
  <c r="D8" i="2"/>
  <c r="D48" i="2"/>
  <c r="D50" i="2"/>
  <c r="F123" i="2" s="1"/>
  <c r="H123" i="2" s="1"/>
  <c r="I57" i="2"/>
  <c r="I59" i="2" s="1"/>
  <c r="I61" i="2" s="1"/>
  <c r="C57" i="2"/>
  <c r="C59" i="2" s="1"/>
  <c r="G46" i="2"/>
  <c r="G9" i="2"/>
  <c r="J57" i="2"/>
  <c r="J59" i="2" s="1"/>
  <c r="J61" i="2" s="1"/>
  <c r="D57" i="2"/>
  <c r="D59" i="2" s="1"/>
  <c r="E29" i="2"/>
  <c r="E33" i="2" s="1"/>
  <c r="G50" i="2"/>
  <c r="G48" i="2"/>
  <c r="G57" i="2"/>
  <c r="G59" i="2" s="1"/>
  <c r="M57" i="2"/>
  <c r="M59" i="2" s="1"/>
  <c r="M61" i="2" s="1"/>
  <c r="K27" i="2"/>
  <c r="J27" i="2"/>
  <c r="K26" i="2"/>
  <c r="I128" i="2" l="1"/>
  <c r="B120" i="2"/>
  <c r="I110" i="2"/>
  <c r="C45" i="2"/>
  <c r="D119" i="2"/>
  <c r="F115" i="2"/>
  <c r="F102" i="2"/>
  <c r="H102" i="2" s="1"/>
  <c r="D121" i="2"/>
  <c r="F118" i="2" s="1"/>
  <c r="H121" i="2"/>
  <c r="D118" i="2"/>
  <c r="J33" i="2"/>
  <c r="F60" i="2" s="1"/>
  <c r="F87" i="2"/>
  <c r="D87" i="2"/>
  <c r="C60" i="2"/>
  <c r="C61" i="2" s="1"/>
  <c r="D107" i="2" s="1"/>
  <c r="F61" i="2"/>
  <c r="H29" i="2"/>
  <c r="K29" i="2" s="1"/>
  <c r="K33" i="2" s="1"/>
  <c r="B60" i="2"/>
  <c r="B61" i="2" s="1"/>
  <c r="D47" i="2"/>
  <c r="F68" i="2"/>
  <c r="F81" i="2"/>
  <c r="G10" i="2"/>
  <c r="G45" i="2" s="1"/>
  <c r="G47" i="2"/>
  <c r="D10" i="2"/>
  <c r="F119" i="2" s="1"/>
  <c r="H115" i="2" l="1"/>
  <c r="H118" i="2"/>
  <c r="D120" i="2"/>
  <c r="H120" i="2" s="1"/>
  <c r="B71" i="2"/>
  <c r="B72" i="2" s="1"/>
  <c r="B107" i="2"/>
  <c r="D104" i="2" s="1"/>
  <c r="D106" i="2" s="1"/>
  <c r="B105" i="2"/>
  <c r="F120" i="2"/>
  <c r="I76" i="2"/>
  <c r="H119" i="2"/>
  <c r="D105" i="2"/>
  <c r="D122" i="2"/>
  <c r="F104" i="2"/>
  <c r="I127" i="2"/>
  <c r="D73" i="2"/>
  <c r="D86" i="2"/>
  <c r="D45" i="2"/>
  <c r="F85" i="2"/>
  <c r="G95" i="2" s="1"/>
  <c r="H33" i="2"/>
  <c r="B73" i="2"/>
  <c r="D71" i="2"/>
  <c r="G60" i="2"/>
  <c r="G61" i="2" s="1"/>
  <c r="H107" i="2" l="1"/>
  <c r="H122" i="2"/>
  <c r="B106" i="2"/>
  <c r="I124" i="2"/>
  <c r="F106" i="2"/>
  <c r="H104" i="2"/>
  <c r="D60" i="2"/>
  <c r="D61" i="2" s="1"/>
  <c r="F105" i="2" s="1"/>
  <c r="F86" i="2"/>
  <c r="F71" i="2"/>
  <c r="F72" i="2" s="1"/>
  <c r="D70" i="2"/>
  <c r="F73" i="2"/>
  <c r="H73" i="2" s="1"/>
  <c r="H106" i="2" l="1"/>
  <c r="I129" i="2"/>
  <c r="I125" i="2"/>
  <c r="H105" i="2"/>
  <c r="H71" i="2"/>
  <c r="D72" i="2"/>
  <c r="H72" i="2" s="1"/>
  <c r="H70" i="2"/>
  <c r="I109" i="2" l="1"/>
  <c r="I111" i="2"/>
  <c r="I108" i="2"/>
  <c r="I74" i="2"/>
  <c r="I75" i="2" l="1"/>
  <c r="I77" i="2" s="1"/>
</calcChain>
</file>

<file path=xl/sharedStrings.xml><?xml version="1.0" encoding="utf-8"?>
<sst xmlns="http://schemas.openxmlformats.org/spreadsheetml/2006/main" count="133" uniqueCount="77">
  <si>
    <t>κ=8</t>
  </si>
  <si>
    <t>λ=3</t>
  </si>
  <si>
    <t>Π1</t>
  </si>
  <si>
    <t>Π2</t>
  </si>
  <si>
    <t>Μονάδες Πώλησης</t>
  </si>
  <si>
    <t>Τιμή Πώλησης</t>
  </si>
  <si>
    <t>Πωλήσεις</t>
  </si>
  <si>
    <t>Τελικό Απόθεμα</t>
  </si>
  <si>
    <t>Μονάδες Παραγωγής</t>
  </si>
  <si>
    <t>Τιμή ανά Μονάδα</t>
  </si>
  <si>
    <t>Α' Ύλη - Μ1</t>
  </si>
  <si>
    <t>Α' Ύλη - Μ2</t>
  </si>
  <si>
    <t>Άμεση Εργασία</t>
  </si>
  <si>
    <t>Τιμή Παραγωγής</t>
  </si>
  <si>
    <t>Γενικά Βιομηχανικά Έξοδα</t>
  </si>
  <si>
    <t>Βάση Επιμερ.</t>
  </si>
  <si>
    <t>Συνολικά</t>
  </si>
  <si>
    <t>Βάση</t>
  </si>
  <si>
    <t>Ποσοστό Π1</t>
  </si>
  <si>
    <t>Έκταση</t>
  </si>
  <si>
    <t>Ενοίκιο Εργοστασίου</t>
  </si>
  <si>
    <t>Αξία Μηχανημ.</t>
  </si>
  <si>
    <t>Αποσβέσεις Μηχανημάτων</t>
  </si>
  <si>
    <t>Αξία Μηχ.</t>
  </si>
  <si>
    <t>#Εργαζομένων</t>
  </si>
  <si>
    <t>Ηλεκτρική Ενέργεια &amp; Δημοτικά Τέλη</t>
  </si>
  <si>
    <t>Έξοδα Γραφείου Εργοστασίου</t>
  </si>
  <si>
    <t>Συντήρηση και Επισκευές Κτηριακών Υποδομών</t>
  </si>
  <si>
    <t>Έξοδα Αποθήκευσης Προϊόντων (ΣΤΑΘΕΡΑ)</t>
  </si>
  <si>
    <t>/2</t>
  </si>
  <si>
    <t>Έξοδα Συσκευασίας Προϊόντων (ΣΤΑΘΕΡΑ)</t>
  </si>
  <si>
    <t>Άθροισμα</t>
  </si>
  <si>
    <t>-</t>
  </si>
  <si>
    <t>Έξοδα Πωλήσεων</t>
  </si>
  <si>
    <t>Αμοιβές Πωλητών</t>
  </si>
  <si>
    <t>Ετ. Μισθ. Πωλητή</t>
  </si>
  <si>
    <t>Μίσθωση Στόλου Οχημάτων</t>
  </si>
  <si>
    <t>#Πωλητές</t>
  </si>
  <si>
    <t>Προμήθειες Πωλήσεων Π1</t>
  </si>
  <si>
    <t>Προμήθειες Πωλήσεων Π2</t>
  </si>
  <si>
    <t>Μονάδες Τελικού Αποθέματος</t>
  </si>
  <si>
    <t>Τιμή Πώλησης Ανά Μονάδα</t>
  </si>
  <si>
    <t>Δαπάνες Πώλησης και Διοίκησης</t>
  </si>
  <si>
    <t xml:space="preserve">      Μεταβλητές Δαπάνες Ανά Μονάδα</t>
  </si>
  <si>
    <t>Σταθερές Ετήσιες Δαπάνες</t>
  </si>
  <si>
    <t>Κοστολόγηση Πλήρους Απορρόφησης</t>
  </si>
  <si>
    <t>Οριακή Κοστολόγηση</t>
  </si>
  <si>
    <t>Άμεσο Κόστος Παραγωγής Ανά Μονάδα</t>
  </si>
  <si>
    <t>Μεταβλητό Έμμεσο Κόστος Παραγωγής Ανά Μονάδα</t>
  </si>
  <si>
    <t>Συνολικό Μεταβλητό Κόστος Παραγωγής</t>
  </si>
  <si>
    <t>Σταθερό Έμμεσο Κόστος Παραγωγής</t>
  </si>
  <si>
    <t>Κόστος Μονάδας Προϊόντος</t>
  </si>
  <si>
    <t>ΖΗΤΟΥΜΕΝΑ 1 ΚΑΙ 2</t>
  </si>
  <si>
    <t>Τριετία</t>
  </si>
  <si>
    <t>Μείον Κόστος Πωληθέντων:</t>
  </si>
  <si>
    <t xml:space="preserve">         Αρχικό Απόθεμα</t>
  </si>
  <si>
    <t xml:space="preserve">         Συν Κόστος Παραχθέντων Προϊόντων</t>
  </si>
  <si>
    <t xml:space="preserve">                Προϊόντα Διαθέσιμα Προς Πώληση</t>
  </si>
  <si>
    <t xml:space="preserve">         Μείον τελικό απόθεμα</t>
  </si>
  <si>
    <t>Κόστος Πωληθένων Προϊόντων</t>
  </si>
  <si>
    <t>Ακαθάριστο Περιθώριο Κέρδους</t>
  </si>
  <si>
    <t>Μείον Δαπάνες Πωλήσεων και Διοίκησης</t>
  </si>
  <si>
    <t>Καθαρό Λειτουργικό Κέρδος</t>
  </si>
  <si>
    <t>Μείον Μεταβλητές Δαπάνες:</t>
  </si>
  <si>
    <t xml:space="preserve">  Μεταβλητό Κόστος Πωληθέντων Προϊόντων</t>
  </si>
  <si>
    <t xml:space="preserve">     Αρχικό Απόθεμα</t>
  </si>
  <si>
    <t xml:space="preserve">     Συν Μεταβλητό Κόστος Παραγωγής</t>
  </si>
  <si>
    <t xml:space="preserve">         Προϊόντα Διαθέσιμα προς Πώληση</t>
  </si>
  <si>
    <t xml:space="preserve">     Μείον Τελικό Απόθεμα</t>
  </si>
  <si>
    <t>Συνολικό Μεταβλητό Κόστος Πωληθέντων Προϊόντων</t>
  </si>
  <si>
    <t>Μεταβλητές Δαπάνες Πωλήσεων και Διοίκησης</t>
  </si>
  <si>
    <t>Συνολικές Μεταβλητές Δαπάνες</t>
  </si>
  <si>
    <t>Περιθώριο Συνεισφοράς</t>
  </si>
  <si>
    <t>Μείον Σταθερές Δαπάνες</t>
  </si>
  <si>
    <t xml:space="preserve">     Σταθερό Έμμεσο Κόστος Παραγωγής</t>
  </si>
  <si>
    <t xml:space="preserve">     Σταθερές Δαπάνες Πωλήσεων και Διοίκησης</t>
  </si>
  <si>
    <t>ΖΗΤΟΥΜΕΝΟ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</si>
</sst>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[$€-408]_-;\-* #,##0.00\ [$€-408]_-;_-* &quot;-&quot;??\ [$€-408]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b/>
      <sz val="28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/>
    <xf numFmtId="165" fontId="3" fillId="0" borderId="1" xfId="2" applyNumberFormat="1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3" fontId="3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5" fontId="3" fillId="0" borderId="10" xfId="0" applyNumberFormat="1" applyFont="1" applyBorder="1"/>
    <xf numFmtId="165" fontId="3" fillId="0" borderId="11" xfId="0" applyNumberFormat="1" applyFont="1" applyBorder="1"/>
    <xf numFmtId="165" fontId="3" fillId="0" borderId="12" xfId="0" applyNumberFormat="1" applyFont="1" applyBorder="1"/>
    <xf numFmtId="165" fontId="3" fillId="0" borderId="13" xfId="0" applyNumberFormat="1" applyFont="1" applyBorder="1"/>
    <xf numFmtId="165" fontId="3" fillId="0" borderId="14" xfId="0" applyNumberFormat="1" applyFont="1" applyBorder="1"/>
    <xf numFmtId="165" fontId="3" fillId="0" borderId="15" xfId="0" applyNumberFormat="1" applyFont="1" applyBorder="1"/>
    <xf numFmtId="0" fontId="2" fillId="0" borderId="0" xfId="0" applyFont="1"/>
    <xf numFmtId="0" fontId="3" fillId="3" borderId="2" xfId="0" applyFont="1" applyFill="1" applyBorder="1"/>
    <xf numFmtId="0" fontId="2" fillId="3" borderId="3" xfId="0" applyFont="1" applyFill="1" applyBorder="1"/>
    <xf numFmtId="1" fontId="3" fillId="0" borderId="1" xfId="0" applyNumberFormat="1" applyFont="1" applyBorder="1"/>
    <xf numFmtId="0" fontId="3" fillId="0" borderId="0" xfId="0" applyFont="1" applyAlignment="1">
      <alignment horizontal="center"/>
    </xf>
    <xf numFmtId="165" fontId="3" fillId="0" borderId="16" xfId="0" applyNumberFormat="1" applyFont="1" applyBorder="1"/>
    <xf numFmtId="0" fontId="2" fillId="3" borderId="2" xfId="0" applyFont="1" applyFill="1" applyBorder="1"/>
    <xf numFmtId="165" fontId="3" fillId="0" borderId="2" xfId="0" applyNumberFormat="1" applyFont="1" applyBorder="1"/>
    <xf numFmtId="0" fontId="5" fillId="3" borderId="1" xfId="0" applyFont="1" applyFill="1" applyBorder="1"/>
    <xf numFmtId="0" fontId="3" fillId="0" borderId="6" xfId="0" applyFont="1" applyBorder="1" applyAlignment="1">
      <alignment horizontal="center"/>
    </xf>
    <xf numFmtId="165" fontId="3" fillId="0" borderId="19" xfId="0" applyNumberFormat="1" applyFont="1" applyBorder="1"/>
    <xf numFmtId="165" fontId="3" fillId="0" borderId="20" xfId="0" applyNumberFormat="1" applyFont="1" applyBorder="1"/>
    <xf numFmtId="165" fontId="3" fillId="0" borderId="2" xfId="0" applyNumberFormat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4" xfId="0" applyFont="1" applyFill="1" applyBorder="1"/>
    <xf numFmtId="0" fontId="3" fillId="0" borderId="10" xfId="0" applyFont="1" applyBorder="1"/>
    <xf numFmtId="0" fontId="3" fillId="0" borderId="13" xfId="0" applyFont="1" applyBorder="1"/>
    <xf numFmtId="165" fontId="3" fillId="0" borderId="0" xfId="0" applyNumberFormat="1" applyFont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12" xfId="0" applyFont="1" applyBorder="1"/>
    <xf numFmtId="0" fontId="2" fillId="2" borderId="26" xfId="1" applyFont="1" applyBorder="1" applyAlignment="1">
      <alignment horizontal="center"/>
    </xf>
    <xf numFmtId="0" fontId="2" fillId="2" borderId="27" xfId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165" fontId="3" fillId="0" borderId="21" xfId="0" applyNumberFormat="1" applyFon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3">
    <cellStyle name="20% - Accent1" xfId="1" builtinId="30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40E5-269D-4F75-9850-31808716DAD6}">
  <dimension ref="A1:Y129"/>
  <sheetViews>
    <sheetView tabSelected="1" topLeftCell="A82" zoomScale="115" zoomScaleNormal="115" workbookViewId="0">
      <selection activeCell="G130" sqref="G130"/>
    </sheetView>
  </sheetViews>
  <sheetFormatPr defaultColWidth="20.7109375" defaultRowHeight="14.45"/>
  <cols>
    <col min="1" max="1" width="49.5703125" style="1" customWidth="1"/>
    <col min="2" max="16384" width="20.7109375" style="1"/>
  </cols>
  <sheetData>
    <row r="1" spans="1:10" ht="18">
      <c r="A1" s="11" t="s">
        <v>0</v>
      </c>
      <c r="B1" s="11" t="s">
        <v>1</v>
      </c>
    </row>
    <row r="4" spans="1:10">
      <c r="A4" s="56"/>
      <c r="B4" s="59" t="s">
        <v>2</v>
      </c>
      <c r="C4" s="59"/>
      <c r="D4" s="59"/>
      <c r="E4" s="59" t="s">
        <v>3</v>
      </c>
      <c r="F4" s="59"/>
      <c r="G4" s="59"/>
    </row>
    <row r="5" spans="1:10">
      <c r="A5" s="58"/>
      <c r="B5" s="4">
        <v>2021</v>
      </c>
      <c r="C5" s="4">
        <v>2022</v>
      </c>
      <c r="D5" s="4">
        <v>2023</v>
      </c>
      <c r="E5" s="4">
        <v>2021</v>
      </c>
      <c r="F5" s="4">
        <v>2022</v>
      </c>
      <c r="G5" s="4">
        <v>2023</v>
      </c>
    </row>
    <row r="6" spans="1:10">
      <c r="A6" s="8" t="s">
        <v>4</v>
      </c>
      <c r="B6" s="5">
        <v>15800</v>
      </c>
      <c r="C6" s="5">
        <f>SUM(B6,0.4*B6)</f>
        <v>22120</v>
      </c>
      <c r="D6" s="5">
        <f>SUM(C6,0.2*C6)</f>
        <v>26544</v>
      </c>
      <c r="E6" s="5">
        <v>8600</v>
      </c>
      <c r="F6" s="5">
        <f>SUM(E6,0.3*E6)</f>
        <v>11180</v>
      </c>
      <c r="G6" s="5">
        <f>SUM(F6,0.1*F6)</f>
        <v>12298</v>
      </c>
      <c r="I6" s="26"/>
      <c r="J6" s="26"/>
    </row>
    <row r="7" spans="1:10">
      <c r="A7" s="8" t="s">
        <v>5</v>
      </c>
      <c r="B7" s="6">
        <v>155</v>
      </c>
      <c r="C7" s="6">
        <f>SUM(B7,0.2*B7)</f>
        <v>186</v>
      </c>
      <c r="D7" s="6">
        <f>SUM(C7,0.1*C7)</f>
        <v>204.6</v>
      </c>
      <c r="E7" s="6">
        <v>150</v>
      </c>
      <c r="F7" s="6">
        <f>SUM(E7,0.25*E7)</f>
        <v>187.5</v>
      </c>
      <c r="G7" s="6">
        <f>SUM(F7,0.1*F7)</f>
        <v>206.25</v>
      </c>
    </row>
    <row r="8" spans="1:10">
      <c r="A8" s="8" t="s">
        <v>6</v>
      </c>
      <c r="B8" s="6">
        <f t="shared" ref="B8:G8" si="0">SUM(B6*B7)</f>
        <v>2449000</v>
      </c>
      <c r="C8" s="6">
        <f t="shared" si="0"/>
        <v>4114320</v>
      </c>
      <c r="D8" s="6">
        <f t="shared" si="0"/>
        <v>5430902.3999999994</v>
      </c>
      <c r="E8" s="6">
        <f t="shared" si="0"/>
        <v>1290000</v>
      </c>
      <c r="F8" s="6">
        <f t="shared" si="0"/>
        <v>2096250</v>
      </c>
      <c r="G8" s="6">
        <f t="shared" si="0"/>
        <v>2536462.5</v>
      </c>
    </row>
    <row r="9" spans="1:10">
      <c r="A9" s="8" t="s">
        <v>7</v>
      </c>
      <c r="B9" s="5">
        <f t="shared" ref="B9:G9" si="1">SUM(B6*0.25)</f>
        <v>3950</v>
      </c>
      <c r="C9" s="5">
        <f t="shared" si="1"/>
        <v>5530</v>
      </c>
      <c r="D9" s="5">
        <f t="shared" si="1"/>
        <v>6636</v>
      </c>
      <c r="E9" s="5">
        <f t="shared" si="1"/>
        <v>2150</v>
      </c>
      <c r="F9" s="5">
        <f t="shared" si="1"/>
        <v>2795</v>
      </c>
      <c r="G9" s="25">
        <f t="shared" si="1"/>
        <v>3074.5</v>
      </c>
    </row>
    <row r="10" spans="1:10">
      <c r="A10" s="8" t="s">
        <v>8</v>
      </c>
      <c r="B10" s="5">
        <f t="shared" ref="B10:G10" si="2">SUM(B6,B9)</f>
        <v>19750</v>
      </c>
      <c r="C10" s="5">
        <f t="shared" si="2"/>
        <v>27650</v>
      </c>
      <c r="D10" s="5">
        <f t="shared" si="2"/>
        <v>33180</v>
      </c>
      <c r="E10" s="5">
        <f t="shared" si="2"/>
        <v>10750</v>
      </c>
      <c r="F10" s="5">
        <f t="shared" si="2"/>
        <v>13975</v>
      </c>
      <c r="G10" s="25">
        <f t="shared" si="2"/>
        <v>15372.5</v>
      </c>
    </row>
    <row r="13" spans="1:10">
      <c r="A13" s="4" t="s">
        <v>9</v>
      </c>
      <c r="B13" s="4">
        <v>2021</v>
      </c>
      <c r="C13" s="4">
        <v>2022</v>
      </c>
      <c r="D13" s="4">
        <v>2023</v>
      </c>
      <c r="E13" s="4" t="s">
        <v>2</v>
      </c>
      <c r="F13" s="4" t="s">
        <v>3</v>
      </c>
    </row>
    <row r="14" spans="1:10">
      <c r="A14" s="8" t="s">
        <v>10</v>
      </c>
      <c r="B14" s="6">
        <v>5</v>
      </c>
      <c r="C14" s="6">
        <f>SUM(B14,0.2*B14)</f>
        <v>6</v>
      </c>
      <c r="D14" s="6">
        <f>SUM(C14,0.15*C14)</f>
        <v>6.9</v>
      </c>
      <c r="E14" s="5">
        <v>4</v>
      </c>
      <c r="F14" s="5">
        <v>5</v>
      </c>
    </row>
    <row r="15" spans="1:10">
      <c r="A15" s="8" t="s">
        <v>11</v>
      </c>
      <c r="B15" s="6">
        <v>7</v>
      </c>
      <c r="C15" s="6">
        <f>SUM(B15,0.3*B15)</f>
        <v>9.1</v>
      </c>
      <c r="D15" s="6">
        <f>SUM(C15,0.15*C15)</f>
        <v>10.465</v>
      </c>
      <c r="E15" s="5">
        <v>5</v>
      </c>
      <c r="F15" s="5">
        <v>6</v>
      </c>
    </row>
    <row r="16" spans="1:10">
      <c r="A16" s="8" t="s">
        <v>12</v>
      </c>
      <c r="B16" s="6">
        <v>12</v>
      </c>
      <c r="C16" s="6">
        <f>SUM(B16,0.1*B16)</f>
        <v>13.2</v>
      </c>
      <c r="D16" s="6">
        <f>SUM(C16,0.05*C16)</f>
        <v>13.86</v>
      </c>
      <c r="E16" s="5">
        <v>1</v>
      </c>
      <c r="F16" s="5">
        <v>2</v>
      </c>
    </row>
    <row r="19" spans="1:25">
      <c r="A19" s="4" t="s">
        <v>13</v>
      </c>
      <c r="B19" s="4">
        <v>2021</v>
      </c>
      <c r="C19" s="4">
        <v>2022</v>
      </c>
      <c r="D19" s="4">
        <v>2023</v>
      </c>
    </row>
    <row r="20" spans="1:25">
      <c r="A20" s="8" t="s">
        <v>2</v>
      </c>
      <c r="B20" s="7">
        <f>SUM(B14*E14,B15*E15,B16*E16)</f>
        <v>67</v>
      </c>
      <c r="C20" s="7">
        <f>SUM(C14*E14,C15*E15,C16*E16)</f>
        <v>82.7</v>
      </c>
      <c r="D20" s="7">
        <f>SUM(D14*E14,D15*E15,D16*E16)</f>
        <v>93.785000000000011</v>
      </c>
    </row>
    <row r="21" spans="1:25">
      <c r="A21" s="8" t="s">
        <v>3</v>
      </c>
      <c r="B21" s="7">
        <f>SUM(B14*F14, B15*F15, B16*F16)</f>
        <v>91</v>
      </c>
      <c r="C21" s="7">
        <f>SUM(C14*F14,C15*F15,C16*F16)</f>
        <v>111</v>
      </c>
      <c r="D21" s="7">
        <f>SUM(D14*F14,D15*F15,D16*F16)</f>
        <v>125.00999999999999</v>
      </c>
    </row>
    <row r="23" spans="1:25" ht="15" thickBot="1"/>
    <row r="24" spans="1:25">
      <c r="A24" s="69" t="s">
        <v>14</v>
      </c>
      <c r="B24" s="71" t="s">
        <v>15</v>
      </c>
      <c r="C24" s="66" t="s">
        <v>16</v>
      </c>
      <c r="D24" s="67"/>
      <c r="E24" s="68"/>
      <c r="F24" s="66" t="s">
        <v>2</v>
      </c>
      <c r="G24" s="67"/>
      <c r="H24" s="68"/>
      <c r="I24" s="66" t="s">
        <v>3</v>
      </c>
      <c r="J24" s="67"/>
      <c r="K24" s="68"/>
      <c r="M24" s="3" t="s">
        <v>17</v>
      </c>
      <c r="N24" s="4" t="s">
        <v>2</v>
      </c>
      <c r="O24" s="4" t="s">
        <v>3</v>
      </c>
      <c r="P24" s="4" t="s">
        <v>18</v>
      </c>
      <c r="Q24" s="12"/>
    </row>
    <row r="25" spans="1:25">
      <c r="A25" s="70"/>
      <c r="B25" s="72"/>
      <c r="C25" s="14">
        <v>2021</v>
      </c>
      <c r="D25" s="4">
        <v>2022</v>
      </c>
      <c r="E25" s="15">
        <v>2023</v>
      </c>
      <c r="F25" s="14">
        <v>2021</v>
      </c>
      <c r="G25" s="4">
        <v>2022</v>
      </c>
      <c r="H25" s="15">
        <v>2023</v>
      </c>
      <c r="I25" s="14">
        <v>2021</v>
      </c>
      <c r="J25" s="4">
        <v>2022</v>
      </c>
      <c r="K25" s="15">
        <v>2023</v>
      </c>
      <c r="M25" s="3" t="s">
        <v>19</v>
      </c>
      <c r="N25" s="10">
        <v>1000</v>
      </c>
      <c r="O25" s="10">
        <v>1500</v>
      </c>
      <c r="P25" s="5">
        <f>SUM(N25/(N25+O25))</f>
        <v>0.4</v>
      </c>
    </row>
    <row r="26" spans="1:25">
      <c r="A26" s="3" t="s">
        <v>20</v>
      </c>
      <c r="B26" s="13" t="s">
        <v>19</v>
      </c>
      <c r="C26" s="16">
        <v>300000</v>
      </c>
      <c r="D26" s="6">
        <f>SUM(C26)</f>
        <v>300000</v>
      </c>
      <c r="E26" s="17">
        <f>SUM(D26,0.15*D26)</f>
        <v>345000</v>
      </c>
      <c r="F26" s="16">
        <f>SUM(C26*P25)</f>
        <v>120000</v>
      </c>
      <c r="G26" s="6">
        <f>SUM(D26*P25)</f>
        <v>120000</v>
      </c>
      <c r="H26" s="17">
        <f>SUM(E26*P25)</f>
        <v>138000</v>
      </c>
      <c r="I26" s="16">
        <f>SUM(C26-F26)</f>
        <v>180000</v>
      </c>
      <c r="J26" s="6">
        <f>SUM(D26-G26)</f>
        <v>180000</v>
      </c>
      <c r="K26" s="17">
        <f>SUM(E26-I26)</f>
        <v>165000</v>
      </c>
      <c r="M26" s="3" t="s">
        <v>21</v>
      </c>
      <c r="N26" s="5">
        <v>1.5</v>
      </c>
      <c r="O26" s="5">
        <v>2</v>
      </c>
      <c r="P26" s="5">
        <f>SUM(N26/(N26+O26))</f>
        <v>0.42857142857142855</v>
      </c>
    </row>
    <row r="27" spans="1:25">
      <c r="A27" s="3" t="s">
        <v>22</v>
      </c>
      <c r="B27" s="13" t="s">
        <v>23</v>
      </c>
      <c r="C27" s="16">
        <v>120000</v>
      </c>
      <c r="D27" s="6">
        <v>120000</v>
      </c>
      <c r="E27" s="17">
        <v>120000</v>
      </c>
      <c r="F27" s="16">
        <f>SUM(C27*P26)</f>
        <v>51428.571428571428</v>
      </c>
      <c r="G27" s="6">
        <f>SUM(D27*P26)</f>
        <v>51428.571428571428</v>
      </c>
      <c r="H27" s="17">
        <f>SUM(E27*P26)</f>
        <v>51428.571428571428</v>
      </c>
      <c r="I27" s="16">
        <f t="shared" ref="I27:I32" si="3">SUM(C27-F27)</f>
        <v>68571.42857142858</v>
      </c>
      <c r="J27" s="6">
        <f>SUM(I27)</f>
        <v>68571.42857142858</v>
      </c>
      <c r="K27" s="17">
        <f>SUM(I27)</f>
        <v>68571.42857142858</v>
      </c>
      <c r="M27" s="3" t="s">
        <v>24</v>
      </c>
      <c r="N27" s="5">
        <v>12</v>
      </c>
      <c r="O27" s="5">
        <v>15</v>
      </c>
      <c r="P27" s="5">
        <f>SUM(N27/(N27+O27))</f>
        <v>0.44444444444444442</v>
      </c>
    </row>
    <row r="28" spans="1:25">
      <c r="A28" s="3" t="s">
        <v>25</v>
      </c>
      <c r="B28" s="13" t="s">
        <v>19</v>
      </c>
      <c r="C28" s="18">
        <v>450000</v>
      </c>
      <c r="D28" s="6">
        <f>SUM(C28,C28*0.5)</f>
        <v>675000</v>
      </c>
      <c r="E28" s="17">
        <f>SUM(D28,D28*0.1)</f>
        <v>742500</v>
      </c>
      <c r="F28" s="16">
        <f>SUM(C28*P25)</f>
        <v>180000</v>
      </c>
      <c r="G28" s="6">
        <f>SUM(D28*P25)</f>
        <v>270000</v>
      </c>
      <c r="H28" s="17">
        <f>SUM(E28*P25)</f>
        <v>297000</v>
      </c>
      <c r="I28" s="16">
        <f t="shared" si="3"/>
        <v>270000</v>
      </c>
      <c r="J28" s="6">
        <f t="shared" ref="J28:K32" si="4">SUM(D28-G28)</f>
        <v>405000</v>
      </c>
      <c r="K28" s="17">
        <f t="shared" si="4"/>
        <v>445500</v>
      </c>
      <c r="M28" s="22"/>
    </row>
    <row r="29" spans="1:25">
      <c r="A29" s="3" t="s">
        <v>26</v>
      </c>
      <c r="B29" s="13" t="s">
        <v>24</v>
      </c>
      <c r="C29" s="16">
        <f>SUM(12*14*16*300)</f>
        <v>806400</v>
      </c>
      <c r="D29" s="6">
        <f>SUM(C29,0.1*C29)</f>
        <v>887040</v>
      </c>
      <c r="E29" s="17">
        <f>SUM(D29,0.05*D29)</f>
        <v>931392</v>
      </c>
      <c r="F29" s="16">
        <f>SUM(C29*P27)</f>
        <v>358400</v>
      </c>
      <c r="G29" s="6">
        <f>SUM(D29*P27)</f>
        <v>394240</v>
      </c>
      <c r="H29" s="17">
        <f>SUM(E29*P27)</f>
        <v>413952</v>
      </c>
      <c r="I29" s="16">
        <f t="shared" si="3"/>
        <v>448000</v>
      </c>
      <c r="J29" s="6">
        <f t="shared" si="4"/>
        <v>492800</v>
      </c>
      <c r="K29" s="17">
        <f t="shared" si="4"/>
        <v>517440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3" t="s">
        <v>27</v>
      </c>
      <c r="B30" s="13" t="s">
        <v>24</v>
      </c>
      <c r="C30" s="16">
        <v>150000</v>
      </c>
      <c r="D30" s="6">
        <f>SUM(C30,0.1*C30)</f>
        <v>165000</v>
      </c>
      <c r="E30" s="17">
        <f>SUM(D30,0.05*D30)</f>
        <v>173250</v>
      </c>
      <c r="F30" s="16">
        <f>SUM(C30*P27)</f>
        <v>66666.666666666657</v>
      </c>
      <c r="G30" s="6">
        <f>SUM(D30*P27)</f>
        <v>73333.333333333328</v>
      </c>
      <c r="H30" s="17">
        <f>SUM(E30*P27)</f>
        <v>77000</v>
      </c>
      <c r="I30" s="16">
        <f t="shared" si="3"/>
        <v>83333.333333333343</v>
      </c>
      <c r="J30" s="6">
        <f t="shared" si="4"/>
        <v>91666.666666666672</v>
      </c>
      <c r="K30" s="17">
        <f t="shared" si="4"/>
        <v>96250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3" t="s">
        <v>28</v>
      </c>
      <c r="B31" s="13" t="s">
        <v>29</v>
      </c>
      <c r="C31" s="16">
        <v>50000</v>
      </c>
      <c r="D31" s="6">
        <f>SUM(C31,0.1*C31)</f>
        <v>55000</v>
      </c>
      <c r="E31" s="17">
        <f>SUM(D31,0.05*D31)</f>
        <v>57750</v>
      </c>
      <c r="F31" s="16">
        <f t="shared" ref="F31:H32" si="5">SUM(C31/2)</f>
        <v>25000</v>
      </c>
      <c r="G31" s="6">
        <f t="shared" si="5"/>
        <v>27500</v>
      </c>
      <c r="H31" s="17">
        <f t="shared" si="5"/>
        <v>28875</v>
      </c>
      <c r="I31" s="16">
        <f t="shared" si="3"/>
        <v>25000</v>
      </c>
      <c r="J31" s="6">
        <f t="shared" si="4"/>
        <v>27500</v>
      </c>
      <c r="K31" s="17">
        <f t="shared" si="4"/>
        <v>28875</v>
      </c>
      <c r="M31" s="22"/>
    </row>
    <row r="32" spans="1:25">
      <c r="A32" s="28" t="s">
        <v>30</v>
      </c>
      <c r="B32" s="31" t="s">
        <v>29</v>
      </c>
      <c r="C32" s="32">
        <v>100000</v>
      </c>
      <c r="D32" s="29">
        <f>SUM(C32,0.1*C32)</f>
        <v>110000</v>
      </c>
      <c r="E32" s="33">
        <f>SUM(D32,0.05*D32)</f>
        <v>115500</v>
      </c>
      <c r="F32" s="32">
        <f t="shared" si="5"/>
        <v>50000</v>
      </c>
      <c r="G32" s="29">
        <f t="shared" si="5"/>
        <v>55000</v>
      </c>
      <c r="H32" s="33">
        <f t="shared" si="5"/>
        <v>57750</v>
      </c>
      <c r="I32" s="32">
        <f t="shared" si="3"/>
        <v>50000</v>
      </c>
      <c r="J32" s="29">
        <f t="shared" si="4"/>
        <v>55000</v>
      </c>
      <c r="K32" s="33">
        <f t="shared" si="4"/>
        <v>57750</v>
      </c>
    </row>
    <row r="33" spans="1:11" ht="15" thickBot="1">
      <c r="A33" s="3" t="s">
        <v>31</v>
      </c>
      <c r="B33" s="13" t="s">
        <v>32</v>
      </c>
      <c r="C33" s="19">
        <f t="shared" ref="C33:K33" si="6">SUM(C26:C32)</f>
        <v>1976400</v>
      </c>
      <c r="D33" s="20">
        <f t="shared" si="6"/>
        <v>2312040</v>
      </c>
      <c r="E33" s="21">
        <f t="shared" si="6"/>
        <v>2485392</v>
      </c>
      <c r="F33" s="19">
        <f t="shared" si="6"/>
        <v>851495.23809523799</v>
      </c>
      <c r="G33" s="20">
        <f t="shared" si="6"/>
        <v>991501.90476190473</v>
      </c>
      <c r="H33" s="21">
        <f t="shared" si="6"/>
        <v>1064005.5714285714</v>
      </c>
      <c r="I33" s="19">
        <f t="shared" si="6"/>
        <v>1124904.7619047619</v>
      </c>
      <c r="J33" s="20">
        <f t="shared" si="6"/>
        <v>1320538.0952380954</v>
      </c>
      <c r="K33" s="21">
        <f t="shared" si="6"/>
        <v>1379386.4285714286</v>
      </c>
    </row>
    <row r="36" spans="1:11">
      <c r="A36" s="4" t="s">
        <v>33</v>
      </c>
      <c r="B36" s="4">
        <v>2021</v>
      </c>
      <c r="C36" s="4">
        <v>2022</v>
      </c>
      <c r="D36" s="4">
        <v>2023</v>
      </c>
      <c r="F36" s="23"/>
      <c r="G36" s="3">
        <v>2021</v>
      </c>
      <c r="H36" s="3">
        <v>2022</v>
      </c>
      <c r="I36" s="3">
        <v>2023</v>
      </c>
    </row>
    <row r="37" spans="1:11">
      <c r="A37" s="3" t="s">
        <v>34</v>
      </c>
      <c r="B37" s="6">
        <f>SUM(G37*G38)</f>
        <v>112000</v>
      </c>
      <c r="C37" s="6">
        <f>SUM(H37*H38)</f>
        <v>154000</v>
      </c>
      <c r="D37" s="6">
        <f>SUM(I37*I38)</f>
        <v>194040</v>
      </c>
      <c r="F37" s="9" t="s">
        <v>35</v>
      </c>
      <c r="G37" s="27">
        <f>SUM(14*2000)</f>
        <v>28000</v>
      </c>
      <c r="H37" s="6">
        <f>SUM(G37,G37*0.1)</f>
        <v>30800</v>
      </c>
      <c r="I37" s="6">
        <f>SUM(H37,H37*0.05)</f>
        <v>32340</v>
      </c>
    </row>
    <row r="38" spans="1:11">
      <c r="A38" s="3" t="s">
        <v>36</v>
      </c>
      <c r="B38" s="6">
        <f>SUM(4*12*600)</f>
        <v>28800</v>
      </c>
      <c r="C38" s="6">
        <f>SUM(5*12*600)</f>
        <v>36000</v>
      </c>
      <c r="D38" s="6">
        <f>SUM(6*12*600)</f>
        <v>43200</v>
      </c>
      <c r="F38" s="24" t="s">
        <v>37</v>
      </c>
      <c r="G38" s="5">
        <v>4</v>
      </c>
      <c r="H38" s="5">
        <v>5</v>
      </c>
      <c r="I38" s="5">
        <v>6</v>
      </c>
    </row>
    <row r="39" spans="1:11">
      <c r="A39" s="3" t="s">
        <v>38</v>
      </c>
      <c r="B39" s="60">
        <v>0.12</v>
      </c>
      <c r="C39" s="61"/>
      <c r="D39" s="62"/>
    </row>
    <row r="40" spans="1:11">
      <c r="A40" s="3" t="s">
        <v>39</v>
      </c>
      <c r="B40" s="60">
        <v>0.09</v>
      </c>
      <c r="C40" s="61"/>
      <c r="D40" s="62"/>
    </row>
    <row r="41" spans="1:11">
      <c r="A41" s="22"/>
      <c r="B41" s="2"/>
      <c r="C41" s="2"/>
      <c r="D41" s="2"/>
    </row>
    <row r="43" spans="1:11">
      <c r="A43" s="56"/>
      <c r="B43" s="63" t="s">
        <v>2</v>
      </c>
      <c r="C43" s="64"/>
      <c r="D43" s="65"/>
      <c r="E43" s="63" t="s">
        <v>3</v>
      </c>
      <c r="F43" s="64"/>
      <c r="G43" s="65"/>
    </row>
    <row r="44" spans="1:11">
      <c r="A44" s="58"/>
      <c r="B44" s="4">
        <v>2021</v>
      </c>
      <c r="C44" s="4">
        <v>2022</v>
      </c>
      <c r="D44" s="4">
        <v>2023</v>
      </c>
      <c r="E44" s="4">
        <v>2021</v>
      </c>
      <c r="F44" s="4">
        <v>2022</v>
      </c>
      <c r="G44" s="4">
        <v>2023</v>
      </c>
    </row>
    <row r="45" spans="1:11">
      <c r="A45" s="3" t="s">
        <v>8</v>
      </c>
      <c r="B45" s="5">
        <f t="shared" ref="B45:G45" si="7">SUM(B10)</f>
        <v>19750</v>
      </c>
      <c r="C45" s="5">
        <f t="shared" si="7"/>
        <v>27650</v>
      </c>
      <c r="D45" s="5">
        <f t="shared" si="7"/>
        <v>33180</v>
      </c>
      <c r="E45" s="5">
        <f t="shared" si="7"/>
        <v>10750</v>
      </c>
      <c r="F45" s="5">
        <f t="shared" si="7"/>
        <v>13975</v>
      </c>
      <c r="G45" s="25">
        <f t="shared" si="7"/>
        <v>15372.5</v>
      </c>
    </row>
    <row r="46" spans="1:11">
      <c r="A46" s="3" t="s">
        <v>4</v>
      </c>
      <c r="B46" s="5">
        <f t="shared" ref="B46:G46" si="8">SUM(B6)</f>
        <v>15800</v>
      </c>
      <c r="C46" s="5">
        <f t="shared" si="8"/>
        <v>22120</v>
      </c>
      <c r="D46" s="5">
        <f t="shared" si="8"/>
        <v>26544</v>
      </c>
      <c r="E46" s="5">
        <f t="shared" si="8"/>
        <v>8600</v>
      </c>
      <c r="F46" s="5">
        <f t="shared" si="8"/>
        <v>11180</v>
      </c>
      <c r="G46" s="5">
        <f t="shared" si="8"/>
        <v>12298</v>
      </c>
    </row>
    <row r="47" spans="1:11">
      <c r="A47" s="3" t="s">
        <v>40</v>
      </c>
      <c r="B47" s="5">
        <f t="shared" ref="B47:G47" si="9">SUM(B9)</f>
        <v>3950</v>
      </c>
      <c r="C47" s="5">
        <f t="shared" si="9"/>
        <v>5530</v>
      </c>
      <c r="D47" s="5">
        <f t="shared" si="9"/>
        <v>6636</v>
      </c>
      <c r="E47" s="5">
        <f t="shared" si="9"/>
        <v>2150</v>
      </c>
      <c r="F47" s="5">
        <f t="shared" si="9"/>
        <v>2795</v>
      </c>
      <c r="G47" s="25">
        <f t="shared" si="9"/>
        <v>3074.5</v>
      </c>
    </row>
    <row r="48" spans="1:11">
      <c r="A48" s="3" t="s">
        <v>41</v>
      </c>
      <c r="B48" s="6">
        <f t="shared" ref="B48:G48" si="10">SUM(B7)</f>
        <v>155</v>
      </c>
      <c r="C48" s="6">
        <f t="shared" si="10"/>
        <v>186</v>
      </c>
      <c r="D48" s="6">
        <f t="shared" si="10"/>
        <v>204.6</v>
      </c>
      <c r="E48" s="6">
        <f t="shared" si="10"/>
        <v>150</v>
      </c>
      <c r="F48" s="6">
        <f t="shared" si="10"/>
        <v>187.5</v>
      </c>
      <c r="G48" s="6">
        <f t="shared" si="10"/>
        <v>206.25</v>
      </c>
    </row>
    <row r="49" spans="1:13">
      <c r="A49" s="3" t="s">
        <v>42</v>
      </c>
      <c r="B49" s="5"/>
      <c r="C49" s="5"/>
      <c r="D49" s="5"/>
      <c r="E49" s="5"/>
      <c r="F49" s="5"/>
      <c r="G49" s="5"/>
    </row>
    <row r="50" spans="1:13">
      <c r="A50" s="30" t="s">
        <v>43</v>
      </c>
      <c r="B50" s="34">
        <f>SUM(B7*B39)</f>
        <v>18.599999999999998</v>
      </c>
      <c r="C50" s="34">
        <f>SUM(C7*B39)</f>
        <v>22.32</v>
      </c>
      <c r="D50" s="34">
        <f>SUM(D7*B39)</f>
        <v>24.552</v>
      </c>
      <c r="E50" s="34">
        <f>SUM(E7*B40)</f>
        <v>13.5</v>
      </c>
      <c r="F50" s="34">
        <f>SUM(F7*B40)</f>
        <v>16.875</v>
      </c>
      <c r="G50" s="34">
        <f>SUM(G7*B40)</f>
        <v>18.5625</v>
      </c>
    </row>
    <row r="51" spans="1:13">
      <c r="A51" s="3" t="s">
        <v>44</v>
      </c>
      <c r="B51" s="6">
        <f>SUM(B37,B38)</f>
        <v>140800</v>
      </c>
      <c r="C51" s="6">
        <f>SUM(C37,C38)</f>
        <v>190000</v>
      </c>
      <c r="D51" s="6">
        <f>SUM(D37,D38)</f>
        <v>237240</v>
      </c>
      <c r="E51" s="6">
        <f>SUM(B37,B38)</f>
        <v>140800</v>
      </c>
      <c r="F51" s="6">
        <f>SUM(C37,C38)</f>
        <v>190000</v>
      </c>
      <c r="G51" s="6">
        <f>SUM(D37,D38)</f>
        <v>237240</v>
      </c>
    </row>
    <row r="54" spans="1:13">
      <c r="A54" s="56"/>
      <c r="B54" s="59" t="s">
        <v>45</v>
      </c>
      <c r="C54" s="59"/>
      <c r="D54" s="59"/>
      <c r="E54" s="59"/>
      <c r="F54" s="59"/>
      <c r="G54" s="59"/>
      <c r="H54" s="59" t="s">
        <v>46</v>
      </c>
      <c r="I54" s="59"/>
      <c r="J54" s="59"/>
      <c r="K54" s="59"/>
      <c r="L54" s="59"/>
      <c r="M54" s="59"/>
    </row>
    <row r="55" spans="1:13">
      <c r="A55" s="57"/>
      <c r="B55" s="59" t="s">
        <v>2</v>
      </c>
      <c r="C55" s="59"/>
      <c r="D55" s="59"/>
      <c r="E55" s="59" t="s">
        <v>3</v>
      </c>
      <c r="F55" s="59"/>
      <c r="G55" s="59"/>
      <c r="H55" s="59" t="s">
        <v>2</v>
      </c>
      <c r="I55" s="59"/>
      <c r="J55" s="59"/>
      <c r="K55" s="59" t="s">
        <v>3</v>
      </c>
      <c r="L55" s="59"/>
      <c r="M55" s="59"/>
    </row>
    <row r="56" spans="1:13">
      <c r="A56" s="58"/>
      <c r="B56" s="4">
        <v>2021</v>
      </c>
      <c r="C56" s="4">
        <v>2022</v>
      </c>
      <c r="D56" s="4">
        <v>2023</v>
      </c>
      <c r="E56" s="4">
        <v>2021</v>
      </c>
      <c r="F56" s="4">
        <v>2022</v>
      </c>
      <c r="G56" s="4">
        <v>2023</v>
      </c>
      <c r="H56" s="4">
        <v>2021</v>
      </c>
      <c r="I56" s="4">
        <v>2022</v>
      </c>
      <c r="J56" s="4">
        <v>2023</v>
      </c>
      <c r="K56" s="4">
        <v>2021</v>
      </c>
      <c r="L56" s="4">
        <v>2022</v>
      </c>
      <c r="M56" s="4">
        <v>2023</v>
      </c>
    </row>
    <row r="57" spans="1:13">
      <c r="A57" s="3" t="s">
        <v>47</v>
      </c>
      <c r="B57" s="6">
        <f>SUM(B20)</f>
        <v>67</v>
      </c>
      <c r="C57" s="6">
        <f>SUM(C20)</f>
        <v>82.7</v>
      </c>
      <c r="D57" s="6">
        <f>SUM(D20)</f>
        <v>93.785000000000011</v>
      </c>
      <c r="E57" s="6">
        <f>SUM(B21)</f>
        <v>91</v>
      </c>
      <c r="F57" s="6">
        <f>SUM(C21)</f>
        <v>111</v>
      </c>
      <c r="G57" s="6">
        <f>SUM(D21)</f>
        <v>125.00999999999999</v>
      </c>
      <c r="H57" s="6">
        <f>SUM(B20)</f>
        <v>67</v>
      </c>
      <c r="I57" s="6">
        <f>SUM(C20)</f>
        <v>82.7</v>
      </c>
      <c r="J57" s="6">
        <f>SUM(D20)</f>
        <v>93.785000000000011</v>
      </c>
      <c r="K57" s="6">
        <f>SUM(B21)</f>
        <v>91</v>
      </c>
      <c r="L57" s="6">
        <f>SUM(C21)</f>
        <v>111</v>
      </c>
      <c r="M57" s="6">
        <f>SUM(D21)</f>
        <v>125.00999999999999</v>
      </c>
    </row>
    <row r="58" spans="1:13">
      <c r="A58" s="3" t="s">
        <v>48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>
      <c r="A59" s="3" t="s">
        <v>49</v>
      </c>
      <c r="B59" s="6">
        <f t="shared" ref="B59:M59" si="11">SUM(B57,B58)</f>
        <v>67</v>
      </c>
      <c r="C59" s="6">
        <f t="shared" si="11"/>
        <v>82.7</v>
      </c>
      <c r="D59" s="6">
        <f t="shared" si="11"/>
        <v>93.785000000000011</v>
      </c>
      <c r="E59" s="6">
        <f t="shared" si="11"/>
        <v>91</v>
      </c>
      <c r="F59" s="6">
        <f t="shared" si="11"/>
        <v>111</v>
      </c>
      <c r="G59" s="6">
        <f t="shared" si="11"/>
        <v>125.00999999999999</v>
      </c>
      <c r="H59" s="6">
        <f t="shared" si="11"/>
        <v>67</v>
      </c>
      <c r="I59" s="6">
        <f t="shared" si="11"/>
        <v>82.7</v>
      </c>
      <c r="J59" s="6">
        <f t="shared" si="11"/>
        <v>93.785000000000011</v>
      </c>
      <c r="K59" s="6">
        <f t="shared" si="11"/>
        <v>91</v>
      </c>
      <c r="L59" s="6">
        <f t="shared" si="11"/>
        <v>111</v>
      </c>
      <c r="M59" s="6">
        <f t="shared" si="11"/>
        <v>125.00999999999999</v>
      </c>
    </row>
    <row r="60" spans="1:13">
      <c r="A60" s="3" t="s">
        <v>50</v>
      </c>
      <c r="B60" s="6">
        <f t="shared" ref="B60:G60" si="12">SUM(F33/B45)</f>
        <v>43.113682941531039</v>
      </c>
      <c r="C60" s="6">
        <f t="shared" si="12"/>
        <v>35.859020063721687</v>
      </c>
      <c r="D60" s="6">
        <f t="shared" si="12"/>
        <v>32.067678463790578</v>
      </c>
      <c r="E60" s="6">
        <f t="shared" si="12"/>
        <v>104.6423034330011</v>
      </c>
      <c r="F60" s="6">
        <f t="shared" si="12"/>
        <v>94.492886958003254</v>
      </c>
      <c r="G60" s="6">
        <f t="shared" si="12"/>
        <v>89.730780847059918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</row>
    <row r="61" spans="1:13">
      <c r="A61" s="3" t="s">
        <v>51</v>
      </c>
      <c r="B61" s="6">
        <f t="shared" ref="B61:M61" si="13">SUM(B59,B60)</f>
        <v>110.11368294153104</v>
      </c>
      <c r="C61" s="6">
        <f t="shared" si="13"/>
        <v>118.55902006372169</v>
      </c>
      <c r="D61" s="6">
        <f t="shared" si="13"/>
        <v>125.8526784637906</v>
      </c>
      <c r="E61" s="6">
        <f t="shared" si="13"/>
        <v>195.6423034330011</v>
      </c>
      <c r="F61" s="6">
        <f t="shared" si="13"/>
        <v>205.49288695800325</v>
      </c>
      <c r="G61" s="6">
        <f t="shared" si="13"/>
        <v>214.74078084705991</v>
      </c>
      <c r="H61" s="6">
        <f t="shared" si="13"/>
        <v>67</v>
      </c>
      <c r="I61" s="6">
        <f t="shared" si="13"/>
        <v>82.7</v>
      </c>
      <c r="J61" s="6">
        <f t="shared" si="13"/>
        <v>93.785000000000011</v>
      </c>
      <c r="K61" s="6">
        <f t="shared" si="13"/>
        <v>91</v>
      </c>
      <c r="L61" s="6">
        <f t="shared" si="13"/>
        <v>111</v>
      </c>
      <c r="M61" s="6">
        <f t="shared" si="13"/>
        <v>125.00999999999999</v>
      </c>
    </row>
    <row r="63" spans="1:13" ht="15" thickBot="1"/>
    <row r="64" spans="1:13" ht="37.15" thickBot="1">
      <c r="A64" s="49" t="s">
        <v>52</v>
      </c>
      <c r="B64" s="50"/>
      <c r="C64" s="50"/>
      <c r="D64" s="50"/>
      <c r="E64" s="50"/>
      <c r="F64" s="50"/>
      <c r="G64" s="50"/>
      <c r="H64" s="50"/>
      <c r="I64" s="51"/>
    </row>
    <row r="66" spans="1:9" ht="15" thickBot="1"/>
    <row r="67" spans="1:9">
      <c r="A67" s="35" t="s">
        <v>45</v>
      </c>
      <c r="B67" s="54">
        <v>2021</v>
      </c>
      <c r="C67" s="55"/>
      <c r="D67" s="54">
        <v>2022</v>
      </c>
      <c r="E67" s="55"/>
      <c r="F67" s="54">
        <v>2023</v>
      </c>
      <c r="G67" s="55"/>
      <c r="H67" s="54" t="s">
        <v>53</v>
      </c>
      <c r="I67" s="55"/>
    </row>
    <row r="68" spans="1:9">
      <c r="A68" s="38" t="s">
        <v>6</v>
      </c>
      <c r="B68" s="52">
        <f>SUM(B8,E8)</f>
        <v>3739000</v>
      </c>
      <c r="C68" s="53"/>
      <c r="D68" s="52">
        <f>SUM(C8,F8)</f>
        <v>6210570</v>
      </c>
      <c r="E68" s="53"/>
      <c r="F68" s="52">
        <f>SUM(D8,G8)</f>
        <v>7967364.8999999994</v>
      </c>
      <c r="G68" s="53"/>
      <c r="H68" s="52">
        <f>SUM(B68:G68)</f>
        <v>17916934.899999999</v>
      </c>
      <c r="I68" s="53"/>
    </row>
    <row r="69" spans="1:9">
      <c r="A69" s="38" t="s">
        <v>54</v>
      </c>
      <c r="B69" s="52"/>
      <c r="C69" s="53"/>
      <c r="D69" s="52"/>
      <c r="E69" s="53"/>
      <c r="F69" s="52"/>
      <c r="G69" s="53"/>
      <c r="H69" s="52"/>
      <c r="I69" s="53"/>
    </row>
    <row r="70" spans="1:9">
      <c r="A70" s="38" t="s">
        <v>55</v>
      </c>
      <c r="B70" s="16">
        <v>0</v>
      </c>
      <c r="C70" s="17"/>
      <c r="D70" s="16">
        <f>SUM(B73)</f>
        <v>855580</v>
      </c>
      <c r="E70" s="17"/>
      <c r="F70" s="16">
        <f>D73</f>
        <v>1229984</v>
      </c>
      <c r="G70" s="17"/>
      <c r="H70" s="16">
        <f>SUM(B70:G70)</f>
        <v>2085564</v>
      </c>
      <c r="I70" s="17"/>
    </row>
    <row r="71" spans="1:9">
      <c r="A71" s="38" t="s">
        <v>56</v>
      </c>
      <c r="B71" s="16">
        <f>SUM(B45*B61,E45*E61)</f>
        <v>4277900</v>
      </c>
      <c r="C71" s="17"/>
      <c r="D71" s="16">
        <f>SUM(C45*B61,F45*F61)</f>
        <v>5916406.4285714291</v>
      </c>
      <c r="E71" s="17"/>
      <c r="F71" s="16">
        <f>SUM(D45*D61,G45*G61)</f>
        <v>7476894.5250000004</v>
      </c>
      <c r="G71" s="17"/>
      <c r="H71" s="16">
        <f>SUM(B71:G71)</f>
        <v>17671200.953571431</v>
      </c>
      <c r="I71" s="17"/>
    </row>
    <row r="72" spans="1:9">
      <c r="A72" s="38" t="s">
        <v>57</v>
      </c>
      <c r="B72" s="16">
        <f>SUM(B70,B71)</f>
        <v>4277900</v>
      </c>
      <c r="C72" s="17"/>
      <c r="D72" s="16">
        <f>SUM(D70,D71)</f>
        <v>6771986.4285714291</v>
      </c>
      <c r="E72" s="17"/>
      <c r="F72" s="16">
        <f>SUM(F70,F71)</f>
        <v>8706878.5250000004</v>
      </c>
      <c r="G72" s="17"/>
      <c r="H72" s="16">
        <f>SUM(B72:G72)</f>
        <v>19756764.953571431</v>
      </c>
      <c r="I72" s="17"/>
    </row>
    <row r="73" spans="1:9">
      <c r="A73" s="38" t="s">
        <v>58</v>
      </c>
      <c r="B73" s="16">
        <f>SUM(B9*B61,E9*E61)</f>
        <v>855580</v>
      </c>
      <c r="C73" s="17"/>
      <c r="D73" s="16">
        <f>SUM(C9*C61,F9*F61)</f>
        <v>1229984</v>
      </c>
      <c r="E73" s="17"/>
      <c r="F73" s="16">
        <f>SUM(D9*D61,G9*G61)</f>
        <v>1495378.905</v>
      </c>
      <c r="G73" s="17"/>
      <c r="H73" s="16">
        <f>SUM(B73:G73)</f>
        <v>3580942.9050000003</v>
      </c>
      <c r="I73" s="17"/>
    </row>
    <row r="74" spans="1:9">
      <c r="A74" s="38" t="s">
        <v>59</v>
      </c>
      <c r="B74" s="39"/>
      <c r="C74" s="17">
        <f>B72-B73</f>
        <v>3422320</v>
      </c>
      <c r="D74" s="39"/>
      <c r="E74" s="17">
        <f>D72-D73</f>
        <v>5542002.4285714291</v>
      </c>
      <c r="F74" s="39"/>
      <c r="G74" s="17">
        <f>F72-F73</f>
        <v>7211499.6200000001</v>
      </c>
      <c r="H74" s="39"/>
      <c r="I74" s="17">
        <f>SUM(C74:G74)</f>
        <v>16175822.04857143</v>
      </c>
    </row>
    <row r="75" spans="1:9">
      <c r="A75" s="38" t="s">
        <v>60</v>
      </c>
      <c r="B75" s="39"/>
      <c r="C75" s="17">
        <f>B68-C74</f>
        <v>316680</v>
      </c>
      <c r="D75" s="39"/>
      <c r="E75" s="17">
        <f>D68-E74</f>
        <v>668567.5714285709</v>
      </c>
      <c r="F75" s="39"/>
      <c r="G75" s="17">
        <f>F68-G74</f>
        <v>755865.27999999933</v>
      </c>
      <c r="H75" s="39"/>
      <c r="I75" s="17">
        <f>SUM(C75:G75)</f>
        <v>1741112.8514285702</v>
      </c>
    </row>
    <row r="76" spans="1:9">
      <c r="A76" s="38" t="s">
        <v>61</v>
      </c>
      <c r="B76" s="39"/>
      <c r="C76" s="17">
        <f>SUM(B51,E51,B6*B39,E6*B40)</f>
        <v>284270</v>
      </c>
      <c r="D76" s="39"/>
      <c r="E76" s="17">
        <f>SUM(C51,F51,C6*B39,F6*B40)</f>
        <v>383660.60000000003</v>
      </c>
      <c r="F76" s="39"/>
      <c r="G76" s="17">
        <f>SUM(D51,G51,D6*B39,G6*C39)</f>
        <v>477665.28000000003</v>
      </c>
      <c r="H76" s="44"/>
      <c r="I76" s="17">
        <f>SUM(C76:G76)</f>
        <v>1145595.8800000001</v>
      </c>
    </row>
    <row r="77" spans="1:9" ht="15" thickBot="1">
      <c r="A77" s="38" t="s">
        <v>62</v>
      </c>
      <c r="B77" s="19"/>
      <c r="C77" s="21">
        <f>C75-C76</f>
        <v>32410</v>
      </c>
      <c r="D77" s="19"/>
      <c r="E77" s="21">
        <f>E75-E76</f>
        <v>284906.97142857086</v>
      </c>
      <c r="F77" s="19"/>
      <c r="G77" s="21">
        <f>G75-G76</f>
        <v>278199.9999999993</v>
      </c>
      <c r="H77" s="40"/>
      <c r="I77" s="21">
        <f>SUM(I75:I76)</f>
        <v>2886708.7314285701</v>
      </c>
    </row>
    <row r="79" spans="1:9" ht="15" thickBot="1"/>
    <row r="80" spans="1:9">
      <c r="A80" s="37" t="s">
        <v>46</v>
      </c>
      <c r="B80" s="45">
        <v>2021</v>
      </c>
      <c r="C80" s="46"/>
      <c r="D80" s="45">
        <v>2022</v>
      </c>
      <c r="E80" s="46"/>
      <c r="F80" s="45">
        <v>2023</v>
      </c>
      <c r="G80" s="46"/>
      <c r="H80" s="45" t="s">
        <v>53</v>
      </c>
      <c r="I80" s="46"/>
    </row>
    <row r="81" spans="1:18">
      <c r="A81" s="38" t="s">
        <v>6</v>
      </c>
      <c r="B81" s="47">
        <f>SUM(B8,E8)</f>
        <v>3739000</v>
      </c>
      <c r="C81" s="48"/>
      <c r="D81" s="47">
        <f>SUM(C8,F8)</f>
        <v>6210570</v>
      </c>
      <c r="E81" s="48"/>
      <c r="F81" s="47">
        <f>SUM(D8,G8)</f>
        <v>7967364.8999999994</v>
      </c>
      <c r="G81" s="48"/>
      <c r="H81" s="47">
        <f>SUM(B81:G81)</f>
        <v>17916934.899999999</v>
      </c>
      <c r="I81" s="48"/>
    </row>
    <row r="82" spans="1:18">
      <c r="A82" s="38" t="s">
        <v>63</v>
      </c>
      <c r="B82" s="47"/>
      <c r="C82" s="48"/>
      <c r="D82" s="47"/>
      <c r="E82" s="48"/>
      <c r="F82" s="47"/>
      <c r="G82" s="48"/>
      <c r="H82" s="47"/>
      <c r="I82" s="48"/>
    </row>
    <row r="83" spans="1:18">
      <c r="A83" s="38" t="s">
        <v>64</v>
      </c>
      <c r="B83" s="47"/>
      <c r="C83" s="48"/>
      <c r="D83" s="47"/>
      <c r="E83" s="48"/>
      <c r="F83" s="47"/>
      <c r="G83" s="48"/>
      <c r="H83" s="47"/>
      <c r="I83" s="48"/>
    </row>
    <row r="84" spans="1:18">
      <c r="A84" s="38" t="s">
        <v>65</v>
      </c>
      <c r="B84" s="16">
        <v>0</v>
      </c>
      <c r="C84" s="17"/>
      <c r="D84" s="16">
        <f>B87</f>
        <v>460300</v>
      </c>
      <c r="E84" s="17"/>
      <c r="F84" s="16">
        <f>D87</f>
        <v>767576</v>
      </c>
      <c r="G84" s="17"/>
      <c r="H84" s="16">
        <f>SUM(B84:G84)</f>
        <v>1227876</v>
      </c>
      <c r="I84" s="17"/>
    </row>
    <row r="85" spans="1:18">
      <c r="A85" s="38" t="s">
        <v>66</v>
      </c>
      <c r="B85" s="16">
        <f>SUM(B10*H59,E10*K59)</f>
        <v>2301500</v>
      </c>
      <c r="C85" s="17"/>
      <c r="D85" s="16">
        <f>SUM(C10*I59,F10*L59)</f>
        <v>3837880</v>
      </c>
      <c r="E85" s="17"/>
      <c r="F85" s="16">
        <f>SUM(D10*J59,G10*M59)</f>
        <v>5033502.5250000004</v>
      </c>
      <c r="G85" s="17"/>
      <c r="H85" s="16">
        <f>SUM(B85:G85)</f>
        <v>11172882.525</v>
      </c>
      <c r="I85" s="17"/>
    </row>
    <row r="86" spans="1:18">
      <c r="A86" s="38" t="s">
        <v>67</v>
      </c>
      <c r="B86" s="16">
        <f>SUM(B84:B85)</f>
        <v>2301500</v>
      </c>
      <c r="C86" s="17"/>
      <c r="D86" s="16">
        <f>SUM(D84:D85)</f>
        <v>4298180</v>
      </c>
      <c r="E86" s="17"/>
      <c r="F86" s="16">
        <f>SUM(F84:F85)</f>
        <v>5801078.5250000004</v>
      </c>
      <c r="G86" s="17"/>
      <c r="H86" s="16">
        <f>SUM(B86:G86)</f>
        <v>12400758.525</v>
      </c>
      <c r="I86" s="17"/>
    </row>
    <row r="87" spans="1:18">
      <c r="A87" s="38" t="s">
        <v>68</v>
      </c>
      <c r="B87" s="16">
        <f>SUM(B9*H59,E9*K59)</f>
        <v>460300</v>
      </c>
      <c r="C87" s="17"/>
      <c r="D87" s="16">
        <f>SUM(C9*I59,F9*L59)</f>
        <v>767576</v>
      </c>
      <c r="E87" s="17"/>
      <c r="F87" s="16">
        <f>SUM(D9*J59,G9*M59)</f>
        <v>1006700.5050000001</v>
      </c>
      <c r="G87" s="17"/>
      <c r="H87" s="16">
        <f>SUM(B87:G87)</f>
        <v>2234576.5049999999</v>
      </c>
      <c r="I87" s="17"/>
    </row>
    <row r="88" spans="1:18">
      <c r="A88" s="38" t="s">
        <v>69</v>
      </c>
      <c r="B88" s="39"/>
      <c r="C88" s="17">
        <f>B86-B87</f>
        <v>1841200</v>
      </c>
      <c r="D88" s="39"/>
      <c r="E88" s="17">
        <f>D85-D87</f>
        <v>3070304</v>
      </c>
      <c r="F88" s="39"/>
      <c r="G88" s="17">
        <f>F86-F87</f>
        <v>4794378.0200000005</v>
      </c>
      <c r="H88" s="39"/>
      <c r="I88" s="17">
        <f>SUM(B88:G88)</f>
        <v>9705882.0199999996</v>
      </c>
    </row>
    <row r="89" spans="1:18">
      <c r="A89" s="38" t="s">
        <v>70</v>
      </c>
      <c r="B89" s="16">
        <f>SUM(B6*B50,E6*E50)</f>
        <v>409979.99999999994</v>
      </c>
      <c r="C89" s="17"/>
      <c r="D89" s="16">
        <f>SUM(C6*C50,F6*F50)</f>
        <v>682380.9</v>
      </c>
      <c r="E89" s="17"/>
      <c r="F89" s="16">
        <f>SUM(D6*D50,G6*G50)</f>
        <v>879989.91299999994</v>
      </c>
      <c r="G89" s="17"/>
      <c r="H89" s="16">
        <f>SUM(B89:G89)</f>
        <v>1972350.8129999998</v>
      </c>
      <c r="I89" s="17"/>
    </row>
    <row r="90" spans="1:18">
      <c r="A90" s="38" t="s">
        <v>71</v>
      </c>
      <c r="B90" s="39"/>
      <c r="C90" s="17">
        <f>C88+B89</f>
        <v>2251180</v>
      </c>
      <c r="D90" s="39"/>
      <c r="E90" s="17">
        <f>E88+D89</f>
        <v>3752684.9</v>
      </c>
      <c r="F90" s="39"/>
      <c r="G90" s="17">
        <f>G88+F89</f>
        <v>5674367.9330000002</v>
      </c>
      <c r="H90" s="39"/>
      <c r="I90" s="17">
        <f>SUM(B90:G90)</f>
        <v>11678232.833000001</v>
      </c>
    </row>
    <row r="91" spans="1:18">
      <c r="A91" s="38" t="s">
        <v>72</v>
      </c>
      <c r="B91" s="16"/>
      <c r="C91" s="17">
        <f>B81-C90</f>
        <v>1487820</v>
      </c>
      <c r="D91" s="16"/>
      <c r="E91" s="17">
        <f>D81-E90</f>
        <v>2457885.1</v>
      </c>
      <c r="F91" s="16"/>
      <c r="G91" s="17">
        <f>F81-G90</f>
        <v>2292996.9669999992</v>
      </c>
      <c r="H91" s="16"/>
      <c r="I91" s="17">
        <f>SUM(B91:G91)</f>
        <v>6238702.0669999998</v>
      </c>
    </row>
    <row r="92" spans="1:18">
      <c r="A92" s="38" t="s">
        <v>73</v>
      </c>
      <c r="B92" s="47"/>
      <c r="C92" s="48"/>
      <c r="D92" s="47"/>
      <c r="E92" s="48"/>
      <c r="F92" s="47"/>
      <c r="G92" s="48"/>
      <c r="H92" s="47"/>
      <c r="I92" s="48"/>
    </row>
    <row r="93" spans="1:18">
      <c r="A93" s="38" t="s">
        <v>74</v>
      </c>
      <c r="B93" s="39"/>
      <c r="C93" s="17">
        <f>C33</f>
        <v>1976400</v>
      </c>
      <c r="D93" s="39"/>
      <c r="E93" s="17">
        <f>D33</f>
        <v>2312040</v>
      </c>
      <c r="F93" s="39"/>
      <c r="G93" s="17">
        <f>E33</f>
        <v>2485392</v>
      </c>
      <c r="H93" s="39"/>
      <c r="I93" s="17">
        <f>SUM(B93:G93)</f>
        <v>6773832</v>
      </c>
    </row>
    <row r="94" spans="1:18">
      <c r="A94" s="38" t="s">
        <v>75</v>
      </c>
      <c r="B94" s="39"/>
      <c r="C94" s="17">
        <f>B51+E51</f>
        <v>281600</v>
      </c>
      <c r="D94" s="39"/>
      <c r="E94" s="17">
        <f>C51+F51</f>
        <v>380000</v>
      </c>
      <c r="F94" s="39"/>
      <c r="G94" s="17">
        <f>D51+G51</f>
        <v>474480</v>
      </c>
      <c r="H94" s="39"/>
      <c r="I94" s="17">
        <f>SUM(B94:G94)</f>
        <v>1136080</v>
      </c>
    </row>
    <row r="95" spans="1:18" ht="15" thickBot="1">
      <c r="A95" s="38" t="s">
        <v>62</v>
      </c>
      <c r="B95" s="19"/>
      <c r="C95" s="21">
        <f>C91-C93-C94</f>
        <v>-770180</v>
      </c>
      <c r="D95" s="19"/>
      <c r="E95" s="21">
        <f>E91-E93-E94</f>
        <v>-234154.89999999991</v>
      </c>
      <c r="F95" s="19"/>
      <c r="G95" s="21">
        <f>G91-G93-G94</f>
        <v>-666875.03300000075</v>
      </c>
      <c r="H95" s="40"/>
      <c r="I95" s="21">
        <f>I91-I93-I94</f>
        <v>-1671209.9330000002</v>
      </c>
    </row>
    <row r="96" spans="1:18">
      <c r="K96" s="41"/>
      <c r="L96" s="41"/>
      <c r="M96" s="41"/>
      <c r="N96" s="41"/>
      <c r="O96" s="41"/>
      <c r="P96" s="41"/>
      <c r="Q96" s="41"/>
      <c r="R96" s="41"/>
    </row>
    <row r="97" spans="1:11" ht="15" thickBot="1"/>
    <row r="98" spans="1:11" ht="37.15" thickBot="1">
      <c r="A98" s="49" t="s">
        <v>76</v>
      </c>
      <c r="B98" s="50"/>
      <c r="C98" s="50"/>
      <c r="D98" s="50"/>
      <c r="E98" s="50"/>
      <c r="F98" s="50"/>
      <c r="G98" s="50"/>
      <c r="H98" s="50"/>
      <c r="I98" s="51"/>
    </row>
    <row r="100" spans="1:11" ht="15" thickBot="1"/>
    <row r="101" spans="1:11">
      <c r="A101" s="35" t="s">
        <v>45</v>
      </c>
      <c r="B101" s="45">
        <v>2021</v>
      </c>
      <c r="C101" s="46"/>
      <c r="D101" s="45">
        <v>2022</v>
      </c>
      <c r="E101" s="46"/>
      <c r="F101" s="45">
        <v>2023</v>
      </c>
      <c r="G101" s="46"/>
      <c r="H101" s="45" t="s">
        <v>53</v>
      </c>
      <c r="I101" s="46"/>
    </row>
    <row r="102" spans="1:11">
      <c r="A102" s="38" t="s">
        <v>6</v>
      </c>
      <c r="B102" s="47">
        <f>SUM(B8,E8)</f>
        <v>3739000</v>
      </c>
      <c r="C102" s="48"/>
      <c r="D102" s="47">
        <f>SUM(C8,F8)</f>
        <v>6210570</v>
      </c>
      <c r="E102" s="48"/>
      <c r="F102" s="47">
        <f>SUM(D8,G8)</f>
        <v>7967364.8999999994</v>
      </c>
      <c r="G102" s="48"/>
      <c r="H102" s="47">
        <f>SUM(B102:G102)</f>
        <v>17916934.899999999</v>
      </c>
      <c r="I102" s="48"/>
    </row>
    <row r="103" spans="1:11">
      <c r="A103" s="38" t="s">
        <v>54</v>
      </c>
      <c r="B103" s="47"/>
      <c r="C103" s="48"/>
      <c r="D103" s="47"/>
      <c r="E103" s="48"/>
      <c r="F103" s="47"/>
      <c r="G103" s="48"/>
      <c r="H103" s="47"/>
      <c r="I103" s="48"/>
    </row>
    <row r="104" spans="1:11">
      <c r="A104" s="38" t="s">
        <v>55</v>
      </c>
      <c r="B104" s="16">
        <v>0</v>
      </c>
      <c r="C104" s="17"/>
      <c r="D104" s="16">
        <f>SUM(B107)</f>
        <v>855580</v>
      </c>
      <c r="E104" s="17"/>
      <c r="F104" s="16">
        <f>SUM(D107)</f>
        <v>1229984</v>
      </c>
      <c r="G104" s="17"/>
      <c r="H104" s="16">
        <f>SUM(C104:G104)</f>
        <v>2085564</v>
      </c>
      <c r="I104" s="17"/>
    </row>
    <row r="105" spans="1:11">
      <c r="A105" s="38" t="s">
        <v>56</v>
      </c>
      <c r="B105" s="16">
        <f>SUM(B45*B61,E45*E61)</f>
        <v>4277900</v>
      </c>
      <c r="C105" s="17"/>
      <c r="D105" s="16">
        <f>SUM(C45*B61,F45*F61)</f>
        <v>5916406.4285714291</v>
      </c>
      <c r="E105" s="17"/>
      <c r="F105" s="16">
        <f>SUM(D45*D61,G45*G61)</f>
        <v>7476894.5250000004</v>
      </c>
      <c r="G105" s="17"/>
      <c r="H105" s="16">
        <f>SUM(B105:G105)</f>
        <v>17671200.953571431</v>
      </c>
      <c r="I105" s="17"/>
    </row>
    <row r="106" spans="1:11">
      <c r="A106" s="38" t="s">
        <v>57</v>
      </c>
      <c r="B106" s="16">
        <f>SUM(B104:B105)</f>
        <v>4277900</v>
      </c>
      <c r="C106" s="17"/>
      <c r="D106" s="16">
        <f>SUM(D104:D105)</f>
        <v>6771986.4285714291</v>
      </c>
      <c r="E106" s="17"/>
      <c r="F106" s="16">
        <f>SUM(F104:F105)</f>
        <v>8706878.5250000004</v>
      </c>
      <c r="G106" s="17"/>
      <c r="H106" s="16">
        <f>SUM(B106:G106)</f>
        <v>19756764.953571431</v>
      </c>
      <c r="I106" s="17"/>
    </row>
    <row r="107" spans="1:11">
      <c r="A107" s="38" t="s">
        <v>58</v>
      </c>
      <c r="B107" s="16">
        <f>SUM(B9*B61,E9*E61)</f>
        <v>855580</v>
      </c>
      <c r="C107" s="17"/>
      <c r="D107" s="16">
        <f>SUM(C9*C61,F9*F61)</f>
        <v>1229984</v>
      </c>
      <c r="E107" s="17"/>
      <c r="F107" s="16">
        <v>0</v>
      </c>
      <c r="G107" s="17"/>
      <c r="H107" s="16">
        <f>SUM(B107:G107)</f>
        <v>2085564</v>
      </c>
      <c r="I107" s="17"/>
    </row>
    <row r="108" spans="1:11">
      <c r="A108" s="38" t="s">
        <v>59</v>
      </c>
      <c r="B108" s="39"/>
      <c r="C108" s="17">
        <f>B106-B107</f>
        <v>3422320</v>
      </c>
      <c r="D108" s="39"/>
      <c r="E108" s="17">
        <f>D106-D107</f>
        <v>5542002.4285714291</v>
      </c>
      <c r="F108" s="39"/>
      <c r="G108" s="17">
        <f>F106-F107</f>
        <v>8706878.5250000004</v>
      </c>
      <c r="H108" s="39"/>
      <c r="I108" s="17">
        <f>SUM(B108:G108)</f>
        <v>17671200.953571431</v>
      </c>
      <c r="K108" s="2"/>
    </row>
    <row r="109" spans="1:11">
      <c r="A109" s="38" t="s">
        <v>60</v>
      </c>
      <c r="B109" s="39"/>
      <c r="C109" s="17">
        <f>B102-C108</f>
        <v>316680</v>
      </c>
      <c r="D109" s="39"/>
      <c r="E109" s="17">
        <f>D102-E108</f>
        <v>668567.5714285709</v>
      </c>
      <c r="F109" s="39"/>
      <c r="G109" s="17">
        <f>F102-G108</f>
        <v>-739513.62500000093</v>
      </c>
      <c r="H109" s="39"/>
      <c r="I109" s="17">
        <f>SUM(B109:G109)</f>
        <v>245733.94642856997</v>
      </c>
    </row>
    <row r="110" spans="1:11">
      <c r="A110" s="38" t="s">
        <v>61</v>
      </c>
      <c r="B110" s="39"/>
      <c r="C110" s="17">
        <f>SUM(B51,E51,B6*B39,E6*B40)</f>
        <v>284270</v>
      </c>
      <c r="D110" s="39"/>
      <c r="E110" s="17">
        <f>SUM(C51,F51,C6*B39,F6*B40)</f>
        <v>383660.60000000003</v>
      </c>
      <c r="F110" s="39"/>
      <c r="G110" s="17">
        <f>SUM(D51,G51,D6*B39,G6*C39)</f>
        <v>477665.28000000003</v>
      </c>
      <c r="H110" s="39"/>
      <c r="I110" s="17">
        <f>SUM(B110:G110)</f>
        <v>1145595.8800000001</v>
      </c>
    </row>
    <row r="111" spans="1:11" ht="15" thickBot="1">
      <c r="A111" s="38" t="s">
        <v>62</v>
      </c>
      <c r="B111" s="19"/>
      <c r="C111" s="21">
        <f>C109-C110</f>
        <v>32410</v>
      </c>
      <c r="D111" s="19"/>
      <c r="E111" s="21">
        <f>E109-E110</f>
        <v>284906.97142857086</v>
      </c>
      <c r="F111" s="19"/>
      <c r="G111" s="21">
        <f>G109-G110</f>
        <v>-1217178.905000001</v>
      </c>
      <c r="H111" s="19"/>
      <c r="I111" s="21">
        <f>SUM(B111:G111)</f>
        <v>-899861.93357143016</v>
      </c>
    </row>
    <row r="113" spans="1:9" ht="15" thickBot="1"/>
    <row r="114" spans="1:9">
      <c r="A114" s="37" t="s">
        <v>46</v>
      </c>
      <c r="B114" s="45">
        <v>2021</v>
      </c>
      <c r="C114" s="46"/>
      <c r="D114" s="45">
        <v>2022</v>
      </c>
      <c r="E114" s="46"/>
      <c r="F114" s="45">
        <v>2023</v>
      </c>
      <c r="G114" s="46"/>
      <c r="H114" s="45" t="s">
        <v>53</v>
      </c>
      <c r="I114" s="46"/>
    </row>
    <row r="115" spans="1:9">
      <c r="A115" s="38" t="s">
        <v>6</v>
      </c>
      <c r="B115" s="47">
        <f>SUM(B8,E8)</f>
        <v>3739000</v>
      </c>
      <c r="C115" s="48"/>
      <c r="D115" s="47">
        <f>SUM(C8,F8)</f>
        <v>6210570</v>
      </c>
      <c r="E115" s="48"/>
      <c r="F115" s="47">
        <f>SUM(D8,G8)</f>
        <v>7967364.8999999994</v>
      </c>
      <c r="G115" s="48"/>
      <c r="H115" s="47">
        <f t="shared" ref="H115" si="14">SUM(B115:G115)</f>
        <v>17916934.899999999</v>
      </c>
      <c r="I115" s="48"/>
    </row>
    <row r="116" spans="1:9">
      <c r="A116" s="38" t="s">
        <v>63</v>
      </c>
      <c r="B116" s="42"/>
      <c r="C116" s="43"/>
      <c r="D116" s="42"/>
      <c r="E116" s="43"/>
      <c r="F116" s="42"/>
      <c r="G116" s="43"/>
      <c r="H116" s="47"/>
      <c r="I116" s="48"/>
    </row>
    <row r="117" spans="1:9">
      <c r="A117" s="38" t="s">
        <v>64</v>
      </c>
      <c r="B117" s="42"/>
      <c r="C117" s="43"/>
      <c r="D117" s="42"/>
      <c r="E117" s="43"/>
      <c r="F117" s="42"/>
      <c r="G117" s="43"/>
      <c r="H117" s="47"/>
      <c r="I117" s="48"/>
    </row>
    <row r="118" spans="1:9">
      <c r="A118" s="38" t="s">
        <v>65</v>
      </c>
      <c r="B118" s="16">
        <v>0</v>
      </c>
      <c r="C118" s="17"/>
      <c r="D118" s="16">
        <f>SUM(B121)</f>
        <v>460300</v>
      </c>
      <c r="E118" s="17"/>
      <c r="F118" s="16">
        <f>SUM(D121)</f>
        <v>767576</v>
      </c>
      <c r="G118" s="17"/>
      <c r="H118" s="16">
        <f t="shared" ref="H118:H123" si="15">SUM(A118:F118)</f>
        <v>1227876</v>
      </c>
      <c r="I118" s="17"/>
    </row>
    <row r="119" spans="1:9">
      <c r="A119" s="38" t="s">
        <v>66</v>
      </c>
      <c r="B119" s="16">
        <f>SUM(B10*H59,E10*K59)</f>
        <v>2301500</v>
      </c>
      <c r="C119" s="17"/>
      <c r="D119" s="16">
        <f>SUM(C10*I59,F10*L59)</f>
        <v>3837880</v>
      </c>
      <c r="E119" s="17"/>
      <c r="F119" s="16">
        <f>SUM(D10*J59,G10*M59)</f>
        <v>5033502.5250000004</v>
      </c>
      <c r="G119" s="17"/>
      <c r="H119" s="16">
        <f t="shared" si="15"/>
        <v>11172882.525</v>
      </c>
      <c r="I119" s="17"/>
    </row>
    <row r="120" spans="1:9">
      <c r="A120" s="38" t="s">
        <v>67</v>
      </c>
      <c r="B120" s="16">
        <f>SUM(B118:B119)</f>
        <v>2301500</v>
      </c>
      <c r="C120" s="17"/>
      <c r="D120" s="16">
        <f>SUM(D118:D119)</f>
        <v>4298180</v>
      </c>
      <c r="E120" s="17"/>
      <c r="F120" s="16">
        <f>SUM(F118:F119)</f>
        <v>5801078.5250000004</v>
      </c>
      <c r="G120" s="17"/>
      <c r="H120" s="16">
        <f t="shared" si="15"/>
        <v>12400758.525</v>
      </c>
      <c r="I120" s="17"/>
    </row>
    <row r="121" spans="1:9">
      <c r="A121" s="38" t="s">
        <v>68</v>
      </c>
      <c r="B121" s="16">
        <f>SUM(B9*H59,E9*K59)</f>
        <v>460300</v>
      </c>
      <c r="C121" s="17"/>
      <c r="D121" s="16">
        <f>SUM(C9*I59,F9*L59)</f>
        <v>767576</v>
      </c>
      <c r="E121" s="17"/>
      <c r="F121" s="16">
        <v>0</v>
      </c>
      <c r="G121" s="17"/>
      <c r="H121" s="16">
        <f t="shared" si="15"/>
        <v>1227876</v>
      </c>
      <c r="I121" s="17"/>
    </row>
    <row r="122" spans="1:9">
      <c r="A122" s="38" t="s">
        <v>69</v>
      </c>
      <c r="B122" s="16">
        <f>SUM(B119-B121)</f>
        <v>1841200</v>
      </c>
      <c r="C122" s="17"/>
      <c r="D122" s="16">
        <f>SUM(D119-D121)</f>
        <v>3070304</v>
      </c>
      <c r="E122" s="17"/>
      <c r="F122" s="16">
        <f>F120-F121</f>
        <v>5801078.5250000004</v>
      </c>
      <c r="G122" s="17"/>
      <c r="H122" s="16">
        <f t="shared" si="15"/>
        <v>10712582.525</v>
      </c>
      <c r="I122" s="17"/>
    </row>
    <row r="123" spans="1:9">
      <c r="A123" s="38" t="s">
        <v>70</v>
      </c>
      <c r="B123" s="16">
        <f>SUM(B6*B50,E6*E50)</f>
        <v>409979.99999999994</v>
      </c>
      <c r="C123" s="17"/>
      <c r="D123" s="16">
        <f>SUM(C6*C50,F6*F50)</f>
        <v>682380.9</v>
      </c>
      <c r="E123" s="17"/>
      <c r="F123" s="16">
        <f>SUM(D6*D50,G6*G50)</f>
        <v>879989.91299999994</v>
      </c>
      <c r="G123" s="17"/>
      <c r="H123" s="16">
        <f t="shared" si="15"/>
        <v>1972350.8129999998</v>
      </c>
      <c r="I123" s="17"/>
    </row>
    <row r="124" spans="1:9">
      <c r="A124" s="38" t="s">
        <v>71</v>
      </c>
      <c r="B124" s="39"/>
      <c r="C124" s="17">
        <f>B122+B123</f>
        <v>2251180</v>
      </c>
      <c r="D124" s="39"/>
      <c r="E124" s="17">
        <f>D122+D123</f>
        <v>3752684.9</v>
      </c>
      <c r="F124" s="39"/>
      <c r="G124" s="17">
        <f>F122+123</f>
        <v>5801201.5250000004</v>
      </c>
      <c r="H124" s="39"/>
      <c r="I124" s="17">
        <f>SUM(B124:G124)</f>
        <v>11805066.425000001</v>
      </c>
    </row>
    <row r="125" spans="1:9">
      <c r="A125" s="38" t="s">
        <v>72</v>
      </c>
      <c r="B125" s="16"/>
      <c r="C125" s="17">
        <f>B115-C124</f>
        <v>1487820</v>
      </c>
      <c r="D125" s="16"/>
      <c r="E125" s="17">
        <f>D115-E124</f>
        <v>2457885.1</v>
      </c>
      <c r="F125" s="16"/>
      <c r="G125" s="17">
        <f>F115-G124</f>
        <v>2166163.3749999991</v>
      </c>
      <c r="H125" s="16"/>
      <c r="I125" s="17">
        <f>SUM(B125:G125)</f>
        <v>6111868.4749999996</v>
      </c>
    </row>
    <row r="126" spans="1:9">
      <c r="A126" s="38" t="s">
        <v>73</v>
      </c>
      <c r="B126" s="42"/>
      <c r="C126" s="43"/>
      <c r="D126" s="42"/>
      <c r="E126" s="43"/>
      <c r="F126" s="42"/>
      <c r="G126" s="43"/>
      <c r="H126" s="47"/>
      <c r="I126" s="48"/>
    </row>
    <row r="127" spans="1:9">
      <c r="A127" s="38" t="s">
        <v>74</v>
      </c>
      <c r="B127" s="39"/>
      <c r="C127" s="17">
        <f>C33</f>
        <v>1976400</v>
      </c>
      <c r="D127" s="39"/>
      <c r="E127" s="17">
        <f>SUM(D33)</f>
        <v>2312040</v>
      </c>
      <c r="F127" s="39"/>
      <c r="G127" s="17">
        <f>E33</f>
        <v>2485392</v>
      </c>
      <c r="H127" s="39"/>
      <c r="I127" s="17">
        <f>SUM(B127:G127)</f>
        <v>6773832</v>
      </c>
    </row>
    <row r="128" spans="1:9">
      <c r="A128" s="38" t="s">
        <v>75</v>
      </c>
      <c r="B128" s="39"/>
      <c r="C128" s="17">
        <f>B51+E51</f>
        <v>281600</v>
      </c>
      <c r="D128" s="39"/>
      <c r="E128" s="17">
        <f>C51+F51</f>
        <v>380000</v>
      </c>
      <c r="F128" s="39"/>
      <c r="G128" s="17">
        <f>D51+G51</f>
        <v>474480</v>
      </c>
      <c r="H128" s="39"/>
      <c r="I128" s="17">
        <f>SUM(B128:G128)</f>
        <v>1136080</v>
      </c>
    </row>
    <row r="129" spans="1:9" ht="15" thickBot="1">
      <c r="A129" s="38" t="s">
        <v>62</v>
      </c>
      <c r="B129" s="19"/>
      <c r="C129" s="21">
        <f>C125-C127-C128</f>
        <v>-770180</v>
      </c>
      <c r="D129" s="19"/>
      <c r="E129" s="21">
        <f>E125-E127-E128</f>
        <v>-234154.89999999991</v>
      </c>
      <c r="F129" s="19"/>
      <c r="G129" s="21">
        <f>G125-G127-G128</f>
        <v>-793708.62500000093</v>
      </c>
      <c r="H129" s="40"/>
      <c r="I129" s="21">
        <f>SUM(B129:G129)</f>
        <v>-1798043.5250000008</v>
      </c>
    </row>
  </sheetData>
  <mergeCells count="77">
    <mergeCell ref="B67:C67"/>
    <mergeCell ref="H68:I68"/>
    <mergeCell ref="F68:G68"/>
    <mergeCell ref="D68:E68"/>
    <mergeCell ref="B68:C68"/>
    <mergeCell ref="I24:K24"/>
    <mergeCell ref="A4:A5"/>
    <mergeCell ref="B4:D4"/>
    <mergeCell ref="E4:G4"/>
    <mergeCell ref="A24:A25"/>
    <mergeCell ref="B24:B25"/>
    <mergeCell ref="C24:E24"/>
    <mergeCell ref="F24:H24"/>
    <mergeCell ref="H54:M54"/>
    <mergeCell ref="B55:D55"/>
    <mergeCell ref="E55:G55"/>
    <mergeCell ref="H55:J55"/>
    <mergeCell ref="K55:M55"/>
    <mergeCell ref="A54:A56"/>
    <mergeCell ref="A43:A44"/>
    <mergeCell ref="B54:G54"/>
    <mergeCell ref="B39:D39"/>
    <mergeCell ref="B40:D40"/>
    <mergeCell ref="B43:D43"/>
    <mergeCell ref="E43:G43"/>
    <mergeCell ref="B81:C81"/>
    <mergeCell ref="D81:E81"/>
    <mergeCell ref="F81:G81"/>
    <mergeCell ref="H81:I81"/>
    <mergeCell ref="A64:I64"/>
    <mergeCell ref="B80:C80"/>
    <mergeCell ref="D80:E80"/>
    <mergeCell ref="F80:G80"/>
    <mergeCell ref="H80:I80"/>
    <mergeCell ref="B69:C69"/>
    <mergeCell ref="D69:E69"/>
    <mergeCell ref="F69:G69"/>
    <mergeCell ref="H69:I69"/>
    <mergeCell ref="H67:I67"/>
    <mergeCell ref="F67:G67"/>
    <mergeCell ref="D67:E67"/>
    <mergeCell ref="A98:I98"/>
    <mergeCell ref="H82:I82"/>
    <mergeCell ref="H83:I83"/>
    <mergeCell ref="B92:C92"/>
    <mergeCell ref="D92:E92"/>
    <mergeCell ref="F92:G92"/>
    <mergeCell ref="H92:I92"/>
    <mergeCell ref="B82:C82"/>
    <mergeCell ref="B83:C83"/>
    <mergeCell ref="D82:E82"/>
    <mergeCell ref="D83:E83"/>
    <mergeCell ref="F82:G82"/>
    <mergeCell ref="F83:G83"/>
    <mergeCell ref="D102:E102"/>
    <mergeCell ref="F102:G102"/>
    <mergeCell ref="H102:I102"/>
    <mergeCell ref="B103:C103"/>
    <mergeCell ref="D103:E103"/>
    <mergeCell ref="F103:G103"/>
    <mergeCell ref="H103:I103"/>
    <mergeCell ref="H101:I101"/>
    <mergeCell ref="F101:G101"/>
    <mergeCell ref="D101:E101"/>
    <mergeCell ref="B101:C101"/>
    <mergeCell ref="H126:I126"/>
    <mergeCell ref="H116:I116"/>
    <mergeCell ref="H117:I117"/>
    <mergeCell ref="B114:C114"/>
    <mergeCell ref="D114:E114"/>
    <mergeCell ref="F114:G114"/>
    <mergeCell ref="H114:I114"/>
    <mergeCell ref="B115:C115"/>
    <mergeCell ref="D115:E115"/>
    <mergeCell ref="F115:G115"/>
    <mergeCell ref="H115:I115"/>
    <mergeCell ref="B102:C10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Tsa</dc:creator>
  <cp:keywords/>
  <dc:description/>
  <cp:lastModifiedBy>Ιωαννης Τσαντηλας</cp:lastModifiedBy>
  <cp:revision/>
  <dcterms:created xsi:type="dcterms:W3CDTF">2023-04-24T12:14:51Z</dcterms:created>
  <dcterms:modified xsi:type="dcterms:W3CDTF">2023-08-31T07:47:05Z</dcterms:modified>
  <cp:category/>
  <cp:contentStatus/>
</cp:coreProperties>
</file>