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vassilis/Documents/LAB/Scenarios/Albumin_Binding_HalfLife_QSAR/PFAS_Albumin_Binding/"/>
    </mc:Choice>
  </mc:AlternateContent>
  <xr:revisionPtr revIDLastSave="0" documentId="13_ncr:1_{EA42C4FD-F6A6-1840-B112-0886A7A66620}" xr6:coauthVersionLast="47" xr6:coauthVersionMax="47" xr10:uidLastSave="{00000000-0000-0000-0000-000000000000}"/>
  <bookViews>
    <workbookView xWindow="0" yWindow="740" windowWidth="29400" windowHeight="17300" activeTab="3" xr2:uid="{00000000-000D-0000-FFFF-FFFF00000000}"/>
  </bookViews>
  <sheets>
    <sheet name="Data" sheetId="1" r:id="rId1"/>
    <sheet name="References" sheetId="4" r:id="rId2"/>
    <sheet name="Key" sheetId="2" r:id="rId3"/>
    <sheet name="SMIL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8" i="1" l="1"/>
  <c r="R259" i="1"/>
  <c r="R260" i="1"/>
  <c r="R261" i="1"/>
  <c r="R262" i="1"/>
  <c r="R257" i="1"/>
  <c r="R250" i="1"/>
  <c r="R251" i="1"/>
  <c r="R252" i="1"/>
  <c r="R253" i="1"/>
  <c r="R254" i="1"/>
  <c r="R255" i="1"/>
  <c r="R256" i="1"/>
  <c r="T183" i="1" l="1"/>
  <c r="R183" i="1" s="1"/>
  <c r="T184" i="1"/>
  <c r="R184" i="1" s="1"/>
  <c r="R185" i="1"/>
  <c r="R186" i="1"/>
  <c r="R187" i="1"/>
  <c r="R188" i="1"/>
  <c r="R189" i="1"/>
  <c r="R190" i="1"/>
  <c r="R191" i="1"/>
  <c r="R192" i="1"/>
  <c r="R193" i="1"/>
  <c r="R194" i="1"/>
  <c r="R195" i="1"/>
  <c r="R196" i="1"/>
  <c r="G73" i="1" l="1"/>
  <c r="G74" i="1"/>
  <c r="G75" i="1"/>
  <c r="G76" i="1"/>
  <c r="G72" i="1"/>
  <c r="G61" i="1"/>
  <c r="G62" i="1"/>
  <c r="G63" i="1"/>
  <c r="G64" i="1"/>
  <c r="G65" i="1"/>
  <c r="G66" i="1"/>
  <c r="G67" i="1"/>
  <c r="G68" i="1"/>
  <c r="G69" i="1"/>
  <c r="G70" i="1"/>
  <c r="G71" i="1"/>
  <c r="G60" i="1"/>
  <c r="F34" i="1"/>
  <c r="F32" i="1"/>
  <c r="F31" i="1"/>
  <c r="F29" i="1"/>
  <c r="F27" i="1"/>
  <c r="F25" i="1"/>
  <c r="F24" i="1"/>
  <c r="F23" i="1"/>
  <c r="F30" i="1"/>
  <c r="G3" i="1"/>
  <c r="G4" i="1"/>
  <c r="G5" i="1"/>
  <c r="G6" i="1"/>
  <c r="G7" i="1"/>
  <c r="G8" i="1"/>
  <c r="G2" i="1"/>
  <c r="F26" i="1"/>
  <c r="F28" i="1"/>
  <c r="F33" i="1"/>
  <c r="F35" i="1"/>
  <c r="F36" i="1"/>
  <c r="N22" i="1"/>
  <c r="G22" i="1"/>
  <c r="F22" i="1"/>
  <c r="N21" i="1"/>
  <c r="G21" i="1"/>
  <c r="F21" i="1"/>
  <c r="N20" i="1"/>
  <c r="G20" i="1"/>
  <c r="F20" i="1"/>
  <c r="N19" i="1"/>
  <c r="G19" i="1"/>
  <c r="F19" i="1"/>
  <c r="N18" i="1"/>
  <c r="G18" i="1"/>
  <c r="F18" i="1"/>
  <c r="N17" i="1"/>
  <c r="G17" i="1"/>
  <c r="F17" i="1"/>
  <c r="N16" i="1"/>
  <c r="G16" i="1"/>
  <c r="F16" i="1"/>
  <c r="N15" i="1"/>
  <c r="G15" i="1"/>
  <c r="F15" i="1"/>
  <c r="N14" i="1"/>
  <c r="G14" i="1"/>
  <c r="F14" i="1"/>
  <c r="N13" i="1"/>
  <c r="G13" i="1"/>
  <c r="F13" i="1"/>
  <c r="N12" i="1"/>
  <c r="G12" i="1"/>
  <c r="F12" i="1"/>
  <c r="N11" i="1"/>
  <c r="G11" i="1"/>
  <c r="F11" i="1"/>
  <c r="N10" i="1"/>
  <c r="G10" i="1"/>
  <c r="F10" i="1"/>
  <c r="N9" i="1"/>
  <c r="G9" i="1"/>
  <c r="F9" i="1"/>
  <c r="S8" i="1"/>
  <c r="S7" i="1"/>
  <c r="S6" i="1"/>
  <c r="S5" i="1"/>
  <c r="S4" i="1"/>
  <c r="S3" i="1"/>
  <c r="S2" i="1"/>
  <c r="R7" i="1"/>
  <c r="R4" i="1"/>
  <c r="R3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H11" i="1" l="1"/>
  <c r="H19" i="1"/>
  <c r="H14" i="1"/>
  <c r="H22" i="1"/>
  <c r="H9" i="1"/>
  <c r="H12" i="1"/>
  <c r="H15" i="1"/>
  <c r="H10" i="1"/>
  <c r="H18" i="1"/>
  <c r="H20" i="1"/>
  <c r="H13" i="1"/>
  <c r="H21" i="1"/>
  <c r="H17" i="1"/>
  <c r="H16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43" i="1"/>
  <c r="R42" i="1"/>
  <c r="R41" i="1"/>
  <c r="R40" i="1"/>
  <c r="R39" i="1"/>
  <c r="R38" i="1"/>
  <c r="R37" i="1"/>
  <c r="F143" i="1"/>
  <c r="F142" i="1"/>
  <c r="F141" i="1"/>
  <c r="T115" i="1"/>
  <c r="R115" i="1" s="1"/>
  <c r="T114" i="1"/>
  <c r="R114" i="1" s="1"/>
  <c r="T113" i="1"/>
  <c r="R113" i="1" s="1"/>
  <c r="T112" i="1"/>
  <c r="R112" i="1" s="1"/>
  <c r="T111" i="1"/>
  <c r="R111" i="1" s="1"/>
  <c r="T110" i="1"/>
  <c r="R110" i="1" s="1"/>
  <c r="T109" i="1"/>
  <c r="R109" i="1" s="1"/>
  <c r="T108" i="1"/>
  <c r="R108" i="1" s="1"/>
  <c r="T107" i="1"/>
  <c r="R107" i="1" s="1"/>
  <c r="T106" i="1"/>
  <c r="R106" i="1" s="1"/>
  <c r="T105" i="1"/>
  <c r="R105" i="1" s="1"/>
  <c r="T104" i="1"/>
  <c r="R104" i="1" s="1"/>
  <c r="T103" i="1"/>
  <c r="R103" i="1" s="1"/>
  <c r="T102" i="1"/>
  <c r="R102" i="1" s="1"/>
  <c r="T101" i="1"/>
  <c r="R101" i="1" s="1"/>
  <c r="T100" i="1"/>
  <c r="R100" i="1" s="1"/>
  <c r="T99" i="1"/>
  <c r="R99" i="1" s="1"/>
  <c r="T98" i="1"/>
  <c r="R98" i="1" s="1"/>
  <c r="T97" i="1"/>
  <c r="R97" i="1" s="1"/>
  <c r="T96" i="1"/>
  <c r="R96" i="1" s="1"/>
  <c r="T95" i="1"/>
  <c r="R95" i="1" s="1"/>
  <c r="T94" i="1"/>
  <c r="R94" i="1" s="1"/>
  <c r="T93" i="1"/>
  <c r="R93" i="1" s="1"/>
  <c r="F93" i="1"/>
  <c r="T92" i="1"/>
  <c r="R92" i="1" s="1"/>
  <c r="F92" i="1"/>
  <c r="T91" i="1"/>
  <c r="R91" i="1" s="1"/>
  <c r="F91" i="1"/>
  <c r="N8" i="1"/>
  <c r="N7" i="1"/>
  <c r="N6" i="1"/>
  <c r="N5" i="1"/>
  <c r="N4" i="1"/>
  <c r="N3" i="1"/>
  <c r="N2" i="1"/>
  <c r="N36" i="1"/>
  <c r="G36" i="1"/>
  <c r="N35" i="1"/>
  <c r="G35" i="1"/>
  <c r="N34" i="1"/>
  <c r="G34" i="1"/>
  <c r="N33" i="1"/>
  <c r="G33" i="1"/>
  <c r="N32" i="1"/>
  <c r="G32" i="1"/>
  <c r="N31" i="1"/>
  <c r="G31" i="1"/>
  <c r="N30" i="1"/>
  <c r="G30" i="1"/>
  <c r="N29" i="1"/>
  <c r="G29" i="1"/>
  <c r="N28" i="1"/>
  <c r="G28" i="1"/>
  <c r="N27" i="1"/>
  <c r="G27" i="1"/>
  <c r="N26" i="1"/>
  <c r="G26" i="1"/>
  <c r="N25" i="1"/>
  <c r="G25" i="1"/>
  <c r="N24" i="1"/>
  <c r="G24" i="1"/>
  <c r="N23" i="1"/>
  <c r="G23" i="1"/>
  <c r="H23" i="1" s="1"/>
  <c r="H28" i="1" l="1"/>
  <c r="H36" i="1"/>
  <c r="H31" i="1"/>
  <c r="H30" i="1"/>
  <c r="H24" i="1"/>
  <c r="H27" i="1"/>
  <c r="H35" i="1"/>
  <c r="H34" i="1"/>
  <c r="H26" i="1"/>
  <c r="H32" i="1"/>
  <c r="H25" i="1"/>
  <c r="H33" i="1"/>
  <c r="H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Periklis Tsiros</author>
  </authors>
  <commentList>
    <comment ref="F5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Periklis Tsiros: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need to check again</t>
        </r>
      </text>
    </comment>
  </commentList>
</comments>
</file>

<file path=xl/sharedStrings.xml><?xml version="1.0" encoding="utf-8"?>
<sst xmlns="http://schemas.openxmlformats.org/spreadsheetml/2006/main" count="2023" uniqueCount="301">
  <si>
    <t>Method</t>
  </si>
  <si>
    <t>pH</t>
  </si>
  <si>
    <t>Ligand Name</t>
  </si>
  <si>
    <t>Authors</t>
  </si>
  <si>
    <t>Ligand concentration, μM</t>
  </si>
  <si>
    <t>Ligand:Protein</t>
  </si>
  <si>
    <t>Min Ligand:Protein</t>
  </si>
  <si>
    <t>Max Ligand:Protein</t>
  </si>
  <si>
    <t>Buffer</t>
  </si>
  <si>
    <t>Buffer concentration, M</t>
  </si>
  <si>
    <t>Method details</t>
  </si>
  <si>
    <t>Model</t>
  </si>
  <si>
    <r>
      <t>K</t>
    </r>
    <r>
      <rPr>
        <vertAlign val="subscript"/>
        <sz val="11"/>
        <color indexed="8"/>
        <rFont val="Times New Roman"/>
        <family val="1"/>
        <charset val="204"/>
      </rPr>
      <t>a</t>
    </r>
    <r>
      <rPr>
        <sz val="11"/>
        <color indexed="8"/>
        <rFont val="Times New Roman"/>
        <family val="1"/>
        <charset val="204"/>
      </rPr>
      <t xml:space="preserve"> in M scale</t>
    </r>
  </si>
  <si>
    <r>
      <t>K</t>
    </r>
    <r>
      <rPr>
        <vertAlign val="subscript"/>
        <sz val="11"/>
        <color indexed="8"/>
        <rFont val="Times New Roman"/>
        <family val="1"/>
        <charset val="204"/>
      </rPr>
      <t>d</t>
    </r>
    <r>
      <rPr>
        <sz val="11"/>
        <color indexed="8"/>
        <rFont val="Times New Roman"/>
        <family val="1"/>
        <charset val="204"/>
      </rPr>
      <t xml:space="preserve"> in M scale</t>
    </r>
  </si>
  <si>
    <t>n</t>
  </si>
  <si>
    <r>
      <t>K</t>
    </r>
    <r>
      <rPr>
        <vertAlign val="subscript"/>
        <sz val="11"/>
        <color theme="1"/>
        <rFont val="Times New Roman"/>
        <family val="1"/>
        <charset val="204"/>
      </rPr>
      <t>a2</t>
    </r>
  </si>
  <si>
    <r>
      <t>K</t>
    </r>
    <r>
      <rPr>
        <vertAlign val="subscript"/>
        <sz val="11"/>
        <color theme="1"/>
        <rFont val="Times New Roman"/>
        <family val="1"/>
        <charset val="204"/>
      </rPr>
      <t>d2</t>
    </r>
  </si>
  <si>
    <r>
      <t>n</t>
    </r>
    <r>
      <rPr>
        <vertAlign val="subscript"/>
        <sz val="11"/>
        <color theme="1"/>
        <rFont val="Times New Roman"/>
        <family val="1"/>
        <charset val="204"/>
      </rPr>
      <t>2</t>
    </r>
  </si>
  <si>
    <t>n3</t>
  </si>
  <si>
    <t>Tag</t>
  </si>
  <si>
    <t>Ligand ChEMBL ID</t>
  </si>
  <si>
    <t>Assay ChEMBL ID or BindingDB Ref</t>
  </si>
  <si>
    <t>PFOA</t>
  </si>
  <si>
    <t>10.1021/es101334s</t>
  </si>
  <si>
    <t>0.04-5</t>
  </si>
  <si>
    <t>sodium phosphate</t>
  </si>
  <si>
    <t>Equilibrium dialysis</t>
  </si>
  <si>
    <t>one-class</t>
  </si>
  <si>
    <t>0.04-70</t>
  </si>
  <si>
    <t>two-class</t>
  </si>
  <si>
    <t>PFNA</t>
  </si>
  <si>
    <t>0.02-5</t>
  </si>
  <si>
    <t>0.02-120</t>
  </si>
  <si>
    <t>0.1-4</t>
  </si>
  <si>
    <t>ammonium acetate</t>
  </si>
  <si>
    <t>nanoESI-MS</t>
  </si>
  <si>
    <t>up to 8</t>
  </si>
  <si>
    <t>PFBA</t>
  </si>
  <si>
    <t>10.1039/c9em00290a</t>
  </si>
  <si>
    <t>Hank's balanced salt solution</t>
  </si>
  <si>
    <t>PFHxA</t>
  </si>
  <si>
    <t>PFHpA</t>
  </si>
  <si>
    <t>PFDA</t>
  </si>
  <si>
    <t>PFUnDA</t>
  </si>
  <si>
    <t>HFPO-DA</t>
  </si>
  <si>
    <t>DONA</t>
  </si>
  <si>
    <t>PFBS</t>
  </si>
  <si>
    <t>PFHxS</t>
  </si>
  <si>
    <t>PFOS</t>
  </si>
  <si>
    <t>9Cl-PF3ONS</t>
  </si>
  <si>
    <t>PFECHS</t>
  </si>
  <si>
    <t>10.1016/j.chemosphere.2021.131979</t>
  </si>
  <si>
    <t>1-20</t>
  </si>
  <si>
    <t>PBS</t>
  </si>
  <si>
    <t>10.1021/acs.chemrestox.3c00011</t>
  </si>
  <si>
    <t>Isothermal Titration Calorimetry</t>
  </si>
  <si>
    <t>10.1016/j.chemosphere.2014.11.040</t>
  </si>
  <si>
    <t>0.4-20e-07</t>
  </si>
  <si>
    <t>0.2-10</t>
  </si>
  <si>
    <t>fluorescence quenching</t>
  </si>
  <si>
    <t>modified Stern–Volmer</t>
  </si>
  <si>
    <t>Han et al.2003</t>
  </si>
  <si>
    <t>10.1021/tx034005w</t>
  </si>
  <si>
    <t>250-5000</t>
  </si>
  <si>
    <t>13-266</t>
  </si>
  <si>
    <t>19F NMR Titration</t>
  </si>
  <si>
    <t>100-3000</t>
  </si>
  <si>
    <t>1.8-54.5</t>
  </si>
  <si>
    <t>Microdesalting Column Separation</t>
  </si>
  <si>
    <t>10.1016/j.chemosphere.2018.01.152</t>
  </si>
  <si>
    <t>ESI-MS</t>
  </si>
  <si>
    <t>Jackson et al.2021</t>
  </si>
  <si>
    <t>10.1021/acs.est.1c01200</t>
  </si>
  <si>
    <t>50-10000</t>
  </si>
  <si>
    <t>0.04-80</t>
  </si>
  <si>
    <t>HBS</t>
  </si>
  <si>
    <t>DSF</t>
  </si>
  <si>
    <t>PFPeA</t>
  </si>
  <si>
    <t>Jackson et al.2022</t>
  </si>
  <si>
    <t>Jackson et al.2023</t>
  </si>
  <si>
    <t>PFDoA</t>
  </si>
  <si>
    <t>E1</t>
  </si>
  <si>
    <t>Nafion bp2</t>
  </si>
  <si>
    <t>PFO3DoDA</t>
  </si>
  <si>
    <t>3:3 FTCA</t>
  </si>
  <si>
    <t>5:3 FTCA</t>
  </si>
  <si>
    <t>6:3 FTCA</t>
  </si>
  <si>
    <t>8:3 FTCA</t>
  </si>
  <si>
    <t>4:2 FTSA</t>
  </si>
  <si>
    <t>6:2 FTSA</t>
  </si>
  <si>
    <t>Li et al. 2021</t>
  </si>
  <si>
    <t>10.3390/toxics9030063</t>
  </si>
  <si>
    <t>Langmuir isotherm</t>
  </si>
  <si>
    <t>1st order association</t>
  </si>
  <si>
    <t>PFUdA</t>
  </si>
  <si>
    <t>PFTrDA</t>
  </si>
  <si>
    <t>PFTeDA</t>
  </si>
  <si>
    <t>L-PFOS</t>
  </si>
  <si>
    <t>PFPeS</t>
  </si>
  <si>
    <t>PFHpS</t>
  </si>
  <si>
    <t>L-PFPrS</t>
  </si>
  <si>
    <t>PFNS</t>
  </si>
  <si>
    <t>PFDS</t>
  </si>
  <si>
    <t>FOSA</t>
  </si>
  <si>
    <t>MeFOSAA</t>
  </si>
  <si>
    <t>EtFOSAA</t>
  </si>
  <si>
    <t>MacManus-Spencer et al.2010</t>
  </si>
  <si>
    <t>10.1021/ac902238u</t>
  </si>
  <si>
    <t>180-5000</t>
  </si>
  <si>
    <t>6.1-169.5</t>
  </si>
  <si>
    <t> sodium phosphate </t>
  </si>
  <si>
    <t>182-1820</t>
  </si>
  <si>
    <t>6.2-61.7</t>
  </si>
  <si>
    <t>Beesoon &amp; Martin.2015</t>
  </si>
  <si>
    <t>10.1021/es505399w</t>
  </si>
  <si>
    <t>2-12</t>
  </si>
  <si>
    <t>0.33-2</t>
  </si>
  <si>
    <t>Scatchard equation</t>
  </si>
  <si>
    <t>3m-PFOS</t>
  </si>
  <si>
    <t>4m-PFOS</t>
  </si>
  <si>
    <t>5m-PFOS</t>
  </si>
  <si>
    <t>3m-PFOA</t>
  </si>
  <si>
    <t>5m-PFOA</t>
  </si>
  <si>
    <t>Gao et al.2019</t>
  </si>
  <si>
    <t>10.1021/acs.est.9b00715</t>
  </si>
  <si>
    <t>PFTrA</t>
  </si>
  <si>
    <t>Peng et al.2024</t>
  </si>
  <si>
    <t>10.3390/toxics12010043</t>
  </si>
  <si>
    <t>3-18</t>
  </si>
  <si>
    <t>double logarithmic formula</t>
  </si>
  <si>
    <t>HFPO-TA</t>
  </si>
  <si>
    <t>PFO3DA</t>
  </si>
  <si>
    <t>DFSA</t>
  </si>
  <si>
    <t>Trivial drug name or IUPAC substance name</t>
  </si>
  <si>
    <t>Equation/model/software used to calculate the binding constant</t>
  </si>
  <si>
    <t>Protein-ligand association constant (if binding to several types of sites is reported, association constant with the first-type binding site)</t>
  </si>
  <si>
    <t>Complex dissociation constant</t>
  </si>
  <si>
    <t>Average number of the binding sites (if binding to several types of sites is reported, average number of the first-type binding sites)</t>
  </si>
  <si>
    <t>ΔH, kJ/mol</t>
  </si>
  <si>
    <t>Enthalpy of binding per binding site (if binding to several types of sites is reported, for the first-type binding sites)</t>
  </si>
  <si>
    <t>Protein-ligand association constant with the second type of binding sites</t>
  </si>
  <si>
    <t>Protein-ligand complex dissociation constant (second type of binding sites)</t>
  </si>
  <si>
    <t>Average number of the second-type binding sites</t>
  </si>
  <si>
    <r>
      <t>ΔH</t>
    </r>
    <r>
      <rPr>
        <vertAlign val="subscript"/>
        <sz val="11"/>
        <color theme="1"/>
        <rFont val="Times New Roman"/>
        <family val="1"/>
        <charset val="204"/>
      </rPr>
      <t>2</t>
    </r>
  </si>
  <si>
    <t>Enthalpy of binding per second-type binding site</t>
  </si>
  <si>
    <t>Indicates whether the data are present in CHEMBL or BindingDB</t>
  </si>
  <si>
    <t>DPBS</t>
  </si>
  <si>
    <t>Dulbecco's phosphate-buffered saline</t>
  </si>
  <si>
    <t>HEPES</t>
  </si>
  <si>
    <t>4-(2-hydroxyethyl)-1-piperazineethanesulfonic acid-based buffer</t>
  </si>
  <si>
    <t>Phosphate-buffered saline</t>
  </si>
  <si>
    <t>TES</t>
  </si>
  <si>
    <t>N-[tris(hydroxymethyl)methyl]- 2-aminoethanesulfonic acid-based buffer</t>
  </si>
  <si>
    <t>Tris</t>
  </si>
  <si>
    <t>Tris(hydroxymethyl)aminomethane-based buffer</t>
  </si>
  <si>
    <t>λex</t>
  </si>
  <si>
    <t>Excitation wavelength</t>
  </si>
  <si>
    <t>Qin et al.2010</t>
  </si>
  <si>
    <t>10.1021/jf100412q</t>
  </si>
  <si>
    <t>Chen et al.2015</t>
  </si>
  <si>
    <t>0.25-7</t>
  </si>
  <si>
    <t>ultrafiltration centrifugation</t>
  </si>
  <si>
    <t>Sheng et al.2020</t>
  </si>
  <si>
    <t>10.1021/acs.chemrestox.0c00075</t>
  </si>
  <si>
    <t>1-50</t>
  </si>
  <si>
    <t>6:2 Cl-PFESA</t>
  </si>
  <si>
    <t>8:2 FTSA</t>
  </si>
  <si>
    <t>Starnes et al.2024</t>
  </si>
  <si>
    <t>10.1093/toxsci/kfae028</t>
  </si>
  <si>
    <r>
      <t xml:space="preserve">Albumin concentration, </t>
    </r>
    <r>
      <rPr>
        <sz val="11"/>
        <color theme="1"/>
        <rFont val="Calibri"/>
        <family val="2"/>
        <scheme val="minor"/>
      </rPr>
      <t>μM</t>
    </r>
  </si>
  <si>
    <r>
      <t>K</t>
    </r>
    <r>
      <rPr>
        <vertAlign val="subscript"/>
        <sz val="11"/>
        <color indexed="8"/>
        <rFont val="Calibri"/>
        <family val="2"/>
        <scheme val="minor"/>
      </rPr>
      <t>d</t>
    </r>
    <r>
      <rPr>
        <sz val="11"/>
        <color indexed="8"/>
        <rFont val="Calibri"/>
        <family val="2"/>
        <scheme val="minor"/>
      </rPr>
      <t xml:space="preserve"> in M scale</t>
    </r>
  </si>
  <si>
    <r>
      <rPr>
        <sz val="11"/>
        <color theme="1"/>
        <rFont val="Calibri"/>
        <family val="2"/>
        <scheme val="minor"/>
      </rPr>
      <t>ΔH, kJ/mol</t>
    </r>
  </si>
  <si>
    <r>
      <t>K</t>
    </r>
    <r>
      <rPr>
        <vertAlign val="subscript"/>
        <sz val="11"/>
        <color theme="1"/>
        <rFont val="Calibri"/>
        <family val="2"/>
        <scheme val="minor"/>
      </rPr>
      <t>a2</t>
    </r>
  </si>
  <si>
    <r>
      <t>K</t>
    </r>
    <r>
      <rPr>
        <vertAlign val="subscript"/>
        <sz val="11"/>
        <color theme="1"/>
        <rFont val="Calibri"/>
        <family val="2"/>
        <scheme val="minor"/>
      </rPr>
      <t>d2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</si>
  <si>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</si>
  <si>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Calibri"/>
        <family val="2"/>
        <scheme val="minor"/>
      </rPr>
      <t>ΔH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</si>
  <si>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a3</t>
    </r>
  </si>
  <si>
    <r>
      <t>K</t>
    </r>
    <r>
      <rPr>
        <vertAlign val="subscript"/>
        <sz val="11"/>
        <color theme="1"/>
        <rFont val="Calibri"/>
        <family val="2"/>
        <scheme val="minor"/>
      </rPr>
      <t>d3</t>
    </r>
  </si>
  <si>
    <r>
      <rPr>
        <sz val="11"/>
        <color theme="1"/>
        <rFont val="Calibri"/>
        <family val="2"/>
        <scheme val="minor"/>
      </rPr>
      <t>ΔH3</t>
    </r>
  </si>
  <si>
    <t>Chi et al. 2018</t>
  </si>
  <si>
    <t>Crisalli et al.2023</t>
  </si>
  <si>
    <t>Alesio et al.2022</t>
  </si>
  <si>
    <t>Allendorf et al.2019</t>
  </si>
  <si>
    <t>Bischel et al.2010</t>
  </si>
  <si>
    <t>DOI</t>
  </si>
  <si>
    <t>Ka_SD</t>
  </si>
  <si>
    <t>Substance</t>
  </si>
  <si>
    <t>SMILES</t>
  </si>
  <si>
    <t>C(=O)(C(C(C(C(C(C(C(F)(F)F)(F)F)(F)F)(F)F)(F)F)(F)F)(F)F)O</t>
  </si>
  <si>
    <t>C(=O)(C(C(C(C(C(C(C(C(F)(F)F)(F)F)(F)F)(F)F)(F)F)(F)F)(F)F)(F)F)O</t>
  </si>
  <si>
    <t>C(=O)(C(C(C(C(C(C(C(C(C(F)(F)F)(F)F)(F)F)(F)F)(F)F)(F)F)(F)F)(F)F)(F)F)O</t>
  </si>
  <si>
    <t>C(C(C(F)(F)S(=O)(=O)O)(F)F)(C(F)(F)F)(F)F</t>
  </si>
  <si>
    <t>C(C(C(C(F)(F)S(=O)(=O)O)(F)F)(F)F)(C(C(F)(F)F)(F)F)(F)F</t>
  </si>
  <si>
    <t>C(C(C(C(C(F)(F)S(=O)(=O)O)(F)F)(F)F)(F)F)(C(C(C(F)(F)F)(F)F)(F)F)(F)F</t>
  </si>
  <si>
    <t>C1(C(O1)(F)F)(C(F)(F)F)F</t>
  </si>
  <si>
    <t>C(=O)(C(C(C(F)(F)F)(F)F)(F)F)O</t>
  </si>
  <si>
    <t>C(=O)(C(C(C(C(C(F)(F)F)(F)F)(F)F)(F)F)(F)F)O</t>
  </si>
  <si>
    <t>C(=O)(C(C(C(C(C(C(F)(F)F)(F)F)(F)F)(F)F)(F)F)(F)F)O</t>
  </si>
  <si>
    <t>C(=O)(C(C(C(C(C(C(C(C(C(C(F)(F)F)(F)F)(F)F)(F)F)(F)F)(F)F)(F)F)(F)F)(F)F)(F)F)O</t>
  </si>
  <si>
    <t>C(C(C(C(F)(F)Cl)(F)F)(F)F)(C(C(OC(C(F)(F)S(=O)(=O)O)(F)F)(F)F)(F)F)(F)F</t>
  </si>
  <si>
    <t>C1(C(C(C(C(C1(F)F)(F)F)(F)S(=O)(=O)O)(F)F)(F)F)(C(C(F)(F)F)(F)F)F</t>
  </si>
  <si>
    <t>C(=O)(C(C(C(C(F)(F)F)(F)F)(F)F)(F)F)O</t>
  </si>
  <si>
    <t>C(=O)(C(C(C(C(C(C(C(C(C(C(C(F)(F)F)(F)F)(F)F)(F)F)(F)F)(F)F)(F)F)(F)F)(F)F)(F)F)(F)F)O</t>
  </si>
  <si>
    <t>C(C(F)(F)F)(OC(C(C(F)(F)F)(OC(C(F)(F)S(=O)(=O)O)(F)F)F)(F)F)F</t>
  </si>
  <si>
    <t>C(=O)(C(OC(C(OC(C(OC(F)(F)F)(F)F)(F)F)(F)F)(F)F)(F)F)O</t>
  </si>
  <si>
    <t>C(CC(C(C(F)(F)F)(F)F)(F)F)C(=O)O</t>
  </si>
  <si>
    <t>C(=O)(C(C(C(C(C(C(C(C(C(C(C(C(F)(F)F)(F)F)(F)F)(F)F)(F)F)(F)F)(F)F)(F)F)(F)F)(F)F)(F)F)(F)F)O</t>
  </si>
  <si>
    <t>C(=O)(C(C(C(C(C(C(C(C(C(C(C(C(C(F)(F)F)(F)F)(F)F)(F)F)(F)F)(F)F)(F)F)(F)F)(F)F)(F)F)(F)F)(F)F)(F)F)O</t>
  </si>
  <si>
    <t>C(C(C(F)(F)F)(F)F)(C(C(F)(F)S(=O)(=O)O)(F)F)(F)F</t>
  </si>
  <si>
    <t>C(C(C(C(F)(F)F)(F)F)(F)F)(C(C(C(F)(F)S(=O)(=O)O)(F)F)(F)F)(F)F</t>
  </si>
  <si>
    <t>C(C(F)(F)F)(C(F)(F)S(=O)(=O)O)(F)F</t>
  </si>
  <si>
    <t>C(C(C(C(C(F)(F)F)(F)F)(F)F)(F)F)(C(C(C(C(F)(F)S(=O)(=O)O)(F)F)(F)F)(F)F)(F)F</t>
  </si>
  <si>
    <t>C(C(C(C(C(C(F)(F)S(=O)(=O)O)(F)F)(F)F)(F)F)(F)F)(C(C(C(C(F)(F)F)(F)F)(F)F)(F)F)(F)F</t>
  </si>
  <si>
    <t>C(C(C(C(C(F)(F)S(=O)(=O)N)(F)F)(F)F)(F)F)(C(C(C(F)(F)F)(F)F)(F)F)(F)F</t>
  </si>
  <si>
    <t>CN(CC(=O)O)S(=O)(=O)C(C(C(C(C(C(C(C(F)(F)F)(F)F)(F)F)(F)F)(F)F)(F)F)(F)F)(F)F</t>
  </si>
  <si>
    <t>CCN(CC(=O)O)S(=O)(=O)C(C(C(C(C(C(C(C(F)(F)F)(F)F)(F)F)(F)F)(F)F)(F)F)(F)F)(F)F</t>
  </si>
  <si>
    <t>C(CS(=O)(=O)O)C(C(C(C(F)(F)F)(F)F)(F)F)(F)F</t>
  </si>
  <si>
    <t>C(CS(=O)(=O)O)C(C(C(C(C(C(F)(F)F)(F)F)(F)F)(F)F)(F)F)(F)F</t>
  </si>
  <si>
    <t>C(CS(=O)(=O)O)C(C(C(C(C(C(C(C(F)(F)F)(F)F)(F)F)(F)F)(F)F)(F)F)(F)F)(F)F</t>
  </si>
  <si>
    <t>C(=O)(C(C(F)(F)F)(OC(C(C(F)(F)F)(OC(C(C(F)(F)F)(F)F)(F)F)F)(F)F)F)O</t>
  </si>
  <si>
    <t>C(C(C(=O)O)(F)F)(OC(C(C(OC(F)(F)F)(F)F)(F)F)(F)F)F</t>
  </si>
  <si>
    <t>C(CC(C(C(C(C(F)(F)F)(F)F)(F)F)(F)F)(F)F)C(=O)O</t>
  </si>
  <si>
    <t>C(CC(C(C(C(C(C(F)(F)F)(F)F)(F)F)(F)F)(F)F)(F)F)C(=O)O</t>
  </si>
  <si>
    <t>C(CC(C(C(C(C(C(C(C(F)(F)F)(F)F)(F)F)(F)F)(F)F)(F)F)(F)F)(F)F)C(=O)O</t>
  </si>
  <si>
    <t>C(=O)(C(C(C(C(C(C(C(=O)O)(F)F)(F)F)(F)F)(F)F)(F)F)(F)F)O</t>
  </si>
  <si>
    <t>C(C(F)(F)F)(OC(C(C(F)(F)F)(F)F)(F)F)F</t>
  </si>
  <si>
    <t>C(C(C(C(C(F)(F)S(=O)(=O)O)(F)F)(F)F)(F)F)(C(C(F)(F)F)(F)F)(C(F)(F)F)F</t>
  </si>
  <si>
    <t>C(C(C(C(F)(F)F)(F)F)(F)F)(C(C(C(F)(F)S(=O)(=O)O)(F)F)(F)F)(C(F)(F)F)F</t>
  </si>
  <si>
    <t>C(C(C(C(C(F)(F)F)(F)F)(F)F)(F)F)(C(C(F)(F)S(=O)(=O)O)(F)F)(C(F)(F)F)F</t>
  </si>
  <si>
    <t>C(=O)(C(C(C(C(C(C(F)(F)F)(F)F)(F)F)(F)F)(C(F)(F)F)F)(F)F)O</t>
  </si>
  <si>
    <t>C(=O)(C(C(C(C(C(C(F)(F)F)(F)F)(C(F)(F)F)F)(F)F)(F)F)(F)F)O</t>
  </si>
  <si>
    <t>Fatty acid free</t>
  </si>
  <si>
    <t>BSA</t>
  </si>
  <si>
    <t>HSA</t>
  </si>
  <si>
    <t>RSA</t>
  </si>
  <si>
    <t>0.1-1000</t>
  </si>
  <si>
    <t>0.01-100</t>
  </si>
  <si>
    <t>0.1-7000</t>
  </si>
  <si>
    <t>0.01-700</t>
  </si>
  <si>
    <t>0.0125-125</t>
  </si>
  <si>
    <t>0.0167-167</t>
  </si>
  <si>
    <t>0.025-250</t>
  </si>
  <si>
    <t>0.05-500</t>
  </si>
  <si>
    <t>0.1-150</t>
  </si>
  <si>
    <t>0.01-15</t>
  </si>
  <si>
    <t>0.05-75</t>
  </si>
  <si>
    <t>PFUnA</t>
  </si>
  <si>
    <t>0.1-600</t>
  </si>
  <si>
    <t>0.01-60</t>
  </si>
  <si>
    <t>PSA</t>
  </si>
  <si>
    <t>6:2 FTOH</t>
  </si>
  <si>
    <t>Starnes et al.2024b</t>
  </si>
  <si>
    <t>10.1093/toxsci/kfae124</t>
  </si>
  <si>
    <t>PFunDA</t>
  </si>
  <si>
    <t>HFPO-DA, GenX</t>
  </si>
  <si>
    <t>PFMBA</t>
  </si>
  <si>
    <t>Perfluoro-3,6-dioxaheptanoic acid</t>
  </si>
  <si>
    <t>Perfluoro-3,6-dioxaoctane-1,8-dioic acid</t>
  </si>
  <si>
    <t>Perfluoro-3,6,9-trioxatridecanoic acid</t>
  </si>
  <si>
    <t>PFMOAA</t>
  </si>
  <si>
    <t>PFEESA</t>
  </si>
  <si>
    <t>2,2,3,3,4,4-hexafluorobutyric acid</t>
  </si>
  <si>
    <t xml:space="preserve">5H- perfluoropentanoic </t>
  </si>
  <si>
    <t>6:2 FTCA</t>
  </si>
  <si>
    <t>3:2 FTOH</t>
  </si>
  <si>
    <t>4:2 FTOH</t>
  </si>
  <si>
    <t>4:4 FTOH</t>
  </si>
  <si>
    <t>C(=O)(C(C(C(OC(F)(F)F)(F)F)(F)F)(F)F)O</t>
  </si>
  <si>
    <t>C(=O)(C(OC(C(OC(F)(F)F)(F)F)(F)F)(F)F)O</t>
  </si>
  <si>
    <t>C(=O)(C(OC(C(OC(C(=O)O)(F)F)(F)F)(F)F)(F)F)O</t>
  </si>
  <si>
    <t>C(=O)(C(OC(C(OC(C(OC(C(C(C(F)(F)F)(F)F)(F)F)(F)F)(F)F)(F)F)(F)F)(F)F)(F)F)O</t>
  </si>
  <si>
    <t>C(=O)(C(OC(F)(F)F)(F)F)[O-].[Na+]</t>
  </si>
  <si>
    <t>C(C(OC(C(F)(F)F)(F)F)(F)F)(C(F)(F)F)(OC(C(F)(F)S(=O)(=O)[O-])(F)F)F.[K+]</t>
  </si>
  <si>
    <t>Potassium perfluoro(4-methyl-3,6-dioxaoctane)sulfonate</t>
  </si>
  <si>
    <t>C(C(F)(F)F)(OC(C(F)(F)S(=O)(=O)O)(F)F)(F)F</t>
  </si>
  <si>
    <t>C(C(C(C(=O)O)(F)F)(F)F)(F)F</t>
  </si>
  <si>
    <t>C(C(C(C(C(=O)O)(F)F)(F)F)(F)F)(F)F</t>
  </si>
  <si>
    <t>9H-perfluorononanoic acid</t>
  </si>
  <si>
    <t>C(C(C(C(C(C(C(C(C(=O)O)(F)F)(F)F)(F)F)(F)F)(F)F)(F)F)(F)F)(F)F</t>
  </si>
  <si>
    <t>C(C(=O)O)C(C(C(C(C(C(F)(F)F)(F)F)(F)F)(F)F)(F)F)(F)F</t>
  </si>
  <si>
    <t>C(CO)C(C(C(F)(F)F)(F)F)(F)F</t>
  </si>
  <si>
    <t>C(CO)C(C(C(C(F)(F)F)(F)F)(F)F)(F)F</t>
  </si>
  <si>
    <t>C(CCO)CC(C(C(C(F)(F)F)(F)F)(F)F)(F)F</t>
  </si>
  <si>
    <t>C(CO)C(C(C(C(C(C(F)(F)F)(F)F)(F)F)(F)F)(F)F)(F)F</t>
  </si>
  <si>
    <t>Ka</t>
  </si>
  <si>
    <t>Moro et al.2022</t>
  </si>
  <si>
    <t>10.1021/acs.chemrestox.2c00211</t>
  </si>
  <si>
    <t>HPFO-DA</t>
  </si>
  <si>
    <t>C6O4</t>
  </si>
  <si>
    <t>C(=O)(C(OC1(C(OC(O1)(F)F)(OC(F)(F)F)F)F)(F)F)O</t>
  </si>
  <si>
    <t>0.34-6.8</t>
  </si>
  <si>
    <t>0.28-6.5</t>
  </si>
  <si>
    <t>0.16-3.7</t>
  </si>
  <si>
    <t>0.35-7</t>
  </si>
  <si>
    <t>Maso et al.2021</t>
  </si>
  <si>
    <t>doi.org/10.1002/pro.4036</t>
  </si>
  <si>
    <t>0.3-6</t>
  </si>
  <si>
    <t>Albumin_Type</t>
  </si>
  <si>
    <t>Congener</t>
  </si>
  <si>
    <t>Temperature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</si>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</sst>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bscript"/>
      <sz val="11"/>
      <color indexed="8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vertAlign val="subscript"/>
      <sz val="11"/>
      <color indexed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1" fillId="0" borderId="0" xfId="0" applyFont="1"/>
    <xf numFmtId="0" fontId="6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1" applyFill="1" applyAlignment="1">
      <alignment horizontal="center" vertical="center"/>
    </xf>
    <xf numFmtId="11" fontId="6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9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21/es101334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2"/>
  <sheetViews>
    <sheetView zoomScale="140" zoomScaleNormal="140" workbookViewId="0">
      <pane xSplit="3" ySplit="1" topLeftCell="N58" activePane="bottomRight" state="frozen"/>
      <selection pane="topRight" activeCell="D1" sqref="D1"/>
      <selection pane="bottomLeft" activeCell="A2" sqref="A2"/>
      <selection pane="bottomRight" activeCell="A74" sqref="A74"/>
    </sheetView>
  </sheetViews>
  <sheetFormatPr baseColWidth="10" defaultColWidth="8.83203125" defaultRowHeight="15" x14ac:dyDescent="0.2"/>
  <cols>
    <col min="1" max="1" width="16.6640625" style="1" customWidth="1"/>
    <col min="2" max="2" width="46.5" style="1" bestFit="1" customWidth="1"/>
    <col min="3" max="3" width="11.33203125" style="18" customWidth="1"/>
    <col min="4" max="4" width="20.5" style="1" bestFit="1" customWidth="1"/>
    <col min="5" max="5" width="23.5" style="1" customWidth="1"/>
    <col min="6" max="6" width="28" style="1" customWidth="1"/>
    <col min="7" max="10" width="24.33203125" style="1" customWidth="1"/>
    <col min="11" max="11" width="8.83203125" style="1"/>
    <col min="12" max="12" width="23.1640625" style="1" bestFit="1" customWidth="1"/>
    <col min="13" max="13" width="23.5" style="1" customWidth="1"/>
    <col min="14" max="14" width="26.5" style="1" customWidth="1"/>
    <col min="15" max="15" width="23" style="1" customWidth="1"/>
    <col min="16" max="16" width="19.83203125" style="1" customWidth="1"/>
    <col min="17" max="17" width="8.83203125" style="1"/>
    <col min="18" max="19" width="16.5" style="15" customWidth="1"/>
    <col min="20" max="20" width="15.6640625" style="1" customWidth="1"/>
    <col min="21" max="16384" width="8.83203125" style="1"/>
  </cols>
  <sheetData>
    <row r="1" spans="1:33" s="13" customFormat="1" ht="17" x14ac:dyDescent="0.25">
      <c r="A1" s="10" t="s">
        <v>3</v>
      </c>
      <c r="B1" s="6" t="s">
        <v>298</v>
      </c>
      <c r="C1" s="21" t="s">
        <v>187</v>
      </c>
      <c r="D1" s="6" t="s">
        <v>297</v>
      </c>
      <c r="E1" s="6" t="s">
        <v>231</v>
      </c>
      <c r="F1" s="1" t="s">
        <v>169</v>
      </c>
      <c r="G1" s="7" t="s">
        <v>4</v>
      </c>
      <c r="H1" s="7" t="s">
        <v>5</v>
      </c>
      <c r="I1" s="7" t="s">
        <v>6</v>
      </c>
      <c r="J1" s="7" t="s">
        <v>7</v>
      </c>
      <c r="K1" s="1" t="s">
        <v>1</v>
      </c>
      <c r="L1" s="1" t="s">
        <v>8</v>
      </c>
      <c r="M1" s="1" t="s">
        <v>9</v>
      </c>
      <c r="N1" s="1" t="s">
        <v>299</v>
      </c>
      <c r="O1" s="1" t="s">
        <v>0</v>
      </c>
      <c r="P1" s="1" t="s">
        <v>10</v>
      </c>
      <c r="Q1" s="1" t="s">
        <v>11</v>
      </c>
      <c r="R1" s="14" t="s">
        <v>284</v>
      </c>
      <c r="S1" s="14" t="s">
        <v>185</v>
      </c>
      <c r="T1" s="12" t="s">
        <v>170</v>
      </c>
      <c r="U1" s="1" t="s">
        <v>14</v>
      </c>
      <c r="V1" s="1" t="s">
        <v>171</v>
      </c>
      <c r="W1" s="1" t="s">
        <v>172</v>
      </c>
      <c r="X1" s="1" t="s">
        <v>173</v>
      </c>
      <c r="Y1" s="1" t="s">
        <v>174</v>
      </c>
      <c r="Z1" s="1" t="s">
        <v>175</v>
      </c>
      <c r="AA1" s="1" t="s">
        <v>176</v>
      </c>
      <c r="AB1" s="1" t="s">
        <v>177</v>
      </c>
      <c r="AC1" s="1" t="s">
        <v>18</v>
      </c>
      <c r="AD1" s="1" t="s">
        <v>178</v>
      </c>
      <c r="AE1" s="6" t="s">
        <v>19</v>
      </c>
      <c r="AF1" s="6" t="s">
        <v>20</v>
      </c>
      <c r="AG1" s="6" t="s">
        <v>21</v>
      </c>
    </row>
    <row r="2" spans="1:33" x14ac:dyDescent="0.2">
      <c r="A2" s="1" t="s">
        <v>181</v>
      </c>
      <c r="B2" s="1" t="s">
        <v>22</v>
      </c>
      <c r="C2" s="18" t="s">
        <v>188</v>
      </c>
      <c r="D2" s="6" t="s">
        <v>232</v>
      </c>
      <c r="E2" s="6" t="b">
        <v>1</v>
      </c>
      <c r="F2" s="1">
        <v>10</v>
      </c>
      <c r="G2" s="1">
        <f t="shared" ref="G2:G8" si="0">H2*F2</f>
        <v>1</v>
      </c>
      <c r="H2" s="1">
        <v>0.1</v>
      </c>
      <c r="I2" s="1">
        <v>0.1</v>
      </c>
      <c r="J2" s="1">
        <v>0.1</v>
      </c>
      <c r="K2" s="1">
        <v>7.4</v>
      </c>
      <c r="L2" s="1" t="s">
        <v>53</v>
      </c>
      <c r="N2" s="1">
        <f t="shared" ref="N2:N36" si="1">37+273</f>
        <v>310</v>
      </c>
      <c r="O2" s="1" t="s">
        <v>26</v>
      </c>
      <c r="R2" s="15">
        <v>377000</v>
      </c>
      <c r="S2" s="15">
        <f>0.8*100000</f>
        <v>80000</v>
      </c>
    </row>
    <row r="3" spans="1:33" x14ac:dyDescent="0.2">
      <c r="A3" s="1" t="s">
        <v>181</v>
      </c>
      <c r="B3" s="1" t="s">
        <v>30</v>
      </c>
      <c r="C3" s="18" t="s">
        <v>189</v>
      </c>
      <c r="D3" s="6" t="s">
        <v>232</v>
      </c>
      <c r="E3" s="6" t="b">
        <v>1</v>
      </c>
      <c r="F3" s="1">
        <v>10</v>
      </c>
      <c r="G3" s="1">
        <f t="shared" si="0"/>
        <v>1</v>
      </c>
      <c r="H3" s="1">
        <v>0.1</v>
      </c>
      <c r="I3" s="1">
        <v>0.1</v>
      </c>
      <c r="J3" s="1">
        <v>0.1</v>
      </c>
      <c r="K3" s="1">
        <v>7.4</v>
      </c>
      <c r="L3" s="1" t="s">
        <v>53</v>
      </c>
      <c r="N3" s="1">
        <f t="shared" si="1"/>
        <v>310</v>
      </c>
      <c r="O3" s="1" t="s">
        <v>26</v>
      </c>
      <c r="R3" s="15">
        <f>44.05*100000</f>
        <v>4405000</v>
      </c>
      <c r="S3" s="15">
        <f>8.37*100000</f>
        <v>836999.99999999988</v>
      </c>
    </row>
    <row r="4" spans="1:33" x14ac:dyDescent="0.2">
      <c r="A4" s="1" t="s">
        <v>181</v>
      </c>
      <c r="B4" s="1" t="s">
        <v>42</v>
      </c>
      <c r="C4" s="18" t="s">
        <v>190</v>
      </c>
      <c r="D4" s="6" t="s">
        <v>232</v>
      </c>
      <c r="E4" s="6" t="b">
        <v>1</v>
      </c>
      <c r="F4" s="1">
        <v>10</v>
      </c>
      <c r="G4" s="1">
        <f t="shared" si="0"/>
        <v>1</v>
      </c>
      <c r="H4" s="1">
        <v>0.1</v>
      </c>
      <c r="I4" s="1">
        <v>0.1</v>
      </c>
      <c r="J4" s="1">
        <v>0.1</v>
      </c>
      <c r="K4" s="1">
        <v>7.4</v>
      </c>
      <c r="L4" s="1" t="s">
        <v>53</v>
      </c>
      <c r="N4" s="1">
        <f t="shared" si="1"/>
        <v>310</v>
      </c>
      <c r="O4" s="1" t="s">
        <v>26</v>
      </c>
      <c r="R4" s="15">
        <f>61.62*100000</f>
        <v>6162000</v>
      </c>
      <c r="S4" s="15">
        <f>15.72*100000</f>
        <v>1572000</v>
      </c>
    </row>
    <row r="5" spans="1:33" x14ac:dyDescent="0.2">
      <c r="A5" s="1" t="s">
        <v>181</v>
      </c>
      <c r="B5" s="1" t="s">
        <v>46</v>
      </c>
      <c r="C5" s="18" t="s">
        <v>191</v>
      </c>
      <c r="D5" s="6" t="s">
        <v>232</v>
      </c>
      <c r="E5" s="6" t="b">
        <v>1</v>
      </c>
      <c r="F5" s="1">
        <v>10</v>
      </c>
      <c r="G5" s="1">
        <f t="shared" si="0"/>
        <v>1</v>
      </c>
      <c r="H5" s="1">
        <v>0.1</v>
      </c>
      <c r="I5" s="1">
        <v>0.1</v>
      </c>
      <c r="J5" s="1">
        <v>0.1</v>
      </c>
      <c r="K5" s="1">
        <v>7.4</v>
      </c>
      <c r="L5" s="1" t="s">
        <v>53</v>
      </c>
      <c r="N5" s="1">
        <f t="shared" si="1"/>
        <v>310</v>
      </c>
      <c r="O5" s="1" t="s">
        <v>26</v>
      </c>
      <c r="R5" s="15">
        <v>93000</v>
      </c>
      <c r="S5" s="15">
        <f>0.55*100000</f>
        <v>55000.000000000007</v>
      </c>
    </row>
    <row r="6" spans="1:33" x14ac:dyDescent="0.2">
      <c r="A6" s="1" t="s">
        <v>181</v>
      </c>
      <c r="B6" s="1" t="s">
        <v>47</v>
      </c>
      <c r="C6" s="18" t="s">
        <v>192</v>
      </c>
      <c r="D6" s="6" t="s">
        <v>232</v>
      </c>
      <c r="E6" s="6" t="b">
        <v>1</v>
      </c>
      <c r="F6" s="1">
        <v>10</v>
      </c>
      <c r="G6" s="1">
        <f t="shared" si="0"/>
        <v>1</v>
      </c>
      <c r="H6" s="1">
        <v>0.1</v>
      </c>
      <c r="I6" s="1">
        <v>0.1</v>
      </c>
      <c r="J6" s="1">
        <v>0.1</v>
      </c>
      <c r="K6" s="1">
        <v>7.4</v>
      </c>
      <c r="L6" s="1" t="s">
        <v>53</v>
      </c>
      <c r="N6" s="1">
        <f t="shared" si="1"/>
        <v>310</v>
      </c>
      <c r="O6" s="1" t="s">
        <v>26</v>
      </c>
      <c r="R6" s="15">
        <v>648000</v>
      </c>
      <c r="S6" s="15">
        <f>0.39*100000</f>
        <v>39000</v>
      </c>
    </row>
    <row r="7" spans="1:33" x14ac:dyDescent="0.2">
      <c r="A7" s="1" t="s">
        <v>181</v>
      </c>
      <c r="B7" s="1" t="s">
        <v>48</v>
      </c>
      <c r="C7" s="18" t="s">
        <v>193</v>
      </c>
      <c r="D7" s="6" t="s">
        <v>232</v>
      </c>
      <c r="E7" s="6" t="b">
        <v>1</v>
      </c>
      <c r="F7" s="1">
        <v>10</v>
      </c>
      <c r="G7" s="1">
        <f t="shared" si="0"/>
        <v>1</v>
      </c>
      <c r="H7" s="1">
        <v>0.1</v>
      </c>
      <c r="I7" s="1">
        <v>0.1</v>
      </c>
      <c r="J7" s="1">
        <v>0.1</v>
      </c>
      <c r="K7" s="1">
        <v>7.4</v>
      </c>
      <c r="L7" s="1" t="s">
        <v>53</v>
      </c>
      <c r="N7" s="1">
        <f t="shared" si="1"/>
        <v>310</v>
      </c>
      <c r="O7" s="1" t="s">
        <v>26</v>
      </c>
      <c r="R7" s="15">
        <f>17.99*100000</f>
        <v>1798999.9999999998</v>
      </c>
      <c r="S7" s="15">
        <f>1.44*100000</f>
        <v>144000</v>
      </c>
    </row>
    <row r="8" spans="1:33" x14ac:dyDescent="0.2">
      <c r="A8" s="1" t="s">
        <v>181</v>
      </c>
      <c r="B8" s="1" t="s">
        <v>44</v>
      </c>
      <c r="C8" s="18" t="s">
        <v>194</v>
      </c>
      <c r="D8" s="6" t="s">
        <v>232</v>
      </c>
      <c r="E8" s="6" t="b">
        <v>1</v>
      </c>
      <c r="F8" s="1">
        <v>10</v>
      </c>
      <c r="G8" s="1">
        <f t="shared" si="0"/>
        <v>20</v>
      </c>
      <c r="H8" s="1">
        <v>2</v>
      </c>
      <c r="I8" s="1">
        <v>2</v>
      </c>
      <c r="J8" s="1">
        <v>2</v>
      </c>
      <c r="K8" s="1">
        <v>7.4</v>
      </c>
      <c r="L8" s="1" t="s">
        <v>53</v>
      </c>
      <c r="N8" s="1">
        <f t="shared" si="1"/>
        <v>310</v>
      </c>
      <c r="O8" s="1" t="s">
        <v>26</v>
      </c>
      <c r="R8" s="15">
        <v>65000</v>
      </c>
      <c r="S8" s="15">
        <f>0.04*100000</f>
        <v>4000</v>
      </c>
    </row>
    <row r="9" spans="1:33" x14ac:dyDescent="0.2">
      <c r="A9" s="1" t="s">
        <v>182</v>
      </c>
      <c r="B9" s="1" t="s">
        <v>37</v>
      </c>
      <c r="C9" s="18" t="s">
        <v>195</v>
      </c>
      <c r="D9" s="6" t="s">
        <v>232</v>
      </c>
      <c r="E9" s="6" t="b">
        <v>1</v>
      </c>
      <c r="F9" s="1">
        <f>3*1000000/66430</f>
        <v>45.16031913292187</v>
      </c>
      <c r="G9" s="8">
        <f>20/214</f>
        <v>9.3457943925233641E-2</v>
      </c>
      <c r="H9" s="1">
        <f t="shared" ref="H9:H36" si="2">G9/F9</f>
        <v>2.0694704049844235E-3</v>
      </c>
      <c r="I9" s="1">
        <v>2.0694704049844235E-3</v>
      </c>
      <c r="J9" s="1">
        <v>2.0694704049844235E-3</v>
      </c>
      <c r="K9" s="1">
        <v>7.4</v>
      </c>
      <c r="L9" s="1" t="s">
        <v>39</v>
      </c>
      <c r="N9" s="1">
        <f t="shared" si="1"/>
        <v>310</v>
      </c>
      <c r="O9" s="1" t="s">
        <v>26</v>
      </c>
      <c r="R9" s="15">
        <v>23000</v>
      </c>
      <c r="S9" s="15">
        <v>4800</v>
      </c>
    </row>
    <row r="10" spans="1:33" x14ac:dyDescent="0.2">
      <c r="A10" s="1" t="s">
        <v>182</v>
      </c>
      <c r="B10" s="1" t="s">
        <v>40</v>
      </c>
      <c r="C10" s="18" t="s">
        <v>196</v>
      </c>
      <c r="D10" s="6" t="s">
        <v>232</v>
      </c>
      <c r="E10" s="6" t="b">
        <v>1</v>
      </c>
      <c r="F10" s="1">
        <f>1*1000000/66430</f>
        <v>15.053439710973958</v>
      </c>
      <c r="G10" s="8">
        <f>20/314</f>
        <v>6.3694267515923567E-2</v>
      </c>
      <c r="H10" s="1">
        <f t="shared" si="2"/>
        <v>4.2312101910828024E-3</v>
      </c>
      <c r="I10" s="1">
        <v>4.2312101910828024E-3</v>
      </c>
      <c r="J10" s="1">
        <v>4.2312101910828024E-3</v>
      </c>
      <c r="K10" s="1">
        <v>7.4</v>
      </c>
      <c r="L10" s="1" t="s">
        <v>39</v>
      </c>
      <c r="N10" s="1">
        <f t="shared" si="1"/>
        <v>310</v>
      </c>
      <c r="O10" s="1" t="s">
        <v>26</v>
      </c>
      <c r="R10" s="15">
        <v>180000</v>
      </c>
      <c r="S10" s="15">
        <v>16000</v>
      </c>
    </row>
    <row r="11" spans="1:33" x14ac:dyDescent="0.2">
      <c r="A11" s="1" t="s">
        <v>182</v>
      </c>
      <c r="B11" s="1" t="s">
        <v>41</v>
      </c>
      <c r="C11" s="18" t="s">
        <v>197</v>
      </c>
      <c r="D11" s="6" t="s">
        <v>232</v>
      </c>
      <c r="E11" s="6" t="b">
        <v>1</v>
      </c>
      <c r="F11" s="1">
        <f>0.1*1000000/66430</f>
        <v>1.5053439710973957</v>
      </c>
      <c r="G11" s="8">
        <f>20/364</f>
        <v>5.4945054945054944E-2</v>
      </c>
      <c r="H11" s="1">
        <f t="shared" si="2"/>
        <v>3.6499999999999998E-2</v>
      </c>
      <c r="I11" s="1">
        <v>3.6499999999999998E-2</v>
      </c>
      <c r="J11" s="1">
        <v>3.6499999999999998E-2</v>
      </c>
      <c r="K11" s="1">
        <v>7.4</v>
      </c>
      <c r="L11" s="1" t="s">
        <v>39</v>
      </c>
      <c r="N11" s="1">
        <f t="shared" si="1"/>
        <v>310</v>
      </c>
      <c r="O11" s="1" t="s">
        <v>26</v>
      </c>
      <c r="R11" s="15">
        <v>720000</v>
      </c>
      <c r="S11" s="15">
        <v>140000</v>
      </c>
    </row>
    <row r="12" spans="1:33" x14ac:dyDescent="0.2">
      <c r="A12" s="1" t="s">
        <v>182</v>
      </c>
      <c r="B12" s="1" t="s">
        <v>22</v>
      </c>
      <c r="C12" s="18" t="s">
        <v>188</v>
      </c>
      <c r="D12" s="6" t="s">
        <v>232</v>
      </c>
      <c r="E12" s="6" t="b">
        <v>1</v>
      </c>
      <c r="F12" s="1">
        <f>0.1*1000000/66430</f>
        <v>1.5053439710973957</v>
      </c>
      <c r="G12" s="8">
        <f>20/414</f>
        <v>4.8309178743961352E-2</v>
      </c>
      <c r="H12" s="1">
        <f t="shared" si="2"/>
        <v>3.209178743961353E-2</v>
      </c>
      <c r="I12" s="1">
        <v>3.209178743961353E-2</v>
      </c>
      <c r="J12" s="1">
        <v>3.209178743961353E-2</v>
      </c>
      <c r="K12" s="1">
        <v>7.4</v>
      </c>
      <c r="L12" s="1" t="s">
        <v>39</v>
      </c>
      <c r="N12" s="1">
        <f t="shared" si="1"/>
        <v>310</v>
      </c>
      <c r="O12" s="1" t="s">
        <v>26</v>
      </c>
      <c r="R12" s="15">
        <v>1100000</v>
      </c>
      <c r="S12" s="15">
        <v>110000</v>
      </c>
    </row>
    <row r="13" spans="1:33" x14ac:dyDescent="0.2">
      <c r="A13" s="1" t="s">
        <v>182</v>
      </c>
      <c r="B13" s="1" t="s">
        <v>30</v>
      </c>
      <c r="C13" s="18" t="s">
        <v>189</v>
      </c>
      <c r="D13" s="6" t="s">
        <v>232</v>
      </c>
      <c r="E13" s="6" t="b">
        <v>1</v>
      </c>
      <c r="F13" s="1">
        <f>0.05*1000000/66430</f>
        <v>0.75267198554869785</v>
      </c>
      <c r="G13" s="8">
        <f>20/464</f>
        <v>4.3103448275862072E-2</v>
      </c>
      <c r="H13" s="1">
        <f t="shared" si="2"/>
        <v>5.726724137931035E-2</v>
      </c>
      <c r="I13" s="1">
        <v>5.726724137931035E-2</v>
      </c>
      <c r="J13" s="1">
        <v>5.726724137931035E-2</v>
      </c>
      <c r="K13" s="1">
        <v>7.4</v>
      </c>
      <c r="L13" s="1" t="s">
        <v>39</v>
      </c>
      <c r="N13" s="1">
        <f t="shared" si="1"/>
        <v>310</v>
      </c>
      <c r="O13" s="1" t="s">
        <v>26</v>
      </c>
      <c r="R13" s="15">
        <v>1400000</v>
      </c>
      <c r="S13" s="15">
        <v>220000</v>
      </c>
    </row>
    <row r="14" spans="1:33" x14ac:dyDescent="0.2">
      <c r="A14" s="1" t="s">
        <v>182</v>
      </c>
      <c r="B14" s="1" t="s">
        <v>42</v>
      </c>
      <c r="C14" s="18" t="s">
        <v>190</v>
      </c>
      <c r="D14" s="6" t="s">
        <v>232</v>
      </c>
      <c r="E14" s="6" t="b">
        <v>1</v>
      </c>
      <c r="F14" s="1">
        <f>0.05*1000000/66430</f>
        <v>0.75267198554869785</v>
      </c>
      <c r="G14" s="8">
        <f>20/514</f>
        <v>3.8910505836575876E-2</v>
      </c>
      <c r="H14" s="1">
        <f t="shared" si="2"/>
        <v>5.169649805447471E-2</v>
      </c>
      <c r="I14" s="1">
        <v>5.169649805447471E-2</v>
      </c>
      <c r="J14" s="1">
        <v>5.169649805447471E-2</v>
      </c>
      <c r="K14" s="1">
        <v>7.4</v>
      </c>
      <c r="L14" s="1" t="s">
        <v>39</v>
      </c>
      <c r="N14" s="1">
        <f t="shared" si="1"/>
        <v>310</v>
      </c>
      <c r="O14" s="1" t="s">
        <v>26</v>
      </c>
      <c r="R14" s="15">
        <v>3600000</v>
      </c>
      <c r="S14" s="15">
        <v>310000</v>
      </c>
    </row>
    <row r="15" spans="1:33" x14ac:dyDescent="0.2">
      <c r="A15" s="1" t="s">
        <v>182</v>
      </c>
      <c r="B15" s="1" t="s">
        <v>43</v>
      </c>
      <c r="C15" s="18" t="s">
        <v>198</v>
      </c>
      <c r="D15" s="6" t="s">
        <v>232</v>
      </c>
      <c r="E15" s="6" t="b">
        <v>1</v>
      </c>
      <c r="F15" s="1">
        <f>0.025*1000000/66430</f>
        <v>0.37633599277434893</v>
      </c>
      <c r="G15" s="8">
        <f>20/564</f>
        <v>3.5460992907801421E-2</v>
      </c>
      <c r="H15" s="1">
        <f t="shared" si="2"/>
        <v>9.4226950354609942E-2</v>
      </c>
      <c r="I15" s="1">
        <v>9.4226950354609942E-2</v>
      </c>
      <c r="J15" s="1">
        <v>9.4226950354609942E-2</v>
      </c>
      <c r="K15" s="1">
        <v>7.4</v>
      </c>
      <c r="L15" s="1" t="s">
        <v>39</v>
      </c>
      <c r="N15" s="1">
        <f t="shared" si="1"/>
        <v>310</v>
      </c>
      <c r="O15" s="1" t="s">
        <v>26</v>
      </c>
      <c r="R15" s="15">
        <v>3100000</v>
      </c>
      <c r="S15" s="15">
        <v>1400000</v>
      </c>
    </row>
    <row r="16" spans="1:33" x14ac:dyDescent="0.2">
      <c r="A16" s="1" t="s">
        <v>182</v>
      </c>
      <c r="B16" s="19" t="s">
        <v>44</v>
      </c>
      <c r="C16" s="20" t="s">
        <v>194</v>
      </c>
      <c r="D16" s="6" t="s">
        <v>232</v>
      </c>
      <c r="E16" s="6" t="b">
        <v>1</v>
      </c>
      <c r="F16" s="1">
        <f>3*1000000/66430</f>
        <v>45.16031913292187</v>
      </c>
      <c r="G16" s="8">
        <f>20/330</f>
        <v>6.0606060606060608E-2</v>
      </c>
      <c r="H16" s="1">
        <f t="shared" si="2"/>
        <v>1.3420202020202022E-3</v>
      </c>
      <c r="I16" s="1">
        <v>1.3420202020202022E-3</v>
      </c>
      <c r="J16" s="1">
        <v>1.3420202020202022E-3</v>
      </c>
      <c r="K16" s="1">
        <v>7.4</v>
      </c>
      <c r="L16" s="1" t="s">
        <v>39</v>
      </c>
      <c r="N16" s="1">
        <f t="shared" si="1"/>
        <v>310</v>
      </c>
      <c r="O16" s="1" t="s">
        <v>26</v>
      </c>
      <c r="R16" s="15">
        <v>23000</v>
      </c>
      <c r="S16" s="15">
        <v>5000</v>
      </c>
    </row>
    <row r="17" spans="1:19" x14ac:dyDescent="0.2">
      <c r="A17" s="1" t="s">
        <v>182</v>
      </c>
      <c r="B17" s="1" t="s">
        <v>45</v>
      </c>
      <c r="C17" s="18" t="s">
        <v>220</v>
      </c>
      <c r="D17" s="6" t="s">
        <v>232</v>
      </c>
      <c r="E17" s="6" t="b">
        <v>1</v>
      </c>
      <c r="F17" s="1">
        <f>0.1*1000000/66430</f>
        <v>1.5053439710973957</v>
      </c>
      <c r="G17" s="8">
        <f>20/378</f>
        <v>5.2910052910052907E-2</v>
      </c>
      <c r="H17" s="1">
        <f t="shared" si="2"/>
        <v>3.5148148148148151E-2</v>
      </c>
      <c r="I17" s="1">
        <v>3.5148148148148151E-2</v>
      </c>
      <c r="J17" s="1">
        <v>3.5148148148148151E-2</v>
      </c>
      <c r="K17" s="1">
        <v>7.4</v>
      </c>
      <c r="L17" s="1" t="s">
        <v>39</v>
      </c>
      <c r="N17" s="1">
        <f t="shared" si="1"/>
        <v>310</v>
      </c>
      <c r="O17" s="1" t="s">
        <v>26</v>
      </c>
      <c r="R17" s="15">
        <v>180000</v>
      </c>
      <c r="S17" s="15">
        <v>47000</v>
      </c>
    </row>
    <row r="18" spans="1:19" x14ac:dyDescent="0.2">
      <c r="A18" s="1" t="s">
        <v>182</v>
      </c>
      <c r="B18" s="1" t="s">
        <v>46</v>
      </c>
      <c r="C18" s="18" t="s">
        <v>191</v>
      </c>
      <c r="D18" s="6" t="s">
        <v>232</v>
      </c>
      <c r="E18" s="6" t="b">
        <v>1</v>
      </c>
      <c r="F18" s="1">
        <f>1*1000000/66430</f>
        <v>15.053439710973958</v>
      </c>
      <c r="G18" s="8">
        <f>20/80</f>
        <v>0.25</v>
      </c>
      <c r="H18" s="1">
        <f t="shared" si="2"/>
        <v>1.6607500000000001E-2</v>
      </c>
      <c r="I18" s="1">
        <v>1.6607500000000001E-2</v>
      </c>
      <c r="J18" s="1">
        <v>1.6607500000000001E-2</v>
      </c>
      <c r="K18" s="1">
        <v>7.4</v>
      </c>
      <c r="L18" s="1" t="s">
        <v>39</v>
      </c>
      <c r="N18" s="1">
        <f t="shared" si="1"/>
        <v>310</v>
      </c>
      <c r="O18" s="1" t="s">
        <v>26</v>
      </c>
      <c r="R18" s="15">
        <v>110000</v>
      </c>
      <c r="S18" s="15">
        <v>28000</v>
      </c>
    </row>
    <row r="19" spans="1:19" x14ac:dyDescent="0.2">
      <c r="A19" s="1" t="s">
        <v>182</v>
      </c>
      <c r="B19" s="19" t="s">
        <v>47</v>
      </c>
      <c r="C19" s="20" t="s">
        <v>192</v>
      </c>
      <c r="D19" s="6" t="s">
        <v>232</v>
      </c>
      <c r="E19" s="6" t="b">
        <v>1</v>
      </c>
      <c r="F19" s="1">
        <f>0.05*1000000/66430</f>
        <v>0.75267198554869785</v>
      </c>
      <c r="G19" s="8">
        <f>20/400</f>
        <v>0.05</v>
      </c>
      <c r="H19" s="1">
        <f t="shared" si="2"/>
        <v>6.6430000000000003E-2</v>
      </c>
      <c r="I19" s="1">
        <v>6.6430000000000003E-2</v>
      </c>
      <c r="J19" s="1">
        <v>6.6430000000000003E-2</v>
      </c>
      <c r="K19" s="1">
        <v>7.4</v>
      </c>
      <c r="L19" s="1" t="s">
        <v>39</v>
      </c>
      <c r="N19" s="1">
        <f t="shared" si="1"/>
        <v>310</v>
      </c>
      <c r="O19" s="1" t="s">
        <v>26</v>
      </c>
      <c r="R19" s="15">
        <v>4400000</v>
      </c>
      <c r="S19" s="15">
        <v>350000</v>
      </c>
    </row>
    <row r="20" spans="1:19" x14ac:dyDescent="0.2">
      <c r="A20" s="1" t="s">
        <v>182</v>
      </c>
      <c r="B20" s="19" t="s">
        <v>48</v>
      </c>
      <c r="C20" s="20" t="s">
        <v>193</v>
      </c>
      <c r="D20" s="6" t="s">
        <v>232</v>
      </c>
      <c r="E20" s="6" t="b">
        <v>1</v>
      </c>
      <c r="F20" s="1">
        <f>0.025*1000000/66430</f>
        <v>0.37633599277434893</v>
      </c>
      <c r="G20" s="8">
        <f>20/500</f>
        <v>0.04</v>
      </c>
      <c r="H20" s="1">
        <f t="shared" si="2"/>
        <v>0.10628800000000001</v>
      </c>
      <c r="I20" s="1">
        <v>0.10628800000000001</v>
      </c>
      <c r="J20" s="1">
        <v>0.10628800000000001</v>
      </c>
      <c r="K20" s="1">
        <v>7.4</v>
      </c>
      <c r="L20" s="1" t="s">
        <v>39</v>
      </c>
      <c r="N20" s="1">
        <f t="shared" si="1"/>
        <v>310</v>
      </c>
      <c r="O20" s="1" t="s">
        <v>26</v>
      </c>
      <c r="R20" s="15">
        <v>3200000</v>
      </c>
      <c r="S20" s="15">
        <v>490000</v>
      </c>
    </row>
    <row r="21" spans="1:19" x14ac:dyDescent="0.2">
      <c r="A21" s="1" t="s">
        <v>182</v>
      </c>
      <c r="B21" s="1" t="s">
        <v>49</v>
      </c>
      <c r="C21" s="18" t="s">
        <v>199</v>
      </c>
      <c r="D21" s="6" t="s">
        <v>232</v>
      </c>
      <c r="E21" s="6" t="b">
        <v>1</v>
      </c>
      <c r="F21" s="1">
        <f>0.025*1000000/66430</f>
        <v>0.37633599277434893</v>
      </c>
      <c r="G21" s="8">
        <f>20/533</f>
        <v>3.7523452157598502E-2</v>
      </c>
      <c r="H21" s="1">
        <f t="shared" si="2"/>
        <v>9.9707317073170751E-2</v>
      </c>
      <c r="I21" s="1">
        <v>9.9707317073170751E-2</v>
      </c>
      <c r="J21" s="1">
        <v>9.9707317073170751E-2</v>
      </c>
      <c r="K21" s="1">
        <v>7.4</v>
      </c>
      <c r="L21" s="1" t="s">
        <v>39</v>
      </c>
      <c r="N21" s="1">
        <f t="shared" si="1"/>
        <v>310</v>
      </c>
      <c r="O21" s="1" t="s">
        <v>26</v>
      </c>
      <c r="R21" s="15">
        <v>6900000</v>
      </c>
      <c r="S21" s="15">
        <v>620000</v>
      </c>
    </row>
    <row r="22" spans="1:19" x14ac:dyDescent="0.2">
      <c r="A22" s="1" t="s">
        <v>182</v>
      </c>
      <c r="B22" s="1" t="s">
        <v>50</v>
      </c>
      <c r="C22" s="18" t="s">
        <v>200</v>
      </c>
      <c r="D22" s="6" t="s">
        <v>232</v>
      </c>
      <c r="E22" s="6" t="b">
        <v>1</v>
      </c>
      <c r="F22" s="1">
        <f>0.1*1000000/66430</f>
        <v>1.5053439710973957</v>
      </c>
      <c r="G22" s="8">
        <f>20/462</f>
        <v>4.3290043290043288E-2</v>
      </c>
      <c r="H22" s="1">
        <f t="shared" si="2"/>
        <v>2.8757575757575756E-2</v>
      </c>
      <c r="I22" s="1">
        <v>2.8757575757575756E-2</v>
      </c>
      <c r="J22" s="1">
        <v>2.8757575757575756E-2</v>
      </c>
      <c r="K22" s="1">
        <v>7.4</v>
      </c>
      <c r="L22" s="1" t="s">
        <v>39</v>
      </c>
      <c r="N22" s="1">
        <f t="shared" si="1"/>
        <v>310</v>
      </c>
      <c r="O22" s="1" t="s">
        <v>26</v>
      </c>
      <c r="R22" s="15">
        <v>2400000</v>
      </c>
      <c r="S22" s="15">
        <v>140000</v>
      </c>
    </row>
    <row r="23" spans="1:19" x14ac:dyDescent="0.2">
      <c r="A23" s="1" t="s">
        <v>182</v>
      </c>
      <c r="B23" s="1" t="s">
        <v>37</v>
      </c>
      <c r="C23" s="18" t="s">
        <v>195</v>
      </c>
      <c r="D23" s="6" t="s">
        <v>232</v>
      </c>
      <c r="E23" s="6" t="b">
        <v>0</v>
      </c>
      <c r="F23" s="1">
        <f>10*1000000/66430</f>
        <v>150.53439710973959</v>
      </c>
      <c r="G23" s="8">
        <f>20/214</f>
        <v>9.3457943925233641E-2</v>
      </c>
      <c r="H23" s="1">
        <f t="shared" si="2"/>
        <v>6.2084112149532705E-4</v>
      </c>
      <c r="I23" s="1">
        <v>2.0694704049844235E-3</v>
      </c>
      <c r="J23" s="1">
        <v>2.0694704049844235E-3</v>
      </c>
      <c r="K23" s="1">
        <v>7.4</v>
      </c>
      <c r="L23" s="1" t="s">
        <v>39</v>
      </c>
      <c r="N23" s="1">
        <f t="shared" si="1"/>
        <v>310</v>
      </c>
      <c r="O23" s="1" t="s">
        <v>26</v>
      </c>
      <c r="R23" s="15">
        <v>5400</v>
      </c>
      <c r="S23" s="15">
        <v>940</v>
      </c>
    </row>
    <row r="24" spans="1:19" x14ac:dyDescent="0.2">
      <c r="A24" s="1" t="s">
        <v>182</v>
      </c>
      <c r="B24" s="1" t="s">
        <v>40</v>
      </c>
      <c r="C24" s="18" t="s">
        <v>196</v>
      </c>
      <c r="D24" s="6" t="s">
        <v>232</v>
      </c>
      <c r="E24" s="6" t="b">
        <v>0</v>
      </c>
      <c r="F24" s="1">
        <f>1*1000000/66430</f>
        <v>15.053439710973958</v>
      </c>
      <c r="G24" s="8">
        <f>20/314</f>
        <v>6.3694267515923567E-2</v>
      </c>
      <c r="H24" s="1">
        <f t="shared" si="2"/>
        <v>4.2312101910828024E-3</v>
      </c>
      <c r="I24" s="1">
        <v>4.2312101910828024E-3</v>
      </c>
      <c r="J24" s="1">
        <v>4.2312101910828024E-3</v>
      </c>
      <c r="K24" s="1">
        <v>7.4</v>
      </c>
      <c r="L24" s="1" t="s">
        <v>39</v>
      </c>
      <c r="N24" s="1">
        <f t="shared" si="1"/>
        <v>310</v>
      </c>
      <c r="O24" s="1" t="s">
        <v>26</v>
      </c>
      <c r="R24" s="15">
        <v>70000</v>
      </c>
      <c r="S24" s="15">
        <v>11000</v>
      </c>
    </row>
    <row r="25" spans="1:19" x14ac:dyDescent="0.2">
      <c r="A25" s="1" t="s">
        <v>182</v>
      </c>
      <c r="B25" s="1" t="s">
        <v>41</v>
      </c>
      <c r="C25" s="18" t="s">
        <v>197</v>
      </c>
      <c r="D25" s="6" t="s">
        <v>232</v>
      </c>
      <c r="E25" s="6" t="b">
        <v>0</v>
      </c>
      <c r="F25" s="1">
        <f>0.5*1000000/66430</f>
        <v>7.526719855486979</v>
      </c>
      <c r="G25" s="8">
        <f>20/364</f>
        <v>5.4945054945054944E-2</v>
      </c>
      <c r="H25" s="1">
        <f t="shared" si="2"/>
        <v>7.3000000000000001E-3</v>
      </c>
      <c r="I25" s="1">
        <v>3.6499999999999998E-2</v>
      </c>
      <c r="J25" s="1">
        <v>3.6499999999999998E-2</v>
      </c>
      <c r="K25" s="1">
        <v>7.4</v>
      </c>
      <c r="L25" s="1" t="s">
        <v>39</v>
      </c>
      <c r="N25" s="1">
        <f t="shared" si="1"/>
        <v>310</v>
      </c>
      <c r="O25" s="1" t="s">
        <v>26</v>
      </c>
      <c r="R25" s="15">
        <v>410000</v>
      </c>
      <c r="S25" s="15">
        <v>46000</v>
      </c>
    </row>
    <row r="26" spans="1:19" x14ac:dyDescent="0.2">
      <c r="A26" s="1" t="s">
        <v>182</v>
      </c>
      <c r="B26" s="1" t="s">
        <v>22</v>
      </c>
      <c r="C26" s="18" t="s">
        <v>188</v>
      </c>
      <c r="D26" s="6" t="s">
        <v>232</v>
      </c>
      <c r="E26" s="6" t="b">
        <v>0</v>
      </c>
      <c r="F26" s="1">
        <f>0.1*1000000/66430</f>
        <v>1.5053439710973957</v>
      </c>
      <c r="G26" s="8">
        <f>20/414</f>
        <v>4.8309178743961352E-2</v>
      </c>
      <c r="H26" s="1">
        <f t="shared" si="2"/>
        <v>3.209178743961353E-2</v>
      </c>
      <c r="I26" s="1">
        <v>3.209178743961353E-2</v>
      </c>
      <c r="J26" s="1">
        <v>3.209178743961353E-2</v>
      </c>
      <c r="K26" s="1">
        <v>7.4</v>
      </c>
      <c r="L26" s="1" t="s">
        <v>39</v>
      </c>
      <c r="N26" s="1">
        <f t="shared" si="1"/>
        <v>310</v>
      </c>
      <c r="O26" s="1" t="s">
        <v>26</v>
      </c>
      <c r="R26" s="15">
        <v>1000000</v>
      </c>
      <c r="S26" s="15">
        <v>120000</v>
      </c>
    </row>
    <row r="27" spans="1:19" x14ac:dyDescent="0.2">
      <c r="A27" s="1" t="s">
        <v>182</v>
      </c>
      <c r="B27" s="1" t="s">
        <v>30</v>
      </c>
      <c r="C27" s="18" t="s">
        <v>189</v>
      </c>
      <c r="D27" s="6" t="s">
        <v>232</v>
      </c>
      <c r="E27" s="6" t="b">
        <v>0</v>
      </c>
      <c r="F27" s="1">
        <f>0.1*1000000/66430</f>
        <v>1.5053439710973957</v>
      </c>
      <c r="G27" s="8">
        <f>20/464</f>
        <v>4.3103448275862072E-2</v>
      </c>
      <c r="H27" s="1">
        <f t="shared" si="2"/>
        <v>2.8633620689655175E-2</v>
      </c>
      <c r="I27" s="1">
        <v>5.726724137931035E-2</v>
      </c>
      <c r="J27" s="1">
        <v>5.726724137931035E-2</v>
      </c>
      <c r="K27" s="1">
        <v>7.4</v>
      </c>
      <c r="L27" s="1" t="s">
        <v>39</v>
      </c>
      <c r="N27" s="1">
        <f t="shared" si="1"/>
        <v>310</v>
      </c>
      <c r="O27" s="1" t="s">
        <v>26</v>
      </c>
      <c r="R27" s="15">
        <v>2100000</v>
      </c>
      <c r="S27" s="15">
        <v>240000</v>
      </c>
    </row>
    <row r="28" spans="1:19" x14ac:dyDescent="0.2">
      <c r="A28" s="1" t="s">
        <v>182</v>
      </c>
      <c r="B28" s="1" t="s">
        <v>42</v>
      </c>
      <c r="C28" s="18" t="s">
        <v>190</v>
      </c>
      <c r="D28" s="6" t="s">
        <v>232</v>
      </c>
      <c r="E28" s="6" t="b">
        <v>0</v>
      </c>
      <c r="F28" s="1">
        <f>0.05*1000000/66430</f>
        <v>0.75267198554869785</v>
      </c>
      <c r="G28" s="8">
        <f>20/514</f>
        <v>3.8910505836575876E-2</v>
      </c>
      <c r="H28" s="1">
        <f t="shared" si="2"/>
        <v>5.169649805447471E-2</v>
      </c>
      <c r="I28" s="1">
        <v>5.169649805447471E-2</v>
      </c>
      <c r="J28" s="1">
        <v>5.169649805447471E-2</v>
      </c>
      <c r="K28" s="1">
        <v>7.4</v>
      </c>
      <c r="L28" s="1" t="s">
        <v>39</v>
      </c>
      <c r="N28" s="1">
        <f t="shared" si="1"/>
        <v>310</v>
      </c>
      <c r="O28" s="1" t="s">
        <v>26</v>
      </c>
      <c r="R28" s="15">
        <v>4700000</v>
      </c>
      <c r="S28" s="15">
        <v>560000</v>
      </c>
    </row>
    <row r="29" spans="1:19" x14ac:dyDescent="0.2">
      <c r="A29" s="1" t="s">
        <v>182</v>
      </c>
      <c r="B29" s="1" t="s">
        <v>43</v>
      </c>
      <c r="C29" s="18" t="s">
        <v>198</v>
      </c>
      <c r="D29" s="6" t="s">
        <v>232</v>
      </c>
      <c r="E29" s="6" t="b">
        <v>0</v>
      </c>
      <c r="F29" s="1">
        <f>0.025*1000000/66430</f>
        <v>0.37633599277434893</v>
      </c>
      <c r="G29" s="8">
        <f>20/564</f>
        <v>3.5460992907801421E-2</v>
      </c>
      <c r="H29" s="1">
        <f t="shared" si="2"/>
        <v>9.4226950354609942E-2</v>
      </c>
      <c r="I29" s="1">
        <v>9.4226950354609942E-2</v>
      </c>
      <c r="J29" s="1">
        <v>9.4226950354609942E-2</v>
      </c>
      <c r="K29" s="1">
        <v>7.4</v>
      </c>
      <c r="L29" s="1" t="s">
        <v>39</v>
      </c>
      <c r="N29" s="1">
        <f t="shared" si="1"/>
        <v>310</v>
      </c>
      <c r="O29" s="1" t="s">
        <v>26</v>
      </c>
      <c r="R29" s="15">
        <v>3600000</v>
      </c>
      <c r="S29" s="15">
        <v>910000</v>
      </c>
    </row>
    <row r="30" spans="1:19" x14ac:dyDescent="0.2">
      <c r="A30" s="1" t="s">
        <v>182</v>
      </c>
      <c r="B30" s="19" t="s">
        <v>44</v>
      </c>
      <c r="C30" s="20" t="s">
        <v>194</v>
      </c>
      <c r="D30" s="6" t="s">
        <v>232</v>
      </c>
      <c r="E30" s="6" t="b">
        <v>0</v>
      </c>
      <c r="F30" s="1">
        <f>3*1000000/66430</f>
        <v>45.16031913292187</v>
      </c>
      <c r="G30" s="8">
        <f>20/330</f>
        <v>6.0606060606060608E-2</v>
      </c>
      <c r="H30" s="1">
        <f t="shared" si="2"/>
        <v>1.3420202020202022E-3</v>
      </c>
      <c r="I30" s="1">
        <v>1.3420202020202022E-3</v>
      </c>
      <c r="J30" s="1">
        <v>1.3420202020202022E-3</v>
      </c>
      <c r="K30" s="1">
        <v>7.4</v>
      </c>
      <c r="L30" s="1" t="s">
        <v>39</v>
      </c>
      <c r="N30" s="1">
        <f t="shared" si="1"/>
        <v>310</v>
      </c>
      <c r="O30" s="1" t="s">
        <v>26</v>
      </c>
      <c r="R30" s="15">
        <v>34000</v>
      </c>
      <c r="S30" s="15">
        <v>3400</v>
      </c>
    </row>
    <row r="31" spans="1:19" x14ac:dyDescent="0.2">
      <c r="A31" s="1" t="s">
        <v>182</v>
      </c>
      <c r="B31" s="1" t="s">
        <v>45</v>
      </c>
      <c r="C31" s="18" t="s">
        <v>220</v>
      </c>
      <c r="D31" s="6" t="s">
        <v>232</v>
      </c>
      <c r="E31" s="6" t="b">
        <v>0</v>
      </c>
      <c r="F31" s="1">
        <f>0.5*1000000/66430</f>
        <v>7.526719855486979</v>
      </c>
      <c r="G31" s="8">
        <f>20/378</f>
        <v>5.2910052910052907E-2</v>
      </c>
      <c r="H31" s="1">
        <f t="shared" si="2"/>
        <v>7.0296296296296287E-3</v>
      </c>
      <c r="I31" s="1">
        <v>3.5148148148148151E-2</v>
      </c>
      <c r="J31" s="1">
        <v>3.5148148148148151E-2</v>
      </c>
      <c r="K31" s="1">
        <v>7.4</v>
      </c>
      <c r="L31" s="1" t="s">
        <v>39</v>
      </c>
      <c r="N31" s="1">
        <f t="shared" si="1"/>
        <v>310</v>
      </c>
      <c r="O31" s="1" t="s">
        <v>26</v>
      </c>
      <c r="R31" s="15">
        <v>420000</v>
      </c>
      <c r="S31" s="15">
        <v>42000</v>
      </c>
    </row>
    <row r="32" spans="1:19" x14ac:dyDescent="0.2">
      <c r="A32" s="1" t="s">
        <v>182</v>
      </c>
      <c r="B32" s="1" t="s">
        <v>46</v>
      </c>
      <c r="C32" s="18" t="s">
        <v>191</v>
      </c>
      <c r="D32" s="6" t="s">
        <v>232</v>
      </c>
      <c r="E32" s="6" t="b">
        <v>0</v>
      </c>
      <c r="F32" s="1">
        <f>2*1000000/66430</f>
        <v>30.106879421947916</v>
      </c>
      <c r="G32" s="8">
        <f>20/80</f>
        <v>0.25</v>
      </c>
      <c r="H32" s="1">
        <f t="shared" si="2"/>
        <v>8.3037500000000004E-3</v>
      </c>
      <c r="I32" s="1">
        <v>1.6607500000000001E-2</v>
      </c>
      <c r="J32" s="1">
        <v>1.6607500000000001E-2</v>
      </c>
      <c r="K32" s="1">
        <v>7.4</v>
      </c>
      <c r="L32" s="1" t="s">
        <v>39</v>
      </c>
      <c r="N32" s="1">
        <f t="shared" si="1"/>
        <v>310</v>
      </c>
      <c r="O32" s="1" t="s">
        <v>26</v>
      </c>
      <c r="R32" s="15">
        <v>31000</v>
      </c>
      <c r="S32" s="15">
        <v>7500</v>
      </c>
    </row>
    <row r="33" spans="1:21" x14ac:dyDescent="0.2">
      <c r="A33" s="1" t="s">
        <v>182</v>
      </c>
      <c r="B33" s="19" t="s">
        <v>47</v>
      </c>
      <c r="C33" s="20" t="s">
        <v>192</v>
      </c>
      <c r="D33" s="6" t="s">
        <v>232</v>
      </c>
      <c r="E33" s="6" t="b">
        <v>0</v>
      </c>
      <c r="F33" s="1">
        <f>0.05*1000000/66430</f>
        <v>0.75267198554869785</v>
      </c>
      <c r="G33" s="8">
        <f>20/400</f>
        <v>0.05</v>
      </c>
      <c r="H33" s="1">
        <f t="shared" si="2"/>
        <v>6.6430000000000003E-2</v>
      </c>
      <c r="I33" s="1">
        <v>6.6430000000000003E-2</v>
      </c>
      <c r="J33" s="1">
        <v>6.6430000000000003E-2</v>
      </c>
      <c r="K33" s="1">
        <v>7.4</v>
      </c>
      <c r="L33" s="1" t="s">
        <v>39</v>
      </c>
      <c r="N33" s="1">
        <f t="shared" si="1"/>
        <v>310</v>
      </c>
      <c r="O33" s="1" t="s">
        <v>26</v>
      </c>
      <c r="R33" s="15">
        <v>2200000</v>
      </c>
      <c r="S33" s="15">
        <v>710000</v>
      </c>
    </row>
    <row r="34" spans="1:21" x14ac:dyDescent="0.2">
      <c r="A34" s="1" t="s">
        <v>182</v>
      </c>
      <c r="B34" s="19" t="s">
        <v>48</v>
      </c>
      <c r="C34" s="20" t="s">
        <v>193</v>
      </c>
      <c r="D34" s="6" t="s">
        <v>232</v>
      </c>
      <c r="E34" s="6" t="b">
        <v>0</v>
      </c>
      <c r="F34" s="1">
        <f>0.1*1000000/66430</f>
        <v>1.5053439710973957</v>
      </c>
      <c r="G34" s="8">
        <f>20/500</f>
        <v>0.04</v>
      </c>
      <c r="H34" s="1">
        <f t="shared" si="2"/>
        <v>2.6572000000000002E-2</v>
      </c>
      <c r="I34" s="1">
        <v>0.10628800000000001</v>
      </c>
      <c r="J34" s="1">
        <v>0.10628800000000001</v>
      </c>
      <c r="K34" s="1">
        <v>7.4</v>
      </c>
      <c r="L34" s="1" t="s">
        <v>39</v>
      </c>
      <c r="N34" s="1">
        <f t="shared" si="1"/>
        <v>310</v>
      </c>
      <c r="O34" s="1" t="s">
        <v>26</v>
      </c>
      <c r="R34" s="15">
        <v>4700000</v>
      </c>
      <c r="S34" s="15">
        <v>1200000</v>
      </c>
    </row>
    <row r="35" spans="1:21" x14ac:dyDescent="0.2">
      <c r="A35" s="1" t="s">
        <v>182</v>
      </c>
      <c r="B35" s="1" t="s">
        <v>49</v>
      </c>
      <c r="C35" s="18" t="s">
        <v>199</v>
      </c>
      <c r="D35" s="6" t="s">
        <v>232</v>
      </c>
      <c r="E35" s="6" t="b">
        <v>0</v>
      </c>
      <c r="F35" s="1">
        <f>0.025*1000000/66430</f>
        <v>0.37633599277434893</v>
      </c>
      <c r="G35" s="8">
        <f>20/533</f>
        <v>3.7523452157598502E-2</v>
      </c>
      <c r="H35" s="1">
        <f t="shared" si="2"/>
        <v>9.9707317073170751E-2</v>
      </c>
      <c r="I35" s="1">
        <v>9.9707317073170751E-2</v>
      </c>
      <c r="J35" s="1">
        <v>9.9707317073170751E-2</v>
      </c>
      <c r="K35" s="1">
        <v>7.4</v>
      </c>
      <c r="L35" s="1" t="s">
        <v>39</v>
      </c>
      <c r="N35" s="1">
        <f t="shared" si="1"/>
        <v>310</v>
      </c>
      <c r="O35" s="1" t="s">
        <v>26</v>
      </c>
      <c r="R35" s="15">
        <v>7200000</v>
      </c>
      <c r="S35" s="15">
        <v>520000</v>
      </c>
    </row>
    <row r="36" spans="1:21" x14ac:dyDescent="0.2">
      <c r="A36" s="1" t="s">
        <v>182</v>
      </c>
      <c r="B36" s="1" t="s">
        <v>50</v>
      </c>
      <c r="C36" s="18" t="s">
        <v>200</v>
      </c>
      <c r="D36" s="6" t="s">
        <v>232</v>
      </c>
      <c r="E36" s="6" t="b">
        <v>0</v>
      </c>
      <c r="F36" s="1">
        <f>0.1*1000000/66430</f>
        <v>1.5053439710973957</v>
      </c>
      <c r="G36" s="8">
        <f>20/462</f>
        <v>4.3290043290043288E-2</v>
      </c>
      <c r="H36" s="1">
        <f t="shared" si="2"/>
        <v>2.8757575757575756E-2</v>
      </c>
      <c r="I36" s="1">
        <v>2.8757575757575756E-2</v>
      </c>
      <c r="J36" s="1">
        <v>2.8757575757575756E-2</v>
      </c>
      <c r="K36" s="1">
        <v>7.4</v>
      </c>
      <c r="L36" s="1" t="s">
        <v>39</v>
      </c>
      <c r="N36" s="1">
        <f t="shared" si="1"/>
        <v>310</v>
      </c>
      <c r="O36" s="1" t="s">
        <v>26</v>
      </c>
      <c r="R36" s="15">
        <v>1300000</v>
      </c>
      <c r="S36" s="15">
        <v>86000</v>
      </c>
    </row>
    <row r="37" spans="1:21" s="17" customFormat="1" x14ac:dyDescent="0.2">
      <c r="A37" s="17" t="s">
        <v>113</v>
      </c>
      <c r="B37" s="22" t="s">
        <v>48</v>
      </c>
      <c r="C37" s="23" t="s">
        <v>193</v>
      </c>
      <c r="D37" s="24" t="s">
        <v>233</v>
      </c>
      <c r="E37" s="24" t="b">
        <v>1</v>
      </c>
      <c r="F37" s="17">
        <v>6</v>
      </c>
      <c r="G37" s="16" t="s">
        <v>115</v>
      </c>
      <c r="H37" s="17" t="s">
        <v>116</v>
      </c>
      <c r="I37" s="17">
        <v>0.33</v>
      </c>
      <c r="J37" s="17">
        <v>2</v>
      </c>
      <c r="K37" s="17">
        <v>6.4</v>
      </c>
      <c r="N37" s="17">
        <v>310</v>
      </c>
      <c r="O37" s="17" t="s">
        <v>161</v>
      </c>
      <c r="P37" s="17" t="s">
        <v>117</v>
      </c>
      <c r="R37" s="25">
        <f t="shared" ref="R37:R43" si="3">1/T37</f>
        <v>12500000</v>
      </c>
      <c r="S37" s="25"/>
      <c r="T37" s="26">
        <v>8.0000000000000002E-8</v>
      </c>
      <c r="U37" s="17">
        <v>2</v>
      </c>
    </row>
    <row r="38" spans="1:21" s="17" customFormat="1" x14ac:dyDescent="0.2">
      <c r="A38" s="17" t="s">
        <v>113</v>
      </c>
      <c r="B38" s="17" t="s">
        <v>118</v>
      </c>
      <c r="C38" s="27" t="s">
        <v>228</v>
      </c>
      <c r="D38" s="24" t="s">
        <v>233</v>
      </c>
      <c r="E38" s="24" t="b">
        <v>1</v>
      </c>
      <c r="F38" s="17">
        <v>6</v>
      </c>
      <c r="G38" s="16" t="s">
        <v>115</v>
      </c>
      <c r="H38" s="17" t="s">
        <v>116</v>
      </c>
      <c r="I38" s="17">
        <v>0.33</v>
      </c>
      <c r="J38" s="17">
        <v>2</v>
      </c>
      <c r="K38" s="17">
        <v>6.4</v>
      </c>
      <c r="N38" s="17">
        <v>310</v>
      </c>
      <c r="O38" s="17" t="s">
        <v>161</v>
      </c>
      <c r="P38" s="17" t="s">
        <v>117</v>
      </c>
      <c r="R38" s="25">
        <f t="shared" si="3"/>
        <v>2500</v>
      </c>
      <c r="S38" s="25"/>
      <c r="T38" s="26">
        <v>4.0000000000000002E-4</v>
      </c>
      <c r="U38" s="17">
        <v>0.5</v>
      </c>
    </row>
    <row r="39" spans="1:21" s="17" customFormat="1" x14ac:dyDescent="0.2">
      <c r="A39" s="17" t="s">
        <v>113</v>
      </c>
      <c r="B39" s="17" t="s">
        <v>119</v>
      </c>
      <c r="C39" s="27" t="s">
        <v>227</v>
      </c>
      <c r="D39" s="24" t="s">
        <v>233</v>
      </c>
      <c r="E39" s="24" t="b">
        <v>1</v>
      </c>
      <c r="F39" s="17">
        <v>6</v>
      </c>
      <c r="G39" s="16" t="s">
        <v>115</v>
      </c>
      <c r="H39" s="17" t="s">
        <v>116</v>
      </c>
      <c r="I39" s="17">
        <v>0.33</v>
      </c>
      <c r="J39" s="17">
        <v>2</v>
      </c>
      <c r="K39" s="17">
        <v>6.4</v>
      </c>
      <c r="N39" s="17">
        <v>310</v>
      </c>
      <c r="O39" s="17" t="s">
        <v>161</v>
      </c>
      <c r="P39" s="17" t="s">
        <v>117</v>
      </c>
      <c r="R39" s="25">
        <f t="shared" si="3"/>
        <v>12499.999999999998</v>
      </c>
      <c r="S39" s="25"/>
      <c r="T39" s="26">
        <v>8.0000000000000007E-5</v>
      </c>
      <c r="U39" s="17">
        <v>0.3</v>
      </c>
    </row>
    <row r="40" spans="1:21" s="17" customFormat="1" x14ac:dyDescent="0.2">
      <c r="A40" s="17" t="s">
        <v>113</v>
      </c>
      <c r="B40" s="17" t="s">
        <v>120</v>
      </c>
      <c r="C40" s="27" t="s">
        <v>226</v>
      </c>
      <c r="D40" s="24" t="s">
        <v>233</v>
      </c>
      <c r="E40" s="24" t="b">
        <v>1</v>
      </c>
      <c r="F40" s="17">
        <v>6</v>
      </c>
      <c r="G40" s="16" t="s">
        <v>115</v>
      </c>
      <c r="H40" s="17" t="s">
        <v>116</v>
      </c>
      <c r="I40" s="17">
        <v>0.33</v>
      </c>
      <c r="J40" s="17">
        <v>2</v>
      </c>
      <c r="K40" s="17">
        <v>6.4</v>
      </c>
      <c r="N40" s="17">
        <v>310</v>
      </c>
      <c r="O40" s="17" t="s">
        <v>161</v>
      </c>
      <c r="P40" s="17" t="s">
        <v>117</v>
      </c>
      <c r="R40" s="25">
        <f t="shared" si="3"/>
        <v>11111.111111111111</v>
      </c>
      <c r="S40" s="25"/>
      <c r="T40" s="26">
        <v>9.0000000000000006E-5</v>
      </c>
      <c r="U40" s="17">
        <v>0.6</v>
      </c>
    </row>
    <row r="41" spans="1:21" s="17" customFormat="1" x14ac:dyDescent="0.2">
      <c r="A41" s="17" t="s">
        <v>113</v>
      </c>
      <c r="B41" s="17" t="s">
        <v>22</v>
      </c>
      <c r="C41" s="28" t="s">
        <v>188</v>
      </c>
      <c r="D41" s="24" t="s">
        <v>233</v>
      </c>
      <c r="E41" s="24" t="b">
        <v>1</v>
      </c>
      <c r="F41" s="17">
        <v>6</v>
      </c>
      <c r="G41" s="16" t="s">
        <v>115</v>
      </c>
      <c r="H41" s="17" t="s">
        <v>116</v>
      </c>
      <c r="I41" s="17">
        <v>0.33</v>
      </c>
      <c r="J41" s="17">
        <v>2</v>
      </c>
      <c r="K41" s="17">
        <v>6.4</v>
      </c>
      <c r="N41" s="17">
        <v>310</v>
      </c>
      <c r="O41" s="17" t="s">
        <v>161</v>
      </c>
      <c r="P41" s="17" t="s">
        <v>117</v>
      </c>
      <c r="R41" s="25">
        <f t="shared" si="3"/>
        <v>10000</v>
      </c>
      <c r="S41" s="25"/>
      <c r="T41" s="26">
        <v>1E-4</v>
      </c>
      <c r="U41" s="17">
        <v>2</v>
      </c>
    </row>
    <row r="42" spans="1:21" s="17" customFormat="1" x14ac:dyDescent="0.2">
      <c r="A42" s="17" t="s">
        <v>113</v>
      </c>
      <c r="B42" s="17" t="s">
        <v>121</v>
      </c>
      <c r="C42" s="28" t="s">
        <v>229</v>
      </c>
      <c r="D42" s="24" t="s">
        <v>233</v>
      </c>
      <c r="E42" s="24" t="b">
        <v>1</v>
      </c>
      <c r="F42" s="17">
        <v>6</v>
      </c>
      <c r="G42" s="16" t="s">
        <v>115</v>
      </c>
      <c r="H42" s="17" t="s">
        <v>116</v>
      </c>
      <c r="I42" s="17">
        <v>0.33</v>
      </c>
      <c r="J42" s="17">
        <v>2</v>
      </c>
      <c r="K42" s="17">
        <v>6.4</v>
      </c>
      <c r="N42" s="17">
        <v>310</v>
      </c>
      <c r="O42" s="17" t="s">
        <v>161</v>
      </c>
      <c r="P42" s="17" t="s">
        <v>117</v>
      </c>
      <c r="R42" s="25">
        <f t="shared" si="3"/>
        <v>2500</v>
      </c>
      <c r="S42" s="25"/>
      <c r="T42" s="26">
        <v>4.0000000000000002E-4</v>
      </c>
      <c r="U42" s="17">
        <v>0.5</v>
      </c>
    </row>
    <row r="43" spans="1:21" s="17" customFormat="1" x14ac:dyDescent="0.2">
      <c r="A43" s="17" t="s">
        <v>113</v>
      </c>
      <c r="B43" s="17" t="s">
        <v>122</v>
      </c>
      <c r="C43" s="27" t="s">
        <v>230</v>
      </c>
      <c r="D43" s="24" t="s">
        <v>233</v>
      </c>
      <c r="E43" s="24" t="b">
        <v>1</v>
      </c>
      <c r="F43" s="17">
        <v>6</v>
      </c>
      <c r="G43" s="16" t="s">
        <v>115</v>
      </c>
      <c r="H43" s="17" t="s">
        <v>116</v>
      </c>
      <c r="I43" s="17">
        <v>0.33</v>
      </c>
      <c r="J43" s="17">
        <v>2</v>
      </c>
      <c r="K43" s="17">
        <v>6.4</v>
      </c>
      <c r="N43" s="17">
        <v>310</v>
      </c>
      <c r="O43" s="17" t="s">
        <v>161</v>
      </c>
      <c r="P43" s="17" t="s">
        <v>117</v>
      </c>
      <c r="R43" s="25">
        <f t="shared" si="3"/>
        <v>3333.3333333333335</v>
      </c>
      <c r="S43" s="25"/>
      <c r="T43" s="26">
        <v>2.9999999999999997E-4</v>
      </c>
      <c r="U43" s="17">
        <v>0.7</v>
      </c>
    </row>
    <row r="44" spans="1:21" s="17" customFormat="1" x14ac:dyDescent="0.2">
      <c r="A44" s="17" t="s">
        <v>183</v>
      </c>
      <c r="B44" s="17" t="s">
        <v>22</v>
      </c>
      <c r="C44" s="28" t="s">
        <v>188</v>
      </c>
      <c r="D44" s="24" t="s">
        <v>232</v>
      </c>
      <c r="E44" s="24"/>
      <c r="F44" s="17">
        <v>1</v>
      </c>
      <c r="G44" s="29"/>
      <c r="H44" s="17" t="s">
        <v>24</v>
      </c>
      <c r="I44" s="17">
        <v>0.04</v>
      </c>
      <c r="J44" s="17">
        <v>5</v>
      </c>
      <c r="K44" s="17">
        <v>7.4</v>
      </c>
      <c r="L44" s="17" t="s">
        <v>25</v>
      </c>
      <c r="M44" s="17">
        <v>0.05</v>
      </c>
      <c r="N44" s="17">
        <v>294</v>
      </c>
      <c r="O44" s="17" t="s">
        <v>26</v>
      </c>
      <c r="Q44" s="17" t="s">
        <v>27</v>
      </c>
      <c r="R44" s="25">
        <v>200000</v>
      </c>
      <c r="S44" s="25"/>
      <c r="U44" s="17">
        <v>4.3</v>
      </c>
    </row>
    <row r="45" spans="1:21" s="17" customFormat="1" x14ac:dyDescent="0.2">
      <c r="A45" s="17" t="s">
        <v>183</v>
      </c>
      <c r="B45" s="17" t="s">
        <v>22</v>
      </c>
      <c r="C45" s="23" t="s">
        <v>188</v>
      </c>
      <c r="D45" s="24" t="s">
        <v>232</v>
      </c>
      <c r="E45" s="24"/>
      <c r="F45" s="17">
        <v>1</v>
      </c>
      <c r="G45" s="29"/>
      <c r="H45" s="17" t="s">
        <v>28</v>
      </c>
      <c r="I45" s="17">
        <v>0.04</v>
      </c>
      <c r="J45" s="17">
        <v>70</v>
      </c>
      <c r="K45" s="17">
        <v>7.4</v>
      </c>
      <c r="L45" s="17" t="s">
        <v>25</v>
      </c>
      <c r="M45" s="17">
        <v>0.05</v>
      </c>
      <c r="N45" s="17">
        <v>294</v>
      </c>
      <c r="O45" s="17" t="s">
        <v>26</v>
      </c>
      <c r="Q45" s="17" t="s">
        <v>29</v>
      </c>
      <c r="R45" s="25">
        <v>1400000</v>
      </c>
      <c r="S45" s="25"/>
      <c r="U45" s="17">
        <v>1.4</v>
      </c>
    </row>
    <row r="46" spans="1:21" s="17" customFormat="1" x14ac:dyDescent="0.2">
      <c r="A46" s="17" t="s">
        <v>183</v>
      </c>
      <c r="B46" s="17" t="s">
        <v>30</v>
      </c>
      <c r="C46" s="28" t="s">
        <v>189</v>
      </c>
      <c r="D46" s="24" t="s">
        <v>232</v>
      </c>
      <c r="E46" s="24"/>
      <c r="F46" s="17">
        <v>1</v>
      </c>
      <c r="G46" s="29"/>
      <c r="H46" s="17" t="s">
        <v>31</v>
      </c>
      <c r="I46" s="17">
        <v>0.02</v>
      </c>
      <c r="J46" s="17">
        <v>5</v>
      </c>
      <c r="K46" s="17">
        <v>7.4</v>
      </c>
      <c r="L46" s="17" t="s">
        <v>25</v>
      </c>
      <c r="M46" s="17">
        <v>0.05</v>
      </c>
      <c r="N46" s="17">
        <v>294</v>
      </c>
      <c r="O46" s="17" t="s">
        <v>26</v>
      </c>
      <c r="Q46" s="17" t="s">
        <v>27</v>
      </c>
      <c r="R46" s="25">
        <v>1100000</v>
      </c>
      <c r="S46" s="25"/>
      <c r="U46" s="17">
        <v>4.5999999999999996</v>
      </c>
    </row>
    <row r="47" spans="1:21" s="17" customFormat="1" x14ac:dyDescent="0.2">
      <c r="A47" s="17" t="s">
        <v>183</v>
      </c>
      <c r="B47" s="17" t="s">
        <v>30</v>
      </c>
      <c r="C47" s="28" t="s">
        <v>189</v>
      </c>
      <c r="D47" s="24" t="s">
        <v>232</v>
      </c>
      <c r="E47" s="24"/>
      <c r="F47" s="17">
        <v>1</v>
      </c>
      <c r="G47" s="29"/>
      <c r="H47" s="17" t="s">
        <v>32</v>
      </c>
      <c r="I47" s="17">
        <v>0.02</v>
      </c>
      <c r="J47" s="17">
        <v>120</v>
      </c>
      <c r="K47" s="17">
        <v>7.4</v>
      </c>
      <c r="L47" s="17" t="s">
        <v>25</v>
      </c>
      <c r="M47" s="17">
        <v>0.05</v>
      </c>
      <c r="N47" s="17">
        <v>294</v>
      </c>
      <c r="O47" s="17" t="s">
        <v>26</v>
      </c>
      <c r="Q47" s="17" t="s">
        <v>29</v>
      </c>
      <c r="R47" s="25">
        <v>3300000</v>
      </c>
      <c r="S47" s="25"/>
      <c r="U47" s="17">
        <v>2.9</v>
      </c>
    </row>
    <row r="48" spans="1:21" s="17" customFormat="1" x14ac:dyDescent="0.2">
      <c r="A48" s="17" t="s">
        <v>183</v>
      </c>
      <c r="B48" s="17" t="s">
        <v>30</v>
      </c>
      <c r="C48" s="28" t="s">
        <v>189</v>
      </c>
      <c r="D48" s="24" t="s">
        <v>233</v>
      </c>
      <c r="E48" s="24"/>
      <c r="F48" s="17">
        <v>500</v>
      </c>
      <c r="G48" s="29"/>
      <c r="H48" s="26">
        <v>50000</v>
      </c>
      <c r="I48" s="26">
        <v>50000</v>
      </c>
      <c r="J48" s="26">
        <v>50000</v>
      </c>
      <c r="K48" s="17">
        <v>7.4</v>
      </c>
      <c r="L48" s="17" t="s">
        <v>25</v>
      </c>
      <c r="M48" s="17">
        <v>1.05</v>
      </c>
      <c r="N48" s="17">
        <v>295</v>
      </c>
      <c r="O48" s="17" t="s">
        <v>26</v>
      </c>
      <c r="R48" s="25">
        <v>2100000</v>
      </c>
      <c r="S48" s="25"/>
      <c r="U48" s="17">
        <v>3</v>
      </c>
    </row>
    <row r="49" spans="1:27" s="17" customFormat="1" x14ac:dyDescent="0.2">
      <c r="A49" s="17" t="s">
        <v>183</v>
      </c>
      <c r="B49" s="17" t="s">
        <v>22</v>
      </c>
      <c r="C49" s="23" t="s">
        <v>188</v>
      </c>
      <c r="D49" s="24" t="s">
        <v>232</v>
      </c>
      <c r="E49" s="24"/>
      <c r="F49" s="17">
        <v>0.05</v>
      </c>
      <c r="G49" s="29"/>
      <c r="H49" s="17" t="s">
        <v>33</v>
      </c>
      <c r="I49" s="17">
        <v>0.1</v>
      </c>
      <c r="J49" s="17">
        <v>4</v>
      </c>
      <c r="K49" s="17">
        <v>7</v>
      </c>
      <c r="L49" s="17" t="s">
        <v>34</v>
      </c>
      <c r="M49" s="17">
        <v>8.9999999999999993E-3</v>
      </c>
      <c r="O49" s="17" t="s">
        <v>35</v>
      </c>
      <c r="R49" s="25">
        <v>130000</v>
      </c>
      <c r="S49" s="25"/>
      <c r="U49" s="17" t="s">
        <v>36</v>
      </c>
    </row>
    <row r="50" spans="1:27" s="17" customFormat="1" x14ac:dyDescent="0.2">
      <c r="A50" s="17" t="s">
        <v>183</v>
      </c>
      <c r="B50" s="17" t="s">
        <v>30</v>
      </c>
      <c r="C50" s="28" t="s">
        <v>189</v>
      </c>
      <c r="D50" s="24" t="s">
        <v>232</v>
      </c>
      <c r="E50" s="24"/>
      <c r="F50" s="17">
        <v>0.05</v>
      </c>
      <c r="G50" s="29"/>
      <c r="H50" s="17" t="s">
        <v>33</v>
      </c>
      <c r="I50" s="17">
        <v>0.1</v>
      </c>
      <c r="J50" s="17">
        <v>4</v>
      </c>
      <c r="K50" s="17">
        <v>7</v>
      </c>
      <c r="L50" s="17" t="s">
        <v>34</v>
      </c>
      <c r="M50" s="17">
        <v>8.9999999999999993E-3</v>
      </c>
      <c r="O50" s="17" t="s">
        <v>35</v>
      </c>
      <c r="R50" s="25">
        <v>260000</v>
      </c>
      <c r="S50" s="25"/>
      <c r="U50" s="17" t="s">
        <v>36</v>
      </c>
    </row>
    <row r="51" spans="1:27" s="17" customFormat="1" x14ac:dyDescent="0.2">
      <c r="A51" s="17" t="s">
        <v>183</v>
      </c>
      <c r="B51" s="17" t="s">
        <v>30</v>
      </c>
      <c r="C51" s="28" t="s">
        <v>189</v>
      </c>
      <c r="D51" s="24" t="s">
        <v>232</v>
      </c>
      <c r="E51" s="24"/>
      <c r="F51" s="17">
        <v>1</v>
      </c>
      <c r="G51" s="29"/>
      <c r="H51" s="26">
        <v>50000</v>
      </c>
      <c r="I51" s="26">
        <v>50000</v>
      </c>
      <c r="J51" s="26">
        <v>50000</v>
      </c>
      <c r="K51" s="17">
        <v>7.4</v>
      </c>
      <c r="L51" s="17" t="s">
        <v>25</v>
      </c>
      <c r="M51" s="17">
        <v>1.05</v>
      </c>
      <c r="N51" s="17">
        <v>295</v>
      </c>
      <c r="O51" s="17" t="s">
        <v>26</v>
      </c>
      <c r="R51" s="25">
        <v>1400000</v>
      </c>
      <c r="S51" s="25"/>
      <c r="U51" s="17">
        <v>3</v>
      </c>
    </row>
    <row r="52" spans="1:27" x14ac:dyDescent="0.2">
      <c r="A52" s="1" t="s">
        <v>159</v>
      </c>
      <c r="B52" s="1" t="s">
        <v>22</v>
      </c>
      <c r="C52" s="20" t="s">
        <v>188</v>
      </c>
      <c r="D52" s="6" t="s">
        <v>232</v>
      </c>
      <c r="E52" s="6"/>
      <c r="F52" s="9">
        <v>1.9999999999999999E-7</v>
      </c>
      <c r="G52" s="1" t="s">
        <v>57</v>
      </c>
      <c r="H52" s="7" t="s">
        <v>58</v>
      </c>
      <c r="I52" s="1">
        <v>0.2</v>
      </c>
      <c r="J52" s="1">
        <v>10</v>
      </c>
      <c r="K52" s="1">
        <v>7.4</v>
      </c>
      <c r="L52" s="1" t="s">
        <v>53</v>
      </c>
      <c r="N52" s="1">
        <v>295</v>
      </c>
      <c r="O52" s="1" t="s">
        <v>59</v>
      </c>
      <c r="P52" s="1" t="s">
        <v>60</v>
      </c>
      <c r="R52" s="15">
        <v>479000</v>
      </c>
    </row>
    <row r="53" spans="1:27" x14ac:dyDescent="0.2">
      <c r="A53" s="1" t="s">
        <v>159</v>
      </c>
      <c r="B53" s="1" t="s">
        <v>22</v>
      </c>
      <c r="C53" s="20" t="s">
        <v>188</v>
      </c>
      <c r="D53" s="6" t="s">
        <v>232</v>
      </c>
      <c r="E53" s="6"/>
      <c r="F53" s="9">
        <v>1.9999999999999999E-7</v>
      </c>
      <c r="G53" s="1" t="s">
        <v>57</v>
      </c>
      <c r="H53" s="7" t="s">
        <v>58</v>
      </c>
      <c r="I53" s="1">
        <v>0.2</v>
      </c>
      <c r="J53" s="1">
        <v>10</v>
      </c>
      <c r="K53" s="1">
        <v>7.4</v>
      </c>
      <c r="L53" s="1" t="s">
        <v>53</v>
      </c>
      <c r="N53" s="1">
        <v>300</v>
      </c>
      <c r="O53" s="1" t="s">
        <v>59</v>
      </c>
      <c r="P53" s="1" t="s">
        <v>60</v>
      </c>
      <c r="R53" s="15">
        <v>377000</v>
      </c>
    </row>
    <row r="54" spans="1:27" x14ac:dyDescent="0.2">
      <c r="A54" s="1" t="s">
        <v>159</v>
      </c>
      <c r="B54" s="1" t="s">
        <v>22</v>
      </c>
      <c r="C54" s="20" t="s">
        <v>188</v>
      </c>
      <c r="D54" s="6" t="s">
        <v>232</v>
      </c>
      <c r="E54" s="6"/>
      <c r="F54" s="9">
        <v>1.9999999999999999E-7</v>
      </c>
      <c r="G54" s="1" t="s">
        <v>57</v>
      </c>
      <c r="H54" s="7" t="s">
        <v>58</v>
      </c>
      <c r="I54" s="1">
        <v>0.2</v>
      </c>
      <c r="J54" s="1">
        <v>10</v>
      </c>
      <c r="K54" s="1">
        <v>7.4</v>
      </c>
      <c r="L54" s="1" t="s">
        <v>53</v>
      </c>
      <c r="N54" s="1">
        <v>305</v>
      </c>
      <c r="O54" s="1" t="s">
        <v>59</v>
      </c>
      <c r="P54" s="1" t="s">
        <v>60</v>
      </c>
      <c r="R54" s="15">
        <v>287000</v>
      </c>
    </row>
    <row r="55" spans="1:27" x14ac:dyDescent="0.2">
      <c r="A55" s="1" t="s">
        <v>159</v>
      </c>
      <c r="B55" s="1" t="s">
        <v>22</v>
      </c>
      <c r="C55" s="20" t="s">
        <v>188</v>
      </c>
      <c r="D55" s="6" t="s">
        <v>232</v>
      </c>
      <c r="E55" s="6"/>
      <c r="F55" s="9">
        <v>1.9999999999999999E-7</v>
      </c>
      <c r="G55" s="1" t="s">
        <v>57</v>
      </c>
      <c r="H55" s="7" t="s">
        <v>58</v>
      </c>
      <c r="I55" s="1">
        <v>0.2</v>
      </c>
      <c r="J55" s="1">
        <v>10</v>
      </c>
      <c r="K55" s="1">
        <v>7.4</v>
      </c>
      <c r="L55" s="1" t="s">
        <v>53</v>
      </c>
      <c r="N55" s="1">
        <v>310</v>
      </c>
      <c r="O55" s="1" t="s">
        <v>59</v>
      </c>
      <c r="P55" s="1" t="s">
        <v>60</v>
      </c>
      <c r="R55" s="15">
        <v>244000</v>
      </c>
    </row>
    <row r="56" spans="1:27" x14ac:dyDescent="0.2">
      <c r="A56" s="1" t="s">
        <v>159</v>
      </c>
      <c r="B56" s="19" t="s">
        <v>48</v>
      </c>
      <c r="C56" s="20" t="s">
        <v>193</v>
      </c>
      <c r="D56" s="6" t="s">
        <v>232</v>
      </c>
      <c r="E56" s="6"/>
      <c r="F56" s="9">
        <v>1.9999999999999999E-7</v>
      </c>
      <c r="G56" s="1" t="s">
        <v>57</v>
      </c>
      <c r="H56" s="7" t="s">
        <v>58</v>
      </c>
      <c r="I56" s="1">
        <v>0.2</v>
      </c>
      <c r="J56" s="1">
        <v>10</v>
      </c>
      <c r="K56" s="1">
        <v>7.4</v>
      </c>
      <c r="L56" s="1" t="s">
        <v>53</v>
      </c>
      <c r="N56" s="1">
        <v>295</v>
      </c>
      <c r="O56" s="1" t="s">
        <v>59</v>
      </c>
      <c r="P56" s="1" t="s">
        <v>60</v>
      </c>
      <c r="R56" s="15">
        <v>751000</v>
      </c>
    </row>
    <row r="57" spans="1:27" x14ac:dyDescent="0.2">
      <c r="A57" s="1" t="s">
        <v>159</v>
      </c>
      <c r="B57" s="19" t="s">
        <v>48</v>
      </c>
      <c r="C57" s="20" t="s">
        <v>193</v>
      </c>
      <c r="D57" s="6" t="s">
        <v>232</v>
      </c>
      <c r="E57" s="6"/>
      <c r="F57" s="9">
        <v>1.9999999999999999E-7</v>
      </c>
      <c r="G57" s="1" t="s">
        <v>57</v>
      </c>
      <c r="H57" s="7" t="s">
        <v>58</v>
      </c>
      <c r="I57" s="1">
        <v>0.2</v>
      </c>
      <c r="J57" s="1">
        <v>10</v>
      </c>
      <c r="K57" s="1">
        <v>7.4</v>
      </c>
      <c r="L57" s="1" t="s">
        <v>53</v>
      </c>
      <c r="N57" s="1">
        <v>300</v>
      </c>
      <c r="O57" s="1" t="s">
        <v>59</v>
      </c>
      <c r="P57" s="1" t="s">
        <v>60</v>
      </c>
      <c r="R57" s="15">
        <v>574000</v>
      </c>
    </row>
    <row r="58" spans="1:27" x14ac:dyDescent="0.2">
      <c r="A58" s="1" t="s">
        <v>159</v>
      </c>
      <c r="B58" s="19" t="s">
        <v>48</v>
      </c>
      <c r="C58" s="20" t="s">
        <v>193</v>
      </c>
      <c r="D58" s="6" t="s">
        <v>232</v>
      </c>
      <c r="E58" s="6"/>
      <c r="F58" s="9">
        <v>1.9999999999999999E-7</v>
      </c>
      <c r="G58" s="1" t="s">
        <v>57</v>
      </c>
      <c r="H58" s="7" t="s">
        <v>58</v>
      </c>
      <c r="I58" s="1">
        <v>0.2</v>
      </c>
      <c r="J58" s="1">
        <v>10</v>
      </c>
      <c r="K58" s="1">
        <v>7.4</v>
      </c>
      <c r="L58" s="1" t="s">
        <v>53</v>
      </c>
      <c r="N58" s="1">
        <v>305</v>
      </c>
      <c r="O58" s="1" t="s">
        <v>59</v>
      </c>
      <c r="P58" s="1" t="s">
        <v>60</v>
      </c>
      <c r="R58" s="15">
        <v>419000</v>
      </c>
    </row>
    <row r="59" spans="1:27" x14ac:dyDescent="0.2">
      <c r="A59" s="1" t="s">
        <v>159</v>
      </c>
      <c r="B59" s="19" t="s">
        <v>48</v>
      </c>
      <c r="C59" s="20" t="s">
        <v>193</v>
      </c>
      <c r="D59" s="6" t="s">
        <v>232</v>
      </c>
      <c r="E59" s="6"/>
      <c r="F59" s="9">
        <v>1.9999999999999999E-7</v>
      </c>
      <c r="G59" s="1" t="s">
        <v>57</v>
      </c>
      <c r="H59" s="7" t="s">
        <v>58</v>
      </c>
      <c r="I59" s="1">
        <v>0.2</v>
      </c>
      <c r="J59" s="1">
        <v>10</v>
      </c>
      <c r="K59" s="1">
        <v>7.4</v>
      </c>
      <c r="L59" s="1" t="s">
        <v>53</v>
      </c>
      <c r="N59" s="1">
        <v>310</v>
      </c>
      <c r="O59" s="1" t="s">
        <v>59</v>
      </c>
      <c r="P59" s="1" t="s">
        <v>60</v>
      </c>
      <c r="R59" s="15">
        <v>338000</v>
      </c>
    </row>
    <row r="60" spans="1:27" x14ac:dyDescent="0.2">
      <c r="A60" s="1" t="s">
        <v>179</v>
      </c>
      <c r="B60" s="1" t="s">
        <v>22</v>
      </c>
      <c r="C60" s="20" t="s">
        <v>188</v>
      </c>
      <c r="D60" s="6" t="s">
        <v>232</v>
      </c>
      <c r="E60" s="6" t="b">
        <v>1</v>
      </c>
      <c r="F60" s="1">
        <v>5</v>
      </c>
      <c r="G60" s="8">
        <f>H60*F60</f>
        <v>2.5</v>
      </c>
      <c r="H60" s="1">
        <v>0.5</v>
      </c>
      <c r="I60" s="1">
        <v>0.5</v>
      </c>
      <c r="J60" s="1">
        <v>0.5</v>
      </c>
      <c r="K60" s="1">
        <v>7.4</v>
      </c>
      <c r="L60" s="1" t="s">
        <v>34</v>
      </c>
      <c r="M60" s="1">
        <v>0.01</v>
      </c>
      <c r="N60" s="1">
        <v>310</v>
      </c>
      <c r="O60" s="1" t="s">
        <v>70</v>
      </c>
      <c r="R60" s="15">
        <v>830000</v>
      </c>
    </row>
    <row r="61" spans="1:27" x14ac:dyDescent="0.2">
      <c r="A61" s="1" t="s">
        <v>179</v>
      </c>
      <c r="B61" s="19" t="s">
        <v>48</v>
      </c>
      <c r="C61" s="20" t="s">
        <v>193</v>
      </c>
      <c r="D61" s="6" t="s">
        <v>232</v>
      </c>
      <c r="E61" s="6" t="b">
        <v>1</v>
      </c>
      <c r="F61" s="1">
        <v>5</v>
      </c>
      <c r="G61" s="8">
        <f t="shared" ref="G61:G71" si="4">H61*F61</f>
        <v>2.5</v>
      </c>
      <c r="H61" s="1">
        <v>0.5</v>
      </c>
      <c r="I61" s="1">
        <v>0.5</v>
      </c>
      <c r="J61" s="1">
        <v>0.5</v>
      </c>
      <c r="K61" s="1">
        <v>7.4</v>
      </c>
      <c r="L61" s="1" t="s">
        <v>34</v>
      </c>
      <c r="M61" s="1">
        <v>0.01</v>
      </c>
      <c r="N61" s="1">
        <v>310</v>
      </c>
      <c r="O61" s="1" t="s">
        <v>70</v>
      </c>
      <c r="R61" s="15">
        <v>990000</v>
      </c>
    </row>
    <row r="62" spans="1:27" x14ac:dyDescent="0.2">
      <c r="A62" s="1" t="s">
        <v>179</v>
      </c>
      <c r="B62" s="1" t="s">
        <v>22</v>
      </c>
      <c r="C62" s="20" t="s">
        <v>188</v>
      </c>
      <c r="D62" s="6" t="s">
        <v>233</v>
      </c>
      <c r="E62" s="6" t="b">
        <v>1</v>
      </c>
      <c r="F62" s="1">
        <v>5</v>
      </c>
      <c r="G62" s="8">
        <f t="shared" si="4"/>
        <v>2.5</v>
      </c>
      <c r="H62" s="1">
        <v>0.5</v>
      </c>
      <c r="I62" s="1">
        <v>0.5</v>
      </c>
      <c r="J62" s="1">
        <v>0.5</v>
      </c>
      <c r="K62" s="1">
        <v>7.4</v>
      </c>
      <c r="L62" s="1" t="s">
        <v>34</v>
      </c>
      <c r="M62" s="1">
        <v>0.01</v>
      </c>
      <c r="N62" s="1">
        <v>310</v>
      </c>
      <c r="O62" s="1" t="s">
        <v>70</v>
      </c>
      <c r="R62" s="15">
        <v>130000</v>
      </c>
    </row>
    <row r="63" spans="1:27" x14ac:dyDescent="0.2">
      <c r="A63" s="1" t="s">
        <v>179</v>
      </c>
      <c r="B63" s="19" t="s">
        <v>48</v>
      </c>
      <c r="C63" s="20" t="s">
        <v>193</v>
      </c>
      <c r="D63" s="6" t="s">
        <v>233</v>
      </c>
      <c r="E63" s="6" t="b">
        <v>1</v>
      </c>
      <c r="F63" s="1">
        <v>5</v>
      </c>
      <c r="G63" s="8">
        <f t="shared" si="4"/>
        <v>2.5</v>
      </c>
      <c r="H63" s="1">
        <v>0.5</v>
      </c>
      <c r="I63" s="1">
        <v>0.5</v>
      </c>
      <c r="J63" s="1">
        <v>0.5</v>
      </c>
      <c r="K63" s="1">
        <v>7.4</v>
      </c>
      <c r="L63" s="1" t="s">
        <v>34</v>
      </c>
      <c r="M63" s="1">
        <v>0.01</v>
      </c>
      <c r="N63" s="1">
        <v>310</v>
      </c>
      <c r="O63" s="1" t="s">
        <v>70</v>
      </c>
      <c r="R63" s="15">
        <v>200000</v>
      </c>
    </row>
    <row r="64" spans="1:27" x14ac:dyDescent="0.2">
      <c r="A64" s="1" t="s">
        <v>179</v>
      </c>
      <c r="B64" s="1" t="s">
        <v>22</v>
      </c>
      <c r="C64" s="20" t="s">
        <v>188</v>
      </c>
      <c r="D64" s="6" t="s">
        <v>232</v>
      </c>
      <c r="E64" s="6" t="b">
        <v>1</v>
      </c>
      <c r="F64" s="1">
        <v>5</v>
      </c>
      <c r="G64" s="8">
        <f t="shared" si="4"/>
        <v>5</v>
      </c>
      <c r="H64" s="1">
        <v>1</v>
      </c>
      <c r="I64" s="1">
        <v>1</v>
      </c>
      <c r="J64" s="1">
        <v>1</v>
      </c>
      <c r="K64" s="1">
        <v>7.4</v>
      </c>
      <c r="L64" s="1" t="s">
        <v>34</v>
      </c>
      <c r="M64" s="1">
        <v>0.01</v>
      </c>
      <c r="N64" s="1">
        <v>310</v>
      </c>
      <c r="O64" s="1" t="s">
        <v>70</v>
      </c>
      <c r="R64" s="15">
        <v>260000</v>
      </c>
      <c r="W64" s="9">
        <v>150000</v>
      </c>
      <c r="AA64" s="9"/>
    </row>
    <row r="65" spans="1:27" x14ac:dyDescent="0.2">
      <c r="A65" s="1" t="s">
        <v>179</v>
      </c>
      <c r="B65" s="19" t="s">
        <v>48</v>
      </c>
      <c r="C65" s="20" t="s">
        <v>193</v>
      </c>
      <c r="D65" s="6" t="s">
        <v>232</v>
      </c>
      <c r="E65" s="6" t="b">
        <v>1</v>
      </c>
      <c r="F65" s="1">
        <v>5</v>
      </c>
      <c r="G65" s="8">
        <f t="shared" si="4"/>
        <v>5</v>
      </c>
      <c r="H65" s="1">
        <v>1</v>
      </c>
      <c r="I65" s="1">
        <v>1</v>
      </c>
      <c r="J65" s="1">
        <v>1</v>
      </c>
      <c r="K65" s="1">
        <v>7.4</v>
      </c>
      <c r="L65" s="1" t="s">
        <v>34</v>
      </c>
      <c r="M65" s="1">
        <v>0.01</v>
      </c>
      <c r="N65" s="1">
        <v>310</v>
      </c>
      <c r="O65" s="1" t="s">
        <v>70</v>
      </c>
      <c r="R65" s="15">
        <v>910000</v>
      </c>
      <c r="W65" s="9">
        <v>270000</v>
      </c>
      <c r="AA65" s="9"/>
    </row>
    <row r="66" spans="1:27" x14ac:dyDescent="0.2">
      <c r="A66" s="1" t="s">
        <v>179</v>
      </c>
      <c r="B66" s="1" t="s">
        <v>22</v>
      </c>
      <c r="C66" s="20" t="s">
        <v>188</v>
      </c>
      <c r="D66" s="6" t="s">
        <v>233</v>
      </c>
      <c r="E66" s="6" t="b">
        <v>1</v>
      </c>
      <c r="F66" s="1">
        <v>5</v>
      </c>
      <c r="G66" s="8">
        <f t="shared" si="4"/>
        <v>5</v>
      </c>
      <c r="H66" s="1">
        <v>1</v>
      </c>
      <c r="I66" s="1">
        <v>1</v>
      </c>
      <c r="J66" s="1">
        <v>1</v>
      </c>
      <c r="K66" s="1">
        <v>7.4</v>
      </c>
      <c r="L66" s="1" t="s">
        <v>34</v>
      </c>
      <c r="M66" s="1">
        <v>0.01</v>
      </c>
      <c r="N66" s="1">
        <v>310</v>
      </c>
      <c r="O66" s="1" t="s">
        <v>70</v>
      </c>
      <c r="R66" s="15">
        <v>120000</v>
      </c>
      <c r="W66" s="9">
        <v>63000</v>
      </c>
      <c r="AA66" s="9"/>
    </row>
    <row r="67" spans="1:27" x14ac:dyDescent="0.2">
      <c r="A67" s="1" t="s">
        <v>179</v>
      </c>
      <c r="B67" s="19" t="s">
        <v>48</v>
      </c>
      <c r="C67" s="20" t="s">
        <v>193</v>
      </c>
      <c r="D67" s="6" t="s">
        <v>233</v>
      </c>
      <c r="E67" s="6" t="b">
        <v>1</v>
      </c>
      <c r="F67" s="1">
        <v>5</v>
      </c>
      <c r="G67" s="8">
        <f t="shared" si="4"/>
        <v>5</v>
      </c>
      <c r="H67" s="1">
        <v>1</v>
      </c>
      <c r="I67" s="1">
        <v>1</v>
      </c>
      <c r="J67" s="1">
        <v>1</v>
      </c>
      <c r="K67" s="1">
        <v>7.4</v>
      </c>
      <c r="L67" s="1" t="s">
        <v>34</v>
      </c>
      <c r="M67" s="1">
        <v>0.01</v>
      </c>
      <c r="N67" s="1">
        <v>310</v>
      </c>
      <c r="O67" s="1" t="s">
        <v>70</v>
      </c>
      <c r="R67" s="15">
        <v>140000</v>
      </c>
      <c r="W67" s="9">
        <v>69000</v>
      </c>
      <c r="AA67" s="9"/>
    </row>
    <row r="68" spans="1:27" x14ac:dyDescent="0.2">
      <c r="A68" s="1" t="s">
        <v>179</v>
      </c>
      <c r="B68" s="1" t="s">
        <v>22</v>
      </c>
      <c r="C68" s="20" t="s">
        <v>188</v>
      </c>
      <c r="D68" s="6" t="s">
        <v>232</v>
      </c>
      <c r="E68" s="6" t="b">
        <v>1</v>
      </c>
      <c r="F68" s="1">
        <v>5</v>
      </c>
      <c r="G68" s="8">
        <f t="shared" si="4"/>
        <v>10</v>
      </c>
      <c r="H68" s="1">
        <v>2</v>
      </c>
      <c r="I68" s="1">
        <v>2</v>
      </c>
      <c r="J68" s="1">
        <v>2</v>
      </c>
      <c r="K68" s="1">
        <v>7.4</v>
      </c>
      <c r="L68" s="1" t="s">
        <v>34</v>
      </c>
      <c r="M68" s="1">
        <v>0.01</v>
      </c>
      <c r="N68" s="1">
        <v>310</v>
      </c>
      <c r="O68" s="1" t="s">
        <v>70</v>
      </c>
      <c r="R68" s="15">
        <v>210000</v>
      </c>
      <c r="W68" s="9">
        <v>110000</v>
      </c>
      <c r="AA68" s="9">
        <v>55000</v>
      </c>
    </row>
    <row r="69" spans="1:27" x14ac:dyDescent="0.2">
      <c r="A69" s="1" t="s">
        <v>179</v>
      </c>
      <c r="B69" s="19" t="s">
        <v>48</v>
      </c>
      <c r="C69" s="20" t="s">
        <v>193</v>
      </c>
      <c r="D69" s="6" t="s">
        <v>232</v>
      </c>
      <c r="E69" s="6" t="b">
        <v>1</v>
      </c>
      <c r="F69" s="1">
        <v>5</v>
      </c>
      <c r="G69" s="8">
        <f t="shared" si="4"/>
        <v>10</v>
      </c>
      <c r="H69" s="1">
        <v>2</v>
      </c>
      <c r="I69" s="1">
        <v>2</v>
      </c>
      <c r="J69" s="1">
        <v>2</v>
      </c>
      <c r="K69" s="1">
        <v>7.4</v>
      </c>
      <c r="L69" s="1" t="s">
        <v>34</v>
      </c>
      <c r="M69" s="1">
        <v>0.01</v>
      </c>
      <c r="N69" s="1">
        <v>310</v>
      </c>
      <c r="O69" s="1" t="s">
        <v>70</v>
      </c>
      <c r="R69" s="15">
        <v>760000</v>
      </c>
      <c r="W69" s="9">
        <v>240000</v>
      </c>
      <c r="AA69" s="9">
        <v>120000</v>
      </c>
    </row>
    <row r="70" spans="1:27" x14ac:dyDescent="0.2">
      <c r="A70" s="1" t="s">
        <v>179</v>
      </c>
      <c r="B70" s="1" t="s">
        <v>22</v>
      </c>
      <c r="C70" s="20" t="s">
        <v>188</v>
      </c>
      <c r="D70" s="6" t="s">
        <v>233</v>
      </c>
      <c r="E70" s="6" t="b">
        <v>1</v>
      </c>
      <c r="F70" s="1">
        <v>5</v>
      </c>
      <c r="G70" s="8">
        <f t="shared" si="4"/>
        <v>10</v>
      </c>
      <c r="H70" s="1">
        <v>2</v>
      </c>
      <c r="I70" s="1">
        <v>2</v>
      </c>
      <c r="J70" s="1">
        <v>2</v>
      </c>
      <c r="K70" s="1">
        <v>7.4</v>
      </c>
      <c r="L70" s="1" t="s">
        <v>34</v>
      </c>
      <c r="M70" s="1">
        <v>0.01</v>
      </c>
      <c r="N70" s="1">
        <v>310</v>
      </c>
      <c r="O70" s="1" t="s">
        <v>70</v>
      </c>
      <c r="R70" s="15">
        <v>110000</v>
      </c>
      <c r="W70" s="9">
        <v>61000</v>
      </c>
      <c r="AA70" s="9">
        <v>52000</v>
      </c>
    </row>
    <row r="71" spans="1:27" x14ac:dyDescent="0.2">
      <c r="A71" s="1" t="s">
        <v>179</v>
      </c>
      <c r="B71" s="19" t="s">
        <v>48</v>
      </c>
      <c r="C71" s="20" t="s">
        <v>193</v>
      </c>
      <c r="D71" s="6" t="s">
        <v>233</v>
      </c>
      <c r="E71" s="6" t="b">
        <v>1</v>
      </c>
      <c r="F71" s="1">
        <v>5</v>
      </c>
      <c r="G71" s="8">
        <f t="shared" si="4"/>
        <v>10</v>
      </c>
      <c r="H71" s="1">
        <v>2</v>
      </c>
      <c r="I71" s="1">
        <v>2</v>
      </c>
      <c r="J71" s="1">
        <v>2</v>
      </c>
      <c r="K71" s="1">
        <v>7.4</v>
      </c>
      <c r="L71" s="1" t="s">
        <v>34</v>
      </c>
      <c r="M71" s="1">
        <v>0.01</v>
      </c>
      <c r="N71" s="1">
        <v>310</v>
      </c>
      <c r="O71" s="1" t="s">
        <v>70</v>
      </c>
      <c r="R71" s="15">
        <v>110000</v>
      </c>
      <c r="W71" s="9">
        <v>76000</v>
      </c>
      <c r="AA71" s="9">
        <v>54000</v>
      </c>
    </row>
    <row r="72" spans="1:27" x14ac:dyDescent="0.2">
      <c r="A72" s="1" t="s">
        <v>180</v>
      </c>
      <c r="B72" s="1" t="s">
        <v>37</v>
      </c>
      <c r="C72" s="18" t="s">
        <v>195</v>
      </c>
      <c r="D72" s="6" t="s">
        <v>233</v>
      </c>
      <c r="E72" s="6"/>
      <c r="F72" s="1">
        <v>20</v>
      </c>
      <c r="G72" s="7">
        <f>H72*F72</f>
        <v>24.6</v>
      </c>
      <c r="H72" s="1">
        <v>1.23</v>
      </c>
      <c r="I72" s="1">
        <v>1.23</v>
      </c>
      <c r="J72" s="1">
        <v>1.23</v>
      </c>
      <c r="L72" s="1" t="s">
        <v>53</v>
      </c>
      <c r="N72" s="1">
        <v>298</v>
      </c>
      <c r="O72" s="1" t="s">
        <v>55</v>
      </c>
      <c r="R72" s="15">
        <v>31062</v>
      </c>
      <c r="S72" s="15">
        <v>1911</v>
      </c>
      <c r="W72" s="1">
        <v>381</v>
      </c>
    </row>
    <row r="73" spans="1:27" x14ac:dyDescent="0.2">
      <c r="A73" s="1" t="s">
        <v>180</v>
      </c>
      <c r="B73" s="1" t="s">
        <v>40</v>
      </c>
      <c r="C73" s="18" t="s">
        <v>196</v>
      </c>
      <c r="D73" s="6" t="s">
        <v>233</v>
      </c>
      <c r="E73" s="6"/>
      <c r="F73" s="1">
        <v>20</v>
      </c>
      <c r="G73" s="7">
        <f t="shared" ref="G73:G76" si="5">H73*F73</f>
        <v>33.199999999999996</v>
      </c>
      <c r="H73" s="1">
        <v>1.66</v>
      </c>
      <c r="I73" s="1">
        <v>1.66</v>
      </c>
      <c r="J73" s="1">
        <v>1.66</v>
      </c>
      <c r="L73" s="1" t="s">
        <v>53</v>
      </c>
      <c r="N73" s="1">
        <v>298</v>
      </c>
      <c r="O73" s="1" t="s">
        <v>55</v>
      </c>
      <c r="R73" s="15">
        <v>400540</v>
      </c>
      <c r="S73" s="15">
        <v>32014</v>
      </c>
      <c r="W73" s="1">
        <v>34411</v>
      </c>
    </row>
    <row r="74" spans="1:27" x14ac:dyDescent="0.2">
      <c r="A74" s="1" t="s">
        <v>180</v>
      </c>
      <c r="B74" s="19" t="s">
        <v>44</v>
      </c>
      <c r="C74" s="20" t="s">
        <v>194</v>
      </c>
      <c r="D74" s="6" t="s">
        <v>233</v>
      </c>
      <c r="E74" s="6"/>
      <c r="F74" s="1">
        <v>20</v>
      </c>
      <c r="G74" s="7">
        <f t="shared" si="5"/>
        <v>20.64</v>
      </c>
      <c r="H74" s="1">
        <v>1.032</v>
      </c>
      <c r="I74" s="1">
        <v>1.032</v>
      </c>
      <c r="J74" s="1">
        <v>1.032</v>
      </c>
      <c r="L74" s="1" t="s">
        <v>53</v>
      </c>
      <c r="N74" s="1">
        <v>298</v>
      </c>
      <c r="O74" s="1" t="s">
        <v>55</v>
      </c>
      <c r="R74" s="15">
        <v>216130</v>
      </c>
      <c r="S74" s="15">
        <v>14177</v>
      </c>
      <c r="W74" s="1">
        <v>108280</v>
      </c>
    </row>
    <row r="75" spans="1:27" x14ac:dyDescent="0.2">
      <c r="A75" s="1" t="s">
        <v>180</v>
      </c>
      <c r="B75" s="1" t="s">
        <v>41</v>
      </c>
      <c r="C75" s="18" t="s">
        <v>197</v>
      </c>
      <c r="D75" s="6" t="s">
        <v>233</v>
      </c>
      <c r="E75" s="6"/>
      <c r="F75" s="1">
        <v>20</v>
      </c>
      <c r="G75" s="7">
        <f t="shared" si="5"/>
        <v>26</v>
      </c>
      <c r="H75" s="1">
        <v>1.3</v>
      </c>
      <c r="I75" s="1">
        <v>1.3</v>
      </c>
      <c r="J75" s="1">
        <v>1.3</v>
      </c>
      <c r="L75" s="1" t="s">
        <v>53</v>
      </c>
      <c r="N75" s="1">
        <v>298</v>
      </c>
      <c r="O75" s="1" t="s">
        <v>55</v>
      </c>
      <c r="R75" s="15">
        <v>2155500</v>
      </c>
      <c r="S75" s="15">
        <v>42811</v>
      </c>
      <c r="W75" s="1">
        <v>4</v>
      </c>
    </row>
    <row r="76" spans="1:27" x14ac:dyDescent="0.2">
      <c r="A76" s="1" t="s">
        <v>180</v>
      </c>
      <c r="B76" s="1" t="s">
        <v>22</v>
      </c>
      <c r="C76" s="20" t="s">
        <v>188</v>
      </c>
      <c r="D76" s="6" t="s">
        <v>233</v>
      </c>
      <c r="E76" s="6"/>
      <c r="F76" s="1">
        <v>20</v>
      </c>
      <c r="G76" s="7">
        <f t="shared" si="5"/>
        <v>36.800000000000004</v>
      </c>
      <c r="H76" s="1">
        <v>1.84</v>
      </c>
      <c r="I76" s="1">
        <v>1.84</v>
      </c>
      <c r="J76" s="1">
        <v>1.84</v>
      </c>
      <c r="L76" s="1" t="s">
        <v>53</v>
      </c>
      <c r="N76" s="1">
        <v>298</v>
      </c>
      <c r="O76" s="1" t="s">
        <v>55</v>
      </c>
      <c r="R76" s="15">
        <v>9324800</v>
      </c>
      <c r="S76" s="15">
        <v>1181600</v>
      </c>
      <c r="W76" s="1">
        <v>88572</v>
      </c>
    </row>
    <row r="77" spans="1:27" x14ac:dyDescent="0.2">
      <c r="A77" s="1" t="s">
        <v>123</v>
      </c>
      <c r="B77" s="1" t="s">
        <v>37</v>
      </c>
      <c r="C77" s="18" t="s">
        <v>195</v>
      </c>
      <c r="D77" s="6" t="s">
        <v>233</v>
      </c>
      <c r="E77" s="6"/>
      <c r="F77" s="1">
        <v>6</v>
      </c>
      <c r="G77" s="7" t="s">
        <v>115</v>
      </c>
      <c r="H77" s="1" t="s">
        <v>116</v>
      </c>
      <c r="I77" s="1">
        <v>0.33</v>
      </c>
      <c r="J77" s="1">
        <v>2</v>
      </c>
      <c r="K77" s="1">
        <v>7.4</v>
      </c>
      <c r="L77" s="1" t="s">
        <v>53</v>
      </c>
      <c r="M77" s="1">
        <v>0.1</v>
      </c>
      <c r="N77" s="1">
        <v>310</v>
      </c>
      <c r="O77" s="1" t="s">
        <v>26</v>
      </c>
      <c r="P77" s="1" t="s">
        <v>117</v>
      </c>
      <c r="R77" s="15">
        <f t="shared" ref="R77:R115" si="6">1/T77</f>
        <v>2386.6348448687349</v>
      </c>
      <c r="T77" s="1">
        <v>4.1899999999999999E-4</v>
      </c>
    </row>
    <row r="78" spans="1:27" x14ac:dyDescent="0.2">
      <c r="A78" s="1" t="s">
        <v>123</v>
      </c>
      <c r="B78" s="1" t="s">
        <v>77</v>
      </c>
      <c r="C78" s="18" t="s">
        <v>201</v>
      </c>
      <c r="D78" s="6" t="s">
        <v>233</v>
      </c>
      <c r="E78" s="6"/>
      <c r="F78" s="1">
        <v>6</v>
      </c>
      <c r="G78" s="7" t="s">
        <v>115</v>
      </c>
      <c r="H78" s="1" t="s">
        <v>116</v>
      </c>
      <c r="I78" s="1">
        <v>0.33</v>
      </c>
      <c r="J78" s="1">
        <v>2</v>
      </c>
      <c r="K78" s="1">
        <v>7.4</v>
      </c>
      <c r="L78" s="1" t="s">
        <v>53</v>
      </c>
      <c r="M78" s="1">
        <v>0.1</v>
      </c>
      <c r="N78" s="1">
        <v>310</v>
      </c>
      <c r="O78" s="1" t="s">
        <v>26</v>
      </c>
      <c r="P78" s="1" t="s">
        <v>117</v>
      </c>
      <c r="R78" s="15">
        <f t="shared" si="6"/>
        <v>3496.5034965034965</v>
      </c>
      <c r="T78" s="1">
        <v>2.8600000000000001E-4</v>
      </c>
    </row>
    <row r="79" spans="1:27" x14ac:dyDescent="0.2">
      <c r="A79" s="1" t="s">
        <v>123</v>
      </c>
      <c r="B79" s="19" t="s">
        <v>40</v>
      </c>
      <c r="C79" s="20" t="s">
        <v>196</v>
      </c>
      <c r="D79" s="6" t="s">
        <v>233</v>
      </c>
      <c r="E79" s="6"/>
      <c r="F79" s="1">
        <v>6</v>
      </c>
      <c r="G79" s="7" t="s">
        <v>115</v>
      </c>
      <c r="H79" s="1" t="s">
        <v>116</v>
      </c>
      <c r="I79" s="1">
        <v>0.33</v>
      </c>
      <c r="J79" s="1">
        <v>2</v>
      </c>
      <c r="K79" s="1">
        <v>7.4</v>
      </c>
      <c r="L79" s="1" t="s">
        <v>53</v>
      </c>
      <c r="M79" s="1">
        <v>0.1</v>
      </c>
      <c r="N79" s="1">
        <v>310</v>
      </c>
      <c r="O79" s="1" t="s">
        <v>26</v>
      </c>
      <c r="P79" s="1" t="s">
        <v>117</v>
      </c>
      <c r="R79" s="15">
        <f t="shared" si="6"/>
        <v>5128.2051282051279</v>
      </c>
      <c r="T79" s="1">
        <v>1.95E-4</v>
      </c>
    </row>
    <row r="80" spans="1:27" x14ac:dyDescent="0.2">
      <c r="A80" s="1" t="s">
        <v>123</v>
      </c>
      <c r="B80" s="1" t="s">
        <v>41</v>
      </c>
      <c r="C80" s="18" t="s">
        <v>197</v>
      </c>
      <c r="D80" s="6" t="s">
        <v>233</v>
      </c>
      <c r="E80" s="6"/>
      <c r="F80" s="1">
        <v>6</v>
      </c>
      <c r="G80" s="7" t="s">
        <v>115</v>
      </c>
      <c r="H80" s="1" t="s">
        <v>116</v>
      </c>
      <c r="I80" s="1">
        <v>0.33</v>
      </c>
      <c r="J80" s="1">
        <v>2</v>
      </c>
      <c r="K80" s="1">
        <v>7.4</v>
      </c>
      <c r="L80" s="1" t="s">
        <v>53</v>
      </c>
      <c r="M80" s="1">
        <v>0.1</v>
      </c>
      <c r="N80" s="1">
        <v>310</v>
      </c>
      <c r="O80" s="1" t="s">
        <v>26</v>
      </c>
      <c r="P80" s="1" t="s">
        <v>117</v>
      </c>
      <c r="R80" s="15">
        <f t="shared" si="6"/>
        <v>5813.9534883720926</v>
      </c>
      <c r="T80" s="1">
        <v>1.7200000000000001E-4</v>
      </c>
    </row>
    <row r="81" spans="1:21" x14ac:dyDescent="0.2">
      <c r="A81" s="1" t="s">
        <v>123</v>
      </c>
      <c r="B81" s="1" t="s">
        <v>22</v>
      </c>
      <c r="C81" s="20" t="s">
        <v>188</v>
      </c>
      <c r="D81" s="6" t="s">
        <v>233</v>
      </c>
      <c r="E81" s="6"/>
      <c r="F81" s="1">
        <v>6</v>
      </c>
      <c r="G81" s="7" t="s">
        <v>115</v>
      </c>
      <c r="H81" s="1" t="s">
        <v>116</v>
      </c>
      <c r="I81" s="1">
        <v>0.33</v>
      </c>
      <c r="J81" s="1">
        <v>2</v>
      </c>
      <c r="K81" s="1">
        <v>7.4</v>
      </c>
      <c r="L81" s="1" t="s">
        <v>53</v>
      </c>
      <c r="M81" s="1">
        <v>0.1</v>
      </c>
      <c r="N81" s="1">
        <v>310</v>
      </c>
      <c r="O81" s="1" t="s">
        <v>26</v>
      </c>
      <c r="P81" s="1" t="s">
        <v>117</v>
      </c>
      <c r="R81" s="15">
        <f t="shared" si="6"/>
        <v>8695.652173913044</v>
      </c>
      <c r="T81" s="1">
        <v>1.15E-4</v>
      </c>
    </row>
    <row r="82" spans="1:21" x14ac:dyDescent="0.2">
      <c r="A82" s="1" t="s">
        <v>123</v>
      </c>
      <c r="B82" s="1" t="s">
        <v>30</v>
      </c>
      <c r="C82" s="18" t="s">
        <v>189</v>
      </c>
      <c r="D82" s="6" t="s">
        <v>233</v>
      </c>
      <c r="E82" s="6"/>
      <c r="F82" s="1">
        <v>6</v>
      </c>
      <c r="G82" s="7" t="s">
        <v>115</v>
      </c>
      <c r="H82" s="1" t="s">
        <v>116</v>
      </c>
      <c r="I82" s="1">
        <v>0.33</v>
      </c>
      <c r="J82" s="1">
        <v>2</v>
      </c>
      <c r="K82" s="1">
        <v>7.4</v>
      </c>
      <c r="L82" s="1" t="s">
        <v>53</v>
      </c>
      <c r="M82" s="1">
        <v>0.1</v>
      </c>
      <c r="N82" s="1">
        <v>310</v>
      </c>
      <c r="O82" s="1" t="s">
        <v>26</v>
      </c>
      <c r="P82" s="1" t="s">
        <v>117</v>
      </c>
      <c r="R82" s="15">
        <f t="shared" si="6"/>
        <v>13698.630136986301</v>
      </c>
      <c r="T82" s="1">
        <v>7.2999999999999999E-5</v>
      </c>
    </row>
    <row r="83" spans="1:21" x14ac:dyDescent="0.2">
      <c r="A83" s="1" t="s">
        <v>123</v>
      </c>
      <c r="B83" s="1" t="s">
        <v>42</v>
      </c>
      <c r="C83" s="18" t="s">
        <v>190</v>
      </c>
      <c r="D83" s="6" t="s">
        <v>233</v>
      </c>
      <c r="E83" s="6"/>
      <c r="F83" s="1">
        <v>6</v>
      </c>
      <c r="G83" s="7" t="s">
        <v>115</v>
      </c>
      <c r="H83" s="1" t="s">
        <v>116</v>
      </c>
      <c r="I83" s="1">
        <v>0.33</v>
      </c>
      <c r="J83" s="1">
        <v>2</v>
      </c>
      <c r="K83" s="1">
        <v>7.4</v>
      </c>
      <c r="L83" s="1" t="s">
        <v>53</v>
      </c>
      <c r="M83" s="1">
        <v>0.1</v>
      </c>
      <c r="N83" s="1">
        <v>310</v>
      </c>
      <c r="O83" s="1" t="s">
        <v>26</v>
      </c>
      <c r="P83" s="1" t="s">
        <v>117</v>
      </c>
      <c r="R83" s="15">
        <f t="shared" si="6"/>
        <v>15384.615384615387</v>
      </c>
      <c r="T83" s="1">
        <v>6.4999999999999994E-5</v>
      </c>
    </row>
    <row r="84" spans="1:21" x14ac:dyDescent="0.2">
      <c r="A84" s="1" t="s">
        <v>123</v>
      </c>
      <c r="B84" s="1" t="s">
        <v>94</v>
      </c>
      <c r="C84" s="18" t="s">
        <v>198</v>
      </c>
      <c r="D84" s="6" t="s">
        <v>233</v>
      </c>
      <c r="E84" s="6"/>
      <c r="F84" s="1">
        <v>6</v>
      </c>
      <c r="G84" s="7" t="s">
        <v>115</v>
      </c>
      <c r="H84" s="1" t="s">
        <v>116</v>
      </c>
      <c r="I84" s="1">
        <v>0.33</v>
      </c>
      <c r="J84" s="1">
        <v>2</v>
      </c>
      <c r="K84" s="1">
        <v>7.4</v>
      </c>
      <c r="L84" s="1" t="s">
        <v>53</v>
      </c>
      <c r="M84" s="1">
        <v>0.1</v>
      </c>
      <c r="N84" s="1">
        <v>310</v>
      </c>
      <c r="O84" s="1" t="s">
        <v>26</v>
      </c>
      <c r="P84" s="1" t="s">
        <v>117</v>
      </c>
      <c r="R84" s="15">
        <f t="shared" si="6"/>
        <v>12658.227848101267</v>
      </c>
      <c r="T84" s="1">
        <v>7.8999999999999996E-5</v>
      </c>
    </row>
    <row r="85" spans="1:21" x14ac:dyDescent="0.2">
      <c r="A85" s="1" t="s">
        <v>123</v>
      </c>
      <c r="B85" s="1" t="s">
        <v>80</v>
      </c>
      <c r="C85" s="18" t="s">
        <v>202</v>
      </c>
      <c r="D85" s="6" t="s">
        <v>233</v>
      </c>
      <c r="E85" s="6"/>
      <c r="F85" s="1">
        <v>6</v>
      </c>
      <c r="G85" s="7" t="s">
        <v>115</v>
      </c>
      <c r="H85" s="1" t="s">
        <v>116</v>
      </c>
      <c r="I85" s="1">
        <v>0.33</v>
      </c>
      <c r="J85" s="1">
        <v>2</v>
      </c>
      <c r="K85" s="1">
        <v>7.4</v>
      </c>
      <c r="L85" s="1" t="s">
        <v>53</v>
      </c>
      <c r="M85" s="1">
        <v>0.1</v>
      </c>
      <c r="N85" s="1">
        <v>310</v>
      </c>
      <c r="O85" s="1" t="s">
        <v>26</v>
      </c>
      <c r="P85" s="1" t="s">
        <v>117</v>
      </c>
      <c r="R85" s="15">
        <f t="shared" si="6"/>
        <v>9708.7378640776697</v>
      </c>
      <c r="T85" s="1">
        <v>1.03E-4</v>
      </c>
    </row>
    <row r="86" spans="1:21" x14ac:dyDescent="0.2">
      <c r="A86" s="1" t="s">
        <v>123</v>
      </c>
      <c r="B86" s="1" t="s">
        <v>125</v>
      </c>
      <c r="C86" t="s">
        <v>206</v>
      </c>
      <c r="D86" s="6" t="s">
        <v>233</v>
      </c>
      <c r="E86" s="6"/>
      <c r="F86" s="1">
        <v>6</v>
      </c>
      <c r="G86" s="7" t="s">
        <v>115</v>
      </c>
      <c r="H86" s="1" t="s">
        <v>116</v>
      </c>
      <c r="I86" s="1">
        <v>0.33</v>
      </c>
      <c r="J86" s="1">
        <v>2</v>
      </c>
      <c r="K86" s="1">
        <v>7.4</v>
      </c>
      <c r="L86" s="1" t="s">
        <v>53</v>
      </c>
      <c r="M86" s="1">
        <v>0.1</v>
      </c>
      <c r="N86" s="1">
        <v>310</v>
      </c>
      <c r="O86" s="1" t="s">
        <v>26</v>
      </c>
      <c r="P86" s="1" t="s">
        <v>117</v>
      </c>
      <c r="R86" s="15">
        <f t="shared" si="6"/>
        <v>3773.5849056603774</v>
      </c>
      <c r="T86" s="1">
        <v>2.6499999999999999E-4</v>
      </c>
    </row>
    <row r="87" spans="1:21" x14ac:dyDescent="0.2">
      <c r="A87" s="1" t="s">
        <v>123</v>
      </c>
      <c r="B87" s="1" t="s">
        <v>46</v>
      </c>
      <c r="C87" s="18" t="s">
        <v>191</v>
      </c>
      <c r="D87" s="6" t="s">
        <v>233</v>
      </c>
      <c r="E87" s="6"/>
      <c r="F87" s="1">
        <v>6</v>
      </c>
      <c r="G87" s="7" t="s">
        <v>115</v>
      </c>
      <c r="H87" s="1" t="s">
        <v>116</v>
      </c>
      <c r="I87" s="1">
        <v>0.33</v>
      </c>
      <c r="J87" s="1">
        <v>2</v>
      </c>
      <c r="K87" s="1">
        <v>7.4</v>
      </c>
      <c r="L87" s="1" t="s">
        <v>53</v>
      </c>
      <c r="M87" s="1">
        <v>0.1</v>
      </c>
      <c r="N87" s="1">
        <v>310</v>
      </c>
      <c r="O87" s="1" t="s">
        <v>26</v>
      </c>
      <c r="P87" s="1" t="s">
        <v>117</v>
      </c>
      <c r="R87" s="15">
        <f t="shared" si="6"/>
        <v>5917.1597633136098</v>
      </c>
      <c r="T87" s="1">
        <v>1.6899999999999999E-4</v>
      </c>
    </row>
    <row r="88" spans="1:21" x14ac:dyDescent="0.2">
      <c r="A88" s="1" t="s">
        <v>123</v>
      </c>
      <c r="B88" s="19" t="s">
        <v>47</v>
      </c>
      <c r="C88" s="20" t="s">
        <v>192</v>
      </c>
      <c r="D88" s="6" t="s">
        <v>233</v>
      </c>
      <c r="E88" s="6"/>
      <c r="F88" s="1">
        <v>6</v>
      </c>
      <c r="G88" s="7" t="s">
        <v>115</v>
      </c>
      <c r="H88" s="1" t="s">
        <v>116</v>
      </c>
      <c r="I88" s="1">
        <v>0.33</v>
      </c>
      <c r="J88" s="1">
        <v>2</v>
      </c>
      <c r="K88" s="1">
        <v>7.4</v>
      </c>
      <c r="L88" s="1" t="s">
        <v>53</v>
      </c>
      <c r="M88" s="1">
        <v>0.1</v>
      </c>
      <c r="N88" s="1">
        <v>310</v>
      </c>
      <c r="O88" s="1" t="s">
        <v>26</v>
      </c>
      <c r="P88" s="1" t="s">
        <v>117</v>
      </c>
      <c r="R88" s="15">
        <f t="shared" si="6"/>
        <v>12658.227848101267</v>
      </c>
      <c r="T88" s="1">
        <v>7.8999999999999996E-5</v>
      </c>
    </row>
    <row r="89" spans="1:21" x14ac:dyDescent="0.2">
      <c r="A89" s="1" t="s">
        <v>123</v>
      </c>
      <c r="B89" s="19" t="s">
        <v>48</v>
      </c>
      <c r="C89" s="20" t="s">
        <v>193</v>
      </c>
      <c r="D89" s="6" t="s">
        <v>233</v>
      </c>
      <c r="E89" s="6"/>
      <c r="F89" s="1">
        <v>6</v>
      </c>
      <c r="G89" s="7" t="s">
        <v>115</v>
      </c>
      <c r="H89" s="1" t="s">
        <v>116</v>
      </c>
      <c r="I89" s="1">
        <v>0.33</v>
      </c>
      <c r="J89" s="1">
        <v>2</v>
      </c>
      <c r="K89" s="1">
        <v>7.4</v>
      </c>
      <c r="L89" s="1" t="s">
        <v>53</v>
      </c>
      <c r="M89" s="1">
        <v>0.1</v>
      </c>
      <c r="N89" s="1">
        <v>310</v>
      </c>
      <c r="O89" s="1" t="s">
        <v>26</v>
      </c>
      <c r="P89" s="1" t="s">
        <v>117</v>
      </c>
      <c r="R89" s="15">
        <f t="shared" si="6"/>
        <v>26315.78947368421</v>
      </c>
      <c r="T89" s="1">
        <v>3.8000000000000002E-5</v>
      </c>
    </row>
    <row r="90" spans="1:21" x14ac:dyDescent="0.2">
      <c r="A90" s="1" t="s">
        <v>123</v>
      </c>
      <c r="B90" s="1" t="s">
        <v>165</v>
      </c>
      <c r="C90" s="18" t="s">
        <v>199</v>
      </c>
      <c r="D90" s="6" t="s">
        <v>233</v>
      </c>
      <c r="E90" s="6"/>
      <c r="F90" s="1">
        <v>6</v>
      </c>
      <c r="G90" s="7" t="s">
        <v>115</v>
      </c>
      <c r="H90" s="1" t="s">
        <v>116</v>
      </c>
      <c r="I90" s="1">
        <v>0.33</v>
      </c>
      <c r="J90" s="1">
        <v>2</v>
      </c>
      <c r="K90" s="1">
        <v>7.4</v>
      </c>
      <c r="L90" s="1" t="s">
        <v>53</v>
      </c>
      <c r="M90" s="1">
        <v>0.1</v>
      </c>
      <c r="N90" s="1">
        <v>310</v>
      </c>
      <c r="O90" s="1" t="s">
        <v>26</v>
      </c>
      <c r="P90" s="1" t="s">
        <v>117</v>
      </c>
      <c r="R90" s="15">
        <f t="shared" si="6"/>
        <v>14925.373134328358</v>
      </c>
      <c r="T90" s="1">
        <v>6.7000000000000002E-5</v>
      </c>
    </row>
    <row r="91" spans="1:21" x14ac:dyDescent="0.2">
      <c r="A91" s="1" t="s">
        <v>61</v>
      </c>
      <c r="B91" s="1" t="s">
        <v>22</v>
      </c>
      <c r="C91" s="20" t="s">
        <v>188</v>
      </c>
      <c r="D91" s="6" t="s">
        <v>234</v>
      </c>
      <c r="E91" s="6" t="b">
        <v>1</v>
      </c>
      <c r="F91" s="1">
        <f>(25+12.5)/2</f>
        <v>18.75</v>
      </c>
      <c r="G91" s="1" t="s">
        <v>63</v>
      </c>
      <c r="H91" s="7" t="s">
        <v>64</v>
      </c>
      <c r="I91" s="1">
        <v>13</v>
      </c>
      <c r="J91" s="1">
        <v>266</v>
      </c>
      <c r="L91" s="1" t="s">
        <v>53</v>
      </c>
      <c r="N91" s="1">
        <v>296</v>
      </c>
      <c r="O91" s="1" t="s">
        <v>65</v>
      </c>
      <c r="R91" s="15">
        <f t="shared" si="6"/>
        <v>3448.2758620689656</v>
      </c>
      <c r="T91" s="1">
        <f>0.29/1000</f>
        <v>2.9E-4</v>
      </c>
    </row>
    <row r="92" spans="1:21" x14ac:dyDescent="0.2">
      <c r="A92" s="1" t="s">
        <v>61</v>
      </c>
      <c r="B92" s="1" t="s">
        <v>22</v>
      </c>
      <c r="C92" s="20" t="s">
        <v>188</v>
      </c>
      <c r="D92" s="6" t="s">
        <v>234</v>
      </c>
      <c r="E92" s="6" t="b">
        <v>1</v>
      </c>
      <c r="F92" s="1">
        <f>(50+60)/2</f>
        <v>55</v>
      </c>
      <c r="G92" s="8" t="s">
        <v>66</v>
      </c>
      <c r="H92" s="7" t="s">
        <v>67</v>
      </c>
      <c r="I92" s="1">
        <v>1.8</v>
      </c>
      <c r="J92" s="1">
        <v>54.5</v>
      </c>
      <c r="L92" s="1" t="s">
        <v>53</v>
      </c>
      <c r="N92" s="1">
        <v>296</v>
      </c>
      <c r="O92" s="1" t="s">
        <v>68</v>
      </c>
      <c r="P92" s="1" t="s">
        <v>117</v>
      </c>
      <c r="R92" s="15">
        <f t="shared" si="6"/>
        <v>2777.7777777777778</v>
      </c>
      <c r="T92" s="1">
        <f>0.36/1000</f>
        <v>3.5999999999999997E-4</v>
      </c>
      <c r="U92" s="1">
        <v>7.8</v>
      </c>
    </row>
    <row r="93" spans="1:21" x14ac:dyDescent="0.2">
      <c r="A93" s="1" t="s">
        <v>61</v>
      </c>
      <c r="B93" s="1" t="s">
        <v>22</v>
      </c>
      <c r="C93" s="20" t="s">
        <v>188</v>
      </c>
      <c r="D93" s="6" t="s">
        <v>233</v>
      </c>
      <c r="E93" s="6" t="b">
        <v>1</v>
      </c>
      <c r="F93" s="1">
        <f>(50+60)/2</f>
        <v>55</v>
      </c>
      <c r="G93" s="8" t="s">
        <v>66</v>
      </c>
      <c r="H93" s="7" t="s">
        <v>67</v>
      </c>
      <c r="I93" s="1">
        <v>1.8</v>
      </c>
      <c r="J93" s="1">
        <v>54.5</v>
      </c>
      <c r="L93" s="1" t="s">
        <v>53</v>
      </c>
      <c r="N93" s="1">
        <v>296</v>
      </c>
      <c r="O93" s="1" t="s">
        <v>68</v>
      </c>
      <c r="P93" s="1" t="s">
        <v>117</v>
      </c>
      <c r="R93" s="15">
        <f t="shared" si="6"/>
        <v>2631.5789473684208</v>
      </c>
      <c r="T93" s="1">
        <f>0.38/1000</f>
        <v>3.8000000000000002E-4</v>
      </c>
      <c r="U93" s="1">
        <v>7.2</v>
      </c>
    </row>
    <row r="94" spans="1:21" x14ac:dyDescent="0.2">
      <c r="A94" s="1" t="s">
        <v>71</v>
      </c>
      <c r="B94" s="1" t="s">
        <v>37</v>
      </c>
      <c r="C94" s="18" t="s">
        <v>195</v>
      </c>
      <c r="D94" s="6" t="s">
        <v>233</v>
      </c>
      <c r="E94" s="6" t="b">
        <v>1</v>
      </c>
      <c r="F94" s="1">
        <v>125</v>
      </c>
      <c r="G94" s="8" t="s">
        <v>73</v>
      </c>
      <c r="H94" s="1" t="s">
        <v>74</v>
      </c>
      <c r="I94" s="1">
        <v>0.04</v>
      </c>
      <c r="J94" s="1">
        <v>80</v>
      </c>
      <c r="L94" s="1" t="s">
        <v>75</v>
      </c>
      <c r="O94" s="1" t="s">
        <v>76</v>
      </c>
      <c r="R94" s="15">
        <f t="shared" si="6"/>
        <v>389.10505836575879</v>
      </c>
      <c r="T94" s="1">
        <f>2.57/1000</f>
        <v>2.5699999999999998E-3</v>
      </c>
    </row>
    <row r="95" spans="1:21" x14ac:dyDescent="0.2">
      <c r="A95" s="1" t="s">
        <v>71</v>
      </c>
      <c r="B95" s="1" t="s">
        <v>77</v>
      </c>
      <c r="C95" s="18" t="s">
        <v>201</v>
      </c>
      <c r="D95" s="6" t="s">
        <v>233</v>
      </c>
      <c r="E95" s="6" t="b">
        <v>1</v>
      </c>
      <c r="F95" s="1">
        <v>125</v>
      </c>
      <c r="G95" s="8" t="s">
        <v>73</v>
      </c>
      <c r="H95" s="1" t="s">
        <v>74</v>
      </c>
      <c r="I95" s="1">
        <v>0.04</v>
      </c>
      <c r="J95" s="1">
        <v>80</v>
      </c>
      <c r="L95" s="1" t="s">
        <v>75</v>
      </c>
      <c r="O95" s="1" t="s">
        <v>76</v>
      </c>
      <c r="R95" s="15">
        <f t="shared" si="6"/>
        <v>476.19047619047615</v>
      </c>
      <c r="T95" s="1">
        <f>2.1/1000</f>
        <v>2.1000000000000003E-3</v>
      </c>
    </row>
    <row r="96" spans="1:21" x14ac:dyDescent="0.2">
      <c r="A96" s="1" t="s">
        <v>71</v>
      </c>
      <c r="B96" s="19" t="s">
        <v>40</v>
      </c>
      <c r="C96" s="20" t="s">
        <v>196</v>
      </c>
      <c r="D96" s="6" t="s">
        <v>233</v>
      </c>
      <c r="E96" s="6" t="b">
        <v>1</v>
      </c>
      <c r="F96" s="1">
        <v>125</v>
      </c>
      <c r="G96" s="8" t="s">
        <v>73</v>
      </c>
      <c r="H96" s="1" t="s">
        <v>74</v>
      </c>
      <c r="I96" s="1">
        <v>0.04</v>
      </c>
      <c r="J96" s="1">
        <v>80</v>
      </c>
      <c r="L96" s="1" t="s">
        <v>75</v>
      </c>
      <c r="O96" s="1" t="s">
        <v>76</v>
      </c>
      <c r="R96" s="15">
        <f t="shared" si="6"/>
        <v>609.7560975609756</v>
      </c>
      <c r="T96" s="1">
        <f>1.64/1000</f>
        <v>1.64E-3</v>
      </c>
    </row>
    <row r="97" spans="1:20" x14ac:dyDescent="0.2">
      <c r="A97" s="1" t="s">
        <v>71</v>
      </c>
      <c r="B97" s="1" t="s">
        <v>41</v>
      </c>
      <c r="C97" s="18" t="s">
        <v>197</v>
      </c>
      <c r="D97" s="6" t="s">
        <v>233</v>
      </c>
      <c r="E97" s="6" t="b">
        <v>1</v>
      </c>
      <c r="F97" s="1">
        <v>125</v>
      </c>
      <c r="G97" s="8" t="s">
        <v>73</v>
      </c>
      <c r="H97" s="1" t="s">
        <v>74</v>
      </c>
      <c r="I97" s="1">
        <v>0.04</v>
      </c>
      <c r="J97" s="1">
        <v>80</v>
      </c>
      <c r="L97" s="1" t="s">
        <v>75</v>
      </c>
      <c r="O97" s="1" t="s">
        <v>76</v>
      </c>
      <c r="R97" s="15">
        <f t="shared" si="6"/>
        <v>2272.7272727272725</v>
      </c>
      <c r="T97" s="1">
        <f>0.44/1000</f>
        <v>4.4000000000000002E-4</v>
      </c>
    </row>
    <row r="98" spans="1:20" x14ac:dyDescent="0.2">
      <c r="A98" s="1" t="s">
        <v>71</v>
      </c>
      <c r="B98" s="1" t="s">
        <v>22</v>
      </c>
      <c r="C98" s="20" t="s">
        <v>188</v>
      </c>
      <c r="D98" s="6" t="s">
        <v>233</v>
      </c>
      <c r="E98" s="6" t="b">
        <v>1</v>
      </c>
      <c r="F98" s="1">
        <v>125</v>
      </c>
      <c r="G98" s="8" t="s">
        <v>73</v>
      </c>
      <c r="H98" s="1" t="s">
        <v>74</v>
      </c>
      <c r="I98" s="1">
        <v>0.04</v>
      </c>
      <c r="J98" s="1">
        <v>80</v>
      </c>
      <c r="L98" s="1" t="s">
        <v>75</v>
      </c>
      <c r="O98" s="1" t="s">
        <v>76</v>
      </c>
      <c r="R98" s="15">
        <f t="shared" si="6"/>
        <v>1204.8192771084337</v>
      </c>
      <c r="T98" s="1">
        <f>0.83/1000</f>
        <v>8.3000000000000001E-4</v>
      </c>
    </row>
    <row r="99" spans="1:20" x14ac:dyDescent="0.2">
      <c r="A99" s="1" t="s">
        <v>71</v>
      </c>
      <c r="B99" s="1" t="s">
        <v>30</v>
      </c>
      <c r="C99" s="18" t="s">
        <v>189</v>
      </c>
      <c r="D99" s="6" t="s">
        <v>233</v>
      </c>
      <c r="E99" s="6" t="b">
        <v>1</v>
      </c>
      <c r="F99" s="1">
        <v>125</v>
      </c>
      <c r="G99" s="8" t="s">
        <v>73</v>
      </c>
      <c r="H99" s="1" t="s">
        <v>74</v>
      </c>
      <c r="I99" s="1">
        <v>0.04</v>
      </c>
      <c r="J99" s="1">
        <v>80</v>
      </c>
      <c r="L99" s="1" t="s">
        <v>75</v>
      </c>
      <c r="O99" s="1" t="s">
        <v>76</v>
      </c>
      <c r="R99" s="15">
        <f t="shared" si="6"/>
        <v>1724.1379310344828</v>
      </c>
      <c r="T99" s="1">
        <f>0.58/1000</f>
        <v>5.8E-4</v>
      </c>
    </row>
    <row r="100" spans="1:20" x14ac:dyDescent="0.2">
      <c r="A100" s="1" t="s">
        <v>71</v>
      </c>
      <c r="B100" s="1" t="s">
        <v>42</v>
      </c>
      <c r="C100" s="18" t="s">
        <v>190</v>
      </c>
      <c r="D100" s="6" t="s">
        <v>233</v>
      </c>
      <c r="E100" s="6" t="b">
        <v>1</v>
      </c>
      <c r="F100" s="1">
        <v>125</v>
      </c>
      <c r="G100" s="8" t="s">
        <v>73</v>
      </c>
      <c r="H100" s="1" t="s">
        <v>74</v>
      </c>
      <c r="I100" s="1">
        <v>0.04</v>
      </c>
      <c r="J100" s="1">
        <v>80</v>
      </c>
      <c r="L100" s="1" t="s">
        <v>75</v>
      </c>
      <c r="O100" s="1" t="s">
        <v>76</v>
      </c>
      <c r="R100" s="15">
        <f t="shared" si="6"/>
        <v>840.3361344537816</v>
      </c>
      <c r="T100" s="1">
        <f>1.19/1000</f>
        <v>1.1899999999999999E-3</v>
      </c>
    </row>
    <row r="101" spans="1:20" x14ac:dyDescent="0.2">
      <c r="A101" s="1" t="s">
        <v>71</v>
      </c>
      <c r="B101" s="1" t="s">
        <v>43</v>
      </c>
      <c r="C101" s="18" t="s">
        <v>198</v>
      </c>
      <c r="D101" s="6" t="s">
        <v>233</v>
      </c>
      <c r="E101" s="6" t="b">
        <v>1</v>
      </c>
      <c r="F101" s="1">
        <v>125</v>
      </c>
      <c r="G101" s="8" t="s">
        <v>73</v>
      </c>
      <c r="H101" s="1" t="s">
        <v>74</v>
      </c>
      <c r="I101" s="1">
        <v>0.04</v>
      </c>
      <c r="J101" s="1">
        <v>80</v>
      </c>
      <c r="L101" s="1" t="s">
        <v>75</v>
      </c>
      <c r="O101" s="1" t="s">
        <v>76</v>
      </c>
      <c r="R101" s="15">
        <f t="shared" si="6"/>
        <v>735.29411764705878</v>
      </c>
      <c r="T101" s="1">
        <f>1.36/1000</f>
        <v>1.3600000000000001E-3</v>
      </c>
    </row>
    <row r="102" spans="1:20" x14ac:dyDescent="0.2">
      <c r="A102" s="1" t="s">
        <v>71</v>
      </c>
      <c r="B102" s="1" t="s">
        <v>80</v>
      </c>
      <c r="C102" s="18" t="s">
        <v>202</v>
      </c>
      <c r="D102" s="6" t="s">
        <v>233</v>
      </c>
      <c r="E102" s="6" t="b">
        <v>1</v>
      </c>
      <c r="F102" s="1">
        <v>125</v>
      </c>
      <c r="G102" s="8" t="s">
        <v>73</v>
      </c>
      <c r="H102" s="1" t="s">
        <v>74</v>
      </c>
      <c r="I102" s="1">
        <v>0.04</v>
      </c>
      <c r="J102" s="1">
        <v>80</v>
      </c>
      <c r="L102" s="1" t="s">
        <v>75</v>
      </c>
      <c r="O102" s="1" t="s">
        <v>76</v>
      </c>
      <c r="R102" s="15">
        <f t="shared" si="6"/>
        <v>529.10052910052912</v>
      </c>
      <c r="T102" s="1">
        <f>1.89/1000</f>
        <v>1.89E-3</v>
      </c>
    </row>
    <row r="103" spans="1:20" x14ac:dyDescent="0.2">
      <c r="A103" s="1" t="s">
        <v>71</v>
      </c>
      <c r="B103" s="1" t="s">
        <v>46</v>
      </c>
      <c r="C103" s="18" t="s">
        <v>191</v>
      </c>
      <c r="D103" s="6" t="s">
        <v>233</v>
      </c>
      <c r="E103" s="6" t="b">
        <v>1</v>
      </c>
      <c r="F103" s="1">
        <v>125</v>
      </c>
      <c r="G103" s="8" t="s">
        <v>73</v>
      </c>
      <c r="H103" s="1" t="s">
        <v>74</v>
      </c>
      <c r="I103" s="1">
        <v>0.04</v>
      </c>
      <c r="J103" s="1">
        <v>80</v>
      </c>
      <c r="L103" s="1" t="s">
        <v>75</v>
      </c>
      <c r="O103" s="1" t="s">
        <v>76</v>
      </c>
      <c r="R103" s="15">
        <f t="shared" si="6"/>
        <v>606.06060606060612</v>
      </c>
      <c r="T103" s="1">
        <f>1.65/1000</f>
        <v>1.65E-3</v>
      </c>
    </row>
    <row r="104" spans="1:20" x14ac:dyDescent="0.2">
      <c r="A104" s="1" t="s">
        <v>71</v>
      </c>
      <c r="B104" s="19" t="s">
        <v>47</v>
      </c>
      <c r="C104" s="20" t="s">
        <v>192</v>
      </c>
      <c r="D104" s="6" t="s">
        <v>233</v>
      </c>
      <c r="E104" s="6" t="b">
        <v>1</v>
      </c>
      <c r="F104" s="1">
        <v>125</v>
      </c>
      <c r="G104" s="8" t="s">
        <v>73</v>
      </c>
      <c r="H104" s="1" t="s">
        <v>74</v>
      </c>
      <c r="I104" s="1">
        <v>0.04</v>
      </c>
      <c r="J104" s="1">
        <v>80</v>
      </c>
      <c r="L104" s="1" t="s">
        <v>75</v>
      </c>
      <c r="O104" s="1" t="s">
        <v>76</v>
      </c>
      <c r="R104" s="15">
        <f t="shared" si="6"/>
        <v>1408.4507042253522</v>
      </c>
      <c r="T104" s="1">
        <f>0.71/1000</f>
        <v>7.0999999999999991E-4</v>
      </c>
    </row>
    <row r="105" spans="1:20" x14ac:dyDescent="0.2">
      <c r="A105" s="1" t="s">
        <v>71</v>
      </c>
      <c r="B105" s="19" t="s">
        <v>48</v>
      </c>
      <c r="C105" s="20" t="s">
        <v>193</v>
      </c>
      <c r="D105" s="6" t="s">
        <v>233</v>
      </c>
      <c r="E105" s="6" t="b">
        <v>1</v>
      </c>
      <c r="F105" s="1">
        <v>125</v>
      </c>
      <c r="G105" s="8" t="s">
        <v>73</v>
      </c>
      <c r="H105" s="1" t="s">
        <v>74</v>
      </c>
      <c r="I105" s="1">
        <v>0.04</v>
      </c>
      <c r="J105" s="1">
        <v>80</v>
      </c>
      <c r="L105" s="1" t="s">
        <v>75</v>
      </c>
      <c r="O105" s="1" t="s">
        <v>76</v>
      </c>
      <c r="R105" s="15">
        <f t="shared" si="6"/>
        <v>1449.2753623188407</v>
      </c>
      <c r="T105" s="1">
        <f>0.69/1000</f>
        <v>6.8999999999999997E-4</v>
      </c>
    </row>
    <row r="106" spans="1:20" x14ac:dyDescent="0.2">
      <c r="A106" s="1" t="s">
        <v>71</v>
      </c>
      <c r="B106" s="1" t="s">
        <v>81</v>
      </c>
      <c r="C106" t="s">
        <v>225</v>
      </c>
      <c r="D106" s="6" t="s">
        <v>233</v>
      </c>
      <c r="E106" s="6" t="b">
        <v>1</v>
      </c>
      <c r="F106" s="1">
        <v>125</v>
      </c>
      <c r="G106" s="8" t="s">
        <v>73</v>
      </c>
      <c r="H106" s="1" t="s">
        <v>74</v>
      </c>
      <c r="I106" s="1">
        <v>0.04</v>
      </c>
      <c r="J106" s="1">
        <v>80</v>
      </c>
      <c r="L106" s="1" t="s">
        <v>75</v>
      </c>
      <c r="O106" s="1" t="s">
        <v>76</v>
      </c>
      <c r="R106" s="15">
        <f t="shared" si="6"/>
        <v>609.7560975609756</v>
      </c>
      <c r="T106" s="1">
        <f>1.64/1000</f>
        <v>1.64E-3</v>
      </c>
    </row>
    <row r="107" spans="1:20" x14ac:dyDescent="0.2">
      <c r="A107" s="1" t="s">
        <v>71</v>
      </c>
      <c r="B107" s="1" t="s">
        <v>44</v>
      </c>
      <c r="C107" s="18" t="s">
        <v>194</v>
      </c>
      <c r="D107" s="6" t="s">
        <v>233</v>
      </c>
      <c r="E107" s="6" t="b">
        <v>1</v>
      </c>
      <c r="F107" s="1">
        <v>125</v>
      </c>
      <c r="G107" s="8" t="s">
        <v>73</v>
      </c>
      <c r="H107" s="1" t="s">
        <v>74</v>
      </c>
      <c r="I107" s="1">
        <v>0.04</v>
      </c>
      <c r="J107" s="1">
        <v>80</v>
      </c>
      <c r="L107" s="1" t="s">
        <v>75</v>
      </c>
      <c r="O107" s="1" t="s">
        <v>76</v>
      </c>
      <c r="R107" s="15">
        <f t="shared" si="6"/>
        <v>625</v>
      </c>
      <c r="T107" s="1">
        <f>1.6/1000</f>
        <v>1.6000000000000001E-3</v>
      </c>
    </row>
    <row r="108" spans="1:20" x14ac:dyDescent="0.2">
      <c r="A108" s="1" t="s">
        <v>71</v>
      </c>
      <c r="B108" s="1" t="s">
        <v>82</v>
      </c>
      <c r="C108" s="18" t="s">
        <v>203</v>
      </c>
      <c r="D108" s="6" t="s">
        <v>233</v>
      </c>
      <c r="E108" s="6" t="b">
        <v>1</v>
      </c>
      <c r="F108" s="1">
        <v>125</v>
      </c>
      <c r="G108" s="8" t="s">
        <v>73</v>
      </c>
      <c r="H108" s="1" t="s">
        <v>74</v>
      </c>
      <c r="I108" s="1">
        <v>0.04</v>
      </c>
      <c r="J108" s="1">
        <v>80</v>
      </c>
      <c r="L108" s="1" t="s">
        <v>75</v>
      </c>
      <c r="O108" s="1" t="s">
        <v>76</v>
      </c>
      <c r="R108" s="15">
        <f t="shared" si="6"/>
        <v>662.25165562913901</v>
      </c>
      <c r="T108" s="1">
        <f>1.51/1000</f>
        <v>1.5100000000000001E-3</v>
      </c>
    </row>
    <row r="109" spans="1:20" x14ac:dyDescent="0.2">
      <c r="A109" s="1" t="s">
        <v>71</v>
      </c>
      <c r="B109" s="19" t="s">
        <v>89</v>
      </c>
      <c r="C109" s="18" t="s">
        <v>217</v>
      </c>
      <c r="D109" s="6" t="s">
        <v>233</v>
      </c>
      <c r="E109" s="6" t="b">
        <v>1</v>
      </c>
      <c r="F109" s="1">
        <v>125</v>
      </c>
      <c r="G109" s="8" t="s">
        <v>73</v>
      </c>
      <c r="H109" s="1" t="s">
        <v>74</v>
      </c>
      <c r="I109" s="1">
        <v>0.04</v>
      </c>
      <c r="J109" s="1">
        <v>80</v>
      </c>
      <c r="L109" s="1" t="s">
        <v>75</v>
      </c>
      <c r="O109" s="1" t="s">
        <v>76</v>
      </c>
      <c r="R109" s="15">
        <f t="shared" si="6"/>
        <v>653.59477124183002</v>
      </c>
      <c r="T109" s="1">
        <f>1.53/1000</f>
        <v>1.5300000000000001E-3</v>
      </c>
    </row>
    <row r="110" spans="1:20" x14ac:dyDescent="0.2">
      <c r="A110" s="1" t="s">
        <v>71</v>
      </c>
      <c r="B110" s="1" t="s">
        <v>84</v>
      </c>
      <c r="C110" s="18" t="s">
        <v>205</v>
      </c>
      <c r="D110" s="6" t="s">
        <v>233</v>
      </c>
      <c r="E110" s="6" t="b">
        <v>1</v>
      </c>
      <c r="F110" s="1">
        <v>125</v>
      </c>
      <c r="G110" s="8" t="s">
        <v>73</v>
      </c>
      <c r="H110" s="1" t="s">
        <v>74</v>
      </c>
      <c r="I110" s="1">
        <v>0.04</v>
      </c>
      <c r="J110" s="1">
        <v>80</v>
      </c>
      <c r="L110" s="1" t="s">
        <v>75</v>
      </c>
      <c r="O110" s="1" t="s">
        <v>76</v>
      </c>
      <c r="R110" s="15">
        <f t="shared" si="6"/>
        <v>584.79532163742692</v>
      </c>
      <c r="T110" s="1">
        <f>1.71/1000</f>
        <v>1.7099999999999999E-3</v>
      </c>
    </row>
    <row r="111" spans="1:20" x14ac:dyDescent="0.2">
      <c r="A111" s="1" t="s">
        <v>71</v>
      </c>
      <c r="B111" s="1" t="s">
        <v>85</v>
      </c>
      <c r="C111" s="18" t="s">
        <v>221</v>
      </c>
      <c r="D111" s="6" t="s">
        <v>233</v>
      </c>
      <c r="E111" s="6" t="b">
        <v>1</v>
      </c>
      <c r="F111" s="1">
        <v>125</v>
      </c>
      <c r="G111" s="8" t="s">
        <v>73</v>
      </c>
      <c r="H111" s="1" t="s">
        <v>74</v>
      </c>
      <c r="I111" s="1">
        <v>0.04</v>
      </c>
      <c r="J111" s="1">
        <v>80</v>
      </c>
      <c r="L111" s="1" t="s">
        <v>75</v>
      </c>
      <c r="O111" s="1" t="s">
        <v>76</v>
      </c>
      <c r="R111" s="15">
        <f t="shared" si="6"/>
        <v>1612.9032258064517</v>
      </c>
      <c r="T111" s="1">
        <f>0.62/1000</f>
        <v>6.2E-4</v>
      </c>
    </row>
    <row r="112" spans="1:20" x14ac:dyDescent="0.2">
      <c r="A112" s="1" t="s">
        <v>71</v>
      </c>
      <c r="B112" s="1" t="s">
        <v>86</v>
      </c>
      <c r="C112" s="18" t="s">
        <v>222</v>
      </c>
      <c r="D112" s="6" t="s">
        <v>233</v>
      </c>
      <c r="E112" s="6" t="b">
        <v>1</v>
      </c>
      <c r="F112" s="1">
        <v>125</v>
      </c>
      <c r="G112" s="8" t="s">
        <v>73</v>
      </c>
      <c r="H112" s="1" t="s">
        <v>74</v>
      </c>
      <c r="I112" s="1">
        <v>0.04</v>
      </c>
      <c r="J112" s="1">
        <v>80</v>
      </c>
      <c r="L112" s="1" t="s">
        <v>75</v>
      </c>
      <c r="O112" s="1" t="s">
        <v>76</v>
      </c>
      <c r="R112" s="15">
        <f t="shared" si="6"/>
        <v>1234.5679012345679</v>
      </c>
      <c r="T112" s="1">
        <f>0.81/1000</f>
        <v>8.1000000000000006E-4</v>
      </c>
    </row>
    <row r="113" spans="1:20" x14ac:dyDescent="0.2">
      <c r="A113" s="1" t="s">
        <v>71</v>
      </c>
      <c r="B113" s="1" t="s">
        <v>87</v>
      </c>
      <c r="C113" s="18" t="s">
        <v>223</v>
      </c>
      <c r="D113" s="6" t="s">
        <v>233</v>
      </c>
      <c r="E113" s="6" t="b">
        <v>1</v>
      </c>
      <c r="F113" s="1">
        <v>125</v>
      </c>
      <c r="G113" s="8" t="s">
        <v>73</v>
      </c>
      <c r="H113" s="1" t="s">
        <v>74</v>
      </c>
      <c r="I113" s="1">
        <v>0.04</v>
      </c>
      <c r="J113" s="1">
        <v>80</v>
      </c>
      <c r="L113" s="1" t="s">
        <v>75</v>
      </c>
      <c r="O113" s="1" t="s">
        <v>76</v>
      </c>
      <c r="R113" s="15">
        <f t="shared" si="6"/>
        <v>1030.9278350515465</v>
      </c>
      <c r="T113" s="1">
        <f>0.97/1000</f>
        <v>9.6999999999999994E-4</v>
      </c>
    </row>
    <row r="114" spans="1:20" x14ac:dyDescent="0.2">
      <c r="A114" s="1" t="s">
        <v>71</v>
      </c>
      <c r="B114" s="19" t="s">
        <v>88</v>
      </c>
      <c r="C114" s="18" t="s">
        <v>216</v>
      </c>
      <c r="D114" s="6" t="s">
        <v>233</v>
      </c>
      <c r="E114" s="6" t="b">
        <v>1</v>
      </c>
      <c r="F114" s="1">
        <v>125</v>
      </c>
      <c r="G114" s="8" t="s">
        <v>73</v>
      </c>
      <c r="H114" s="1" t="s">
        <v>74</v>
      </c>
      <c r="I114" s="1">
        <v>0.04</v>
      </c>
      <c r="J114" s="1">
        <v>80</v>
      </c>
      <c r="L114" s="1" t="s">
        <v>75</v>
      </c>
      <c r="O114" s="1" t="s">
        <v>76</v>
      </c>
      <c r="R114" s="15">
        <f t="shared" si="6"/>
        <v>934.57943925233644</v>
      </c>
      <c r="T114" s="1">
        <f>1.07/1000</f>
        <v>1.07E-3</v>
      </c>
    </row>
    <row r="115" spans="1:20" x14ac:dyDescent="0.2">
      <c r="A115" s="1" t="s">
        <v>71</v>
      </c>
      <c r="B115" s="19" t="s">
        <v>89</v>
      </c>
      <c r="C115" s="18" t="s">
        <v>217</v>
      </c>
      <c r="D115" s="6" t="s">
        <v>233</v>
      </c>
      <c r="E115" s="6" t="b">
        <v>1</v>
      </c>
      <c r="F115" s="1">
        <v>125</v>
      </c>
      <c r="G115" s="8" t="s">
        <v>73</v>
      </c>
      <c r="H115" s="1" t="s">
        <v>74</v>
      </c>
      <c r="I115" s="1">
        <v>0.04</v>
      </c>
      <c r="J115" s="1">
        <v>80</v>
      </c>
      <c r="L115" s="1" t="s">
        <v>75</v>
      </c>
      <c r="O115" s="1" t="s">
        <v>76</v>
      </c>
      <c r="R115" s="15">
        <f t="shared" si="6"/>
        <v>2702.7027027027029</v>
      </c>
      <c r="T115" s="1">
        <f>0.37/1000</f>
        <v>3.6999999999999999E-4</v>
      </c>
    </row>
    <row r="116" spans="1:20" x14ac:dyDescent="0.2">
      <c r="A116" s="1" t="s">
        <v>90</v>
      </c>
      <c r="B116" s="1" t="s">
        <v>37</v>
      </c>
      <c r="C116" s="18" t="s">
        <v>195</v>
      </c>
      <c r="D116" s="6" t="s">
        <v>233</v>
      </c>
      <c r="E116" s="6" t="b">
        <v>1</v>
      </c>
      <c r="F116" s="1">
        <v>600</v>
      </c>
      <c r="G116" s="8"/>
      <c r="K116" s="1">
        <v>7.4</v>
      </c>
      <c r="L116" s="1" t="s">
        <v>53</v>
      </c>
      <c r="N116" s="1">
        <v>310</v>
      </c>
      <c r="O116" s="1" t="s">
        <v>26</v>
      </c>
      <c r="P116" s="1" t="s">
        <v>92</v>
      </c>
      <c r="R116" s="15">
        <v>12510.000000000018</v>
      </c>
    </row>
    <row r="117" spans="1:20" x14ac:dyDescent="0.2">
      <c r="A117" s="1" t="s">
        <v>90</v>
      </c>
      <c r="B117" s="1" t="s">
        <v>77</v>
      </c>
      <c r="C117" s="18" t="s">
        <v>201</v>
      </c>
      <c r="D117" s="6" t="s">
        <v>233</v>
      </c>
      <c r="E117" s="6" t="b">
        <v>1</v>
      </c>
      <c r="F117" s="1">
        <v>600</v>
      </c>
      <c r="G117" s="8"/>
      <c r="K117" s="1">
        <v>7.4</v>
      </c>
      <c r="L117" s="1" t="s">
        <v>53</v>
      </c>
      <c r="N117" s="1">
        <v>310</v>
      </c>
      <c r="O117" s="1" t="s">
        <v>26</v>
      </c>
      <c r="P117" s="1" t="s">
        <v>93</v>
      </c>
      <c r="R117" s="15">
        <v>12995.967422391381</v>
      </c>
    </row>
    <row r="118" spans="1:20" x14ac:dyDescent="0.2">
      <c r="A118" s="1" t="s">
        <v>90</v>
      </c>
      <c r="B118" s="19" t="s">
        <v>40</v>
      </c>
      <c r="C118" s="20" t="s">
        <v>196</v>
      </c>
      <c r="D118" s="6" t="s">
        <v>233</v>
      </c>
      <c r="E118" s="6" t="b">
        <v>1</v>
      </c>
      <c r="F118" s="1">
        <v>600</v>
      </c>
      <c r="G118" s="8"/>
      <c r="K118" s="1">
        <v>7.4</v>
      </c>
      <c r="L118" s="1" t="s">
        <v>53</v>
      </c>
      <c r="N118" s="1">
        <v>310</v>
      </c>
      <c r="O118" s="1" t="s">
        <v>26</v>
      </c>
      <c r="P118" s="1" t="s">
        <v>93</v>
      </c>
      <c r="R118" s="15">
        <v>39474.602672763089</v>
      </c>
    </row>
    <row r="119" spans="1:20" x14ac:dyDescent="0.2">
      <c r="A119" s="1" t="s">
        <v>90</v>
      </c>
      <c r="B119" s="1" t="s">
        <v>41</v>
      </c>
      <c r="C119" s="18" t="s">
        <v>197</v>
      </c>
      <c r="D119" s="6" t="s">
        <v>233</v>
      </c>
      <c r="E119" s="6" t="b">
        <v>1</v>
      </c>
      <c r="F119" s="1">
        <v>600</v>
      </c>
      <c r="G119" s="8"/>
      <c r="K119" s="1">
        <v>7.4</v>
      </c>
      <c r="L119" s="1" t="s">
        <v>53</v>
      </c>
      <c r="N119" s="1">
        <v>310</v>
      </c>
      <c r="O119" s="1" t="s">
        <v>26</v>
      </c>
      <c r="P119" s="1" t="s">
        <v>93</v>
      </c>
      <c r="R119" s="15">
        <v>337044.42561202415</v>
      </c>
    </row>
    <row r="120" spans="1:20" x14ac:dyDescent="0.2">
      <c r="A120" s="1" t="s">
        <v>90</v>
      </c>
      <c r="B120" s="1" t="s">
        <v>22</v>
      </c>
      <c r="C120" s="20" t="s">
        <v>188</v>
      </c>
      <c r="D120" s="6" t="s">
        <v>233</v>
      </c>
      <c r="E120" s="6" t="b">
        <v>1</v>
      </c>
      <c r="F120" s="1">
        <v>600</v>
      </c>
      <c r="G120" s="8"/>
      <c r="K120" s="1">
        <v>7.4</v>
      </c>
      <c r="L120" s="1" t="s">
        <v>53</v>
      </c>
      <c r="N120" s="1">
        <v>310</v>
      </c>
      <c r="O120" s="1" t="s">
        <v>26</v>
      </c>
      <c r="P120" s="1" t="s">
        <v>93</v>
      </c>
      <c r="R120" s="15">
        <v>111213.05018135966</v>
      </c>
    </row>
    <row r="121" spans="1:20" x14ac:dyDescent="0.2">
      <c r="A121" s="1" t="s">
        <v>90</v>
      </c>
      <c r="B121" s="1" t="s">
        <v>30</v>
      </c>
      <c r="C121" s="18" t="s">
        <v>189</v>
      </c>
      <c r="D121" s="6" t="s">
        <v>233</v>
      </c>
      <c r="E121" s="6" t="b">
        <v>1</v>
      </c>
      <c r="F121" s="1">
        <v>600</v>
      </c>
      <c r="G121" s="8"/>
      <c r="K121" s="1">
        <v>7.4</v>
      </c>
      <c r="L121" s="1" t="s">
        <v>53</v>
      </c>
      <c r="N121" s="1">
        <v>310</v>
      </c>
      <c r="O121" s="1" t="s">
        <v>26</v>
      </c>
      <c r="P121" s="1" t="s">
        <v>93</v>
      </c>
      <c r="R121" s="15">
        <v>231798.18267183349</v>
      </c>
    </row>
    <row r="122" spans="1:20" x14ac:dyDescent="0.2">
      <c r="A122" s="1" t="s">
        <v>90</v>
      </c>
      <c r="B122" s="1" t="s">
        <v>42</v>
      </c>
      <c r="C122" s="18" t="s">
        <v>190</v>
      </c>
      <c r="D122" s="6" t="s">
        <v>233</v>
      </c>
      <c r="E122" s="6" t="b">
        <v>1</v>
      </c>
      <c r="F122" s="1">
        <v>600</v>
      </c>
      <c r="G122" s="8"/>
      <c r="K122" s="1">
        <v>7.4</v>
      </c>
      <c r="L122" s="1" t="s">
        <v>53</v>
      </c>
      <c r="N122" s="1">
        <v>310</v>
      </c>
      <c r="O122" s="1" t="s">
        <v>26</v>
      </c>
      <c r="P122" s="1" t="s">
        <v>93</v>
      </c>
      <c r="R122" s="15">
        <v>84128.052607074249</v>
      </c>
    </row>
    <row r="123" spans="1:20" x14ac:dyDescent="0.2">
      <c r="A123" s="1" t="s">
        <v>90</v>
      </c>
      <c r="B123" s="1" t="s">
        <v>94</v>
      </c>
      <c r="C123" s="18" t="s">
        <v>198</v>
      </c>
      <c r="D123" s="6" t="s">
        <v>233</v>
      </c>
      <c r="E123" s="6" t="b">
        <v>1</v>
      </c>
      <c r="F123" s="1">
        <v>600</v>
      </c>
      <c r="G123" s="8"/>
      <c r="K123" s="1">
        <v>7.4</v>
      </c>
      <c r="L123" s="1" t="s">
        <v>53</v>
      </c>
      <c r="N123" s="1">
        <v>310</v>
      </c>
      <c r="O123" s="1" t="s">
        <v>26</v>
      </c>
      <c r="P123" s="1" t="s">
        <v>93</v>
      </c>
      <c r="R123" s="15">
        <v>42201.305684997678</v>
      </c>
    </row>
    <row r="124" spans="1:20" x14ac:dyDescent="0.2">
      <c r="A124" s="1" t="s">
        <v>90</v>
      </c>
      <c r="B124" s="1" t="s">
        <v>80</v>
      </c>
      <c r="C124" s="18" t="s">
        <v>202</v>
      </c>
      <c r="D124" s="6" t="s">
        <v>233</v>
      </c>
      <c r="E124" s="6" t="b">
        <v>1</v>
      </c>
      <c r="F124" s="1">
        <v>600</v>
      </c>
      <c r="G124" s="8"/>
      <c r="K124" s="1">
        <v>7.4</v>
      </c>
      <c r="L124" s="1" t="s">
        <v>53</v>
      </c>
      <c r="N124" s="1">
        <v>310</v>
      </c>
      <c r="O124" s="1" t="s">
        <v>26</v>
      </c>
      <c r="P124" s="1" t="s">
        <v>93</v>
      </c>
      <c r="R124" s="15">
        <v>34381.977246153408</v>
      </c>
    </row>
    <row r="125" spans="1:20" x14ac:dyDescent="0.2">
      <c r="A125" s="1" t="s">
        <v>90</v>
      </c>
      <c r="B125" s="1" t="s">
        <v>95</v>
      </c>
      <c r="C125" s="18" t="s">
        <v>206</v>
      </c>
      <c r="D125" s="6" t="s">
        <v>233</v>
      </c>
      <c r="E125" s="6" t="b">
        <v>1</v>
      </c>
      <c r="F125" s="1">
        <v>600</v>
      </c>
      <c r="G125" s="8"/>
      <c r="K125" s="1">
        <v>7.4</v>
      </c>
      <c r="L125" s="1" t="s">
        <v>53</v>
      </c>
      <c r="N125" s="1">
        <v>310</v>
      </c>
      <c r="O125" s="1" t="s">
        <v>26</v>
      </c>
      <c r="P125" s="1" t="s">
        <v>93</v>
      </c>
      <c r="R125" s="15">
        <v>22319.20422605054</v>
      </c>
    </row>
    <row r="126" spans="1:20" x14ac:dyDescent="0.2">
      <c r="A126" s="1" t="s">
        <v>90</v>
      </c>
      <c r="B126" s="1" t="s">
        <v>96</v>
      </c>
      <c r="C126" s="18" t="s">
        <v>207</v>
      </c>
      <c r="D126" s="6" t="s">
        <v>233</v>
      </c>
      <c r="E126" s="6" t="b">
        <v>1</v>
      </c>
      <c r="F126" s="1">
        <v>600</v>
      </c>
      <c r="G126" s="8"/>
      <c r="K126" s="1">
        <v>7.4</v>
      </c>
      <c r="L126" s="1" t="s">
        <v>53</v>
      </c>
      <c r="N126" s="1">
        <v>310</v>
      </c>
      <c r="O126" s="1" t="s">
        <v>26</v>
      </c>
      <c r="P126" s="1" t="s">
        <v>93</v>
      </c>
      <c r="R126" s="15">
        <v>9152.3098271822309</v>
      </c>
    </row>
    <row r="127" spans="1:20" x14ac:dyDescent="0.2">
      <c r="A127" s="1" t="s">
        <v>90</v>
      </c>
      <c r="B127" s="1" t="s">
        <v>97</v>
      </c>
      <c r="C127" s="20" t="s">
        <v>193</v>
      </c>
      <c r="D127" s="6" t="s">
        <v>233</v>
      </c>
      <c r="E127" s="6" t="b">
        <v>1</v>
      </c>
      <c r="F127" s="1">
        <v>600</v>
      </c>
      <c r="G127" s="8"/>
      <c r="K127" s="1">
        <v>7.4</v>
      </c>
      <c r="L127" s="1" t="s">
        <v>53</v>
      </c>
      <c r="N127" s="1">
        <v>310</v>
      </c>
      <c r="O127" s="1" t="s">
        <v>26</v>
      </c>
      <c r="P127" s="1" t="s">
        <v>92</v>
      </c>
      <c r="R127" s="15">
        <v>55440.000000000029</v>
      </c>
    </row>
    <row r="128" spans="1:20" x14ac:dyDescent="0.2">
      <c r="A128" s="1" t="s">
        <v>90</v>
      </c>
      <c r="B128" s="1" t="s">
        <v>46</v>
      </c>
      <c r="C128" s="18" t="s">
        <v>191</v>
      </c>
      <c r="D128" s="6" t="s">
        <v>233</v>
      </c>
      <c r="E128" s="6" t="b">
        <v>1</v>
      </c>
      <c r="F128" s="1">
        <v>600</v>
      </c>
      <c r="G128" s="8"/>
      <c r="K128" s="1">
        <v>7.4</v>
      </c>
      <c r="L128" s="1" t="s">
        <v>53</v>
      </c>
      <c r="N128" s="1">
        <v>310</v>
      </c>
      <c r="O128" s="1" t="s">
        <v>26</v>
      </c>
      <c r="P128" s="1" t="s">
        <v>93</v>
      </c>
      <c r="R128" s="15">
        <v>40046.017416110473</v>
      </c>
    </row>
    <row r="129" spans="1:19" x14ac:dyDescent="0.2">
      <c r="A129" s="1" t="s">
        <v>90</v>
      </c>
      <c r="B129" s="1" t="s">
        <v>98</v>
      </c>
      <c r="C129" s="18" t="s">
        <v>208</v>
      </c>
      <c r="D129" s="6" t="s">
        <v>233</v>
      </c>
      <c r="E129" s="6" t="b">
        <v>1</v>
      </c>
      <c r="F129" s="1">
        <v>600</v>
      </c>
      <c r="G129" s="8"/>
      <c r="K129" s="1">
        <v>7.4</v>
      </c>
      <c r="L129" s="1" t="s">
        <v>53</v>
      </c>
      <c r="N129" s="1">
        <v>310</v>
      </c>
      <c r="O129" s="1" t="s">
        <v>26</v>
      </c>
      <c r="P129" s="1" t="s">
        <v>93</v>
      </c>
      <c r="R129" s="15">
        <v>56517.428214784173</v>
      </c>
    </row>
    <row r="130" spans="1:19" x14ac:dyDescent="0.2">
      <c r="A130" s="1" t="s">
        <v>90</v>
      </c>
      <c r="B130" s="19" t="s">
        <v>47</v>
      </c>
      <c r="C130" s="20" t="s">
        <v>192</v>
      </c>
      <c r="D130" s="6" t="s">
        <v>233</v>
      </c>
      <c r="E130" s="6" t="b">
        <v>1</v>
      </c>
      <c r="F130" s="1">
        <v>600</v>
      </c>
      <c r="G130" s="8"/>
      <c r="K130" s="1">
        <v>7.4</v>
      </c>
      <c r="L130" s="1" t="s">
        <v>53</v>
      </c>
      <c r="N130" s="1">
        <v>310</v>
      </c>
      <c r="O130" s="1" t="s">
        <v>26</v>
      </c>
      <c r="P130" s="1" t="s">
        <v>93</v>
      </c>
      <c r="R130" s="15">
        <v>97298.803350498813</v>
      </c>
    </row>
    <row r="131" spans="1:19" x14ac:dyDescent="0.2">
      <c r="A131" s="1" t="s">
        <v>90</v>
      </c>
      <c r="B131" s="1" t="s">
        <v>99</v>
      </c>
      <c r="C131" s="18" t="s">
        <v>209</v>
      </c>
      <c r="D131" s="6" t="s">
        <v>233</v>
      </c>
      <c r="E131" s="6" t="b">
        <v>1</v>
      </c>
      <c r="F131" s="1">
        <v>600</v>
      </c>
      <c r="G131" s="8"/>
      <c r="K131" s="1">
        <v>7.4</v>
      </c>
      <c r="L131" s="1" t="s">
        <v>53</v>
      </c>
      <c r="N131" s="1">
        <v>310</v>
      </c>
      <c r="O131" s="1" t="s">
        <v>26</v>
      </c>
      <c r="P131" s="1" t="s">
        <v>93</v>
      </c>
      <c r="R131" s="15">
        <v>42892.919363116249</v>
      </c>
    </row>
    <row r="132" spans="1:19" x14ac:dyDescent="0.2">
      <c r="A132" s="1" t="s">
        <v>90</v>
      </c>
      <c r="B132" s="1" t="s">
        <v>100</v>
      </c>
      <c r="C132" s="18" t="s">
        <v>210</v>
      </c>
      <c r="D132" s="6" t="s">
        <v>233</v>
      </c>
      <c r="E132" s="6" t="b">
        <v>1</v>
      </c>
      <c r="F132" s="1">
        <v>600</v>
      </c>
      <c r="G132" s="8"/>
      <c r="K132" s="1">
        <v>7.4</v>
      </c>
      <c r="L132" s="1" t="s">
        <v>53</v>
      </c>
      <c r="N132" s="1">
        <v>310</v>
      </c>
      <c r="O132" s="1" t="s">
        <v>26</v>
      </c>
      <c r="P132" s="1" t="s">
        <v>93</v>
      </c>
      <c r="R132" s="15">
        <v>11690.236631758387</v>
      </c>
    </row>
    <row r="133" spans="1:19" x14ac:dyDescent="0.2">
      <c r="A133" s="1" t="s">
        <v>90</v>
      </c>
      <c r="B133" s="1" t="s">
        <v>101</v>
      </c>
      <c r="C133" s="18" t="s">
        <v>211</v>
      </c>
      <c r="D133" s="6" t="s">
        <v>233</v>
      </c>
      <c r="E133" s="6" t="b">
        <v>1</v>
      </c>
      <c r="F133" s="1">
        <v>600</v>
      </c>
      <c r="G133" s="8"/>
      <c r="K133" s="1">
        <v>7.4</v>
      </c>
      <c r="L133" s="1" t="s">
        <v>53</v>
      </c>
      <c r="N133" s="1">
        <v>310</v>
      </c>
      <c r="O133" s="1" t="s">
        <v>26</v>
      </c>
      <c r="P133" s="1" t="s">
        <v>93</v>
      </c>
      <c r="R133" s="15">
        <v>123985.90134535865</v>
      </c>
    </row>
    <row r="134" spans="1:19" x14ac:dyDescent="0.2">
      <c r="A134" s="1" t="s">
        <v>90</v>
      </c>
      <c r="B134" s="1" t="s">
        <v>102</v>
      </c>
      <c r="C134" s="18" t="s">
        <v>212</v>
      </c>
      <c r="D134" s="6" t="s">
        <v>233</v>
      </c>
      <c r="E134" s="6" t="b">
        <v>1</v>
      </c>
      <c r="F134" s="1">
        <v>600</v>
      </c>
      <c r="G134" s="8"/>
      <c r="K134" s="1">
        <v>7.4</v>
      </c>
      <c r="L134" s="1" t="s">
        <v>53</v>
      </c>
      <c r="N134" s="1">
        <v>310</v>
      </c>
      <c r="O134" s="1" t="s">
        <v>26</v>
      </c>
      <c r="P134" s="1" t="s">
        <v>93</v>
      </c>
      <c r="R134" s="15">
        <v>39748.969734248094</v>
      </c>
    </row>
    <row r="135" spans="1:19" x14ac:dyDescent="0.2">
      <c r="A135" s="1" t="s">
        <v>90</v>
      </c>
      <c r="B135" s="1" t="s">
        <v>103</v>
      </c>
      <c r="C135" s="18" t="s">
        <v>213</v>
      </c>
      <c r="D135" s="6" t="s">
        <v>233</v>
      </c>
      <c r="E135" s="6" t="b">
        <v>1</v>
      </c>
      <c r="F135" s="1">
        <v>600</v>
      </c>
      <c r="G135" s="8"/>
      <c r="K135" s="1">
        <v>7.4</v>
      </c>
      <c r="L135" s="1" t="s">
        <v>53</v>
      </c>
      <c r="N135" s="1">
        <v>310</v>
      </c>
      <c r="O135" s="1" t="s">
        <v>26</v>
      </c>
      <c r="P135" s="1" t="s">
        <v>93</v>
      </c>
      <c r="R135" s="15">
        <v>58702.450253839561</v>
      </c>
    </row>
    <row r="136" spans="1:19" x14ac:dyDescent="0.2">
      <c r="A136" s="1" t="s">
        <v>90</v>
      </c>
      <c r="B136" s="1" t="s">
        <v>104</v>
      </c>
      <c r="C136" s="18" t="s">
        <v>214</v>
      </c>
      <c r="D136" s="6" t="s">
        <v>233</v>
      </c>
      <c r="E136" s="6" t="b">
        <v>1</v>
      </c>
      <c r="F136" s="1">
        <v>600</v>
      </c>
      <c r="G136" s="8"/>
      <c r="K136" s="1">
        <v>7.4</v>
      </c>
      <c r="L136" s="1" t="s">
        <v>53</v>
      </c>
      <c r="N136" s="1">
        <v>310</v>
      </c>
      <c r="O136" s="1" t="s">
        <v>26</v>
      </c>
      <c r="P136" s="1" t="s">
        <v>93</v>
      </c>
      <c r="R136" s="15">
        <v>140727.99374443459</v>
      </c>
    </row>
    <row r="137" spans="1:19" x14ac:dyDescent="0.2">
      <c r="A137" s="1" t="s">
        <v>90</v>
      </c>
      <c r="B137" s="1" t="s">
        <v>105</v>
      </c>
      <c r="C137" s="18" t="s">
        <v>215</v>
      </c>
      <c r="D137" s="6" t="s">
        <v>233</v>
      </c>
      <c r="E137" s="6" t="b">
        <v>1</v>
      </c>
      <c r="F137" s="1">
        <v>600</v>
      </c>
      <c r="G137" s="8"/>
      <c r="K137" s="1">
        <v>7.4</v>
      </c>
      <c r="L137" s="1" t="s">
        <v>53</v>
      </c>
      <c r="N137" s="1">
        <v>310</v>
      </c>
      <c r="O137" s="1" t="s">
        <v>26</v>
      </c>
      <c r="P137" s="1" t="s">
        <v>93</v>
      </c>
      <c r="R137" s="15">
        <v>140591.29437718762</v>
      </c>
    </row>
    <row r="138" spans="1:19" x14ac:dyDescent="0.2">
      <c r="A138" s="1" t="s">
        <v>90</v>
      </c>
      <c r="B138" s="19" t="s">
        <v>88</v>
      </c>
      <c r="C138" s="18" t="s">
        <v>216</v>
      </c>
      <c r="D138" s="6" t="s">
        <v>233</v>
      </c>
      <c r="E138" s="6" t="b">
        <v>1</v>
      </c>
      <c r="F138" s="1">
        <v>600</v>
      </c>
      <c r="G138" s="8"/>
      <c r="K138" s="1">
        <v>7.4</v>
      </c>
      <c r="L138" s="1" t="s">
        <v>53</v>
      </c>
      <c r="N138" s="1">
        <v>310</v>
      </c>
      <c r="O138" s="1" t="s">
        <v>26</v>
      </c>
      <c r="P138" s="1" t="s">
        <v>93</v>
      </c>
      <c r="R138" s="15">
        <v>83223.965910817002</v>
      </c>
    </row>
    <row r="139" spans="1:19" x14ac:dyDescent="0.2">
      <c r="A139" s="1" t="s">
        <v>90</v>
      </c>
      <c r="B139" s="19" t="s">
        <v>89</v>
      </c>
      <c r="C139" s="18" t="s">
        <v>217</v>
      </c>
      <c r="D139" s="6" t="s">
        <v>233</v>
      </c>
      <c r="E139" s="6" t="b">
        <v>1</v>
      </c>
      <c r="F139" s="1">
        <v>600</v>
      </c>
      <c r="G139" s="8"/>
      <c r="K139" s="1">
        <v>7.4</v>
      </c>
      <c r="L139" s="1" t="s">
        <v>53</v>
      </c>
      <c r="N139" s="1">
        <v>310</v>
      </c>
      <c r="O139" s="1" t="s">
        <v>26</v>
      </c>
      <c r="P139" s="1" t="s">
        <v>93</v>
      </c>
      <c r="R139" s="15">
        <v>146589.64447008155</v>
      </c>
    </row>
    <row r="140" spans="1:19" x14ac:dyDescent="0.2">
      <c r="A140" s="1" t="s">
        <v>90</v>
      </c>
      <c r="B140" s="19" t="s">
        <v>166</v>
      </c>
      <c r="C140" s="18" t="s">
        <v>218</v>
      </c>
      <c r="D140" s="6" t="s">
        <v>233</v>
      </c>
      <c r="E140" s="6" t="b">
        <v>1</v>
      </c>
      <c r="F140" s="1">
        <v>600</v>
      </c>
      <c r="G140" s="8"/>
      <c r="K140" s="1">
        <v>7.4</v>
      </c>
      <c r="L140" s="1" t="s">
        <v>53</v>
      </c>
      <c r="N140" s="1">
        <v>310</v>
      </c>
      <c r="O140" s="1" t="s">
        <v>26</v>
      </c>
      <c r="P140" s="1" t="s">
        <v>93</v>
      </c>
      <c r="R140" s="15">
        <v>43084.176018034072</v>
      </c>
    </row>
    <row r="141" spans="1:19" s="30" customFormat="1" x14ac:dyDescent="0.2">
      <c r="A141" s="30" t="s">
        <v>106</v>
      </c>
      <c r="B141" s="30" t="s">
        <v>22</v>
      </c>
      <c r="C141" s="31" t="s">
        <v>188</v>
      </c>
      <c r="D141" s="32" t="s">
        <v>232</v>
      </c>
      <c r="E141" s="32" t="b">
        <v>1</v>
      </c>
      <c r="F141" s="30">
        <f>(12+47)/2</f>
        <v>29.5</v>
      </c>
      <c r="G141" s="33" t="s">
        <v>108</v>
      </c>
      <c r="H141" s="30" t="s">
        <v>109</v>
      </c>
      <c r="I141" s="30">
        <v>6.1</v>
      </c>
      <c r="J141" s="30">
        <v>169.5</v>
      </c>
      <c r="K141" s="30">
        <v>7.4</v>
      </c>
      <c r="L141" s="30" t="s">
        <v>110</v>
      </c>
      <c r="M141" s="30">
        <v>50</v>
      </c>
      <c r="N141" s="30">
        <v>310</v>
      </c>
      <c r="O141" s="30" t="s">
        <v>65</v>
      </c>
      <c r="R141" s="34">
        <v>630</v>
      </c>
      <c r="S141" s="34"/>
    </row>
    <row r="142" spans="1:19" s="30" customFormat="1" x14ac:dyDescent="0.2">
      <c r="A142" s="30" t="s">
        <v>106</v>
      </c>
      <c r="B142" s="30" t="s">
        <v>30</v>
      </c>
      <c r="C142" s="35" t="s">
        <v>189</v>
      </c>
      <c r="D142" s="32" t="s">
        <v>232</v>
      </c>
      <c r="E142" s="32" t="b">
        <v>1</v>
      </c>
      <c r="F142" s="30">
        <f>(12+47)/2</f>
        <v>29.5</v>
      </c>
      <c r="G142" s="33" t="s">
        <v>111</v>
      </c>
      <c r="H142" s="30" t="s">
        <v>112</v>
      </c>
      <c r="I142" s="30">
        <v>6.2</v>
      </c>
      <c r="J142" s="30">
        <v>61.7</v>
      </c>
      <c r="K142" s="30">
        <v>7.4</v>
      </c>
      <c r="L142" s="30" t="s">
        <v>110</v>
      </c>
      <c r="M142" s="30">
        <v>50</v>
      </c>
      <c r="N142" s="30">
        <v>310</v>
      </c>
      <c r="O142" s="30" t="s">
        <v>65</v>
      </c>
      <c r="R142" s="34">
        <v>8000</v>
      </c>
      <c r="S142" s="34"/>
    </row>
    <row r="143" spans="1:19" s="30" customFormat="1" x14ac:dyDescent="0.2">
      <c r="A143" s="30" t="s">
        <v>106</v>
      </c>
      <c r="B143" s="30" t="s">
        <v>30</v>
      </c>
      <c r="C143" s="35" t="s">
        <v>189</v>
      </c>
      <c r="D143" s="32" t="s">
        <v>233</v>
      </c>
      <c r="E143" s="32" t="b">
        <v>1</v>
      </c>
      <c r="F143" s="30">
        <f>(12+47)/2</f>
        <v>29.5</v>
      </c>
      <c r="G143" s="33" t="s">
        <v>111</v>
      </c>
      <c r="H143" s="30" t="s">
        <v>112</v>
      </c>
      <c r="I143" s="30">
        <v>6.2</v>
      </c>
      <c r="J143" s="30">
        <v>61.7</v>
      </c>
      <c r="K143" s="30">
        <v>7.4</v>
      </c>
      <c r="L143" s="30" t="s">
        <v>110</v>
      </c>
      <c r="M143" s="30">
        <v>50</v>
      </c>
      <c r="N143" s="30">
        <v>310</v>
      </c>
      <c r="O143" s="30" t="s">
        <v>65</v>
      </c>
      <c r="R143" s="34">
        <v>20000</v>
      </c>
      <c r="S143" s="34"/>
    </row>
    <row r="144" spans="1:19" x14ac:dyDescent="0.2">
      <c r="A144" s="1" t="s">
        <v>106</v>
      </c>
      <c r="B144" s="1" t="s">
        <v>22</v>
      </c>
      <c r="C144" s="20" t="s">
        <v>188</v>
      </c>
      <c r="D144" s="6" t="s">
        <v>232</v>
      </c>
      <c r="E144" s="6" t="b">
        <v>1</v>
      </c>
      <c r="F144" s="1">
        <v>10</v>
      </c>
      <c r="G144" s="8" t="s">
        <v>237</v>
      </c>
      <c r="H144" s="1" t="s">
        <v>238</v>
      </c>
      <c r="I144" s="1">
        <v>0.1</v>
      </c>
      <c r="J144" s="1">
        <v>700</v>
      </c>
      <c r="K144" s="1">
        <v>7.4</v>
      </c>
      <c r="L144" s="1" t="s">
        <v>110</v>
      </c>
      <c r="M144" s="1">
        <v>50</v>
      </c>
      <c r="N144" s="1">
        <v>310</v>
      </c>
      <c r="O144" s="1" t="s">
        <v>59</v>
      </c>
      <c r="R144" s="15">
        <v>33000</v>
      </c>
    </row>
    <row r="145" spans="1:18" x14ac:dyDescent="0.2">
      <c r="A145" s="1" t="s">
        <v>106</v>
      </c>
      <c r="B145" s="1" t="s">
        <v>22</v>
      </c>
      <c r="C145" s="20" t="s">
        <v>188</v>
      </c>
      <c r="D145" s="6" t="s">
        <v>232</v>
      </c>
      <c r="E145" s="6" t="b">
        <v>1</v>
      </c>
      <c r="F145" s="1">
        <v>1</v>
      </c>
      <c r="G145" s="8" t="s">
        <v>237</v>
      </c>
      <c r="H145" s="1" t="s">
        <v>237</v>
      </c>
      <c r="I145" s="1">
        <v>0.1</v>
      </c>
      <c r="J145" s="1">
        <v>7000</v>
      </c>
      <c r="K145" s="1">
        <v>7.4</v>
      </c>
      <c r="L145" s="1" t="s">
        <v>110</v>
      </c>
      <c r="M145" s="1">
        <v>50</v>
      </c>
      <c r="N145" s="1">
        <v>310</v>
      </c>
      <c r="O145" s="1" t="s">
        <v>59</v>
      </c>
      <c r="R145" s="15">
        <v>150000</v>
      </c>
    </row>
    <row r="146" spans="1:18" x14ac:dyDescent="0.2">
      <c r="A146" s="1" t="s">
        <v>106</v>
      </c>
      <c r="B146" s="1" t="s">
        <v>30</v>
      </c>
      <c r="C146" t="s">
        <v>189</v>
      </c>
      <c r="D146" s="6" t="s">
        <v>232</v>
      </c>
      <c r="E146" s="6" t="b">
        <v>1</v>
      </c>
      <c r="F146" s="1">
        <v>10</v>
      </c>
      <c r="G146" s="8" t="s">
        <v>235</v>
      </c>
      <c r="H146" s="1" t="s">
        <v>238</v>
      </c>
      <c r="I146" s="1">
        <v>0.01</v>
      </c>
      <c r="J146" s="1">
        <v>700</v>
      </c>
      <c r="K146" s="1">
        <v>7.4</v>
      </c>
      <c r="L146" s="1" t="s">
        <v>110</v>
      </c>
      <c r="M146" s="1">
        <v>50</v>
      </c>
      <c r="N146" s="1">
        <v>310</v>
      </c>
      <c r="O146" s="1" t="s">
        <v>59</v>
      </c>
      <c r="R146" s="15">
        <v>49000</v>
      </c>
    </row>
    <row r="147" spans="1:18" x14ac:dyDescent="0.2">
      <c r="A147" s="1" t="s">
        <v>106</v>
      </c>
      <c r="B147" s="1" t="s">
        <v>30</v>
      </c>
      <c r="C147" t="s">
        <v>189</v>
      </c>
      <c r="D147" s="6" t="s">
        <v>232</v>
      </c>
      <c r="E147" s="6" t="b">
        <v>1</v>
      </c>
      <c r="F147" s="1">
        <v>8</v>
      </c>
      <c r="G147" s="8" t="s">
        <v>235</v>
      </c>
      <c r="H147" s="1" t="s">
        <v>239</v>
      </c>
      <c r="I147" s="1">
        <v>1.2500000000000001E-2</v>
      </c>
      <c r="J147" s="1">
        <v>125</v>
      </c>
      <c r="K147" s="1">
        <v>7.4</v>
      </c>
      <c r="L147" s="1" t="s">
        <v>110</v>
      </c>
      <c r="M147" s="1">
        <v>50</v>
      </c>
      <c r="N147" s="1">
        <v>310</v>
      </c>
      <c r="O147" s="1" t="s">
        <v>59</v>
      </c>
      <c r="R147" s="15">
        <v>70000</v>
      </c>
    </row>
    <row r="148" spans="1:18" x14ac:dyDescent="0.2">
      <c r="A148" s="1" t="s">
        <v>106</v>
      </c>
      <c r="B148" s="1" t="s">
        <v>30</v>
      </c>
      <c r="C148" t="s">
        <v>189</v>
      </c>
      <c r="D148" s="6" t="s">
        <v>232</v>
      </c>
      <c r="E148" s="6" t="b">
        <v>1</v>
      </c>
      <c r="F148" s="1">
        <v>6</v>
      </c>
      <c r="G148" s="8" t="s">
        <v>235</v>
      </c>
      <c r="H148" s="1" t="s">
        <v>240</v>
      </c>
      <c r="I148" s="1">
        <v>1.67E-2</v>
      </c>
      <c r="J148" s="1">
        <v>167</v>
      </c>
      <c r="K148" s="1">
        <v>7.4</v>
      </c>
      <c r="L148" s="1" t="s">
        <v>110</v>
      </c>
      <c r="M148" s="1">
        <v>50</v>
      </c>
      <c r="N148" s="1">
        <v>310</v>
      </c>
      <c r="O148" s="1" t="s">
        <v>59</v>
      </c>
      <c r="R148" s="15">
        <v>100000</v>
      </c>
    </row>
    <row r="149" spans="1:18" x14ac:dyDescent="0.2">
      <c r="A149" s="1" t="s">
        <v>106</v>
      </c>
      <c r="B149" s="1" t="s">
        <v>30</v>
      </c>
      <c r="C149" t="s">
        <v>189</v>
      </c>
      <c r="D149" s="6" t="s">
        <v>232</v>
      </c>
      <c r="E149" s="6" t="b">
        <v>1</v>
      </c>
      <c r="F149" s="1">
        <v>4</v>
      </c>
      <c r="G149" s="8" t="s">
        <v>235</v>
      </c>
      <c r="H149" s="1" t="s">
        <v>241</v>
      </c>
      <c r="I149" s="1">
        <v>2.5000000000000001E-2</v>
      </c>
      <c r="J149" s="1">
        <v>250</v>
      </c>
      <c r="K149" s="1">
        <v>7.4</v>
      </c>
      <c r="L149" s="1" t="s">
        <v>110</v>
      </c>
      <c r="M149" s="1">
        <v>50</v>
      </c>
      <c r="N149" s="1">
        <v>310</v>
      </c>
      <c r="O149" s="1" t="s">
        <v>59</v>
      </c>
      <c r="R149" s="15">
        <v>170000</v>
      </c>
    </row>
    <row r="150" spans="1:18" x14ac:dyDescent="0.2">
      <c r="A150" s="1" t="s">
        <v>106</v>
      </c>
      <c r="B150" s="1" t="s">
        <v>30</v>
      </c>
      <c r="C150" t="s">
        <v>189</v>
      </c>
      <c r="D150" s="6" t="s">
        <v>232</v>
      </c>
      <c r="E150" s="6" t="b">
        <v>1</v>
      </c>
      <c r="F150" s="1">
        <v>2</v>
      </c>
      <c r="G150" s="8" t="s">
        <v>235</v>
      </c>
      <c r="H150" s="1" t="s">
        <v>242</v>
      </c>
      <c r="I150" s="1">
        <v>0.05</v>
      </c>
      <c r="J150" s="1">
        <v>500</v>
      </c>
      <c r="K150" s="1">
        <v>7.4</v>
      </c>
      <c r="L150" s="1" t="s">
        <v>110</v>
      </c>
      <c r="M150" s="1">
        <v>50</v>
      </c>
      <c r="N150" s="1">
        <v>310</v>
      </c>
      <c r="O150" s="1" t="s">
        <v>59</v>
      </c>
      <c r="R150" s="15">
        <v>230000</v>
      </c>
    </row>
    <row r="151" spans="1:18" x14ac:dyDescent="0.2">
      <c r="A151" s="1" t="s">
        <v>106</v>
      </c>
      <c r="B151" s="1" t="s">
        <v>30</v>
      </c>
      <c r="C151" t="s">
        <v>189</v>
      </c>
      <c r="D151" s="6" t="s">
        <v>232</v>
      </c>
      <c r="E151" s="6" t="b">
        <v>1</v>
      </c>
      <c r="F151" s="1">
        <v>1</v>
      </c>
      <c r="G151" s="8" t="s">
        <v>235</v>
      </c>
      <c r="H151" s="8" t="s">
        <v>235</v>
      </c>
      <c r="I151" s="1">
        <v>0.1</v>
      </c>
      <c r="J151" s="1">
        <v>1000</v>
      </c>
      <c r="K151" s="1">
        <v>7.4</v>
      </c>
      <c r="L151" s="1" t="s">
        <v>110</v>
      </c>
      <c r="M151" s="1">
        <v>50</v>
      </c>
      <c r="N151" s="1">
        <v>310</v>
      </c>
      <c r="O151" s="1" t="s">
        <v>59</v>
      </c>
      <c r="R151" s="15">
        <v>600000</v>
      </c>
    </row>
    <row r="152" spans="1:18" x14ac:dyDescent="0.2">
      <c r="A152" s="1" t="s">
        <v>106</v>
      </c>
      <c r="B152" s="1" t="s">
        <v>42</v>
      </c>
      <c r="C152" t="s">
        <v>190</v>
      </c>
      <c r="D152" s="6" t="s">
        <v>232</v>
      </c>
      <c r="E152" s="6" t="b">
        <v>1</v>
      </c>
      <c r="F152" s="1">
        <v>10</v>
      </c>
      <c r="G152" s="8" t="s">
        <v>243</v>
      </c>
      <c r="H152" s="1" t="s">
        <v>244</v>
      </c>
      <c r="I152" s="1">
        <v>0.01</v>
      </c>
      <c r="J152" s="1">
        <v>15</v>
      </c>
      <c r="K152" s="1">
        <v>7.4</v>
      </c>
      <c r="L152" s="1" t="s">
        <v>110</v>
      </c>
      <c r="M152" s="1">
        <v>50</v>
      </c>
      <c r="N152" s="1">
        <v>310</v>
      </c>
      <c r="O152" s="1" t="s">
        <v>59</v>
      </c>
      <c r="R152" s="15">
        <v>180000</v>
      </c>
    </row>
    <row r="153" spans="1:18" x14ac:dyDescent="0.2">
      <c r="A153" s="1" t="s">
        <v>106</v>
      </c>
      <c r="B153" s="1" t="s">
        <v>42</v>
      </c>
      <c r="C153" t="s">
        <v>190</v>
      </c>
      <c r="D153" s="6" t="s">
        <v>232</v>
      </c>
      <c r="E153" s="6" t="b">
        <v>1</v>
      </c>
      <c r="F153" s="1">
        <v>2</v>
      </c>
      <c r="G153" s="8" t="s">
        <v>243</v>
      </c>
      <c r="H153" s="1" t="s">
        <v>245</v>
      </c>
      <c r="I153" s="1">
        <v>0.05</v>
      </c>
      <c r="J153" s="1">
        <v>75</v>
      </c>
      <c r="K153" s="1">
        <v>7.4</v>
      </c>
      <c r="L153" s="1" t="s">
        <v>110</v>
      </c>
      <c r="M153" s="1">
        <v>50</v>
      </c>
      <c r="N153" s="1">
        <v>310</v>
      </c>
      <c r="O153" s="1" t="s">
        <v>59</v>
      </c>
      <c r="R153" s="15">
        <v>140000</v>
      </c>
    </row>
    <row r="154" spans="1:18" x14ac:dyDescent="0.2">
      <c r="A154" s="1" t="s">
        <v>106</v>
      </c>
      <c r="B154" s="1" t="s">
        <v>42</v>
      </c>
      <c r="C154" t="s">
        <v>190</v>
      </c>
      <c r="D154" s="6" t="s">
        <v>232</v>
      </c>
      <c r="E154" s="6" t="b">
        <v>1</v>
      </c>
      <c r="F154" s="1">
        <v>1</v>
      </c>
      <c r="G154" s="8" t="s">
        <v>243</v>
      </c>
      <c r="H154" s="1" t="s">
        <v>243</v>
      </c>
      <c r="I154" s="1">
        <v>0.1</v>
      </c>
      <c r="J154" s="1">
        <v>150</v>
      </c>
      <c r="K154" s="1">
        <v>7.4</v>
      </c>
      <c r="L154" s="1" t="s">
        <v>110</v>
      </c>
      <c r="M154" s="1">
        <v>50</v>
      </c>
      <c r="N154" s="1">
        <v>310</v>
      </c>
      <c r="O154" s="1" t="s">
        <v>59</v>
      </c>
      <c r="R154" s="15">
        <v>300000</v>
      </c>
    </row>
    <row r="155" spans="1:18" x14ac:dyDescent="0.2">
      <c r="A155" s="1" t="s">
        <v>106</v>
      </c>
      <c r="B155" s="1" t="s">
        <v>246</v>
      </c>
      <c r="C155" s="18" t="s">
        <v>198</v>
      </c>
      <c r="D155" s="6" t="s">
        <v>232</v>
      </c>
      <c r="E155" s="6" t="b">
        <v>1</v>
      </c>
      <c r="F155" s="1">
        <v>10</v>
      </c>
      <c r="G155" s="8" t="s">
        <v>247</v>
      </c>
      <c r="H155" s="1" t="s">
        <v>248</v>
      </c>
      <c r="I155" s="1">
        <v>0.01</v>
      </c>
      <c r="J155" s="1">
        <v>60</v>
      </c>
      <c r="K155" s="1">
        <v>7.4</v>
      </c>
      <c r="L155" s="1" t="s">
        <v>110</v>
      </c>
      <c r="M155" s="1">
        <v>50</v>
      </c>
      <c r="N155" s="1">
        <v>310</v>
      </c>
      <c r="O155" s="1" t="s">
        <v>59</v>
      </c>
      <c r="R155" s="15">
        <v>300000</v>
      </c>
    </row>
    <row r="156" spans="1:18" x14ac:dyDescent="0.2">
      <c r="A156" s="1" t="s">
        <v>106</v>
      </c>
      <c r="B156" s="1" t="s">
        <v>246</v>
      </c>
      <c r="C156" s="18" t="s">
        <v>198</v>
      </c>
      <c r="D156" s="6" t="s">
        <v>232</v>
      </c>
      <c r="E156" s="6" t="b">
        <v>1</v>
      </c>
      <c r="F156" s="1">
        <v>1</v>
      </c>
      <c r="G156" s="8" t="s">
        <v>247</v>
      </c>
      <c r="H156" s="8" t="s">
        <v>247</v>
      </c>
      <c r="I156" s="1">
        <v>0.1</v>
      </c>
      <c r="J156" s="1">
        <v>600</v>
      </c>
      <c r="K156" s="1">
        <v>7.4</v>
      </c>
      <c r="L156" s="1" t="s">
        <v>110</v>
      </c>
      <c r="M156" s="1">
        <v>50</v>
      </c>
      <c r="N156" s="1">
        <v>310</v>
      </c>
      <c r="O156" s="1" t="s">
        <v>59</v>
      </c>
      <c r="R156" s="15">
        <v>20000</v>
      </c>
    </row>
    <row r="157" spans="1:18" x14ac:dyDescent="0.2">
      <c r="A157" s="1" t="s">
        <v>106</v>
      </c>
      <c r="B157" s="1" t="s">
        <v>30</v>
      </c>
      <c r="C157" t="s">
        <v>189</v>
      </c>
      <c r="D157" s="6" t="s">
        <v>233</v>
      </c>
      <c r="E157" s="6" t="b">
        <v>1</v>
      </c>
      <c r="F157" s="1">
        <v>10</v>
      </c>
      <c r="G157" s="8" t="s">
        <v>235</v>
      </c>
      <c r="H157" s="1" t="s">
        <v>236</v>
      </c>
      <c r="I157" s="1">
        <v>0.01</v>
      </c>
      <c r="J157" s="1">
        <v>100</v>
      </c>
      <c r="K157" s="1">
        <v>7.4</v>
      </c>
      <c r="L157" s="1" t="s">
        <v>110</v>
      </c>
      <c r="M157" s="1">
        <v>50</v>
      </c>
      <c r="N157" s="1">
        <v>310</v>
      </c>
      <c r="O157" s="1" t="s">
        <v>59</v>
      </c>
      <c r="R157" s="15">
        <v>30000</v>
      </c>
    </row>
    <row r="158" spans="1:18" x14ac:dyDescent="0.2">
      <c r="A158" s="1" t="s">
        <v>106</v>
      </c>
      <c r="B158" s="1" t="s">
        <v>30</v>
      </c>
      <c r="C158" t="s">
        <v>189</v>
      </c>
      <c r="D158" s="6" t="s">
        <v>233</v>
      </c>
      <c r="E158" s="6" t="b">
        <v>1</v>
      </c>
      <c r="F158" s="1">
        <v>1</v>
      </c>
      <c r="G158" s="8" t="s">
        <v>235</v>
      </c>
      <c r="H158" s="8" t="s">
        <v>235</v>
      </c>
      <c r="I158" s="1">
        <v>0.1</v>
      </c>
      <c r="J158" s="1">
        <v>1000</v>
      </c>
      <c r="K158" s="1">
        <v>7.4</v>
      </c>
      <c r="L158" s="1" t="s">
        <v>110</v>
      </c>
      <c r="M158" s="1">
        <v>50</v>
      </c>
      <c r="N158" s="1">
        <v>310</v>
      </c>
      <c r="O158" s="1" t="s">
        <v>59</v>
      </c>
      <c r="R158" s="15">
        <v>50000</v>
      </c>
    </row>
    <row r="159" spans="1:18" x14ac:dyDescent="0.2">
      <c r="A159" s="1" t="s">
        <v>126</v>
      </c>
      <c r="B159" s="1" t="s">
        <v>30</v>
      </c>
      <c r="C159" s="18" t="s">
        <v>189</v>
      </c>
      <c r="D159" s="6" t="s">
        <v>233</v>
      </c>
      <c r="E159" s="6" t="b">
        <v>1</v>
      </c>
      <c r="F159" s="1">
        <v>1</v>
      </c>
      <c r="G159" s="7" t="s">
        <v>128</v>
      </c>
      <c r="H159" s="7" t="s">
        <v>128</v>
      </c>
      <c r="I159" s="1">
        <v>3</v>
      </c>
      <c r="J159" s="1">
        <v>18</v>
      </c>
      <c r="K159" s="1">
        <v>7.4</v>
      </c>
      <c r="L159" s="1" t="s">
        <v>53</v>
      </c>
      <c r="N159" s="1">
        <v>298</v>
      </c>
      <c r="O159" s="1" t="s">
        <v>59</v>
      </c>
      <c r="P159" s="1" t="s">
        <v>129</v>
      </c>
      <c r="R159" s="15">
        <v>7810000</v>
      </c>
    </row>
    <row r="160" spans="1:18" x14ac:dyDescent="0.2">
      <c r="A160" s="1" t="s">
        <v>126</v>
      </c>
      <c r="B160" s="1" t="s">
        <v>30</v>
      </c>
      <c r="C160" s="18" t="s">
        <v>189</v>
      </c>
      <c r="D160" s="6" t="s">
        <v>233</v>
      </c>
      <c r="E160" s="6" t="b">
        <v>1</v>
      </c>
      <c r="F160" s="1">
        <v>1</v>
      </c>
      <c r="G160" s="7" t="s">
        <v>128</v>
      </c>
      <c r="H160" s="7" t="s">
        <v>128</v>
      </c>
      <c r="I160" s="1">
        <v>3</v>
      </c>
      <c r="J160" s="1">
        <v>18</v>
      </c>
      <c r="K160" s="1">
        <v>7.4</v>
      </c>
      <c r="L160" s="1" t="s">
        <v>53</v>
      </c>
      <c r="N160" s="1">
        <v>304</v>
      </c>
      <c r="O160" s="1" t="s">
        <v>59</v>
      </c>
      <c r="P160" s="1" t="s">
        <v>129</v>
      </c>
      <c r="R160" s="15">
        <v>202000</v>
      </c>
    </row>
    <row r="161" spans="1:18" x14ac:dyDescent="0.2">
      <c r="A161" s="1" t="s">
        <v>126</v>
      </c>
      <c r="B161" s="1" t="s">
        <v>30</v>
      </c>
      <c r="C161" s="18" t="s">
        <v>189</v>
      </c>
      <c r="D161" s="6" t="s">
        <v>233</v>
      </c>
      <c r="E161" s="6" t="b">
        <v>1</v>
      </c>
      <c r="F161" s="1">
        <v>1</v>
      </c>
      <c r="G161" s="7" t="s">
        <v>128</v>
      </c>
      <c r="H161" s="7" t="s">
        <v>128</v>
      </c>
      <c r="I161" s="1">
        <v>3</v>
      </c>
      <c r="J161" s="1">
        <v>18</v>
      </c>
      <c r="K161" s="1">
        <v>7.4</v>
      </c>
      <c r="L161" s="1" t="s">
        <v>53</v>
      </c>
      <c r="N161" s="1">
        <v>310</v>
      </c>
      <c r="O161" s="1" t="s">
        <v>59</v>
      </c>
      <c r="P161" s="1" t="s">
        <v>129</v>
      </c>
      <c r="R161" s="15">
        <v>99000</v>
      </c>
    </row>
    <row r="162" spans="1:18" x14ac:dyDescent="0.2">
      <c r="A162" s="1" t="s">
        <v>126</v>
      </c>
      <c r="B162" s="1" t="s">
        <v>130</v>
      </c>
      <c r="C162" s="18" t="s">
        <v>219</v>
      </c>
      <c r="D162" s="6" t="s">
        <v>233</v>
      </c>
      <c r="E162" s="6" t="b">
        <v>1</v>
      </c>
      <c r="F162" s="1">
        <v>1</v>
      </c>
      <c r="G162" s="7" t="s">
        <v>128</v>
      </c>
      <c r="H162" s="7" t="s">
        <v>128</v>
      </c>
      <c r="I162" s="1">
        <v>3</v>
      </c>
      <c r="J162" s="1">
        <v>18</v>
      </c>
      <c r="K162" s="1">
        <v>7.4</v>
      </c>
      <c r="L162" s="1" t="s">
        <v>53</v>
      </c>
      <c r="N162" s="1">
        <v>298</v>
      </c>
      <c r="O162" s="1" t="s">
        <v>59</v>
      </c>
      <c r="P162" s="1" t="s">
        <v>129</v>
      </c>
      <c r="R162" s="15">
        <v>3700000</v>
      </c>
    </row>
    <row r="163" spans="1:18" x14ac:dyDescent="0.2">
      <c r="A163" s="1" t="s">
        <v>126</v>
      </c>
      <c r="B163" s="1" t="s">
        <v>130</v>
      </c>
      <c r="C163" s="18" t="s">
        <v>219</v>
      </c>
      <c r="D163" s="6" t="s">
        <v>233</v>
      </c>
      <c r="E163" s="6" t="b">
        <v>1</v>
      </c>
      <c r="F163" s="1">
        <v>1</v>
      </c>
      <c r="G163" s="7" t="s">
        <v>128</v>
      </c>
      <c r="H163" s="7" t="s">
        <v>128</v>
      </c>
      <c r="I163" s="1">
        <v>3</v>
      </c>
      <c r="J163" s="1">
        <v>18</v>
      </c>
      <c r="K163" s="1">
        <v>7.4</v>
      </c>
      <c r="L163" s="1" t="s">
        <v>53</v>
      </c>
      <c r="N163" s="1">
        <v>304</v>
      </c>
      <c r="O163" s="1" t="s">
        <v>59</v>
      </c>
      <c r="P163" s="1" t="s">
        <v>129</v>
      </c>
      <c r="R163" s="15">
        <v>85400000</v>
      </c>
    </row>
    <row r="164" spans="1:18" x14ac:dyDescent="0.2">
      <c r="A164" s="1" t="s">
        <v>126</v>
      </c>
      <c r="B164" s="19" t="s">
        <v>130</v>
      </c>
      <c r="C164" s="20" t="s">
        <v>219</v>
      </c>
      <c r="D164" s="6" t="s">
        <v>233</v>
      </c>
      <c r="E164" s="6" t="b">
        <v>1</v>
      </c>
      <c r="F164" s="1">
        <v>1</v>
      </c>
      <c r="G164" s="7" t="s">
        <v>128</v>
      </c>
      <c r="H164" s="7" t="s">
        <v>128</v>
      </c>
      <c r="I164" s="1">
        <v>3</v>
      </c>
      <c r="J164" s="1">
        <v>18</v>
      </c>
      <c r="K164" s="1">
        <v>7.4</v>
      </c>
      <c r="L164" s="1" t="s">
        <v>53</v>
      </c>
      <c r="N164" s="1">
        <v>310</v>
      </c>
      <c r="O164" s="1" t="s">
        <v>59</v>
      </c>
      <c r="P164" s="1" t="s">
        <v>129</v>
      </c>
      <c r="R164" s="15">
        <v>2310000000</v>
      </c>
    </row>
    <row r="165" spans="1:18" x14ac:dyDescent="0.2">
      <c r="A165" s="1" t="s">
        <v>126</v>
      </c>
      <c r="B165" s="1" t="s">
        <v>22</v>
      </c>
      <c r="C165" s="20" t="s">
        <v>188</v>
      </c>
      <c r="D165" s="6" t="s">
        <v>233</v>
      </c>
      <c r="E165" s="6" t="b">
        <v>1</v>
      </c>
      <c r="F165" s="1">
        <v>1</v>
      </c>
      <c r="G165" s="7" t="s">
        <v>128</v>
      </c>
      <c r="H165" s="7" t="s">
        <v>128</v>
      </c>
      <c r="I165" s="1">
        <v>3</v>
      </c>
      <c r="J165" s="1">
        <v>18</v>
      </c>
      <c r="K165" s="1">
        <v>7.4</v>
      </c>
      <c r="L165" s="1" t="s">
        <v>53</v>
      </c>
      <c r="N165" s="1">
        <v>298</v>
      </c>
      <c r="O165" s="1" t="s">
        <v>59</v>
      </c>
      <c r="P165" s="1" t="s">
        <v>129</v>
      </c>
      <c r="R165" s="15">
        <v>2270000</v>
      </c>
    </row>
    <row r="166" spans="1:18" x14ac:dyDescent="0.2">
      <c r="A166" s="1" t="s">
        <v>126</v>
      </c>
      <c r="B166" s="1" t="s">
        <v>22</v>
      </c>
      <c r="C166" s="20" t="s">
        <v>188</v>
      </c>
      <c r="D166" s="6" t="s">
        <v>233</v>
      </c>
      <c r="E166" s="6" t="b">
        <v>1</v>
      </c>
      <c r="F166" s="1">
        <v>1</v>
      </c>
      <c r="G166" s="7" t="s">
        <v>128</v>
      </c>
      <c r="H166" s="7" t="s">
        <v>128</v>
      </c>
      <c r="I166" s="1">
        <v>3</v>
      </c>
      <c r="J166" s="1">
        <v>18</v>
      </c>
      <c r="K166" s="1">
        <v>7.4</v>
      </c>
      <c r="L166" s="1" t="s">
        <v>53</v>
      </c>
      <c r="N166" s="1">
        <v>304</v>
      </c>
      <c r="O166" s="1" t="s">
        <v>59</v>
      </c>
      <c r="P166" s="1" t="s">
        <v>129</v>
      </c>
      <c r="R166" s="15">
        <v>2230000</v>
      </c>
    </row>
    <row r="167" spans="1:18" x14ac:dyDescent="0.2">
      <c r="A167" s="1" t="s">
        <v>126</v>
      </c>
      <c r="B167" s="1" t="s">
        <v>22</v>
      </c>
      <c r="C167" s="20" t="s">
        <v>188</v>
      </c>
      <c r="D167" s="6" t="s">
        <v>233</v>
      </c>
      <c r="E167" s="6" t="b">
        <v>1</v>
      </c>
      <c r="F167" s="1">
        <v>1</v>
      </c>
      <c r="G167" s="7" t="s">
        <v>128</v>
      </c>
      <c r="H167" s="7" t="s">
        <v>128</v>
      </c>
      <c r="I167" s="1">
        <v>3</v>
      </c>
      <c r="J167" s="1">
        <v>18</v>
      </c>
      <c r="K167" s="1">
        <v>7.4</v>
      </c>
      <c r="L167" s="1" t="s">
        <v>53</v>
      </c>
      <c r="N167" s="1">
        <v>310</v>
      </c>
      <c r="O167" s="1" t="s">
        <v>59</v>
      </c>
      <c r="P167" s="1" t="s">
        <v>129</v>
      </c>
      <c r="R167" s="15">
        <v>1980000</v>
      </c>
    </row>
    <row r="168" spans="1:18" x14ac:dyDescent="0.2">
      <c r="A168" s="1" t="s">
        <v>126</v>
      </c>
      <c r="B168" s="1" t="s">
        <v>131</v>
      </c>
      <c r="C168" t="s">
        <v>204</v>
      </c>
      <c r="D168" s="6" t="s">
        <v>233</v>
      </c>
      <c r="E168" s="6" t="b">
        <v>1</v>
      </c>
      <c r="F168" s="1">
        <v>1</v>
      </c>
      <c r="G168" s="7" t="s">
        <v>128</v>
      </c>
      <c r="H168" s="7" t="s">
        <v>128</v>
      </c>
      <c r="I168" s="1">
        <v>3</v>
      </c>
      <c r="J168" s="1">
        <v>18</v>
      </c>
      <c r="K168" s="1">
        <v>7.4</v>
      </c>
      <c r="L168" s="1" t="s">
        <v>53</v>
      </c>
      <c r="N168" s="1">
        <v>298</v>
      </c>
      <c r="O168" s="1" t="s">
        <v>59</v>
      </c>
      <c r="P168" s="1" t="s">
        <v>129</v>
      </c>
      <c r="R168" s="15">
        <v>159000</v>
      </c>
    </row>
    <row r="169" spans="1:18" x14ac:dyDescent="0.2">
      <c r="A169" s="1" t="s">
        <v>126</v>
      </c>
      <c r="B169" s="1" t="s">
        <v>131</v>
      </c>
      <c r="C169" t="s">
        <v>204</v>
      </c>
      <c r="D169" s="6" t="s">
        <v>233</v>
      </c>
      <c r="E169" s="6" t="b">
        <v>1</v>
      </c>
      <c r="F169" s="1">
        <v>1</v>
      </c>
      <c r="G169" s="7" t="s">
        <v>128</v>
      </c>
      <c r="H169" s="7" t="s">
        <v>128</v>
      </c>
      <c r="I169" s="1">
        <v>3</v>
      </c>
      <c r="J169" s="1">
        <v>18</v>
      </c>
      <c r="K169" s="1">
        <v>7.4</v>
      </c>
      <c r="L169" s="1" t="s">
        <v>53</v>
      </c>
      <c r="N169" s="1">
        <v>304</v>
      </c>
      <c r="O169" s="1" t="s">
        <v>59</v>
      </c>
      <c r="P169" s="1" t="s">
        <v>129</v>
      </c>
      <c r="R169" s="15">
        <v>45500</v>
      </c>
    </row>
    <row r="170" spans="1:18" x14ac:dyDescent="0.2">
      <c r="A170" s="1" t="s">
        <v>126</v>
      </c>
      <c r="B170" s="1" t="s">
        <v>131</v>
      </c>
      <c r="C170" t="s">
        <v>204</v>
      </c>
      <c r="D170" s="6" t="s">
        <v>233</v>
      </c>
      <c r="E170" s="6" t="b">
        <v>1</v>
      </c>
      <c r="F170" s="1">
        <v>1</v>
      </c>
      <c r="G170" s="7" t="s">
        <v>128</v>
      </c>
      <c r="H170" s="7" t="s">
        <v>128</v>
      </c>
      <c r="I170" s="1">
        <v>3</v>
      </c>
      <c r="J170" s="1">
        <v>18</v>
      </c>
      <c r="K170" s="1">
        <v>7.4</v>
      </c>
      <c r="L170" s="1" t="s">
        <v>53</v>
      </c>
      <c r="N170" s="1">
        <v>310</v>
      </c>
      <c r="O170" s="1" t="s">
        <v>59</v>
      </c>
      <c r="P170" s="1" t="s">
        <v>129</v>
      </c>
      <c r="R170" s="15">
        <v>29900</v>
      </c>
    </row>
    <row r="171" spans="1:18" x14ac:dyDescent="0.2">
      <c r="A171" s="1" t="s">
        <v>126</v>
      </c>
      <c r="B171" s="1" t="s">
        <v>41</v>
      </c>
      <c r="C171" s="18" t="s">
        <v>197</v>
      </c>
      <c r="D171" s="6" t="s">
        <v>233</v>
      </c>
      <c r="E171" s="6" t="b">
        <v>1</v>
      </c>
      <c r="F171" s="1">
        <v>1</v>
      </c>
      <c r="G171" s="7" t="s">
        <v>128</v>
      </c>
      <c r="H171" s="7" t="s">
        <v>128</v>
      </c>
      <c r="I171" s="1">
        <v>3</v>
      </c>
      <c r="J171" s="1">
        <v>18</v>
      </c>
      <c r="K171" s="1">
        <v>7.4</v>
      </c>
      <c r="L171" s="1" t="s">
        <v>53</v>
      </c>
      <c r="N171" s="1">
        <v>298</v>
      </c>
      <c r="O171" s="1" t="s">
        <v>59</v>
      </c>
      <c r="P171" s="1" t="s">
        <v>129</v>
      </c>
      <c r="R171" s="15">
        <v>4530</v>
      </c>
    </row>
    <row r="172" spans="1:18" x14ac:dyDescent="0.2">
      <c r="A172" s="1" t="s">
        <v>126</v>
      </c>
      <c r="B172" s="1" t="s">
        <v>41</v>
      </c>
      <c r="C172" s="18" t="s">
        <v>197</v>
      </c>
      <c r="D172" s="6" t="s">
        <v>233</v>
      </c>
      <c r="E172" s="6" t="b">
        <v>1</v>
      </c>
      <c r="F172" s="1">
        <v>1</v>
      </c>
      <c r="G172" s="7" t="s">
        <v>128</v>
      </c>
      <c r="H172" s="7" t="s">
        <v>128</v>
      </c>
      <c r="I172" s="1">
        <v>3</v>
      </c>
      <c r="J172" s="1">
        <v>18</v>
      </c>
      <c r="K172" s="1">
        <v>7.4</v>
      </c>
      <c r="L172" s="1" t="s">
        <v>53</v>
      </c>
      <c r="N172" s="1">
        <v>304</v>
      </c>
      <c r="O172" s="1" t="s">
        <v>59</v>
      </c>
      <c r="P172" s="1" t="s">
        <v>129</v>
      </c>
      <c r="R172" s="15">
        <v>535000</v>
      </c>
    </row>
    <row r="173" spans="1:18" x14ac:dyDescent="0.2">
      <c r="A173" s="1" t="s">
        <v>126</v>
      </c>
      <c r="B173" s="1" t="s">
        <v>41</v>
      </c>
      <c r="C173" s="18" t="s">
        <v>197</v>
      </c>
      <c r="D173" s="6" t="s">
        <v>233</v>
      </c>
      <c r="E173" s="6" t="b">
        <v>1</v>
      </c>
      <c r="F173" s="1">
        <v>1</v>
      </c>
      <c r="G173" s="7" t="s">
        <v>128</v>
      </c>
      <c r="H173" s="7" t="s">
        <v>128</v>
      </c>
      <c r="I173" s="1">
        <v>3</v>
      </c>
      <c r="J173" s="1">
        <v>18</v>
      </c>
      <c r="K173" s="1">
        <v>7.4</v>
      </c>
      <c r="L173" s="1" t="s">
        <v>53</v>
      </c>
      <c r="N173" s="1">
        <v>310</v>
      </c>
      <c r="O173" s="1" t="s">
        <v>59</v>
      </c>
      <c r="P173" s="1" t="s">
        <v>129</v>
      </c>
      <c r="R173" s="15">
        <v>747000</v>
      </c>
    </row>
    <row r="174" spans="1:18" x14ac:dyDescent="0.2">
      <c r="A174" s="1" t="s">
        <v>126</v>
      </c>
      <c r="B174" s="1" t="s">
        <v>132</v>
      </c>
      <c r="C174" t="s">
        <v>224</v>
      </c>
      <c r="D174" s="6" t="s">
        <v>233</v>
      </c>
      <c r="E174" s="6" t="b">
        <v>1</v>
      </c>
      <c r="F174" s="1">
        <v>1</v>
      </c>
      <c r="G174" s="7" t="s">
        <v>128</v>
      </c>
      <c r="H174" s="7" t="s">
        <v>128</v>
      </c>
      <c r="I174" s="1">
        <v>3</v>
      </c>
      <c r="J174" s="1">
        <v>18</v>
      </c>
      <c r="K174" s="1">
        <v>7.4</v>
      </c>
      <c r="L174" s="1" t="s">
        <v>53</v>
      </c>
      <c r="N174" s="1">
        <v>298</v>
      </c>
      <c r="O174" s="1" t="s">
        <v>59</v>
      </c>
      <c r="P174" s="1" t="s">
        <v>129</v>
      </c>
      <c r="R174" s="15">
        <v>1520</v>
      </c>
    </row>
    <row r="175" spans="1:18" x14ac:dyDescent="0.2">
      <c r="A175" s="1" t="s">
        <v>126</v>
      </c>
      <c r="B175" s="1" t="s">
        <v>132</v>
      </c>
      <c r="C175" t="s">
        <v>224</v>
      </c>
      <c r="D175" s="6" t="s">
        <v>233</v>
      </c>
      <c r="E175" s="6" t="b">
        <v>1</v>
      </c>
      <c r="F175" s="1">
        <v>1</v>
      </c>
      <c r="G175" s="7" t="s">
        <v>128</v>
      </c>
      <c r="H175" s="7" t="s">
        <v>128</v>
      </c>
      <c r="I175" s="1">
        <v>3</v>
      </c>
      <c r="J175" s="1">
        <v>18</v>
      </c>
      <c r="K175" s="1">
        <v>7.4</v>
      </c>
      <c r="L175" s="1" t="s">
        <v>53</v>
      </c>
      <c r="N175" s="1">
        <v>304</v>
      </c>
      <c r="O175" s="1" t="s">
        <v>59</v>
      </c>
      <c r="P175" s="1" t="s">
        <v>129</v>
      </c>
      <c r="R175" s="15">
        <v>4930</v>
      </c>
    </row>
    <row r="176" spans="1:18" x14ac:dyDescent="0.2">
      <c r="A176" s="1" t="s">
        <v>126</v>
      </c>
      <c r="B176" s="1" t="s">
        <v>132</v>
      </c>
      <c r="C176" t="s">
        <v>224</v>
      </c>
      <c r="D176" s="6" t="s">
        <v>233</v>
      </c>
      <c r="E176" s="6" t="b">
        <v>1</v>
      </c>
      <c r="F176" s="1">
        <v>1</v>
      </c>
      <c r="G176" s="7" t="s">
        <v>128</v>
      </c>
      <c r="H176" s="7" t="s">
        <v>128</v>
      </c>
      <c r="I176" s="1">
        <v>3</v>
      </c>
      <c r="J176" s="1">
        <v>18</v>
      </c>
      <c r="K176" s="1">
        <v>7.4</v>
      </c>
      <c r="L176" s="1" t="s">
        <v>53</v>
      </c>
      <c r="N176" s="1">
        <v>310</v>
      </c>
      <c r="O176" s="1" t="s">
        <v>59</v>
      </c>
      <c r="P176" s="1" t="s">
        <v>129</v>
      </c>
      <c r="R176" s="15">
        <v>20700</v>
      </c>
    </row>
    <row r="177" spans="1:21" x14ac:dyDescent="0.2">
      <c r="A177" s="1" t="s">
        <v>157</v>
      </c>
      <c r="B177" s="1" t="s">
        <v>22</v>
      </c>
      <c r="C177" s="20" t="s">
        <v>188</v>
      </c>
      <c r="D177" s="6" t="s">
        <v>232</v>
      </c>
      <c r="E177" s="6"/>
      <c r="F177" s="1">
        <v>1</v>
      </c>
      <c r="G177" s="7" t="s">
        <v>52</v>
      </c>
      <c r="H177" s="7" t="s">
        <v>52</v>
      </c>
      <c r="I177" s="1">
        <v>1</v>
      </c>
      <c r="J177" s="1">
        <v>20</v>
      </c>
      <c r="K177" s="1">
        <v>7.4</v>
      </c>
      <c r="L177" s="1" t="s">
        <v>110</v>
      </c>
      <c r="M177" s="1">
        <v>0.02</v>
      </c>
      <c r="N177" s="1">
        <v>300</v>
      </c>
      <c r="O177" s="1" t="s">
        <v>59</v>
      </c>
      <c r="P177" s="1" t="s">
        <v>60</v>
      </c>
      <c r="R177" s="15">
        <v>43600</v>
      </c>
    </row>
    <row r="178" spans="1:21" x14ac:dyDescent="0.2">
      <c r="A178" s="1" t="s">
        <v>157</v>
      </c>
      <c r="B178" s="1" t="s">
        <v>22</v>
      </c>
      <c r="C178" s="20" t="s">
        <v>188</v>
      </c>
      <c r="D178" s="6" t="s">
        <v>232</v>
      </c>
      <c r="E178" s="6"/>
      <c r="F178" s="1">
        <v>1</v>
      </c>
      <c r="G178" s="7" t="s">
        <v>52</v>
      </c>
      <c r="H178" s="7" t="s">
        <v>52</v>
      </c>
      <c r="I178" s="1">
        <v>1</v>
      </c>
      <c r="J178" s="1">
        <v>20</v>
      </c>
      <c r="K178" s="1">
        <v>7.4</v>
      </c>
      <c r="L178" s="1" t="s">
        <v>110</v>
      </c>
      <c r="M178" s="1">
        <v>0.02</v>
      </c>
      <c r="N178" s="1">
        <v>310</v>
      </c>
      <c r="O178" s="1" t="s">
        <v>59</v>
      </c>
      <c r="P178" s="1" t="s">
        <v>60</v>
      </c>
      <c r="R178" s="15">
        <v>29300</v>
      </c>
    </row>
    <row r="179" spans="1:21" x14ac:dyDescent="0.2">
      <c r="A179" s="1" t="s">
        <v>157</v>
      </c>
      <c r="B179" s="1" t="s">
        <v>22</v>
      </c>
      <c r="C179" s="20" t="s">
        <v>188</v>
      </c>
      <c r="D179" s="6" t="s">
        <v>232</v>
      </c>
      <c r="E179" s="6"/>
      <c r="F179" s="1">
        <v>1</v>
      </c>
      <c r="G179" s="7" t="s">
        <v>52</v>
      </c>
      <c r="H179" s="7" t="s">
        <v>52</v>
      </c>
      <c r="I179" s="1">
        <v>1</v>
      </c>
      <c r="J179" s="1">
        <v>20</v>
      </c>
      <c r="K179" s="1">
        <v>7.4</v>
      </c>
      <c r="L179" s="1" t="s">
        <v>110</v>
      </c>
      <c r="M179" s="1">
        <v>0.02</v>
      </c>
      <c r="N179" s="1">
        <v>320</v>
      </c>
      <c r="O179" s="1" t="s">
        <v>59</v>
      </c>
      <c r="P179" s="1" t="s">
        <v>60</v>
      </c>
      <c r="R179" s="15">
        <v>21700</v>
      </c>
    </row>
    <row r="180" spans="1:21" x14ac:dyDescent="0.2">
      <c r="A180" s="1" t="s">
        <v>157</v>
      </c>
      <c r="B180" s="1" t="s">
        <v>42</v>
      </c>
      <c r="C180" s="18" t="s">
        <v>190</v>
      </c>
      <c r="D180" s="6" t="s">
        <v>232</v>
      </c>
      <c r="E180" s="6"/>
      <c r="F180" s="1">
        <v>1</v>
      </c>
      <c r="G180" s="7" t="s">
        <v>160</v>
      </c>
      <c r="H180" s="7" t="s">
        <v>160</v>
      </c>
      <c r="I180" s="1">
        <v>0.25</v>
      </c>
      <c r="J180" s="1">
        <v>7</v>
      </c>
      <c r="K180" s="1">
        <v>7.4</v>
      </c>
      <c r="L180" s="1" t="s">
        <v>110</v>
      </c>
      <c r="M180" s="1">
        <v>0.02</v>
      </c>
      <c r="N180" s="1">
        <v>300</v>
      </c>
      <c r="O180" s="1" t="s">
        <v>59</v>
      </c>
      <c r="P180" s="1" t="s">
        <v>60</v>
      </c>
      <c r="R180" s="15">
        <v>684600</v>
      </c>
    </row>
    <row r="181" spans="1:21" x14ac:dyDescent="0.2">
      <c r="A181" s="1" t="s">
        <v>157</v>
      </c>
      <c r="B181" s="1" t="s">
        <v>42</v>
      </c>
      <c r="C181" s="18" t="s">
        <v>190</v>
      </c>
      <c r="D181" s="6" t="s">
        <v>232</v>
      </c>
      <c r="E181" s="6"/>
      <c r="F181" s="1">
        <v>1</v>
      </c>
      <c r="G181" s="7" t="s">
        <v>160</v>
      </c>
      <c r="H181" s="7" t="s">
        <v>160</v>
      </c>
      <c r="I181" s="1">
        <v>0.25</v>
      </c>
      <c r="J181" s="1">
        <v>7</v>
      </c>
      <c r="K181" s="1">
        <v>7.4</v>
      </c>
      <c r="L181" s="1" t="s">
        <v>110</v>
      </c>
      <c r="M181" s="1">
        <v>0.02</v>
      </c>
      <c r="N181" s="1">
        <v>310</v>
      </c>
      <c r="O181" s="1" t="s">
        <v>59</v>
      </c>
      <c r="P181" s="1" t="s">
        <v>60</v>
      </c>
      <c r="R181" s="15">
        <v>441700</v>
      </c>
    </row>
    <row r="182" spans="1:21" x14ac:dyDescent="0.2">
      <c r="A182" s="1" t="s">
        <v>157</v>
      </c>
      <c r="B182" s="1" t="s">
        <v>42</v>
      </c>
      <c r="C182" s="18" t="s">
        <v>190</v>
      </c>
      <c r="D182" s="6" t="s">
        <v>232</v>
      </c>
      <c r="E182" s="6"/>
      <c r="F182" s="1">
        <v>1</v>
      </c>
      <c r="G182" s="7" t="s">
        <v>160</v>
      </c>
      <c r="H182" s="7" t="s">
        <v>160</v>
      </c>
      <c r="I182" s="1">
        <v>0.25</v>
      </c>
      <c r="J182" s="1">
        <v>7</v>
      </c>
      <c r="K182" s="1">
        <v>7.4</v>
      </c>
      <c r="L182" s="1" t="s">
        <v>110</v>
      </c>
      <c r="M182" s="1">
        <v>0.02</v>
      </c>
      <c r="N182" s="1">
        <v>320</v>
      </c>
      <c r="O182" s="1" t="s">
        <v>59</v>
      </c>
      <c r="P182" s="1" t="s">
        <v>60</v>
      </c>
      <c r="R182" s="15">
        <v>272200</v>
      </c>
    </row>
    <row r="183" spans="1:21" x14ac:dyDescent="0.2">
      <c r="A183" s="1" t="s">
        <v>162</v>
      </c>
      <c r="B183" s="19" t="s">
        <v>48</v>
      </c>
      <c r="C183" s="20" t="s">
        <v>193</v>
      </c>
      <c r="D183" s="6" t="s">
        <v>233</v>
      </c>
      <c r="E183" s="6" t="b">
        <v>1</v>
      </c>
      <c r="F183" s="1">
        <v>5</v>
      </c>
      <c r="G183" s="7" t="s">
        <v>164</v>
      </c>
      <c r="H183" s="1" t="s">
        <v>58</v>
      </c>
      <c r="I183" s="1">
        <v>0.2</v>
      </c>
      <c r="J183" s="1">
        <v>10</v>
      </c>
      <c r="N183" s="1">
        <v>310</v>
      </c>
      <c r="O183" s="1" t="s">
        <v>161</v>
      </c>
      <c r="P183" s="1" t="s">
        <v>117</v>
      </c>
      <c r="R183" s="15">
        <f t="shared" ref="R183:R212" si="7">1/T183</f>
        <v>32573.289902280128</v>
      </c>
      <c r="T183" s="1">
        <f>30.7/1000000</f>
        <v>3.0700000000000001E-5</v>
      </c>
      <c r="U183" s="1">
        <v>3.8</v>
      </c>
    </row>
    <row r="184" spans="1:21" x14ac:dyDescent="0.2">
      <c r="A184" s="1" t="s">
        <v>162</v>
      </c>
      <c r="B184" s="1" t="s">
        <v>165</v>
      </c>
      <c r="C184" s="18" t="s">
        <v>199</v>
      </c>
      <c r="D184" s="6" t="s">
        <v>233</v>
      </c>
      <c r="E184" s="6" t="b">
        <v>1</v>
      </c>
      <c r="F184" s="1">
        <v>5</v>
      </c>
      <c r="G184" s="7" t="s">
        <v>164</v>
      </c>
      <c r="H184" s="1" t="s">
        <v>58</v>
      </c>
      <c r="I184" s="1">
        <v>0.2</v>
      </c>
      <c r="J184" s="1">
        <v>10</v>
      </c>
      <c r="N184" s="1">
        <v>310</v>
      </c>
      <c r="O184" s="1" t="s">
        <v>161</v>
      </c>
      <c r="P184" s="1" t="s">
        <v>117</v>
      </c>
      <c r="R184" s="15">
        <f t="shared" si="7"/>
        <v>59880.239520958086</v>
      </c>
      <c r="T184" s="1">
        <f>16.7/1000000</f>
        <v>1.6699999999999999E-5</v>
      </c>
      <c r="U184" s="1">
        <v>3.3</v>
      </c>
    </row>
    <row r="185" spans="1:21" x14ac:dyDescent="0.2">
      <c r="A185" s="1" t="s">
        <v>167</v>
      </c>
      <c r="B185" s="19" t="s">
        <v>37</v>
      </c>
      <c r="C185" s="20" t="s">
        <v>195</v>
      </c>
      <c r="D185" s="6" t="s">
        <v>233</v>
      </c>
      <c r="E185" s="6"/>
      <c r="F185" s="1">
        <v>130</v>
      </c>
      <c r="O185" s="1" t="s">
        <v>76</v>
      </c>
      <c r="R185" s="15">
        <f t="shared" si="7"/>
        <v>378.78787878787881</v>
      </c>
      <c r="T185" s="1">
        <v>2.64E-3</v>
      </c>
    </row>
    <row r="186" spans="1:21" x14ac:dyDescent="0.2">
      <c r="A186" s="1" t="s">
        <v>167</v>
      </c>
      <c r="B186" s="19" t="s">
        <v>40</v>
      </c>
      <c r="C186" s="20" t="s">
        <v>196</v>
      </c>
      <c r="D186" s="6" t="s">
        <v>233</v>
      </c>
      <c r="E186" s="6"/>
      <c r="F186" s="1">
        <v>130</v>
      </c>
      <c r="O186" s="1" t="s">
        <v>76</v>
      </c>
      <c r="R186" s="15">
        <f t="shared" si="7"/>
        <v>584.79532163742692</v>
      </c>
      <c r="T186" s="1">
        <v>1.7099999999999999E-3</v>
      </c>
    </row>
    <row r="187" spans="1:21" x14ac:dyDescent="0.2">
      <c r="A187" s="1" t="s">
        <v>167</v>
      </c>
      <c r="B187" s="1" t="s">
        <v>22</v>
      </c>
      <c r="C187" s="20" t="s">
        <v>188</v>
      </c>
      <c r="D187" s="6" t="s">
        <v>233</v>
      </c>
      <c r="E187" s="6"/>
      <c r="F187" s="1">
        <v>130</v>
      </c>
      <c r="O187" s="1" t="s">
        <v>76</v>
      </c>
      <c r="R187" s="15">
        <f t="shared" si="7"/>
        <v>1265.8227848101264</v>
      </c>
      <c r="T187" s="1">
        <v>7.9000000000000001E-4</v>
      </c>
    </row>
    <row r="188" spans="1:21" x14ac:dyDescent="0.2">
      <c r="A188" s="1" t="s">
        <v>167</v>
      </c>
      <c r="B188" s="1" t="s">
        <v>46</v>
      </c>
      <c r="C188" s="18" t="s">
        <v>191</v>
      </c>
      <c r="D188" s="6" t="s">
        <v>233</v>
      </c>
      <c r="E188" s="6"/>
      <c r="F188" s="1">
        <v>130</v>
      </c>
      <c r="O188" s="1" t="s">
        <v>76</v>
      </c>
      <c r="R188" s="15">
        <f t="shared" si="7"/>
        <v>595.2380952380953</v>
      </c>
      <c r="T188" s="1">
        <v>1.6799999999999999E-3</v>
      </c>
    </row>
    <row r="189" spans="1:21" x14ac:dyDescent="0.2">
      <c r="A189" s="1" t="s">
        <v>167</v>
      </c>
      <c r="B189" s="19" t="s">
        <v>48</v>
      </c>
      <c r="C189" s="20" t="s">
        <v>193</v>
      </c>
      <c r="D189" s="6" t="s">
        <v>233</v>
      </c>
      <c r="E189" s="6"/>
      <c r="F189" s="1">
        <v>130</v>
      </c>
      <c r="O189" s="1" t="s">
        <v>76</v>
      </c>
      <c r="R189" s="15">
        <f t="shared" si="7"/>
        <v>1449.2753623188407</v>
      </c>
      <c r="T189" s="1">
        <v>6.8999999999999997E-4</v>
      </c>
    </row>
    <row r="190" spans="1:21" x14ac:dyDescent="0.2">
      <c r="A190" s="1" t="s">
        <v>167</v>
      </c>
      <c r="B190" s="1" t="s">
        <v>44</v>
      </c>
      <c r="C190" s="18" t="s">
        <v>194</v>
      </c>
      <c r="D190" s="6" t="s">
        <v>233</v>
      </c>
      <c r="E190" s="6"/>
      <c r="F190" s="1">
        <v>130</v>
      </c>
      <c r="O190" s="1" t="s">
        <v>76</v>
      </c>
      <c r="R190" s="15">
        <f t="shared" si="7"/>
        <v>636.9426751592357</v>
      </c>
      <c r="T190" s="1">
        <v>1.57E-3</v>
      </c>
    </row>
    <row r="191" spans="1:21" x14ac:dyDescent="0.2">
      <c r="A191" s="1" t="s">
        <v>167</v>
      </c>
      <c r="B191" s="19" t="s">
        <v>89</v>
      </c>
      <c r="C191" s="18" t="s">
        <v>217</v>
      </c>
      <c r="D191" s="6" t="s">
        <v>233</v>
      </c>
      <c r="E191" s="6"/>
      <c r="F191" s="1">
        <v>130</v>
      </c>
      <c r="O191" s="1" t="s">
        <v>76</v>
      </c>
      <c r="R191" s="15">
        <f t="shared" si="7"/>
        <v>2439.0243902439024</v>
      </c>
      <c r="T191" s="1">
        <v>4.0999999999999999E-4</v>
      </c>
    </row>
    <row r="192" spans="1:21" x14ac:dyDescent="0.2">
      <c r="A192" s="1" t="s">
        <v>167</v>
      </c>
      <c r="B192" s="19" t="s">
        <v>37</v>
      </c>
      <c r="C192" s="20" t="s">
        <v>195</v>
      </c>
      <c r="D192" s="6" t="s">
        <v>232</v>
      </c>
      <c r="E192" s="6"/>
      <c r="F192" s="1">
        <v>180</v>
      </c>
      <c r="O192" s="1" t="s">
        <v>76</v>
      </c>
      <c r="R192" s="15">
        <f t="shared" si="7"/>
        <v>326.79738562091501</v>
      </c>
      <c r="T192" s="1">
        <v>3.0600000000000002E-3</v>
      </c>
    </row>
    <row r="193" spans="1:20" x14ac:dyDescent="0.2">
      <c r="A193" s="1" t="s">
        <v>167</v>
      </c>
      <c r="B193" s="19" t="s">
        <v>40</v>
      </c>
      <c r="C193" s="20" t="s">
        <v>196</v>
      </c>
      <c r="D193" s="6" t="s">
        <v>232</v>
      </c>
      <c r="E193" s="6"/>
      <c r="F193" s="1">
        <v>180</v>
      </c>
      <c r="O193" s="1" t="s">
        <v>76</v>
      </c>
      <c r="R193" s="15">
        <f t="shared" si="7"/>
        <v>460.82949308755758</v>
      </c>
      <c r="T193" s="1">
        <v>2.1700000000000001E-3</v>
      </c>
    </row>
    <row r="194" spans="1:20" x14ac:dyDescent="0.2">
      <c r="A194" s="1" t="s">
        <v>167</v>
      </c>
      <c r="B194" s="1" t="s">
        <v>22</v>
      </c>
      <c r="C194" s="20" t="s">
        <v>188</v>
      </c>
      <c r="D194" s="6" t="s">
        <v>232</v>
      </c>
      <c r="E194" s="6"/>
      <c r="F194" s="1">
        <v>180</v>
      </c>
      <c r="O194" s="1" t="s">
        <v>76</v>
      </c>
      <c r="R194" s="15">
        <f t="shared" si="7"/>
        <v>1010.1010101010102</v>
      </c>
      <c r="T194" s="1">
        <v>9.8999999999999999E-4</v>
      </c>
    </row>
    <row r="195" spans="1:20" x14ac:dyDescent="0.2">
      <c r="A195" s="1" t="s">
        <v>167</v>
      </c>
      <c r="B195" s="1" t="s">
        <v>46</v>
      </c>
      <c r="C195" s="18" t="s">
        <v>191</v>
      </c>
      <c r="D195" s="6" t="s">
        <v>232</v>
      </c>
      <c r="E195" s="6"/>
      <c r="F195" s="1">
        <v>180</v>
      </c>
      <c r="O195" s="1" t="s">
        <v>76</v>
      </c>
      <c r="R195" s="15">
        <f t="shared" si="7"/>
        <v>1250</v>
      </c>
      <c r="T195" s="1">
        <v>8.0000000000000004E-4</v>
      </c>
    </row>
    <row r="196" spans="1:20" x14ac:dyDescent="0.2">
      <c r="A196" s="1" t="s">
        <v>167</v>
      </c>
      <c r="B196" s="19" t="s">
        <v>48</v>
      </c>
      <c r="C196" s="20" t="s">
        <v>193</v>
      </c>
      <c r="D196" s="6" t="s">
        <v>232</v>
      </c>
      <c r="E196" s="6"/>
      <c r="F196" s="1">
        <v>180</v>
      </c>
      <c r="O196" s="1" t="s">
        <v>76</v>
      </c>
      <c r="R196" s="15">
        <f t="shared" si="7"/>
        <v>1162.7906976744187</v>
      </c>
      <c r="T196" s="1">
        <v>8.5999999999999998E-4</v>
      </c>
    </row>
    <row r="197" spans="1:20" x14ac:dyDescent="0.2">
      <c r="A197" s="1" t="s">
        <v>167</v>
      </c>
      <c r="B197" s="19" t="s">
        <v>44</v>
      </c>
      <c r="C197" s="20" t="s">
        <v>194</v>
      </c>
      <c r="D197" s="6" t="s">
        <v>232</v>
      </c>
      <c r="E197" s="6"/>
      <c r="F197" s="1">
        <v>180</v>
      </c>
      <c r="O197" s="1" t="s">
        <v>76</v>
      </c>
      <c r="R197" s="15">
        <f t="shared" si="7"/>
        <v>392.15686274509807</v>
      </c>
      <c r="T197" s="1">
        <v>2.5499999999999997E-3</v>
      </c>
    </row>
    <row r="198" spans="1:20" x14ac:dyDescent="0.2">
      <c r="A198" s="1" t="s">
        <v>167</v>
      </c>
      <c r="B198" s="19" t="s">
        <v>89</v>
      </c>
      <c r="C198" s="18" t="s">
        <v>217</v>
      </c>
      <c r="D198" s="6" t="s">
        <v>232</v>
      </c>
      <c r="E198" s="6"/>
      <c r="F198" s="1">
        <v>180</v>
      </c>
      <c r="O198" s="1" t="s">
        <v>76</v>
      </c>
      <c r="R198" s="15">
        <f t="shared" si="7"/>
        <v>719.42446043165467</v>
      </c>
      <c r="T198" s="1">
        <v>1.39E-3</v>
      </c>
    </row>
    <row r="199" spans="1:20" x14ac:dyDescent="0.2">
      <c r="A199" s="1" t="s">
        <v>167</v>
      </c>
      <c r="B199" s="19" t="s">
        <v>37</v>
      </c>
      <c r="C199" s="20" t="s">
        <v>195</v>
      </c>
      <c r="D199" s="1" t="s">
        <v>249</v>
      </c>
      <c r="F199" s="1">
        <v>110</v>
      </c>
      <c r="O199" s="1" t="s">
        <v>76</v>
      </c>
      <c r="R199" s="15">
        <f t="shared" si="7"/>
        <v>781.24999999999989</v>
      </c>
      <c r="T199" s="1">
        <v>1.2800000000000001E-3</v>
      </c>
    </row>
    <row r="200" spans="1:20" x14ac:dyDescent="0.2">
      <c r="A200" s="1" t="s">
        <v>167</v>
      </c>
      <c r="B200" s="19" t="s">
        <v>40</v>
      </c>
      <c r="C200" s="20" t="s">
        <v>196</v>
      </c>
      <c r="D200" s="1" t="s">
        <v>249</v>
      </c>
      <c r="F200" s="1">
        <v>110</v>
      </c>
      <c r="O200" s="1" t="s">
        <v>76</v>
      </c>
      <c r="R200" s="15">
        <f t="shared" si="7"/>
        <v>1052.6315789473683</v>
      </c>
      <c r="T200" s="1">
        <v>9.5E-4</v>
      </c>
    </row>
    <row r="201" spans="1:20" x14ac:dyDescent="0.2">
      <c r="A201" s="1" t="s">
        <v>167</v>
      </c>
      <c r="B201" s="1" t="s">
        <v>22</v>
      </c>
      <c r="C201" s="20" t="s">
        <v>188</v>
      </c>
      <c r="D201" s="1" t="s">
        <v>249</v>
      </c>
      <c r="F201" s="1">
        <v>110</v>
      </c>
      <c r="O201" s="1" t="s">
        <v>76</v>
      </c>
      <c r="R201" s="15">
        <f t="shared" si="7"/>
        <v>2702.7027027027029</v>
      </c>
      <c r="T201" s="1">
        <v>3.6999999999999999E-4</v>
      </c>
    </row>
    <row r="202" spans="1:20" x14ac:dyDescent="0.2">
      <c r="A202" s="1" t="s">
        <v>167</v>
      </c>
      <c r="B202" s="1" t="s">
        <v>46</v>
      </c>
      <c r="C202" s="18" t="s">
        <v>191</v>
      </c>
      <c r="D202" s="1" t="s">
        <v>249</v>
      </c>
      <c r="F202" s="1">
        <v>110</v>
      </c>
      <c r="O202" s="1" t="s">
        <v>76</v>
      </c>
      <c r="R202" s="15">
        <f t="shared" si="7"/>
        <v>800</v>
      </c>
      <c r="T202" s="1">
        <v>1.25E-3</v>
      </c>
    </row>
    <row r="203" spans="1:20" x14ac:dyDescent="0.2">
      <c r="A203" s="1" t="s">
        <v>167</v>
      </c>
      <c r="B203" s="19" t="s">
        <v>48</v>
      </c>
      <c r="C203" s="20" t="s">
        <v>193</v>
      </c>
      <c r="D203" s="1" t="s">
        <v>249</v>
      </c>
      <c r="F203" s="1">
        <v>110</v>
      </c>
      <c r="O203" s="1" t="s">
        <v>76</v>
      </c>
      <c r="R203" s="15">
        <f t="shared" si="7"/>
        <v>2631.5789473684208</v>
      </c>
      <c r="T203" s="1">
        <v>3.8000000000000002E-4</v>
      </c>
    </row>
    <row r="204" spans="1:20" x14ac:dyDescent="0.2">
      <c r="A204" s="1" t="s">
        <v>167</v>
      </c>
      <c r="B204" s="19" t="s">
        <v>44</v>
      </c>
      <c r="C204" s="20" t="s">
        <v>194</v>
      </c>
      <c r="D204" s="1" t="s">
        <v>249</v>
      </c>
      <c r="F204" s="1">
        <v>110</v>
      </c>
      <c r="O204" s="1" t="s">
        <v>76</v>
      </c>
      <c r="R204" s="15">
        <f t="shared" si="7"/>
        <v>471.69811320754718</v>
      </c>
      <c r="T204" s="1">
        <v>2.1199999999999999E-3</v>
      </c>
    </row>
    <row r="205" spans="1:20" x14ac:dyDescent="0.2">
      <c r="A205" s="1" t="s">
        <v>167</v>
      </c>
      <c r="B205" s="19" t="s">
        <v>89</v>
      </c>
      <c r="C205" s="18" t="s">
        <v>217</v>
      </c>
      <c r="D205" s="1" t="s">
        <v>249</v>
      </c>
      <c r="F205" s="1">
        <v>110</v>
      </c>
      <c r="O205" s="1" t="s">
        <v>76</v>
      </c>
      <c r="R205" s="15">
        <f t="shared" si="7"/>
        <v>1923.0769230769229</v>
      </c>
      <c r="T205" s="1">
        <v>5.2000000000000006E-4</v>
      </c>
    </row>
    <row r="206" spans="1:20" x14ac:dyDescent="0.2">
      <c r="A206" s="1" t="s">
        <v>167</v>
      </c>
      <c r="B206" s="19" t="s">
        <v>37</v>
      </c>
      <c r="C206" s="20" t="s">
        <v>195</v>
      </c>
      <c r="D206" s="6" t="s">
        <v>234</v>
      </c>
      <c r="E206" s="6"/>
      <c r="F206" s="1">
        <v>180</v>
      </c>
      <c r="O206" s="1" t="s">
        <v>76</v>
      </c>
      <c r="R206" s="15">
        <f t="shared" si="7"/>
        <v>526.31578947368416</v>
      </c>
      <c r="T206" s="1">
        <v>1.9E-3</v>
      </c>
    </row>
    <row r="207" spans="1:20" x14ac:dyDescent="0.2">
      <c r="A207" s="1" t="s">
        <v>167</v>
      </c>
      <c r="B207" s="19" t="s">
        <v>40</v>
      </c>
      <c r="C207" s="20" t="s">
        <v>196</v>
      </c>
      <c r="D207" s="6" t="s">
        <v>234</v>
      </c>
      <c r="E207" s="6"/>
      <c r="F207" s="1">
        <v>180</v>
      </c>
      <c r="O207" s="1" t="s">
        <v>76</v>
      </c>
      <c r="R207" s="15">
        <f t="shared" si="7"/>
        <v>751.87969924812035</v>
      </c>
      <c r="T207" s="1">
        <v>1.33E-3</v>
      </c>
    </row>
    <row r="208" spans="1:20" x14ac:dyDescent="0.2">
      <c r="A208" s="1" t="s">
        <v>167</v>
      </c>
      <c r="B208" s="1" t="s">
        <v>22</v>
      </c>
      <c r="C208" s="20" t="s">
        <v>188</v>
      </c>
      <c r="D208" s="6" t="s">
        <v>234</v>
      </c>
      <c r="E208" s="6"/>
      <c r="F208" s="1">
        <v>180</v>
      </c>
      <c r="O208" s="1" t="s">
        <v>76</v>
      </c>
      <c r="R208" s="15">
        <f t="shared" si="7"/>
        <v>2500</v>
      </c>
      <c r="T208" s="1">
        <v>4.0000000000000002E-4</v>
      </c>
    </row>
    <row r="209" spans="1:22" x14ac:dyDescent="0.2">
      <c r="A209" s="1" t="s">
        <v>167</v>
      </c>
      <c r="B209" s="1" t="s">
        <v>46</v>
      </c>
      <c r="C209" s="18" t="s">
        <v>191</v>
      </c>
      <c r="D209" s="6" t="s">
        <v>234</v>
      </c>
      <c r="E209" s="6"/>
      <c r="F209" s="1">
        <v>180</v>
      </c>
      <c r="O209" s="1" t="s">
        <v>76</v>
      </c>
      <c r="R209" s="15">
        <f t="shared" si="7"/>
        <v>709.21985815602841</v>
      </c>
      <c r="T209" s="1">
        <v>1.41E-3</v>
      </c>
    </row>
    <row r="210" spans="1:22" x14ac:dyDescent="0.2">
      <c r="A210" s="1" t="s">
        <v>167</v>
      </c>
      <c r="B210" s="19" t="s">
        <v>48</v>
      </c>
      <c r="C210" s="20" t="s">
        <v>193</v>
      </c>
      <c r="D210" s="6" t="s">
        <v>234</v>
      </c>
      <c r="E210" s="6"/>
      <c r="F210" s="1">
        <v>180</v>
      </c>
      <c r="O210" s="1" t="s">
        <v>76</v>
      </c>
      <c r="R210" s="15">
        <f t="shared" si="7"/>
        <v>2380.9523809523812</v>
      </c>
      <c r="T210" s="1">
        <v>4.1999999999999996E-4</v>
      </c>
    </row>
    <row r="211" spans="1:22" x14ac:dyDescent="0.2">
      <c r="A211" s="1" t="s">
        <v>167</v>
      </c>
      <c r="B211" s="19" t="s">
        <v>44</v>
      </c>
      <c r="C211" s="20" t="s">
        <v>194</v>
      </c>
      <c r="D211" s="6" t="s">
        <v>234</v>
      </c>
      <c r="E211" s="6"/>
      <c r="F211" s="1">
        <v>180</v>
      </c>
      <c r="O211" s="1" t="s">
        <v>76</v>
      </c>
      <c r="R211" s="15">
        <f t="shared" si="7"/>
        <v>609.7560975609756</v>
      </c>
      <c r="T211" s="1">
        <v>1.64E-3</v>
      </c>
    </row>
    <row r="212" spans="1:22" x14ac:dyDescent="0.2">
      <c r="A212" s="1" t="s">
        <v>167</v>
      </c>
      <c r="B212" s="19" t="s">
        <v>89</v>
      </c>
      <c r="C212" s="18" t="s">
        <v>217</v>
      </c>
      <c r="D212" s="6" t="s">
        <v>234</v>
      </c>
      <c r="E212" s="6"/>
      <c r="F212" s="1">
        <v>180</v>
      </c>
      <c r="O212" s="1" t="s">
        <v>76</v>
      </c>
      <c r="R212" s="15">
        <f t="shared" si="7"/>
        <v>3030.3030303030305</v>
      </c>
      <c r="T212" s="1">
        <v>3.3E-4</v>
      </c>
    </row>
    <row r="213" spans="1:22" x14ac:dyDescent="0.2">
      <c r="A213" s="1" t="s">
        <v>251</v>
      </c>
      <c r="B213" s="1" t="s">
        <v>37</v>
      </c>
      <c r="C213" s="18" t="s">
        <v>195</v>
      </c>
      <c r="D213" s="1" t="s">
        <v>233</v>
      </c>
      <c r="F213" s="1">
        <v>130</v>
      </c>
      <c r="O213" s="1" t="s">
        <v>76</v>
      </c>
      <c r="R213" s="15">
        <v>390</v>
      </c>
      <c r="T213" s="15"/>
      <c r="V213" s="15"/>
    </row>
    <row r="214" spans="1:22" x14ac:dyDescent="0.2">
      <c r="A214" s="1" t="s">
        <v>251</v>
      </c>
      <c r="B214" s="1" t="s">
        <v>77</v>
      </c>
      <c r="C214" t="s">
        <v>201</v>
      </c>
      <c r="D214" s="1" t="s">
        <v>233</v>
      </c>
      <c r="O214" s="1" t="s">
        <v>76</v>
      </c>
      <c r="R214" s="15">
        <v>479.99999999999994</v>
      </c>
      <c r="T214" s="15"/>
      <c r="V214" s="15"/>
    </row>
    <row r="215" spans="1:22" x14ac:dyDescent="0.2">
      <c r="A215" s="1" t="s">
        <v>251</v>
      </c>
      <c r="B215" s="1" t="s">
        <v>40</v>
      </c>
      <c r="C215" t="s">
        <v>196</v>
      </c>
      <c r="D215" s="1" t="s">
        <v>233</v>
      </c>
      <c r="O215" s="1" t="s">
        <v>76</v>
      </c>
      <c r="R215" s="15">
        <v>610</v>
      </c>
      <c r="T215" s="15"/>
      <c r="V215" s="15"/>
    </row>
    <row r="216" spans="1:22" x14ac:dyDescent="0.2">
      <c r="A216" s="1" t="s">
        <v>251</v>
      </c>
      <c r="B216" s="1" t="s">
        <v>41</v>
      </c>
      <c r="C216" t="s">
        <v>197</v>
      </c>
      <c r="D216" s="1" t="s">
        <v>233</v>
      </c>
      <c r="O216" s="1" t="s">
        <v>76</v>
      </c>
      <c r="R216" s="15">
        <v>2270</v>
      </c>
      <c r="T216" s="15"/>
      <c r="V216" s="15"/>
    </row>
    <row r="217" spans="1:22" x14ac:dyDescent="0.2">
      <c r="A217" s="1" t="s">
        <v>251</v>
      </c>
      <c r="B217" s="1" t="s">
        <v>22</v>
      </c>
      <c r="C217" t="s">
        <v>188</v>
      </c>
      <c r="D217" s="1" t="s">
        <v>233</v>
      </c>
      <c r="O217" s="1" t="s">
        <v>76</v>
      </c>
      <c r="R217" s="15">
        <v>1200</v>
      </c>
      <c r="T217" s="15"/>
      <c r="V217" s="15"/>
    </row>
    <row r="218" spans="1:22" x14ac:dyDescent="0.2">
      <c r="A218" s="1" t="s">
        <v>251</v>
      </c>
      <c r="B218" s="1" t="s">
        <v>30</v>
      </c>
      <c r="C218" t="s">
        <v>189</v>
      </c>
      <c r="D218" s="1" t="s">
        <v>233</v>
      </c>
      <c r="O218" s="1" t="s">
        <v>76</v>
      </c>
      <c r="R218" s="15">
        <v>1720</v>
      </c>
      <c r="T218" s="15"/>
      <c r="V218" s="15"/>
    </row>
    <row r="219" spans="1:22" x14ac:dyDescent="0.2">
      <c r="A219" s="1" t="s">
        <v>251</v>
      </c>
      <c r="B219" s="1" t="s">
        <v>42</v>
      </c>
      <c r="C219" t="s">
        <v>190</v>
      </c>
      <c r="D219" s="1" t="s">
        <v>233</v>
      </c>
      <c r="O219" s="1" t="s">
        <v>76</v>
      </c>
      <c r="R219" s="15">
        <v>839.99999999999989</v>
      </c>
      <c r="T219" s="15"/>
      <c r="V219" s="15"/>
    </row>
    <row r="220" spans="1:22" x14ac:dyDescent="0.2">
      <c r="A220" s="1" t="s">
        <v>251</v>
      </c>
      <c r="B220" s="1" t="s">
        <v>253</v>
      </c>
      <c r="C220" t="s">
        <v>198</v>
      </c>
      <c r="D220" s="1" t="s">
        <v>233</v>
      </c>
      <c r="O220" s="1" t="s">
        <v>76</v>
      </c>
      <c r="R220" s="15">
        <v>740</v>
      </c>
      <c r="T220" s="15"/>
      <c r="V220" s="15"/>
    </row>
    <row r="221" spans="1:22" x14ac:dyDescent="0.2">
      <c r="A221" s="1" t="s">
        <v>251</v>
      </c>
      <c r="B221" s="1" t="s">
        <v>80</v>
      </c>
      <c r="C221" t="s">
        <v>202</v>
      </c>
      <c r="D221" s="1" t="s">
        <v>233</v>
      </c>
      <c r="O221" s="1" t="s">
        <v>76</v>
      </c>
      <c r="R221" s="15">
        <v>530</v>
      </c>
      <c r="T221" s="15"/>
      <c r="V221" s="15"/>
    </row>
    <row r="222" spans="1:22" x14ac:dyDescent="0.2">
      <c r="A222" s="1" t="s">
        <v>251</v>
      </c>
      <c r="B222" s="1" t="s">
        <v>46</v>
      </c>
      <c r="C222" t="s">
        <v>191</v>
      </c>
      <c r="D222" s="1" t="s">
        <v>233</v>
      </c>
      <c r="O222" s="1" t="s">
        <v>76</v>
      </c>
      <c r="R222" s="15">
        <v>610</v>
      </c>
      <c r="T222" s="15"/>
      <c r="V222" s="15"/>
    </row>
    <row r="223" spans="1:22" x14ac:dyDescent="0.2">
      <c r="A223" s="1" t="s">
        <v>251</v>
      </c>
      <c r="B223" s="1" t="s">
        <v>47</v>
      </c>
      <c r="C223" t="s">
        <v>192</v>
      </c>
      <c r="D223" s="1" t="s">
        <v>233</v>
      </c>
      <c r="O223" s="1" t="s">
        <v>76</v>
      </c>
      <c r="R223" s="15">
        <v>1410</v>
      </c>
      <c r="T223" s="15"/>
      <c r="V223" s="15"/>
    </row>
    <row r="224" spans="1:22" x14ac:dyDescent="0.2">
      <c r="A224" s="1" t="s">
        <v>251</v>
      </c>
      <c r="B224" s="1" t="s">
        <v>48</v>
      </c>
      <c r="C224" t="s">
        <v>193</v>
      </c>
      <c r="D224" s="1" t="s">
        <v>233</v>
      </c>
      <c r="O224" s="1" t="s">
        <v>76</v>
      </c>
      <c r="R224" s="15">
        <v>1490</v>
      </c>
      <c r="T224" s="15"/>
      <c r="V224" s="15"/>
    </row>
    <row r="225" spans="1:22" x14ac:dyDescent="0.2">
      <c r="A225" s="1" t="s">
        <v>251</v>
      </c>
      <c r="B225" s="1" t="s">
        <v>254</v>
      </c>
      <c r="C225" t="s">
        <v>194</v>
      </c>
      <c r="D225" s="1" t="s">
        <v>233</v>
      </c>
      <c r="O225" s="1" t="s">
        <v>76</v>
      </c>
      <c r="R225" s="15">
        <v>630</v>
      </c>
      <c r="T225" s="15"/>
      <c r="V225" s="15"/>
    </row>
    <row r="226" spans="1:22" x14ac:dyDescent="0.2">
      <c r="A226" s="1" t="s">
        <v>251</v>
      </c>
      <c r="B226" s="1" t="s">
        <v>83</v>
      </c>
      <c r="C226" s="18" t="s">
        <v>204</v>
      </c>
      <c r="D226" s="1" t="s">
        <v>233</v>
      </c>
      <c r="O226" s="1" t="s">
        <v>76</v>
      </c>
      <c r="R226" s="15">
        <v>650</v>
      </c>
      <c r="T226" s="15"/>
      <c r="V226" s="15"/>
    </row>
    <row r="227" spans="1:22" x14ac:dyDescent="0.2">
      <c r="A227" s="1" t="s">
        <v>251</v>
      </c>
      <c r="B227" s="1" t="s">
        <v>255</v>
      </c>
      <c r="C227" s="18" t="s">
        <v>267</v>
      </c>
      <c r="D227" s="1" t="s">
        <v>233</v>
      </c>
      <c r="O227" s="1" t="s">
        <v>76</v>
      </c>
      <c r="R227" s="15">
        <v>440</v>
      </c>
      <c r="T227" s="15"/>
      <c r="V227" s="15"/>
    </row>
    <row r="228" spans="1:22" x14ac:dyDescent="0.2">
      <c r="A228" s="1" t="s">
        <v>251</v>
      </c>
      <c r="B228" s="1" t="s">
        <v>256</v>
      </c>
      <c r="C228" s="18" t="s">
        <v>268</v>
      </c>
      <c r="D228" s="1" t="s">
        <v>233</v>
      </c>
      <c r="O228" s="1" t="s">
        <v>76</v>
      </c>
      <c r="R228" s="15">
        <v>709.99999999999989</v>
      </c>
      <c r="T228" s="15"/>
      <c r="V228" s="15"/>
    </row>
    <row r="229" spans="1:22" x14ac:dyDescent="0.2">
      <c r="A229" s="1" t="s">
        <v>251</v>
      </c>
      <c r="B229" s="1" t="s">
        <v>257</v>
      </c>
      <c r="C229" s="18" t="s">
        <v>269</v>
      </c>
      <c r="D229" s="1" t="s">
        <v>233</v>
      </c>
      <c r="O229" s="1" t="s">
        <v>76</v>
      </c>
      <c r="R229" s="15">
        <v>930</v>
      </c>
      <c r="T229" s="15"/>
      <c r="V229" s="15"/>
    </row>
    <row r="230" spans="1:22" x14ac:dyDescent="0.2">
      <c r="A230" s="1" t="s">
        <v>251</v>
      </c>
      <c r="B230" s="1" t="s">
        <v>258</v>
      </c>
      <c r="C230" s="18" t="s">
        <v>270</v>
      </c>
      <c r="D230" s="1" t="s">
        <v>233</v>
      </c>
      <c r="O230" s="1" t="s">
        <v>76</v>
      </c>
      <c r="R230" s="15">
        <v>4170</v>
      </c>
      <c r="T230" s="15"/>
      <c r="V230" s="15"/>
    </row>
    <row r="231" spans="1:22" x14ac:dyDescent="0.2">
      <c r="A231" s="1" t="s">
        <v>251</v>
      </c>
      <c r="B231" s="1" t="s">
        <v>259</v>
      </c>
      <c r="C231" s="18" t="s">
        <v>271</v>
      </c>
      <c r="D231" s="1" t="s">
        <v>233</v>
      </c>
      <c r="O231" s="1" t="s">
        <v>76</v>
      </c>
      <c r="R231" s="15">
        <v>100</v>
      </c>
      <c r="T231" s="15"/>
      <c r="V231" s="15"/>
    </row>
    <row r="232" spans="1:22" x14ac:dyDescent="0.2">
      <c r="A232" s="1" t="s">
        <v>251</v>
      </c>
      <c r="B232" s="19" t="s">
        <v>82</v>
      </c>
      <c r="C232" s="18" t="s">
        <v>203</v>
      </c>
      <c r="D232" s="1" t="s">
        <v>233</v>
      </c>
      <c r="O232" s="1" t="s">
        <v>76</v>
      </c>
      <c r="R232" s="15">
        <v>660</v>
      </c>
      <c r="T232" s="15"/>
      <c r="V232" s="15"/>
    </row>
    <row r="233" spans="1:22" x14ac:dyDescent="0.2">
      <c r="A233" s="1" t="s">
        <v>251</v>
      </c>
      <c r="B233" s="1" t="s">
        <v>273</v>
      </c>
      <c r="C233" s="18" t="s">
        <v>272</v>
      </c>
      <c r="D233" s="1" t="s">
        <v>233</v>
      </c>
      <c r="O233" s="1" t="s">
        <v>76</v>
      </c>
      <c r="R233" s="15">
        <v>1370.0000000000002</v>
      </c>
      <c r="T233" s="15"/>
      <c r="V233" s="15"/>
    </row>
    <row r="234" spans="1:22" x14ac:dyDescent="0.2">
      <c r="A234" s="1" t="s">
        <v>251</v>
      </c>
      <c r="B234" s="1" t="s">
        <v>260</v>
      </c>
      <c r="C234" s="18" t="s">
        <v>274</v>
      </c>
      <c r="D234" s="1" t="s">
        <v>233</v>
      </c>
      <c r="O234" s="1" t="s">
        <v>76</v>
      </c>
      <c r="R234" s="15">
        <v>520.00000000000011</v>
      </c>
      <c r="T234" s="15"/>
      <c r="V234" s="15"/>
    </row>
    <row r="235" spans="1:22" x14ac:dyDescent="0.2">
      <c r="A235" s="1" t="s">
        <v>251</v>
      </c>
      <c r="B235" s="1" t="s">
        <v>261</v>
      </c>
      <c r="C235" s="18" t="s">
        <v>275</v>
      </c>
      <c r="D235" s="1" t="s">
        <v>233</v>
      </c>
      <c r="O235" s="1" t="s">
        <v>76</v>
      </c>
      <c r="R235" s="15">
        <v>520.00000000000011</v>
      </c>
      <c r="T235" s="15"/>
      <c r="V235" s="15"/>
    </row>
    <row r="236" spans="1:22" x14ac:dyDescent="0.2">
      <c r="A236" s="1" t="s">
        <v>251</v>
      </c>
      <c r="B236" s="1" t="s">
        <v>262</v>
      </c>
      <c r="C236" s="18" t="s">
        <v>276</v>
      </c>
      <c r="D236" s="1" t="s">
        <v>233</v>
      </c>
      <c r="O236" s="1" t="s">
        <v>76</v>
      </c>
      <c r="R236" s="15">
        <v>640</v>
      </c>
      <c r="T236" s="15"/>
      <c r="V236" s="15"/>
    </row>
    <row r="237" spans="1:22" x14ac:dyDescent="0.2">
      <c r="A237" s="1" t="s">
        <v>251</v>
      </c>
      <c r="B237" s="1" t="s">
        <v>277</v>
      </c>
      <c r="C237" s="18" t="s">
        <v>278</v>
      </c>
      <c r="D237" s="1" t="s">
        <v>233</v>
      </c>
      <c r="O237" s="1" t="s">
        <v>76</v>
      </c>
      <c r="R237" s="15">
        <v>930</v>
      </c>
      <c r="T237" s="15"/>
      <c r="V237" s="15"/>
    </row>
    <row r="238" spans="1:22" x14ac:dyDescent="0.2">
      <c r="A238" s="1" t="s">
        <v>251</v>
      </c>
      <c r="B238" s="1" t="s">
        <v>84</v>
      </c>
      <c r="C238" s="18" t="s">
        <v>205</v>
      </c>
      <c r="D238" s="1" t="s">
        <v>233</v>
      </c>
      <c r="O238" s="1" t="s">
        <v>76</v>
      </c>
      <c r="R238" s="15">
        <v>580</v>
      </c>
      <c r="T238" s="15"/>
      <c r="V238" s="15"/>
    </row>
    <row r="239" spans="1:22" x14ac:dyDescent="0.2">
      <c r="A239" s="1" t="s">
        <v>251</v>
      </c>
      <c r="B239" s="1" t="s">
        <v>85</v>
      </c>
      <c r="C239" t="s">
        <v>221</v>
      </c>
      <c r="D239" s="1" t="s">
        <v>233</v>
      </c>
      <c r="O239" s="1" t="s">
        <v>76</v>
      </c>
      <c r="R239" s="15">
        <v>1610</v>
      </c>
      <c r="T239" s="15"/>
      <c r="V239" s="15"/>
    </row>
    <row r="240" spans="1:22" x14ac:dyDescent="0.2">
      <c r="A240" s="1" t="s">
        <v>251</v>
      </c>
      <c r="B240" s="1" t="s">
        <v>263</v>
      </c>
      <c r="C240" s="18" t="s">
        <v>279</v>
      </c>
      <c r="D240" s="1" t="s">
        <v>233</v>
      </c>
      <c r="O240" s="1" t="s">
        <v>76</v>
      </c>
      <c r="R240" s="15">
        <v>1750</v>
      </c>
      <c r="T240" s="15"/>
      <c r="V240" s="15"/>
    </row>
    <row r="241" spans="1:22" x14ac:dyDescent="0.2">
      <c r="A241" s="1" t="s">
        <v>251</v>
      </c>
      <c r="B241" s="1" t="s">
        <v>86</v>
      </c>
      <c r="C241" s="18" t="s">
        <v>222</v>
      </c>
      <c r="D241" s="1" t="s">
        <v>233</v>
      </c>
      <c r="O241" s="1" t="s">
        <v>76</v>
      </c>
      <c r="R241" s="15">
        <v>1230</v>
      </c>
      <c r="T241" s="15"/>
      <c r="V241" s="15"/>
    </row>
    <row r="242" spans="1:22" x14ac:dyDescent="0.2">
      <c r="A242" s="1" t="s">
        <v>251</v>
      </c>
      <c r="B242" s="1" t="s">
        <v>87</v>
      </c>
      <c r="C242" s="18" t="s">
        <v>223</v>
      </c>
      <c r="D242" s="1" t="s">
        <v>233</v>
      </c>
      <c r="O242" s="1" t="s">
        <v>76</v>
      </c>
      <c r="R242" s="15">
        <v>1030</v>
      </c>
      <c r="T242" s="15"/>
      <c r="V242" s="15"/>
    </row>
    <row r="243" spans="1:22" x14ac:dyDescent="0.2">
      <c r="A243" s="1" t="s">
        <v>251</v>
      </c>
      <c r="B243" s="1" t="s">
        <v>88</v>
      </c>
      <c r="C243" s="18" t="s">
        <v>216</v>
      </c>
      <c r="D243" s="1" t="s">
        <v>233</v>
      </c>
      <c r="O243" s="1" t="s">
        <v>76</v>
      </c>
      <c r="R243" s="15">
        <v>930</v>
      </c>
      <c r="T243" s="15"/>
      <c r="V243" s="15"/>
    </row>
    <row r="244" spans="1:22" x14ac:dyDescent="0.2">
      <c r="A244" s="1" t="s">
        <v>251</v>
      </c>
      <c r="B244" s="1" t="s">
        <v>89</v>
      </c>
      <c r="C244" t="s">
        <v>217</v>
      </c>
      <c r="D244" s="1" t="s">
        <v>233</v>
      </c>
      <c r="O244" s="1" t="s">
        <v>76</v>
      </c>
      <c r="R244" s="15">
        <v>2700</v>
      </c>
      <c r="T244" s="15"/>
      <c r="V244" s="15"/>
    </row>
    <row r="245" spans="1:22" x14ac:dyDescent="0.2">
      <c r="A245" s="1" t="s">
        <v>251</v>
      </c>
      <c r="B245" s="1" t="s">
        <v>264</v>
      </c>
      <c r="C245" s="18" t="s">
        <v>280</v>
      </c>
      <c r="D245" s="1" t="s">
        <v>233</v>
      </c>
      <c r="O245" s="1" t="s">
        <v>76</v>
      </c>
      <c r="R245" s="15">
        <v>0</v>
      </c>
      <c r="T245" s="15"/>
      <c r="V245" s="15"/>
    </row>
    <row r="246" spans="1:22" x14ac:dyDescent="0.2">
      <c r="A246" s="1" t="s">
        <v>251</v>
      </c>
      <c r="B246" s="1" t="s">
        <v>265</v>
      </c>
      <c r="C246" s="18" t="s">
        <v>281</v>
      </c>
      <c r="D246" s="1" t="s">
        <v>233</v>
      </c>
      <c r="O246" s="1" t="s">
        <v>76</v>
      </c>
      <c r="R246" s="15">
        <v>0</v>
      </c>
      <c r="T246" s="15"/>
      <c r="V246" s="15"/>
    </row>
    <row r="247" spans="1:22" x14ac:dyDescent="0.2">
      <c r="A247" s="1" t="s">
        <v>251</v>
      </c>
      <c r="B247" s="1" t="s">
        <v>266</v>
      </c>
      <c r="C247" s="18" t="s">
        <v>282</v>
      </c>
      <c r="D247" s="1" t="s">
        <v>233</v>
      </c>
      <c r="O247" s="1" t="s">
        <v>76</v>
      </c>
      <c r="R247" s="15">
        <v>0</v>
      </c>
      <c r="T247" s="15"/>
      <c r="V247" s="15"/>
    </row>
    <row r="248" spans="1:22" x14ac:dyDescent="0.2">
      <c r="A248" s="1" t="s">
        <v>251</v>
      </c>
      <c r="B248" s="1" t="s">
        <v>250</v>
      </c>
      <c r="C248" s="18" t="s">
        <v>283</v>
      </c>
      <c r="D248" s="1" t="s">
        <v>233</v>
      </c>
      <c r="O248" s="1" t="s">
        <v>76</v>
      </c>
      <c r="R248" s="15">
        <v>0</v>
      </c>
      <c r="T248" s="15"/>
      <c r="V248" s="15"/>
    </row>
    <row r="249" spans="1:22" x14ac:dyDescent="0.2">
      <c r="A249" s="1" t="s">
        <v>251</v>
      </c>
      <c r="B249" s="1" t="s">
        <v>81</v>
      </c>
      <c r="C249" s="18" t="s">
        <v>225</v>
      </c>
      <c r="D249" s="1" t="s">
        <v>233</v>
      </c>
      <c r="O249" s="1" t="s">
        <v>76</v>
      </c>
      <c r="R249" s="15">
        <v>610</v>
      </c>
      <c r="T249" s="15"/>
      <c r="V249" s="15"/>
    </row>
    <row r="250" spans="1:22" x14ac:dyDescent="0.2">
      <c r="A250" s="1" t="s">
        <v>285</v>
      </c>
      <c r="B250" s="1" t="s">
        <v>288</v>
      </c>
      <c r="C250" s="18" t="s">
        <v>289</v>
      </c>
      <c r="D250" s="1" t="s">
        <v>233</v>
      </c>
      <c r="E250" s="6" t="b">
        <v>1</v>
      </c>
      <c r="F250" s="1">
        <v>110</v>
      </c>
      <c r="H250" s="1" t="s">
        <v>291</v>
      </c>
      <c r="I250" s="1">
        <v>0.28000000000000003</v>
      </c>
      <c r="J250" s="1">
        <v>6.5</v>
      </c>
      <c r="K250" s="1">
        <v>7.4</v>
      </c>
      <c r="N250" s="1">
        <v>310</v>
      </c>
      <c r="O250" s="1" t="s">
        <v>55</v>
      </c>
      <c r="R250" s="15">
        <f t="shared" ref="R250:R256" si="8">1/T250</f>
        <v>185185.1851851852</v>
      </c>
      <c r="T250" s="9">
        <v>5.4E-6</v>
      </c>
    </row>
    <row r="251" spans="1:22" x14ac:dyDescent="0.2">
      <c r="A251" s="1" t="s">
        <v>285</v>
      </c>
      <c r="B251" s="1" t="s">
        <v>40</v>
      </c>
      <c r="C251" t="s">
        <v>196</v>
      </c>
      <c r="D251" s="1" t="s">
        <v>233</v>
      </c>
      <c r="E251" s="6" t="b">
        <v>1</v>
      </c>
      <c r="F251" s="1">
        <v>110</v>
      </c>
      <c r="H251" s="1" t="s">
        <v>292</v>
      </c>
      <c r="I251" s="1">
        <v>0.16</v>
      </c>
      <c r="J251" s="1">
        <v>3.7</v>
      </c>
      <c r="K251" s="1">
        <v>7.4</v>
      </c>
      <c r="N251" s="1">
        <v>298</v>
      </c>
      <c r="O251" s="1" t="s">
        <v>55</v>
      </c>
      <c r="R251" s="15">
        <f t="shared" si="8"/>
        <v>222222.22222222222</v>
      </c>
      <c r="T251" s="9">
        <v>4.5000000000000001E-6</v>
      </c>
    </row>
    <row r="252" spans="1:22" x14ac:dyDescent="0.2">
      <c r="A252" s="1" t="s">
        <v>285</v>
      </c>
      <c r="B252" s="1" t="s">
        <v>40</v>
      </c>
      <c r="C252" t="s">
        <v>196</v>
      </c>
      <c r="D252" s="1" t="s">
        <v>233</v>
      </c>
      <c r="E252" s="6" t="b">
        <v>1</v>
      </c>
      <c r="F252" s="1">
        <v>110</v>
      </c>
      <c r="H252" s="1" t="s">
        <v>292</v>
      </c>
      <c r="I252" s="1">
        <v>0.16</v>
      </c>
      <c r="J252" s="1">
        <v>3.7</v>
      </c>
      <c r="K252" s="1">
        <v>7.4</v>
      </c>
      <c r="N252" s="1">
        <v>310</v>
      </c>
      <c r="O252" s="1" t="s">
        <v>55</v>
      </c>
      <c r="R252" s="15">
        <f t="shared" si="8"/>
        <v>169491.5254237288</v>
      </c>
      <c r="T252" s="9">
        <v>5.9000000000000003E-6</v>
      </c>
    </row>
    <row r="253" spans="1:22" x14ac:dyDescent="0.2">
      <c r="A253" s="1" t="s">
        <v>285</v>
      </c>
      <c r="B253" s="1" t="s">
        <v>287</v>
      </c>
      <c r="C253" t="s">
        <v>194</v>
      </c>
      <c r="D253" s="1" t="s">
        <v>233</v>
      </c>
      <c r="E253" s="6" t="b">
        <v>1</v>
      </c>
      <c r="F253" s="1">
        <v>110</v>
      </c>
      <c r="H253" s="1" t="s">
        <v>290</v>
      </c>
      <c r="I253" s="1">
        <v>0.34</v>
      </c>
      <c r="J253" s="1">
        <v>6.8</v>
      </c>
      <c r="K253" s="1">
        <v>7.4</v>
      </c>
      <c r="N253" s="1">
        <v>298</v>
      </c>
      <c r="O253" s="1" t="s">
        <v>55</v>
      </c>
      <c r="R253" s="15">
        <f t="shared" si="8"/>
        <v>52631.57894736842</v>
      </c>
      <c r="T253" s="9">
        <v>1.9000000000000001E-5</v>
      </c>
    </row>
    <row r="254" spans="1:22" x14ac:dyDescent="0.2">
      <c r="A254" s="1" t="s">
        <v>285</v>
      </c>
      <c r="B254" s="1" t="s">
        <v>287</v>
      </c>
      <c r="C254" t="s">
        <v>194</v>
      </c>
      <c r="D254" s="1" t="s">
        <v>233</v>
      </c>
      <c r="E254" s="6" t="b">
        <v>1</v>
      </c>
      <c r="F254" s="1">
        <v>110</v>
      </c>
      <c r="H254" s="1" t="s">
        <v>290</v>
      </c>
      <c r="I254" s="1">
        <v>0.34</v>
      </c>
      <c r="J254" s="1">
        <v>6.8</v>
      </c>
      <c r="K254" s="1">
        <v>7.4</v>
      </c>
      <c r="N254" s="1">
        <v>310</v>
      </c>
      <c r="O254" s="1" t="s">
        <v>55</v>
      </c>
      <c r="R254" s="15">
        <f t="shared" si="8"/>
        <v>101010.101010101</v>
      </c>
      <c r="T254" s="9">
        <v>9.9000000000000001E-6</v>
      </c>
    </row>
    <row r="255" spans="1:22" x14ac:dyDescent="0.2">
      <c r="A255" s="1" t="s">
        <v>285</v>
      </c>
      <c r="B255" s="1" t="s">
        <v>22</v>
      </c>
      <c r="C255" t="s">
        <v>188</v>
      </c>
      <c r="D255" s="1" t="s">
        <v>233</v>
      </c>
      <c r="E255" s="6" t="b">
        <v>1</v>
      </c>
      <c r="F255" s="1">
        <v>110</v>
      </c>
      <c r="H255" s="1" t="s">
        <v>293</v>
      </c>
      <c r="I255" s="1">
        <v>0.35</v>
      </c>
      <c r="J255" s="1">
        <v>7</v>
      </c>
      <c r="K255" s="1">
        <v>7.4</v>
      </c>
      <c r="N255" s="1">
        <v>298</v>
      </c>
      <c r="O255" s="1" t="s">
        <v>55</v>
      </c>
      <c r="R255" s="15">
        <f t="shared" si="8"/>
        <v>2500000</v>
      </c>
      <c r="T255" s="9">
        <v>3.9999999999999998E-7</v>
      </c>
    </row>
    <row r="256" spans="1:22" x14ac:dyDescent="0.2">
      <c r="A256" s="1" t="s">
        <v>285</v>
      </c>
      <c r="B256" s="1" t="s">
        <v>22</v>
      </c>
      <c r="C256" t="s">
        <v>188</v>
      </c>
      <c r="D256" s="1" t="s">
        <v>233</v>
      </c>
      <c r="E256" s="6" t="b">
        <v>1</v>
      </c>
      <c r="F256" s="1">
        <v>110</v>
      </c>
      <c r="H256" s="1" t="s">
        <v>293</v>
      </c>
      <c r="I256" s="1">
        <v>0.35</v>
      </c>
      <c r="J256" s="1">
        <v>7</v>
      </c>
      <c r="K256" s="1">
        <v>7.4</v>
      </c>
      <c r="N256" s="1">
        <v>310</v>
      </c>
      <c r="O256" s="1" t="s">
        <v>55</v>
      </c>
      <c r="R256" s="15">
        <f t="shared" si="8"/>
        <v>25445.292620865141</v>
      </c>
      <c r="T256" s="9">
        <v>3.93E-5</v>
      </c>
    </row>
    <row r="257" spans="1:20" x14ac:dyDescent="0.2">
      <c r="A257" s="1" t="s">
        <v>294</v>
      </c>
      <c r="B257" s="1" t="s">
        <v>22</v>
      </c>
      <c r="C257" t="s">
        <v>188</v>
      </c>
      <c r="D257" s="1" t="s">
        <v>233</v>
      </c>
      <c r="E257" s="6" t="b">
        <v>1</v>
      </c>
      <c r="H257" s="1" t="s">
        <v>296</v>
      </c>
      <c r="I257" s="1">
        <v>0.3</v>
      </c>
      <c r="J257" s="1">
        <v>6</v>
      </c>
      <c r="K257" s="1">
        <v>7.4</v>
      </c>
      <c r="N257" s="1">
        <v>285</v>
      </c>
      <c r="O257" s="1" t="s">
        <v>55</v>
      </c>
      <c r="R257" s="15">
        <f>1/T257</f>
        <v>1360544.217687075</v>
      </c>
      <c r="T257" s="9">
        <v>7.3499999999999995E-7</v>
      </c>
    </row>
    <row r="258" spans="1:20" x14ac:dyDescent="0.2">
      <c r="A258" s="1" t="s">
        <v>294</v>
      </c>
      <c r="B258" s="1" t="s">
        <v>22</v>
      </c>
      <c r="C258" t="s">
        <v>188</v>
      </c>
      <c r="D258" s="1" t="s">
        <v>233</v>
      </c>
      <c r="E258" s="6" t="b">
        <v>1</v>
      </c>
      <c r="H258" s="1" t="s">
        <v>296</v>
      </c>
      <c r="I258" s="1">
        <v>0.3</v>
      </c>
      <c r="J258" s="1">
        <v>6</v>
      </c>
      <c r="K258" s="1">
        <v>7.4</v>
      </c>
      <c r="N258" s="1">
        <v>292</v>
      </c>
      <c r="O258" s="1" t="s">
        <v>55</v>
      </c>
      <c r="R258" s="15">
        <f t="shared" ref="R258:R262" si="9">1/T258</f>
        <v>1742160.2787456445</v>
      </c>
      <c r="T258" s="9">
        <v>5.7400000000000003E-7</v>
      </c>
    </row>
    <row r="259" spans="1:20" x14ac:dyDescent="0.2">
      <c r="A259" s="1" t="s">
        <v>294</v>
      </c>
      <c r="B259" s="1" t="s">
        <v>22</v>
      </c>
      <c r="C259" t="s">
        <v>188</v>
      </c>
      <c r="D259" s="1" t="s">
        <v>233</v>
      </c>
      <c r="E259" s="6" t="b">
        <v>1</v>
      </c>
      <c r="H259" s="1" t="s">
        <v>296</v>
      </c>
      <c r="I259" s="1">
        <v>0.3</v>
      </c>
      <c r="J259" s="1">
        <v>6</v>
      </c>
      <c r="K259" s="1">
        <v>7.4</v>
      </c>
      <c r="N259" s="1">
        <v>295</v>
      </c>
      <c r="O259" s="1" t="s">
        <v>55</v>
      </c>
      <c r="R259" s="15">
        <f t="shared" si="9"/>
        <v>1436781.6091954024</v>
      </c>
      <c r="T259" s="9">
        <v>6.9599999999999999E-7</v>
      </c>
    </row>
    <row r="260" spans="1:20" x14ac:dyDescent="0.2">
      <c r="A260" s="1" t="s">
        <v>294</v>
      </c>
      <c r="B260" s="1" t="s">
        <v>22</v>
      </c>
      <c r="C260" t="s">
        <v>188</v>
      </c>
      <c r="D260" s="1" t="s">
        <v>233</v>
      </c>
      <c r="E260" s="6" t="b">
        <v>1</v>
      </c>
      <c r="H260" s="1" t="s">
        <v>296</v>
      </c>
      <c r="I260" s="1">
        <v>0.3</v>
      </c>
      <c r="J260" s="1">
        <v>6</v>
      </c>
      <c r="K260" s="1">
        <v>7.4</v>
      </c>
      <c r="N260" s="1">
        <v>298</v>
      </c>
      <c r="O260" s="1" t="s">
        <v>55</v>
      </c>
      <c r="R260" s="15">
        <f t="shared" si="9"/>
        <v>1949317.7387914229</v>
      </c>
      <c r="T260" s="9">
        <v>5.13E-7</v>
      </c>
    </row>
    <row r="261" spans="1:20" x14ac:dyDescent="0.2">
      <c r="A261" s="1" t="s">
        <v>294</v>
      </c>
      <c r="B261" s="1" t="s">
        <v>22</v>
      </c>
      <c r="C261" t="s">
        <v>188</v>
      </c>
      <c r="D261" s="1" t="s">
        <v>233</v>
      </c>
      <c r="E261" s="6" t="b">
        <v>1</v>
      </c>
      <c r="H261" s="1" t="s">
        <v>296</v>
      </c>
      <c r="I261" s="1">
        <v>0.3</v>
      </c>
      <c r="J261" s="1">
        <v>6</v>
      </c>
      <c r="K261" s="1">
        <v>7.4</v>
      </c>
      <c r="N261" s="1">
        <v>303</v>
      </c>
      <c r="O261" s="1" t="s">
        <v>55</v>
      </c>
      <c r="R261" s="15">
        <f t="shared" si="9"/>
        <v>4347826.0869565215</v>
      </c>
      <c r="T261" s="9">
        <v>2.2999999999999999E-7</v>
      </c>
    </row>
    <row r="262" spans="1:20" x14ac:dyDescent="0.2">
      <c r="A262" s="1" t="s">
        <v>294</v>
      </c>
      <c r="B262" s="1" t="s">
        <v>22</v>
      </c>
      <c r="C262" t="s">
        <v>188</v>
      </c>
      <c r="D262" s="1" t="s">
        <v>233</v>
      </c>
      <c r="E262" s="6" t="b">
        <v>1</v>
      </c>
      <c r="H262" s="1" t="s">
        <v>296</v>
      </c>
      <c r="I262" s="1">
        <v>0.3</v>
      </c>
      <c r="J262" s="1">
        <v>6</v>
      </c>
      <c r="K262" s="1">
        <v>7.4</v>
      </c>
      <c r="N262" s="1">
        <v>310</v>
      </c>
      <c r="O262" s="1" t="s">
        <v>55</v>
      </c>
      <c r="R262" s="15">
        <f t="shared" si="9"/>
        <v>2538071.0659898478</v>
      </c>
      <c r="T262" s="9">
        <v>3.9400000000000001E-7</v>
      </c>
    </row>
  </sheetData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8546-0A67-5549-8DA1-27F88969034A}">
  <dimension ref="A1:B24"/>
  <sheetViews>
    <sheetView zoomScale="150" zoomScaleNormal="150" workbookViewId="0">
      <selection activeCell="B22" sqref="B22"/>
    </sheetView>
  </sheetViews>
  <sheetFormatPr baseColWidth="10" defaultRowHeight="15" x14ac:dyDescent="0.2"/>
  <cols>
    <col min="1" max="1" width="33.83203125" style="1" customWidth="1"/>
    <col min="2" max="2" width="28.1640625" style="1" customWidth="1"/>
  </cols>
  <sheetData>
    <row r="1" spans="1:2" ht="16" x14ac:dyDescent="0.2">
      <c r="A1" s="10" t="s">
        <v>3</v>
      </c>
      <c r="B1" s="6" t="s">
        <v>184</v>
      </c>
    </row>
    <row r="2" spans="1:2" x14ac:dyDescent="0.2">
      <c r="A2" s="1" t="s">
        <v>181</v>
      </c>
      <c r="B2" s="1" t="s">
        <v>51</v>
      </c>
    </row>
    <row r="3" spans="1:2" x14ac:dyDescent="0.2">
      <c r="A3" s="1" t="s">
        <v>182</v>
      </c>
      <c r="B3" s="1" t="s">
        <v>38</v>
      </c>
    </row>
    <row r="4" spans="1:2" x14ac:dyDescent="0.2">
      <c r="A4" s="1" t="s">
        <v>113</v>
      </c>
      <c r="B4" s="1" t="s">
        <v>114</v>
      </c>
    </row>
    <row r="5" spans="1:2" x14ac:dyDescent="0.2">
      <c r="A5" s="1" t="s">
        <v>183</v>
      </c>
      <c r="B5" s="11" t="s">
        <v>23</v>
      </c>
    </row>
    <row r="6" spans="1:2" x14ac:dyDescent="0.2">
      <c r="A6" s="1" t="s">
        <v>159</v>
      </c>
      <c r="B6" s="1" t="s">
        <v>56</v>
      </c>
    </row>
    <row r="7" spans="1:2" x14ac:dyDescent="0.2">
      <c r="A7" s="1" t="s">
        <v>179</v>
      </c>
      <c r="B7" s="1" t="s">
        <v>69</v>
      </c>
    </row>
    <row r="8" spans="1:2" x14ac:dyDescent="0.2">
      <c r="A8" s="1" t="s">
        <v>180</v>
      </c>
      <c r="B8" s="1" t="s">
        <v>54</v>
      </c>
    </row>
    <row r="9" spans="1:2" x14ac:dyDescent="0.2">
      <c r="A9" s="1" t="s">
        <v>123</v>
      </c>
      <c r="B9" s="1" t="s">
        <v>124</v>
      </c>
    </row>
    <row r="10" spans="1:2" x14ac:dyDescent="0.2">
      <c r="A10" s="1" t="s">
        <v>61</v>
      </c>
      <c r="B10" s="1" t="s">
        <v>62</v>
      </c>
    </row>
    <row r="11" spans="1:2" x14ac:dyDescent="0.2">
      <c r="A11" s="1" t="s">
        <v>61</v>
      </c>
      <c r="B11" s="1" t="s">
        <v>62</v>
      </c>
    </row>
    <row r="12" spans="1:2" x14ac:dyDescent="0.2">
      <c r="A12" s="1" t="s">
        <v>61</v>
      </c>
      <c r="B12" s="1" t="s">
        <v>62</v>
      </c>
    </row>
    <row r="13" spans="1:2" x14ac:dyDescent="0.2">
      <c r="A13" s="1" t="s">
        <v>71</v>
      </c>
      <c r="B13" s="1" t="s">
        <v>72</v>
      </c>
    </row>
    <row r="14" spans="1:2" x14ac:dyDescent="0.2">
      <c r="A14" s="1" t="s">
        <v>78</v>
      </c>
      <c r="B14" s="1" t="s">
        <v>72</v>
      </c>
    </row>
    <row r="15" spans="1:2" x14ac:dyDescent="0.2">
      <c r="A15" s="1" t="s">
        <v>79</v>
      </c>
      <c r="B15" s="1" t="s">
        <v>72</v>
      </c>
    </row>
    <row r="16" spans="1:2" x14ac:dyDescent="0.2">
      <c r="A16" s="1" t="s">
        <v>90</v>
      </c>
      <c r="B16" s="1" t="s">
        <v>91</v>
      </c>
    </row>
    <row r="17" spans="1:2" x14ac:dyDescent="0.2">
      <c r="A17" s="1" t="s">
        <v>106</v>
      </c>
      <c r="B17" s="1" t="s">
        <v>107</v>
      </c>
    </row>
    <row r="18" spans="1:2" x14ac:dyDescent="0.2">
      <c r="A18" s="1" t="s">
        <v>126</v>
      </c>
      <c r="B18" s="1" t="s">
        <v>127</v>
      </c>
    </row>
    <row r="19" spans="1:2" x14ac:dyDescent="0.2">
      <c r="A19" s="1" t="s">
        <v>157</v>
      </c>
      <c r="B19" s="1" t="s">
        <v>158</v>
      </c>
    </row>
    <row r="20" spans="1:2" x14ac:dyDescent="0.2">
      <c r="A20" s="1" t="s">
        <v>162</v>
      </c>
      <c r="B20" s="1" t="s">
        <v>163</v>
      </c>
    </row>
    <row r="21" spans="1:2" x14ac:dyDescent="0.2">
      <c r="A21" s="1" t="s">
        <v>167</v>
      </c>
      <c r="B21" s="1" t="s">
        <v>168</v>
      </c>
    </row>
    <row r="22" spans="1:2" x14ac:dyDescent="0.2">
      <c r="A22" s="1" t="s">
        <v>251</v>
      </c>
      <c r="B22" s="1" t="s">
        <v>252</v>
      </c>
    </row>
    <row r="23" spans="1:2" x14ac:dyDescent="0.2">
      <c r="A23" s="1" t="s">
        <v>285</v>
      </c>
      <c r="B23" s="1" t="s">
        <v>286</v>
      </c>
    </row>
    <row r="24" spans="1:2" x14ac:dyDescent="0.2">
      <c r="A24" s="1" t="s">
        <v>294</v>
      </c>
      <c r="B24" s="1" t="s">
        <v>295</v>
      </c>
    </row>
  </sheetData>
  <hyperlinks>
    <hyperlink ref="B5" r:id="rId1" display="https://doi.org/10.1021/es101334s" xr:uid="{933487D7-6725-B747-BA34-1ACE17F8B3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topLeftCell="A2" zoomScale="200" workbookViewId="0">
      <selection activeCell="B19" sqref="B19"/>
    </sheetView>
  </sheetViews>
  <sheetFormatPr baseColWidth="10" defaultColWidth="8.83203125" defaultRowHeight="15" x14ac:dyDescent="0.2"/>
  <cols>
    <col min="1" max="1" width="17.1640625" customWidth="1"/>
  </cols>
  <sheetData>
    <row r="1" spans="1:2" x14ac:dyDescent="0.2">
      <c r="A1" s="2" t="s">
        <v>2</v>
      </c>
      <c r="B1" s="2" t="s">
        <v>133</v>
      </c>
    </row>
    <row r="2" spans="1:2" x14ac:dyDescent="0.2">
      <c r="A2" s="3" t="s">
        <v>11</v>
      </c>
      <c r="B2" s="2" t="s">
        <v>134</v>
      </c>
    </row>
    <row r="3" spans="1:2" ht="18" x14ac:dyDescent="0.25">
      <c r="A3" s="2" t="s">
        <v>12</v>
      </c>
      <c r="B3" s="2" t="s">
        <v>135</v>
      </c>
    </row>
    <row r="4" spans="1:2" ht="18" x14ac:dyDescent="0.25">
      <c r="A4" s="4" t="s">
        <v>13</v>
      </c>
      <c r="B4" s="2" t="s">
        <v>136</v>
      </c>
    </row>
    <row r="5" spans="1:2" x14ac:dyDescent="0.2">
      <c r="A5" s="3" t="s">
        <v>14</v>
      </c>
      <c r="B5" s="2" t="s">
        <v>137</v>
      </c>
    </row>
    <row r="6" spans="1:2" x14ac:dyDescent="0.2">
      <c r="A6" s="3" t="s">
        <v>138</v>
      </c>
      <c r="B6" s="2" t="s">
        <v>139</v>
      </c>
    </row>
    <row r="7" spans="1:2" ht="18" x14ac:dyDescent="0.25">
      <c r="A7" s="3" t="s">
        <v>15</v>
      </c>
      <c r="B7" s="2" t="s">
        <v>140</v>
      </c>
    </row>
    <row r="8" spans="1:2" ht="18" x14ac:dyDescent="0.25">
      <c r="A8" s="3" t="s">
        <v>16</v>
      </c>
      <c r="B8" s="2" t="s">
        <v>141</v>
      </c>
    </row>
    <row r="9" spans="1:2" ht="18" x14ac:dyDescent="0.25">
      <c r="A9" s="3" t="s">
        <v>17</v>
      </c>
      <c r="B9" s="2" t="s">
        <v>142</v>
      </c>
    </row>
    <row r="10" spans="1:2" ht="18" x14ac:dyDescent="0.25">
      <c r="A10" s="3" t="s">
        <v>143</v>
      </c>
      <c r="B10" s="2" t="s">
        <v>144</v>
      </c>
    </row>
    <row r="11" spans="1:2" x14ac:dyDescent="0.2">
      <c r="A11" s="2" t="s">
        <v>19</v>
      </c>
      <c r="B11" s="2" t="s">
        <v>145</v>
      </c>
    </row>
    <row r="12" spans="1:2" x14ac:dyDescent="0.2">
      <c r="A12" s="3" t="s">
        <v>146</v>
      </c>
      <c r="B12" s="5" t="s">
        <v>147</v>
      </c>
    </row>
    <row r="13" spans="1:2" x14ac:dyDescent="0.2">
      <c r="A13" s="3" t="s">
        <v>148</v>
      </c>
      <c r="B13" s="2" t="s">
        <v>149</v>
      </c>
    </row>
    <row r="14" spans="1:2" x14ac:dyDescent="0.2">
      <c r="A14" s="3" t="s">
        <v>53</v>
      </c>
      <c r="B14" s="5" t="s">
        <v>150</v>
      </c>
    </row>
    <row r="15" spans="1:2" x14ac:dyDescent="0.2">
      <c r="A15" s="3" t="s">
        <v>151</v>
      </c>
      <c r="B15" s="2" t="s">
        <v>152</v>
      </c>
    </row>
    <row r="16" spans="1:2" x14ac:dyDescent="0.2">
      <c r="A16" s="3" t="s">
        <v>153</v>
      </c>
      <c r="B16" s="5" t="s">
        <v>154</v>
      </c>
    </row>
    <row r="17" spans="1:2" x14ac:dyDescent="0.2">
      <c r="A17" s="3" t="s">
        <v>155</v>
      </c>
      <c r="B17" s="5" t="s">
        <v>156</v>
      </c>
    </row>
    <row r="18" spans="1:2" x14ac:dyDescent="0.2">
      <c r="A18" s="3" t="s">
        <v>299</v>
      </c>
      <c r="B18" s="5" t="s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124A-D646-344F-BD1A-DE9933B425D4}">
  <dimension ref="A1:B62"/>
  <sheetViews>
    <sheetView tabSelected="1" topLeftCell="A54" zoomScale="160" zoomScaleNormal="160" workbookViewId="0">
      <selection activeCell="B2" sqref="B2"/>
    </sheetView>
  </sheetViews>
  <sheetFormatPr baseColWidth="10" defaultRowHeight="15" x14ac:dyDescent="0.2"/>
  <cols>
    <col min="1" max="1" width="45.1640625" bestFit="1" customWidth="1"/>
    <col min="2" max="2" width="74.5" customWidth="1"/>
  </cols>
  <sheetData>
    <row r="1" spans="1:2" x14ac:dyDescent="0.2">
      <c r="A1" t="s">
        <v>186</v>
      </c>
      <c r="B1" t="s">
        <v>187</v>
      </c>
    </row>
    <row r="2" spans="1:2" x14ac:dyDescent="0.2">
      <c r="A2" s="1" t="s">
        <v>22</v>
      </c>
      <c r="B2" t="s">
        <v>188</v>
      </c>
    </row>
    <row r="3" spans="1:2" x14ac:dyDescent="0.2">
      <c r="A3" s="1" t="s">
        <v>30</v>
      </c>
      <c r="B3" t="s">
        <v>189</v>
      </c>
    </row>
    <row r="4" spans="1:2" x14ac:dyDescent="0.2">
      <c r="A4" s="1" t="s">
        <v>42</v>
      </c>
      <c r="B4" t="s">
        <v>190</v>
      </c>
    </row>
    <row r="5" spans="1:2" x14ac:dyDescent="0.2">
      <c r="A5" s="1" t="s">
        <v>46</v>
      </c>
      <c r="B5" t="s">
        <v>191</v>
      </c>
    </row>
    <row r="6" spans="1:2" x14ac:dyDescent="0.2">
      <c r="A6" s="1" t="s">
        <v>47</v>
      </c>
      <c r="B6" t="s">
        <v>192</v>
      </c>
    </row>
    <row r="7" spans="1:2" x14ac:dyDescent="0.2">
      <c r="A7" s="1" t="s">
        <v>48</v>
      </c>
      <c r="B7" t="s">
        <v>193</v>
      </c>
    </row>
    <row r="8" spans="1:2" x14ac:dyDescent="0.2">
      <c r="A8" s="1" t="s">
        <v>44</v>
      </c>
      <c r="B8" t="s">
        <v>194</v>
      </c>
    </row>
    <row r="9" spans="1:2" x14ac:dyDescent="0.2">
      <c r="A9" s="1" t="s">
        <v>37</v>
      </c>
      <c r="B9" s="18" t="s">
        <v>195</v>
      </c>
    </row>
    <row r="10" spans="1:2" x14ac:dyDescent="0.2">
      <c r="A10" s="1" t="s">
        <v>40</v>
      </c>
      <c r="B10" t="s">
        <v>196</v>
      </c>
    </row>
    <row r="11" spans="1:2" x14ac:dyDescent="0.2">
      <c r="A11" s="1" t="s">
        <v>41</v>
      </c>
      <c r="B11" t="s">
        <v>197</v>
      </c>
    </row>
    <row r="12" spans="1:2" x14ac:dyDescent="0.2">
      <c r="A12" s="1" t="s">
        <v>43</v>
      </c>
      <c r="B12" t="s">
        <v>198</v>
      </c>
    </row>
    <row r="13" spans="1:2" x14ac:dyDescent="0.2">
      <c r="A13" s="1" t="s">
        <v>45</v>
      </c>
      <c r="B13" t="s">
        <v>220</v>
      </c>
    </row>
    <row r="14" spans="1:2" x14ac:dyDescent="0.2">
      <c r="A14" s="1" t="s">
        <v>49</v>
      </c>
      <c r="B14" s="18" t="s">
        <v>199</v>
      </c>
    </row>
    <row r="15" spans="1:2" x14ac:dyDescent="0.2">
      <c r="A15" s="1" t="s">
        <v>50</v>
      </c>
      <c r="B15" s="18" t="s">
        <v>200</v>
      </c>
    </row>
    <row r="16" spans="1:2" x14ac:dyDescent="0.2">
      <c r="A16" s="1" t="s">
        <v>77</v>
      </c>
      <c r="B16" t="s">
        <v>201</v>
      </c>
    </row>
    <row r="17" spans="1:2" x14ac:dyDescent="0.2">
      <c r="A17" s="1" t="s">
        <v>94</v>
      </c>
      <c r="B17" t="s">
        <v>198</v>
      </c>
    </row>
    <row r="18" spans="1:2" x14ac:dyDescent="0.2">
      <c r="A18" s="1" t="s">
        <v>80</v>
      </c>
      <c r="B18" t="s">
        <v>202</v>
      </c>
    </row>
    <row r="19" spans="1:2" x14ac:dyDescent="0.2">
      <c r="A19" s="1" t="s">
        <v>125</v>
      </c>
      <c r="B19" t="s">
        <v>206</v>
      </c>
    </row>
    <row r="20" spans="1:2" x14ac:dyDescent="0.2">
      <c r="A20" s="1" t="s">
        <v>165</v>
      </c>
      <c r="B20" t="s">
        <v>199</v>
      </c>
    </row>
    <row r="21" spans="1:2" x14ac:dyDescent="0.2">
      <c r="A21" s="1" t="s">
        <v>82</v>
      </c>
      <c r="B21" s="18" t="s">
        <v>203</v>
      </c>
    </row>
    <row r="22" spans="1:2" x14ac:dyDescent="0.2">
      <c r="A22" s="1" t="s">
        <v>83</v>
      </c>
      <c r="B22" s="18" t="s">
        <v>204</v>
      </c>
    </row>
    <row r="23" spans="1:2" x14ac:dyDescent="0.2">
      <c r="A23" s="1" t="s">
        <v>84</v>
      </c>
      <c r="B23" s="18" t="s">
        <v>205</v>
      </c>
    </row>
    <row r="24" spans="1:2" x14ac:dyDescent="0.2">
      <c r="A24" s="1" t="s">
        <v>85</v>
      </c>
      <c r="B24" t="s">
        <v>221</v>
      </c>
    </row>
    <row r="25" spans="1:2" x14ac:dyDescent="0.2">
      <c r="A25" s="1" t="s">
        <v>86</v>
      </c>
      <c r="B25" t="s">
        <v>222</v>
      </c>
    </row>
    <row r="26" spans="1:2" x14ac:dyDescent="0.2">
      <c r="A26" s="1" t="s">
        <v>87</v>
      </c>
      <c r="B26" t="s">
        <v>223</v>
      </c>
    </row>
    <row r="27" spans="1:2" x14ac:dyDescent="0.2">
      <c r="A27" s="1" t="s">
        <v>95</v>
      </c>
      <c r="B27" t="s">
        <v>206</v>
      </c>
    </row>
    <row r="28" spans="1:2" x14ac:dyDescent="0.2">
      <c r="A28" s="1" t="s">
        <v>96</v>
      </c>
      <c r="B28" t="s">
        <v>207</v>
      </c>
    </row>
    <row r="29" spans="1:2" x14ac:dyDescent="0.2">
      <c r="A29" s="1" t="s">
        <v>98</v>
      </c>
      <c r="B29" t="s">
        <v>208</v>
      </c>
    </row>
    <row r="30" spans="1:2" x14ac:dyDescent="0.2">
      <c r="A30" s="1" t="s">
        <v>99</v>
      </c>
      <c r="B30" t="s">
        <v>209</v>
      </c>
    </row>
    <row r="31" spans="1:2" x14ac:dyDescent="0.2">
      <c r="A31" s="1" t="s">
        <v>100</v>
      </c>
      <c r="B31" t="s">
        <v>210</v>
      </c>
    </row>
    <row r="32" spans="1:2" x14ac:dyDescent="0.2">
      <c r="A32" s="1" t="s">
        <v>101</v>
      </c>
      <c r="B32" t="s">
        <v>211</v>
      </c>
    </row>
    <row r="33" spans="1:2" x14ac:dyDescent="0.2">
      <c r="A33" s="1" t="s">
        <v>102</v>
      </c>
      <c r="B33" t="s">
        <v>212</v>
      </c>
    </row>
    <row r="34" spans="1:2" x14ac:dyDescent="0.2">
      <c r="A34" s="1" t="s">
        <v>103</v>
      </c>
      <c r="B34" t="s">
        <v>213</v>
      </c>
    </row>
    <row r="35" spans="1:2" x14ac:dyDescent="0.2">
      <c r="A35" s="1" t="s">
        <v>104</v>
      </c>
      <c r="B35" t="s">
        <v>214</v>
      </c>
    </row>
    <row r="36" spans="1:2" x14ac:dyDescent="0.2">
      <c r="A36" s="1" t="s">
        <v>105</v>
      </c>
      <c r="B36" t="s">
        <v>215</v>
      </c>
    </row>
    <row r="37" spans="1:2" x14ac:dyDescent="0.2">
      <c r="A37" s="19" t="s">
        <v>88</v>
      </c>
      <c r="B37" t="s">
        <v>216</v>
      </c>
    </row>
    <row r="38" spans="1:2" x14ac:dyDescent="0.2">
      <c r="A38" s="19" t="s">
        <v>89</v>
      </c>
      <c r="B38" t="s">
        <v>217</v>
      </c>
    </row>
    <row r="39" spans="1:2" x14ac:dyDescent="0.2">
      <c r="A39" s="19" t="s">
        <v>166</v>
      </c>
      <c r="B39" t="s">
        <v>218</v>
      </c>
    </row>
    <row r="40" spans="1:2" x14ac:dyDescent="0.2">
      <c r="A40" s="1" t="s">
        <v>130</v>
      </c>
      <c r="B40" t="s">
        <v>219</v>
      </c>
    </row>
    <row r="41" spans="1:2" x14ac:dyDescent="0.2">
      <c r="A41" s="1" t="s">
        <v>131</v>
      </c>
      <c r="B41" t="s">
        <v>204</v>
      </c>
    </row>
    <row r="42" spans="1:2" x14ac:dyDescent="0.2">
      <c r="A42" s="1" t="s">
        <v>132</v>
      </c>
      <c r="B42" t="s">
        <v>224</v>
      </c>
    </row>
    <row r="43" spans="1:2" x14ac:dyDescent="0.2">
      <c r="A43" s="1" t="s">
        <v>118</v>
      </c>
      <c r="B43" t="s">
        <v>228</v>
      </c>
    </row>
    <row r="44" spans="1:2" x14ac:dyDescent="0.2">
      <c r="A44" s="1" t="s">
        <v>119</v>
      </c>
      <c r="B44" t="s">
        <v>227</v>
      </c>
    </row>
    <row r="45" spans="1:2" x14ac:dyDescent="0.2">
      <c r="A45" s="1" t="s">
        <v>120</v>
      </c>
      <c r="B45" t="s">
        <v>226</v>
      </c>
    </row>
    <row r="46" spans="1:2" x14ac:dyDescent="0.2">
      <c r="A46" s="1" t="s">
        <v>81</v>
      </c>
      <c r="B46" t="s">
        <v>225</v>
      </c>
    </row>
    <row r="47" spans="1:2" x14ac:dyDescent="0.2">
      <c r="A47" s="1" t="s">
        <v>121</v>
      </c>
      <c r="B47" s="18" t="s">
        <v>229</v>
      </c>
    </row>
    <row r="48" spans="1:2" x14ac:dyDescent="0.2">
      <c r="A48" s="1" t="s">
        <v>122</v>
      </c>
      <c r="B48" t="s">
        <v>230</v>
      </c>
    </row>
    <row r="49" spans="1:2" x14ac:dyDescent="0.2">
      <c r="A49" s="1" t="s">
        <v>246</v>
      </c>
      <c r="B49" s="18" t="s">
        <v>198</v>
      </c>
    </row>
    <row r="50" spans="1:2" x14ac:dyDescent="0.2">
      <c r="A50" s="1" t="s">
        <v>255</v>
      </c>
      <c r="B50" s="18" t="s">
        <v>267</v>
      </c>
    </row>
    <row r="51" spans="1:2" x14ac:dyDescent="0.2">
      <c r="A51" s="1" t="s">
        <v>256</v>
      </c>
      <c r="B51" s="18" t="s">
        <v>268</v>
      </c>
    </row>
    <row r="52" spans="1:2" x14ac:dyDescent="0.2">
      <c r="A52" s="1" t="s">
        <v>257</v>
      </c>
      <c r="B52" s="18" t="s">
        <v>269</v>
      </c>
    </row>
    <row r="53" spans="1:2" x14ac:dyDescent="0.2">
      <c r="A53" s="1" t="s">
        <v>258</v>
      </c>
      <c r="B53" s="18" t="s">
        <v>270</v>
      </c>
    </row>
    <row r="54" spans="1:2" x14ac:dyDescent="0.2">
      <c r="A54" s="1" t="s">
        <v>259</v>
      </c>
      <c r="B54" s="18" t="s">
        <v>271</v>
      </c>
    </row>
    <row r="55" spans="1:2" x14ac:dyDescent="0.2">
      <c r="A55" s="1" t="s">
        <v>273</v>
      </c>
      <c r="B55" s="18" t="s">
        <v>272</v>
      </c>
    </row>
    <row r="56" spans="1:2" x14ac:dyDescent="0.2">
      <c r="A56" s="1" t="s">
        <v>260</v>
      </c>
      <c r="B56" s="18" t="s">
        <v>274</v>
      </c>
    </row>
    <row r="57" spans="1:2" x14ac:dyDescent="0.2">
      <c r="A57" s="1" t="s">
        <v>261</v>
      </c>
      <c r="B57" s="18" t="s">
        <v>275</v>
      </c>
    </row>
    <row r="58" spans="1:2" x14ac:dyDescent="0.2">
      <c r="A58" s="1" t="s">
        <v>262</v>
      </c>
      <c r="B58" s="18" t="s">
        <v>276</v>
      </c>
    </row>
    <row r="59" spans="1:2" x14ac:dyDescent="0.2">
      <c r="A59" s="1" t="s">
        <v>277</v>
      </c>
      <c r="B59" s="18" t="s">
        <v>278</v>
      </c>
    </row>
    <row r="60" spans="1:2" x14ac:dyDescent="0.2">
      <c r="A60" s="1" t="s">
        <v>263</v>
      </c>
      <c r="B60" s="18" t="s">
        <v>279</v>
      </c>
    </row>
    <row r="61" spans="1:2" x14ac:dyDescent="0.2">
      <c r="A61" s="1" t="s">
        <v>264</v>
      </c>
      <c r="B61" s="18" t="s">
        <v>280</v>
      </c>
    </row>
    <row r="62" spans="1:2" x14ac:dyDescent="0.2">
      <c r="A62" s="1" t="s">
        <v>288</v>
      </c>
      <c r="B62" s="18" t="s"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References</vt:lpstr>
      <vt:lpstr>Key</vt:lpstr>
      <vt:lpstr>SMILES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Periklis Tsiros</dc:creator>
  <cp:lastModifiedBy>Vassilis Minadakis</cp:lastModifiedBy>
  <dcterms:created xsi:type="dcterms:W3CDTF">2024-03-27T13:07:09Z</dcterms:created>
  <dcterms:modified xsi:type="dcterms:W3CDTF">2024-12-20T15:01:38Z</dcterms:modified>
</cp:coreProperties>
</file>