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 activeTab="4"/>
  </bookViews>
  <sheets>
    <sheet name="Sheet1" sheetId="1" r:id="rId1"/>
    <sheet name="Sheet2" sheetId="2" r:id="rId2"/>
    <sheet name="Sheet3" sheetId="3" r:id="rId3"/>
    <sheet name="By Me" sheetId="4" r:id="rId4"/>
    <sheet name="Perhitungan" sheetId="6" r:id="rId5"/>
  </sheets>
  <calcPr calcId="144525"/>
</workbook>
</file>

<file path=xl/sharedStrings.xml><?xml version="1.0" encoding="utf-8"?>
<sst xmlns="http://schemas.openxmlformats.org/spreadsheetml/2006/main" count="1452" uniqueCount="191">
  <si>
    <t>No</t>
  </si>
  <si>
    <t>Nama</t>
  </si>
  <si>
    <t>Nama Ortu</t>
  </si>
  <si>
    <t>JK</t>
  </si>
  <si>
    <t>Usia</t>
  </si>
  <si>
    <t>Berat Badan</t>
  </si>
  <si>
    <t>Tinggi Badan</t>
  </si>
  <si>
    <t>Status Gizi</t>
  </si>
  <si>
    <t>Anisah</t>
  </si>
  <si>
    <t>Rizky</t>
  </si>
  <si>
    <t>P</t>
  </si>
  <si>
    <t>N</t>
  </si>
  <si>
    <t>Desta K</t>
  </si>
  <si>
    <t>Yusa</t>
  </si>
  <si>
    <t>L</t>
  </si>
  <si>
    <t>Naila</t>
  </si>
  <si>
    <t>Uswatun</t>
  </si>
  <si>
    <t>Azzalea</t>
  </si>
  <si>
    <t>Wasis</t>
  </si>
  <si>
    <t>T</t>
  </si>
  <si>
    <t>Kanaya</t>
  </si>
  <si>
    <t>Sumanto</t>
  </si>
  <si>
    <t>Nesa</t>
  </si>
  <si>
    <t>Sandi P.</t>
  </si>
  <si>
    <t>Nilas</t>
  </si>
  <si>
    <t>Nia S.</t>
  </si>
  <si>
    <t>Farizah</t>
  </si>
  <si>
    <t>Saidfudin</t>
  </si>
  <si>
    <t>Clarita</t>
  </si>
  <si>
    <t>Susilo</t>
  </si>
  <si>
    <t>Aqila</t>
  </si>
  <si>
    <t>Kiki</t>
  </si>
  <si>
    <t>Anandita</t>
  </si>
  <si>
    <t>Zeinudin</t>
  </si>
  <si>
    <t>Alfiah</t>
  </si>
  <si>
    <t>Inuk</t>
  </si>
  <si>
    <t>Gresiya</t>
  </si>
  <si>
    <t>Dwi N.</t>
  </si>
  <si>
    <t>Noni A.</t>
  </si>
  <si>
    <t>Bambang</t>
  </si>
  <si>
    <t>Khadijah</t>
  </si>
  <si>
    <t>Saiful A.</t>
  </si>
  <si>
    <t>Anggita</t>
  </si>
  <si>
    <t>Surya</t>
  </si>
  <si>
    <t>Putri S.</t>
  </si>
  <si>
    <t>Slamet</t>
  </si>
  <si>
    <t>Azzahra S.A</t>
  </si>
  <si>
    <t>Tauhid</t>
  </si>
  <si>
    <t>Maysha</t>
  </si>
  <si>
    <t>Doris</t>
  </si>
  <si>
    <t>Zarifah</t>
  </si>
  <si>
    <t>Lilik</t>
  </si>
  <si>
    <t>Vina</t>
  </si>
  <si>
    <t>Martono</t>
  </si>
  <si>
    <t>Akira</t>
  </si>
  <si>
    <t>Yusup</t>
  </si>
  <si>
    <t>Amora</t>
  </si>
  <si>
    <t>Hari</t>
  </si>
  <si>
    <t>Shyria</t>
  </si>
  <si>
    <t>Anjar</t>
  </si>
  <si>
    <t>Farida</t>
  </si>
  <si>
    <t>Aldi</t>
  </si>
  <si>
    <t>Aura</t>
  </si>
  <si>
    <t>Mardiono</t>
  </si>
  <si>
    <t>Almeera</t>
  </si>
  <si>
    <t>Arta</t>
  </si>
  <si>
    <t>Kahfi</t>
  </si>
  <si>
    <t>Ali S</t>
  </si>
  <si>
    <t>B</t>
  </si>
  <si>
    <t>Shyrin</t>
  </si>
  <si>
    <t>Puput</t>
  </si>
  <si>
    <t>Naufal Adam</t>
  </si>
  <si>
    <t>Urip</t>
  </si>
  <si>
    <t>M. Azka</t>
  </si>
  <si>
    <t>Joko</t>
  </si>
  <si>
    <t>M. Fatih</t>
  </si>
  <si>
    <t>Agus</t>
  </si>
  <si>
    <t>Askan</t>
  </si>
  <si>
    <t>Nuril</t>
  </si>
  <si>
    <t>Khalip</t>
  </si>
  <si>
    <t>Sendy</t>
  </si>
  <si>
    <t>Ibrahim</t>
  </si>
  <si>
    <t>Nofi Yulianto</t>
  </si>
  <si>
    <t>Abrizam</t>
  </si>
  <si>
    <t>M. Mustain</t>
  </si>
  <si>
    <t>M. Fadhil</t>
  </si>
  <si>
    <t>M. Imron</t>
  </si>
  <si>
    <t>M.rifky</t>
  </si>
  <si>
    <t>Abib</t>
  </si>
  <si>
    <t>Alfa R.</t>
  </si>
  <si>
    <t>Fauzan</t>
  </si>
  <si>
    <t>Hasim</t>
  </si>
  <si>
    <t>M. Alfin</t>
  </si>
  <si>
    <t>Priyanto</t>
  </si>
  <si>
    <t>Rayhan</t>
  </si>
  <si>
    <t>Sulistiawan</t>
  </si>
  <si>
    <t>Adipati</t>
  </si>
  <si>
    <t>Andi</t>
  </si>
  <si>
    <t>Muh Raihan</t>
  </si>
  <si>
    <t>Trihadiyanto</t>
  </si>
  <si>
    <t>Agus Sawal</t>
  </si>
  <si>
    <t>Sugiono</t>
  </si>
  <si>
    <t>Falah</t>
  </si>
  <si>
    <t>Reyisman</t>
  </si>
  <si>
    <t>Inodapa</t>
  </si>
  <si>
    <t>Maesa R.</t>
  </si>
  <si>
    <t>Azis</t>
  </si>
  <si>
    <t>Achmad Fairus</t>
  </si>
  <si>
    <t>Gibran M.</t>
  </si>
  <si>
    <t>Deddy</t>
  </si>
  <si>
    <t>Cahyo P.</t>
  </si>
  <si>
    <t>Khoirul</t>
  </si>
  <si>
    <t>Candra Galih</t>
  </si>
  <si>
    <t>M. Aris</t>
  </si>
  <si>
    <t>Panji</t>
  </si>
  <si>
    <t>Sigit</t>
  </si>
  <si>
    <t>M. Saed</t>
  </si>
  <si>
    <t>Erik</t>
  </si>
  <si>
    <t>Okta</t>
  </si>
  <si>
    <t>Galih</t>
  </si>
  <si>
    <t>Sapawi</t>
  </si>
  <si>
    <t>Ahmad Jabir</t>
  </si>
  <si>
    <t>Doni S.</t>
  </si>
  <si>
    <t xml:space="preserve">Ferdy R.S </t>
  </si>
  <si>
    <t>Aris</t>
  </si>
  <si>
    <t>Aska J.</t>
  </si>
  <si>
    <t>Burhan</t>
  </si>
  <si>
    <t>Galang</t>
  </si>
  <si>
    <t>M. Maeza</t>
  </si>
  <si>
    <t>M. Rizky</t>
  </si>
  <si>
    <t>Rudi</t>
  </si>
  <si>
    <t>M. Fauzan</t>
  </si>
  <si>
    <t>Fina S.</t>
  </si>
  <si>
    <t>Claretta</t>
  </si>
  <si>
    <t>STATUS GIZI</t>
  </si>
  <si>
    <t>normal</t>
  </si>
  <si>
    <t>NORMAL :</t>
  </si>
  <si>
    <t>LEBIH</t>
  </si>
  <si>
    <t>KURANG</t>
  </si>
  <si>
    <t>USIA</t>
  </si>
  <si>
    <t>A</t>
  </si>
  <si>
    <t>C</t>
  </si>
  <si>
    <t>jk</t>
  </si>
  <si>
    <t>BERAT</t>
  </si>
  <si>
    <t>NORMAL</t>
  </si>
  <si>
    <t>KURUS</t>
  </si>
  <si>
    <t>TINGGI</t>
  </si>
  <si>
    <t>Lebih</t>
  </si>
  <si>
    <t>PENDEK</t>
  </si>
  <si>
    <t>kurang</t>
  </si>
  <si>
    <t>lebih</t>
  </si>
  <si>
    <t>Node</t>
  </si>
  <si>
    <t>Atribut</t>
  </si>
  <si>
    <t>jumlah</t>
  </si>
  <si>
    <t>entropy</t>
  </si>
  <si>
    <t>gain</t>
  </si>
  <si>
    <t>pendek</t>
  </si>
  <si>
    <t>Total</t>
  </si>
  <si>
    <t>kurus</t>
  </si>
  <si>
    <t>Jenis Kelamin</t>
  </si>
  <si>
    <t>tinggi</t>
  </si>
  <si>
    <t>Normal</t>
  </si>
  <si>
    <t>Kurus</t>
  </si>
  <si>
    <t>Tinggi</t>
  </si>
  <si>
    <t>Pendek</t>
  </si>
  <si>
    <t>Information Gain</t>
  </si>
  <si>
    <t>Jenis Kelamin (Perempuan)</t>
  </si>
  <si>
    <t>0.850325905</t>
  </si>
  <si>
    <t>Tinggi Badan (normal)</t>
  </si>
  <si>
    <t>Jenis kelamin (perempuan)</t>
  </si>
  <si>
    <t>Data latih</t>
  </si>
  <si>
    <t>p</t>
  </si>
  <si>
    <t>l</t>
  </si>
  <si>
    <t>Node 1.1. Tinggi Badan Normal</t>
  </si>
  <si>
    <t>Node 1.2. Tinggi Badan Pendek</t>
  </si>
  <si>
    <t>1.1</t>
  </si>
  <si>
    <t>1.2.</t>
  </si>
  <si>
    <t>Node 1.1.1 Tinggi Badan Normal Berat Badan Normal</t>
  </si>
  <si>
    <t>Node 1.1.2 Tinggi Badan Normal Berat Badan Lebih</t>
  </si>
  <si>
    <t>Node 1.2.1. Tinggi Badan Pendek Usia B</t>
  </si>
  <si>
    <t>1.1.1</t>
  </si>
  <si>
    <t>1.1.2</t>
  </si>
  <si>
    <t>1.2.1.</t>
  </si>
  <si>
    <t>Node 1.1.1.1 Tinggi Badan Normal Berat Badan Normal Usia A</t>
  </si>
  <si>
    <t>Node 1.2.1.1. Tinggi Badan Pendek Usia B Jenis Kelamin P</t>
  </si>
  <si>
    <t>1.1.1.1</t>
  </si>
  <si>
    <t>1.2.1.1.</t>
  </si>
  <si>
    <t>Node 1.1.1.2 Tinggi Badan Normal Berat Badan Normal Usia B</t>
  </si>
  <si>
    <t>1.1.1.2</t>
  </si>
  <si>
    <t>Node 1.1.1.3 Tinggi Badan Normal Berat Badan Normal Usia C</t>
  </si>
  <si>
    <t>1.1.1.3</t>
  </si>
</sst>
</file>

<file path=xl/styles.xml><?xml version="1.0" encoding="utf-8"?>
<styleSheet xmlns="http://schemas.openxmlformats.org/spreadsheetml/2006/main">
  <numFmts count="6">
    <numFmt numFmtId="176" formatCode="_-&quot;Rp&quot;* #,##0.00_-;\-&quot;Rp&quot;* #,##0.00_-;_-&quot;Rp&quot;* &quot;-&quot;??_-;_-@_-"/>
    <numFmt numFmtId="177" formatCode="_-* #,##0.0_-;\-* #,##0.0_-;_-* &quot;-&quot;??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8" formatCode="_-&quot;Rp&quot;* #,##0_-;\-&quot;Rp&quot;* #,##0_-;_-&quot;Rp&quot;* &quot;-&quot;_-;_-@_-"/>
  </numFmts>
  <fonts count="26">
    <font>
      <sz val="11"/>
      <color theme="1"/>
      <name val="Calibri"/>
      <charset val="1"/>
      <scheme val="minor"/>
    </font>
    <font>
      <sz val="11"/>
      <color rgb="FF000000"/>
      <name val="Calibri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i/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25" fillId="0" borderId="13" applyNumberFormat="false" applyFill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0" fontId="15" fillId="5" borderId="8" applyNumberFormat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2" borderId="11" applyNumberFormat="false" applyFont="false" applyAlignment="false" applyProtection="false">
      <alignment vertical="center"/>
    </xf>
    <xf numFmtId="0" fontId="12" fillId="6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5" borderId="7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/>
    <xf numFmtId="0" fontId="13" fillId="28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20" fillId="17" borderId="12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</cellStyleXfs>
  <cellXfs count="47">
    <xf numFmtId="0" fontId="0" fillId="0" borderId="0" xfId="0"/>
    <xf numFmtId="0" fontId="1" fillId="0" borderId="0" xfId="0" applyFont="true" applyFill="true" applyAlignment="true"/>
    <xf numFmtId="0" fontId="2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3" fillId="0" borderId="1" xfId="0" applyFont="true" applyBorder="true" applyAlignment="true">
      <alignment horizontal="center"/>
    </xf>
    <xf numFmtId="0" fontId="3" fillId="0" borderId="2" xfId="0" applyFont="true" applyBorder="true" applyAlignment="true">
      <alignment horizontal="center"/>
    </xf>
    <xf numFmtId="0" fontId="0" fillId="0" borderId="0" xfId="0" applyAlignment="true">
      <alignment horizontal="center"/>
    </xf>
    <xf numFmtId="0" fontId="4" fillId="0" borderId="0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/>
    </xf>
    <xf numFmtId="0" fontId="0" fillId="0" borderId="0" xfId="0" applyBorder="true" applyAlignment="true">
      <alignment horizontal="center"/>
    </xf>
    <xf numFmtId="0" fontId="3" fillId="0" borderId="2" xfId="0" applyFont="true" applyFill="true" applyBorder="true" applyAlignment="true">
      <alignment horizontal="center" vertical="center"/>
    </xf>
    <xf numFmtId="0" fontId="0" fillId="0" borderId="2" xfId="0" applyBorder="true"/>
    <xf numFmtId="0" fontId="3" fillId="0" borderId="0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4" fillId="0" borderId="3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center"/>
    </xf>
    <xf numFmtId="0" fontId="0" fillId="0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/>
    </xf>
    <xf numFmtId="0" fontId="0" fillId="0" borderId="0" xfId="0" applyFill="true" applyBorder="true" applyAlignment="true">
      <alignment horizontal="center" vertical="center"/>
    </xf>
    <xf numFmtId="0" fontId="0" fillId="0" borderId="2" xfId="0" applyFill="true" applyBorder="true" applyAlignment="true">
      <alignment horizontal="center"/>
    </xf>
    <xf numFmtId="0" fontId="0" fillId="0" borderId="0" xfId="0" applyFill="true" applyBorder="true" applyAlignment="true">
      <alignment horizontal="center"/>
    </xf>
    <xf numFmtId="0" fontId="0" fillId="0" borderId="0" xfId="0" applyBorder="true"/>
    <xf numFmtId="0" fontId="0" fillId="0" borderId="0" xfId="0" applyBorder="true" applyAlignment="true"/>
    <xf numFmtId="0" fontId="2" fillId="0" borderId="0" xfId="0" applyFont="true" applyFill="true" applyBorder="true" applyAlignment="true">
      <alignment vertical="center"/>
    </xf>
    <xf numFmtId="0" fontId="4" fillId="0" borderId="0" xfId="0" applyFont="true" applyFill="true" applyBorder="true" applyAlignment="true">
      <alignment vertical="center"/>
    </xf>
    <xf numFmtId="0" fontId="3" fillId="0" borderId="0" xfId="0" applyFont="true" applyFill="true" applyBorder="true" applyAlignment="true">
      <alignment vertical="center"/>
    </xf>
    <xf numFmtId="0" fontId="0" fillId="0" borderId="0" xfId="0" applyFill="true" applyBorder="true" applyAlignment="true">
      <alignment vertical="center"/>
    </xf>
    <xf numFmtId="0" fontId="0" fillId="0" borderId="0" xfId="0" applyBorder="true" applyAlignment="true"/>
    <xf numFmtId="0" fontId="0" fillId="0" borderId="0" xfId="0" applyBorder="true" applyAlignment="true"/>
    <xf numFmtId="0" fontId="0" fillId="0" borderId="2" xfId="0" applyFill="true" applyBorder="true" applyAlignment="true">
      <alignment horizontal="left" vertical="center"/>
    </xf>
    <xf numFmtId="0" fontId="0" fillId="0" borderId="2" xfId="0" applyBorder="true" applyAlignment="true">
      <alignment horizontal="left"/>
    </xf>
    <xf numFmtId="0" fontId="0" fillId="0" borderId="0" xfId="0" applyFill="true" applyBorder="true" applyAlignment="true">
      <alignment horizontal="left" vertical="center"/>
    </xf>
    <xf numFmtId="0" fontId="0" fillId="0" borderId="0" xfId="0" applyFill="true" applyBorder="true"/>
    <xf numFmtId="0" fontId="0" fillId="0" borderId="4" xfId="0" applyFill="true" applyBorder="true"/>
    <xf numFmtId="0" fontId="4" fillId="0" borderId="2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40" applyNumberFormat="true" applyFont="true" applyBorder="true" applyAlignment="true">
      <alignment horizontal="center" vertical="center"/>
    </xf>
    <xf numFmtId="177" fontId="0" fillId="0" borderId="2" xfId="37" applyNumberFormat="true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3" fillId="0" borderId="0" xfId="0" applyFont="true" applyBorder="true" applyAlignment="true">
      <alignment horizontal="center"/>
    </xf>
    <xf numFmtId="0" fontId="3" fillId="0" borderId="0" xfId="0" applyFont="true" applyFill="true" applyBorder="true" applyAlignment="true">
      <alignment horizontal="center"/>
    </xf>
    <xf numFmtId="0" fontId="5" fillId="0" borderId="2" xfId="0" applyFont="true" applyFill="true" applyBorder="true" applyAlignment="true">
      <alignment horizontal="center"/>
    </xf>
    <xf numFmtId="0" fontId="3" fillId="0" borderId="2" xfId="0" applyFont="true" applyFill="true" applyBorder="true" applyAlignment="true">
      <alignment horizontal="center"/>
    </xf>
    <xf numFmtId="0" fontId="2" fillId="0" borderId="0" xfId="0" applyFont="true" applyFill="true" applyBorder="true" applyAlignment="true">
      <alignment horizontal="center" vertical="center"/>
    </xf>
    <xf numFmtId="0" fontId="4" fillId="0" borderId="5" xfId="0" applyFont="true" applyFill="true" applyBorder="true" applyAlignment="true">
      <alignment horizontal="center" vertical="center"/>
    </xf>
    <xf numFmtId="0" fontId="0" fillId="0" borderId="5" xfId="0" applyFill="true" applyBorder="true" applyAlignment="true">
      <alignment horizontal="center" vertical="center"/>
    </xf>
    <xf numFmtId="176" fontId="0" fillId="0" borderId="2" xfId="0" applyNumberForma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0"/>
  <sheetViews>
    <sheetView workbookViewId="0">
      <selection activeCell="B2" sqref="B2:H2"/>
    </sheetView>
  </sheetViews>
  <sheetFormatPr defaultColWidth="9" defaultRowHeight="15" outlineLevelCol="7"/>
  <cols>
    <col min="2" max="2" width="16.1428571428571" customWidth="true"/>
    <col min="3" max="3" width="14.2857142857143" customWidth="true"/>
    <col min="4" max="4" width="15.4285714285714" customWidth="true"/>
    <col min="5" max="5" width="17.5714285714286" customWidth="true"/>
    <col min="6" max="6" width="18.2857142857143" customWidth="true"/>
    <col min="7" max="7" width="17.8571428571429" customWidth="true"/>
    <col min="8" max="8" width="14.5619047619048" customWidth="true"/>
  </cols>
  <sheetData>
    <row r="2" ht="28.5" customHeight="true" spans="1:8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</row>
    <row r="3" spans="1:8">
      <c r="A3" s="17">
        <v>1</v>
      </c>
      <c r="B3" s="35" t="s">
        <v>8</v>
      </c>
      <c r="C3" s="35" t="s">
        <v>9</v>
      </c>
      <c r="D3" s="35" t="s">
        <v>10</v>
      </c>
      <c r="E3" s="36">
        <v>17</v>
      </c>
      <c r="F3" s="35">
        <v>9</v>
      </c>
      <c r="G3" s="35">
        <v>74</v>
      </c>
      <c r="H3" s="35" t="s">
        <v>11</v>
      </c>
    </row>
    <row r="4" spans="1:8">
      <c r="A4" s="17">
        <v>2</v>
      </c>
      <c r="B4" s="46" t="s">
        <v>12</v>
      </c>
      <c r="C4" s="35" t="s">
        <v>13</v>
      </c>
      <c r="D4" s="35" t="s">
        <v>14</v>
      </c>
      <c r="E4" s="35">
        <v>14</v>
      </c>
      <c r="F4" s="37">
        <v>7.5</v>
      </c>
      <c r="G4" s="35">
        <v>70</v>
      </c>
      <c r="H4" s="35">
        <v>0</v>
      </c>
    </row>
    <row r="5" spans="1:8">
      <c r="A5" s="17">
        <v>3</v>
      </c>
      <c r="B5" s="35" t="s">
        <v>15</v>
      </c>
      <c r="C5" s="35" t="s">
        <v>16</v>
      </c>
      <c r="D5" s="35" t="s">
        <v>10</v>
      </c>
      <c r="E5" s="35">
        <v>16</v>
      </c>
      <c r="F5" s="35">
        <v>8</v>
      </c>
      <c r="G5" s="35">
        <v>73</v>
      </c>
      <c r="H5" s="35" t="s">
        <v>11</v>
      </c>
    </row>
    <row r="6" spans="1:8">
      <c r="A6" s="17">
        <v>4</v>
      </c>
      <c r="B6" s="35" t="s">
        <v>17</v>
      </c>
      <c r="C6" s="35" t="s">
        <v>18</v>
      </c>
      <c r="D6" s="35" t="s">
        <v>10</v>
      </c>
      <c r="E6" s="35">
        <v>21</v>
      </c>
      <c r="F6" s="35">
        <v>7.8</v>
      </c>
      <c r="G6" s="35">
        <v>71</v>
      </c>
      <c r="H6" s="35" t="s">
        <v>19</v>
      </c>
    </row>
    <row r="7" spans="1:8">
      <c r="A7" s="17">
        <v>5</v>
      </c>
      <c r="B7" s="35" t="s">
        <v>20</v>
      </c>
      <c r="C7" s="35" t="s">
        <v>21</v>
      </c>
      <c r="D7" s="35" t="s">
        <v>10</v>
      </c>
      <c r="E7" s="35">
        <v>21</v>
      </c>
      <c r="F7" s="35">
        <v>10.7</v>
      </c>
      <c r="G7" s="35">
        <v>77</v>
      </c>
      <c r="H7" s="35" t="s">
        <v>11</v>
      </c>
    </row>
    <row r="8" spans="1:8">
      <c r="A8" s="17">
        <v>6</v>
      </c>
      <c r="B8" s="35" t="s">
        <v>22</v>
      </c>
      <c r="C8" s="35" t="s">
        <v>23</v>
      </c>
      <c r="D8" s="35" t="s">
        <v>10</v>
      </c>
      <c r="E8" s="35">
        <v>22</v>
      </c>
      <c r="F8" s="35">
        <v>11</v>
      </c>
      <c r="G8" s="35">
        <v>85</v>
      </c>
      <c r="H8" s="35" t="s">
        <v>11</v>
      </c>
    </row>
    <row r="9" spans="1:8">
      <c r="A9" s="17">
        <v>7</v>
      </c>
      <c r="B9" s="35" t="s">
        <v>24</v>
      </c>
      <c r="C9" s="35" t="s">
        <v>25</v>
      </c>
      <c r="D9" s="35" t="s">
        <v>10</v>
      </c>
      <c r="E9" s="35">
        <v>39</v>
      </c>
      <c r="F9" s="35">
        <v>13.8</v>
      </c>
      <c r="G9" s="35">
        <v>101</v>
      </c>
      <c r="H9" s="35" t="s">
        <v>11</v>
      </c>
    </row>
    <row r="10" spans="1:8">
      <c r="A10" s="17">
        <v>8</v>
      </c>
      <c r="B10" s="35" t="s">
        <v>26</v>
      </c>
      <c r="C10" s="35" t="s">
        <v>27</v>
      </c>
      <c r="D10" s="35" t="s">
        <v>10</v>
      </c>
      <c r="E10" s="35">
        <v>24</v>
      </c>
      <c r="F10" s="35">
        <v>10.3</v>
      </c>
      <c r="G10" s="35">
        <v>81</v>
      </c>
      <c r="H10" s="35" t="s">
        <v>11</v>
      </c>
    </row>
    <row r="11" spans="1:8">
      <c r="A11" s="17">
        <v>9</v>
      </c>
      <c r="B11" s="35" t="s">
        <v>28</v>
      </c>
      <c r="C11" s="35" t="s">
        <v>29</v>
      </c>
      <c r="D11" s="35" t="s">
        <v>10</v>
      </c>
      <c r="E11" s="35">
        <v>24</v>
      </c>
      <c r="F11" s="35">
        <v>9.5</v>
      </c>
      <c r="G11" s="35">
        <v>79</v>
      </c>
      <c r="H11" s="35" t="s">
        <v>19</v>
      </c>
    </row>
    <row r="12" spans="1:8">
      <c r="A12" s="17">
        <v>10</v>
      </c>
      <c r="B12" s="35" t="s">
        <v>30</v>
      </c>
      <c r="C12" s="35" t="s">
        <v>31</v>
      </c>
      <c r="D12" s="35" t="s">
        <v>10</v>
      </c>
      <c r="E12" s="35">
        <v>34</v>
      </c>
      <c r="F12" s="35">
        <v>11.2</v>
      </c>
      <c r="G12" s="35">
        <v>91</v>
      </c>
      <c r="H12" s="35" t="s">
        <v>19</v>
      </c>
    </row>
    <row r="13" spans="1:8">
      <c r="A13" s="17">
        <v>11</v>
      </c>
      <c r="B13" s="35" t="s">
        <v>32</v>
      </c>
      <c r="C13" s="35" t="s">
        <v>33</v>
      </c>
      <c r="D13" s="35" t="s">
        <v>10</v>
      </c>
      <c r="E13" s="35">
        <v>35</v>
      </c>
      <c r="F13" s="35">
        <v>12.2</v>
      </c>
      <c r="G13" s="35">
        <v>88</v>
      </c>
      <c r="H13" s="35" t="s">
        <v>11</v>
      </c>
    </row>
    <row r="14" spans="1:8">
      <c r="A14" s="17">
        <v>12</v>
      </c>
      <c r="B14" s="35" t="s">
        <v>34</v>
      </c>
      <c r="C14" s="35" t="s">
        <v>35</v>
      </c>
      <c r="D14" s="35" t="s">
        <v>10</v>
      </c>
      <c r="E14" s="35">
        <v>36</v>
      </c>
      <c r="F14" s="35">
        <v>11</v>
      </c>
      <c r="G14" s="35">
        <v>88</v>
      </c>
      <c r="H14" s="35" t="s">
        <v>11</v>
      </c>
    </row>
    <row r="15" spans="1:8">
      <c r="A15" s="17">
        <v>13</v>
      </c>
      <c r="B15" s="35" t="s">
        <v>36</v>
      </c>
      <c r="C15" s="35" t="s">
        <v>37</v>
      </c>
      <c r="D15" s="35" t="s">
        <v>10</v>
      </c>
      <c r="E15" s="35">
        <v>46</v>
      </c>
      <c r="F15" s="35">
        <v>12.6</v>
      </c>
      <c r="G15" s="35">
        <v>93</v>
      </c>
      <c r="H15" s="35" t="s">
        <v>19</v>
      </c>
    </row>
    <row r="16" spans="1:8">
      <c r="A16" s="17">
        <v>14</v>
      </c>
      <c r="B16" s="35" t="s">
        <v>38</v>
      </c>
      <c r="C16" s="35" t="s">
        <v>39</v>
      </c>
      <c r="D16" s="35" t="s">
        <v>10</v>
      </c>
      <c r="E16" s="35">
        <v>46</v>
      </c>
      <c r="F16" s="35">
        <v>16</v>
      </c>
      <c r="G16" s="35">
        <v>100</v>
      </c>
      <c r="H16" s="35" t="s">
        <v>11</v>
      </c>
    </row>
    <row r="17" spans="1:8">
      <c r="A17" s="17">
        <v>15</v>
      </c>
      <c r="B17" s="35" t="s">
        <v>40</v>
      </c>
      <c r="C17" s="35" t="s">
        <v>41</v>
      </c>
      <c r="D17" s="35" t="s">
        <v>10</v>
      </c>
      <c r="E17" s="35">
        <v>53</v>
      </c>
      <c r="F17" s="35">
        <v>14.6</v>
      </c>
      <c r="G17" s="35">
        <v>102</v>
      </c>
      <c r="H17" s="35" t="s">
        <v>19</v>
      </c>
    </row>
    <row r="18" spans="1:8">
      <c r="A18" s="17">
        <v>16</v>
      </c>
      <c r="B18" s="35" t="s">
        <v>42</v>
      </c>
      <c r="C18" s="35" t="s">
        <v>43</v>
      </c>
      <c r="D18" s="35" t="s">
        <v>10</v>
      </c>
      <c r="E18" s="35">
        <v>54</v>
      </c>
      <c r="F18" s="35">
        <v>13.1</v>
      </c>
      <c r="G18" s="35">
        <v>97</v>
      </c>
      <c r="H18" s="35" t="s">
        <v>19</v>
      </c>
    </row>
    <row r="19" spans="1:8">
      <c r="A19" s="17">
        <v>17</v>
      </c>
      <c r="B19" s="35" t="s">
        <v>44</v>
      </c>
      <c r="C19" s="35" t="s">
        <v>45</v>
      </c>
      <c r="D19" s="35" t="s">
        <v>10</v>
      </c>
      <c r="E19" s="35">
        <v>54</v>
      </c>
      <c r="F19" s="35">
        <v>15.3</v>
      </c>
      <c r="G19" s="35">
        <v>105</v>
      </c>
      <c r="H19" s="35" t="s">
        <v>19</v>
      </c>
    </row>
    <row r="20" spans="1:8">
      <c r="A20" s="17">
        <v>18</v>
      </c>
      <c r="B20" s="35" t="s">
        <v>46</v>
      </c>
      <c r="C20" s="35" t="s">
        <v>47</v>
      </c>
      <c r="D20" s="35" t="s">
        <v>10</v>
      </c>
      <c r="E20" s="35">
        <v>3</v>
      </c>
      <c r="F20" s="35">
        <v>4.4</v>
      </c>
      <c r="G20" s="35">
        <v>55</v>
      </c>
      <c r="H20" s="35" t="s">
        <v>11</v>
      </c>
    </row>
    <row r="21" spans="1:8">
      <c r="A21" s="17">
        <v>19</v>
      </c>
      <c r="B21" s="35" t="s">
        <v>48</v>
      </c>
      <c r="C21" s="35" t="s">
        <v>49</v>
      </c>
      <c r="D21" s="35" t="s">
        <v>10</v>
      </c>
      <c r="E21" s="35">
        <v>57</v>
      </c>
      <c r="F21" s="35">
        <v>21.6</v>
      </c>
      <c r="G21" s="35">
        <v>111</v>
      </c>
      <c r="H21" s="35" t="s">
        <v>11</v>
      </c>
    </row>
    <row r="22" spans="1:8">
      <c r="A22" s="17">
        <v>20</v>
      </c>
      <c r="B22" s="35" t="s">
        <v>50</v>
      </c>
      <c r="C22" s="35" t="s">
        <v>51</v>
      </c>
      <c r="D22" s="35" t="s">
        <v>10</v>
      </c>
      <c r="E22" s="35">
        <v>57</v>
      </c>
      <c r="F22" s="35">
        <v>16.5</v>
      </c>
      <c r="G22" s="35">
        <v>103</v>
      </c>
      <c r="H22" s="35" t="s">
        <v>11</v>
      </c>
    </row>
    <row r="23" spans="1:8">
      <c r="A23" s="17">
        <v>21</v>
      </c>
      <c r="B23" s="35" t="s">
        <v>52</v>
      </c>
      <c r="C23" s="35" t="s">
        <v>53</v>
      </c>
      <c r="D23" s="35" t="s">
        <v>10</v>
      </c>
      <c r="E23" s="35">
        <v>29</v>
      </c>
      <c r="F23" s="35">
        <v>11.8</v>
      </c>
      <c r="G23" s="35">
        <v>85</v>
      </c>
      <c r="H23" s="35" t="s">
        <v>11</v>
      </c>
    </row>
    <row r="24" spans="1:8">
      <c r="A24" s="17">
        <v>22</v>
      </c>
      <c r="B24" s="35" t="s">
        <v>54</v>
      </c>
      <c r="C24" s="35" t="s">
        <v>55</v>
      </c>
      <c r="D24" s="35" t="s">
        <v>10</v>
      </c>
      <c r="E24" s="35">
        <v>34</v>
      </c>
      <c r="F24" s="35">
        <v>11</v>
      </c>
      <c r="G24" s="35">
        <v>80</v>
      </c>
      <c r="H24" s="35" t="s">
        <v>11</v>
      </c>
    </row>
    <row r="25" spans="1:8">
      <c r="A25" s="17">
        <v>23</v>
      </c>
      <c r="B25" s="35" t="s">
        <v>56</v>
      </c>
      <c r="C25" s="35" t="s">
        <v>57</v>
      </c>
      <c r="D25" s="35" t="s">
        <v>10</v>
      </c>
      <c r="E25" s="35">
        <v>21</v>
      </c>
      <c r="F25" s="35">
        <v>11.7</v>
      </c>
      <c r="G25" s="35">
        <v>80</v>
      </c>
      <c r="H25" s="35" t="s">
        <v>11</v>
      </c>
    </row>
    <row r="26" spans="1:8">
      <c r="A26" s="17">
        <v>24</v>
      </c>
      <c r="B26" s="35" t="s">
        <v>58</v>
      </c>
      <c r="C26" s="35" t="s">
        <v>59</v>
      </c>
      <c r="D26" s="35" t="s">
        <v>10</v>
      </c>
      <c r="E26" s="35">
        <v>30</v>
      </c>
      <c r="F26" s="35">
        <v>12</v>
      </c>
      <c r="G26" s="35">
        <v>85</v>
      </c>
      <c r="H26" s="35" t="s">
        <v>11</v>
      </c>
    </row>
    <row r="27" spans="1:8">
      <c r="A27" s="17">
        <v>25</v>
      </c>
      <c r="B27" s="35" t="s">
        <v>60</v>
      </c>
      <c r="C27" s="35" t="s">
        <v>61</v>
      </c>
      <c r="D27" s="35" t="s">
        <v>10</v>
      </c>
      <c r="E27" s="35">
        <v>8</v>
      </c>
      <c r="F27" s="35">
        <v>5.5</v>
      </c>
      <c r="G27" s="35">
        <v>64</v>
      </c>
      <c r="H27" s="35" t="s">
        <v>11</v>
      </c>
    </row>
    <row r="28" spans="1:8">
      <c r="A28" s="17">
        <v>26</v>
      </c>
      <c r="B28" s="35" t="s">
        <v>62</v>
      </c>
      <c r="C28" s="35" t="s">
        <v>63</v>
      </c>
      <c r="D28" s="35" t="s">
        <v>10</v>
      </c>
      <c r="E28" s="35">
        <v>9</v>
      </c>
      <c r="F28" s="35">
        <v>8.4</v>
      </c>
      <c r="G28" s="35">
        <v>89</v>
      </c>
      <c r="H28" s="35" t="s">
        <v>11</v>
      </c>
    </row>
    <row r="29" spans="1:8">
      <c r="A29" s="17">
        <v>27</v>
      </c>
      <c r="B29" s="35" t="s">
        <v>64</v>
      </c>
      <c r="C29" s="35" t="s">
        <v>65</v>
      </c>
      <c r="D29" s="35" t="s">
        <v>10</v>
      </c>
      <c r="E29" s="35">
        <v>28</v>
      </c>
      <c r="F29" s="35">
        <v>11</v>
      </c>
      <c r="G29" s="35">
        <v>82</v>
      </c>
      <c r="H29" s="35" t="s">
        <v>19</v>
      </c>
    </row>
    <row r="30" spans="1:8">
      <c r="A30" s="17">
        <v>28</v>
      </c>
      <c r="B30" s="35" t="s">
        <v>66</v>
      </c>
      <c r="C30" s="35" t="s">
        <v>67</v>
      </c>
      <c r="D30" s="35" t="s">
        <v>10</v>
      </c>
      <c r="E30" s="35">
        <v>3</v>
      </c>
      <c r="F30" s="35">
        <v>6.4</v>
      </c>
      <c r="G30" s="35">
        <v>55</v>
      </c>
      <c r="H30" s="35" t="s">
        <v>68</v>
      </c>
    </row>
    <row r="31" spans="1:8">
      <c r="A31" s="17">
        <v>29</v>
      </c>
      <c r="B31" s="35" t="s">
        <v>69</v>
      </c>
      <c r="C31" s="35" t="s">
        <v>70</v>
      </c>
      <c r="D31" s="35" t="s">
        <v>10</v>
      </c>
      <c r="E31" s="35">
        <v>30</v>
      </c>
      <c r="F31" s="35">
        <v>12</v>
      </c>
      <c r="G31" s="35">
        <v>85</v>
      </c>
      <c r="H31" s="35">
        <v>0</v>
      </c>
    </row>
    <row r="32" spans="1:8">
      <c r="A32" s="17">
        <v>30</v>
      </c>
      <c r="B32" s="35" t="s">
        <v>71</v>
      </c>
      <c r="C32" s="35" t="s">
        <v>72</v>
      </c>
      <c r="D32" s="35" t="s">
        <v>14</v>
      </c>
      <c r="E32" s="35">
        <v>3</v>
      </c>
      <c r="F32" s="35">
        <v>5</v>
      </c>
      <c r="G32" s="35">
        <v>56</v>
      </c>
      <c r="H32" s="35" t="s">
        <v>11</v>
      </c>
    </row>
    <row r="33" spans="1:8">
      <c r="A33" s="17">
        <v>31</v>
      </c>
      <c r="B33" s="35" t="s">
        <v>73</v>
      </c>
      <c r="C33" s="35" t="s">
        <v>74</v>
      </c>
      <c r="D33" s="35" t="s">
        <v>14</v>
      </c>
      <c r="E33" s="35">
        <v>4</v>
      </c>
      <c r="F33" s="35">
        <v>7</v>
      </c>
      <c r="G33" s="35">
        <v>65</v>
      </c>
      <c r="H33" s="35" t="s">
        <v>11</v>
      </c>
    </row>
    <row r="34" spans="1:8">
      <c r="A34" s="17">
        <v>32</v>
      </c>
      <c r="B34" s="35" t="s">
        <v>75</v>
      </c>
      <c r="C34" s="35" t="s">
        <v>76</v>
      </c>
      <c r="D34" s="35" t="s">
        <v>14</v>
      </c>
      <c r="E34" s="35">
        <v>6</v>
      </c>
      <c r="F34" s="35">
        <v>9.5</v>
      </c>
      <c r="G34" s="35">
        <v>68</v>
      </c>
      <c r="H34" s="35" t="s">
        <v>11</v>
      </c>
    </row>
    <row r="35" spans="1:8">
      <c r="A35" s="17">
        <v>33</v>
      </c>
      <c r="B35" s="35" t="s">
        <v>77</v>
      </c>
      <c r="C35" s="35" t="s">
        <v>78</v>
      </c>
      <c r="D35" s="35" t="s">
        <v>14</v>
      </c>
      <c r="E35" s="35">
        <v>7</v>
      </c>
      <c r="F35" s="35">
        <v>7.7</v>
      </c>
      <c r="G35" s="35">
        <v>69</v>
      </c>
      <c r="H35" s="35" t="s">
        <v>11</v>
      </c>
    </row>
    <row r="36" spans="1:8">
      <c r="A36" s="17">
        <v>34</v>
      </c>
      <c r="B36" s="35" t="s">
        <v>79</v>
      </c>
      <c r="C36" s="35" t="s">
        <v>80</v>
      </c>
      <c r="D36" s="35" t="s">
        <v>14</v>
      </c>
      <c r="E36" s="35">
        <v>11</v>
      </c>
      <c r="F36" s="35">
        <v>8.7</v>
      </c>
      <c r="G36" s="35">
        <v>71</v>
      </c>
      <c r="H36" s="35" t="s">
        <v>11</v>
      </c>
    </row>
    <row r="37" spans="1:8">
      <c r="A37" s="17">
        <v>35</v>
      </c>
      <c r="B37" s="35" t="s">
        <v>81</v>
      </c>
      <c r="C37" s="35" t="s">
        <v>82</v>
      </c>
      <c r="D37" s="35" t="s">
        <v>14</v>
      </c>
      <c r="E37" s="35">
        <v>12</v>
      </c>
      <c r="F37" s="35">
        <v>9</v>
      </c>
      <c r="G37" s="35">
        <v>72</v>
      </c>
      <c r="H37" s="35" t="s">
        <v>11</v>
      </c>
    </row>
    <row r="38" spans="1:8">
      <c r="A38" s="17">
        <v>36</v>
      </c>
      <c r="B38" s="35" t="s">
        <v>83</v>
      </c>
      <c r="C38" s="35" t="s">
        <v>84</v>
      </c>
      <c r="D38" s="35" t="s">
        <v>14</v>
      </c>
      <c r="E38" s="35">
        <v>14</v>
      </c>
      <c r="F38" s="35">
        <v>9.9</v>
      </c>
      <c r="G38" s="35">
        <v>75</v>
      </c>
      <c r="H38" s="35" t="s">
        <v>11</v>
      </c>
    </row>
    <row r="39" spans="1:8">
      <c r="A39" s="17">
        <v>37</v>
      </c>
      <c r="B39" s="35" t="s">
        <v>85</v>
      </c>
      <c r="C39" s="35" t="s">
        <v>86</v>
      </c>
      <c r="D39" s="35" t="s">
        <v>14</v>
      </c>
      <c r="E39" s="35">
        <v>15</v>
      </c>
      <c r="F39" s="35">
        <v>8.6</v>
      </c>
      <c r="G39" s="35">
        <v>74</v>
      </c>
      <c r="H39" s="35" t="s">
        <v>19</v>
      </c>
    </row>
    <row r="40" spans="1:8">
      <c r="A40" s="17">
        <v>38</v>
      </c>
      <c r="B40" s="35" t="s">
        <v>87</v>
      </c>
      <c r="C40" s="35" t="s">
        <v>88</v>
      </c>
      <c r="D40" s="35" t="s">
        <v>14</v>
      </c>
      <c r="E40" s="35">
        <v>15</v>
      </c>
      <c r="F40" s="35">
        <v>8.5</v>
      </c>
      <c r="G40" s="35">
        <v>72</v>
      </c>
      <c r="H40" s="35" t="s">
        <v>11</v>
      </c>
    </row>
    <row r="41" spans="1:8">
      <c r="A41" s="17">
        <v>39</v>
      </c>
      <c r="B41" s="35" t="s">
        <v>89</v>
      </c>
      <c r="C41" s="35" t="s">
        <v>55</v>
      </c>
      <c r="D41" s="35" t="s">
        <v>14</v>
      </c>
      <c r="E41" s="35">
        <v>16</v>
      </c>
      <c r="F41" s="35">
        <v>8.4</v>
      </c>
      <c r="G41" s="35">
        <v>77</v>
      </c>
      <c r="H41" s="35" t="s">
        <v>11</v>
      </c>
    </row>
    <row r="42" spans="1:8">
      <c r="A42" s="17">
        <v>40</v>
      </c>
      <c r="B42" s="35" t="s">
        <v>90</v>
      </c>
      <c r="C42" s="35" t="s">
        <v>91</v>
      </c>
      <c r="D42" s="35" t="s">
        <v>14</v>
      </c>
      <c r="E42" s="35">
        <v>25</v>
      </c>
      <c r="F42" s="35">
        <v>10.5</v>
      </c>
      <c r="G42" s="35">
        <v>82</v>
      </c>
      <c r="H42" s="35" t="s">
        <v>11</v>
      </c>
    </row>
    <row r="43" spans="1:8">
      <c r="A43" s="17">
        <v>41</v>
      </c>
      <c r="B43" s="35" t="s">
        <v>92</v>
      </c>
      <c r="C43" s="35" t="s">
        <v>93</v>
      </c>
      <c r="D43" s="35" t="s">
        <v>14</v>
      </c>
      <c r="E43" s="35">
        <v>31</v>
      </c>
      <c r="F43" s="35">
        <v>17.2</v>
      </c>
      <c r="G43" s="35">
        <v>87</v>
      </c>
      <c r="H43" s="35" t="s">
        <v>11</v>
      </c>
    </row>
    <row r="44" spans="1:8">
      <c r="A44" s="17">
        <v>42</v>
      </c>
      <c r="B44" s="35" t="s">
        <v>94</v>
      </c>
      <c r="C44" s="35" t="s">
        <v>95</v>
      </c>
      <c r="D44" s="35" t="s">
        <v>14</v>
      </c>
      <c r="E44" s="35">
        <v>33</v>
      </c>
      <c r="F44" s="35">
        <v>18</v>
      </c>
      <c r="G44" s="35">
        <v>96</v>
      </c>
      <c r="H44" s="35" t="s">
        <v>11</v>
      </c>
    </row>
    <row r="45" spans="1:8">
      <c r="A45" s="17">
        <v>43</v>
      </c>
      <c r="B45" s="35" t="s">
        <v>96</v>
      </c>
      <c r="C45" s="35" t="s">
        <v>97</v>
      </c>
      <c r="D45" s="35" t="s">
        <v>14</v>
      </c>
      <c r="E45" s="35">
        <v>38</v>
      </c>
      <c r="F45" s="35">
        <v>24</v>
      </c>
      <c r="G45" s="35">
        <v>99</v>
      </c>
      <c r="H45" s="35" t="s">
        <v>11</v>
      </c>
    </row>
    <row r="46" spans="1:8">
      <c r="A46" s="17">
        <v>44</v>
      </c>
      <c r="B46" s="35" t="s">
        <v>98</v>
      </c>
      <c r="C46" s="35" t="s">
        <v>99</v>
      </c>
      <c r="D46" s="35" t="s">
        <v>14</v>
      </c>
      <c r="E46" s="35">
        <v>39</v>
      </c>
      <c r="F46" s="35">
        <v>13.6</v>
      </c>
      <c r="G46" s="35">
        <v>97</v>
      </c>
      <c r="H46" s="35" t="s">
        <v>19</v>
      </c>
    </row>
    <row r="47" spans="1:8">
      <c r="A47" s="17">
        <v>45</v>
      </c>
      <c r="B47" s="35" t="s">
        <v>100</v>
      </c>
      <c r="C47" s="35" t="s">
        <v>101</v>
      </c>
      <c r="D47" s="35" t="s">
        <v>14</v>
      </c>
      <c r="E47" s="35">
        <v>40</v>
      </c>
      <c r="F47" s="35">
        <v>12.5</v>
      </c>
      <c r="G47" s="35">
        <v>91</v>
      </c>
      <c r="H47" s="35" t="s">
        <v>19</v>
      </c>
    </row>
    <row r="48" spans="1:8">
      <c r="A48" s="17">
        <v>46</v>
      </c>
      <c r="B48" s="35" t="s">
        <v>102</v>
      </c>
      <c r="C48" s="35" t="s">
        <v>80</v>
      </c>
      <c r="D48" s="35" t="s">
        <v>14</v>
      </c>
      <c r="E48" s="35">
        <v>42</v>
      </c>
      <c r="F48" s="35">
        <v>13.8</v>
      </c>
      <c r="G48" s="35">
        <v>93</v>
      </c>
      <c r="H48" s="35" t="s">
        <v>11</v>
      </c>
    </row>
    <row r="49" spans="1:8">
      <c r="A49" s="17">
        <v>47</v>
      </c>
      <c r="B49" s="35" t="s">
        <v>103</v>
      </c>
      <c r="C49" s="35" t="s">
        <v>104</v>
      </c>
      <c r="D49" s="35" t="s">
        <v>14</v>
      </c>
      <c r="E49" s="35">
        <v>45</v>
      </c>
      <c r="F49" s="35">
        <v>14.2</v>
      </c>
      <c r="G49" s="35">
        <v>95</v>
      </c>
      <c r="H49" s="35" t="s">
        <v>11</v>
      </c>
    </row>
    <row r="50" spans="1:8">
      <c r="A50" s="17">
        <v>48</v>
      </c>
      <c r="B50" s="35" t="s">
        <v>105</v>
      </c>
      <c r="C50" s="35" t="s">
        <v>106</v>
      </c>
      <c r="D50" s="35" t="s">
        <v>14</v>
      </c>
      <c r="E50" s="35">
        <v>46</v>
      </c>
      <c r="F50" s="35">
        <v>13.5</v>
      </c>
      <c r="G50" s="35">
        <v>97</v>
      </c>
      <c r="H50" s="35" t="s">
        <v>11</v>
      </c>
    </row>
    <row r="51" spans="1:8">
      <c r="A51" s="17">
        <v>49</v>
      </c>
      <c r="B51" s="35" t="s">
        <v>107</v>
      </c>
      <c r="C51" s="35" t="s">
        <v>33</v>
      </c>
      <c r="D51" s="35" t="s">
        <v>14</v>
      </c>
      <c r="E51" s="35">
        <v>47</v>
      </c>
      <c r="F51" s="35">
        <v>12.7</v>
      </c>
      <c r="G51" s="35">
        <v>94</v>
      </c>
      <c r="H51" s="35" t="s">
        <v>19</v>
      </c>
    </row>
    <row r="52" spans="1:8">
      <c r="A52" s="17">
        <v>50</v>
      </c>
      <c r="B52" s="35" t="s">
        <v>108</v>
      </c>
      <c r="C52" s="35" t="s">
        <v>109</v>
      </c>
      <c r="D52" s="35" t="s">
        <v>14</v>
      </c>
      <c r="E52" s="35">
        <v>47</v>
      </c>
      <c r="F52" s="35">
        <v>14</v>
      </c>
      <c r="G52" s="35">
        <v>97</v>
      </c>
      <c r="H52" s="35" t="s">
        <v>19</v>
      </c>
    </row>
    <row r="53" spans="1:8">
      <c r="A53" s="17">
        <v>51</v>
      </c>
      <c r="B53" s="35" t="s">
        <v>110</v>
      </c>
      <c r="C53" s="35" t="s">
        <v>111</v>
      </c>
      <c r="D53" s="35" t="s">
        <v>14</v>
      </c>
      <c r="E53" s="35">
        <v>45</v>
      </c>
      <c r="F53" s="35">
        <v>19.6</v>
      </c>
      <c r="G53" s="35">
        <v>103</v>
      </c>
      <c r="H53" s="35" t="s">
        <v>11</v>
      </c>
    </row>
    <row r="54" spans="1:8">
      <c r="A54" s="17">
        <v>52</v>
      </c>
      <c r="B54" s="35" t="s">
        <v>112</v>
      </c>
      <c r="C54" s="35" t="s">
        <v>113</v>
      </c>
      <c r="D54" s="35" t="s">
        <v>14</v>
      </c>
      <c r="E54" s="35">
        <v>53</v>
      </c>
      <c r="F54" s="35">
        <v>17.6</v>
      </c>
      <c r="G54" s="35">
        <v>104</v>
      </c>
      <c r="H54" s="35" t="s">
        <v>19</v>
      </c>
    </row>
    <row r="55" spans="1:8">
      <c r="A55" s="17">
        <v>53</v>
      </c>
      <c r="B55" s="35" t="s">
        <v>114</v>
      </c>
      <c r="C55" s="35" t="s">
        <v>115</v>
      </c>
      <c r="D55" s="35" t="s">
        <v>14</v>
      </c>
      <c r="E55" s="35">
        <v>53</v>
      </c>
      <c r="F55" s="35">
        <v>18.6</v>
      </c>
      <c r="G55" s="35">
        <v>104</v>
      </c>
      <c r="H55" s="35" t="s">
        <v>11</v>
      </c>
    </row>
    <row r="56" spans="1:8">
      <c r="A56" s="17">
        <v>54</v>
      </c>
      <c r="B56" s="35" t="s">
        <v>116</v>
      </c>
      <c r="C56" s="35" t="s">
        <v>117</v>
      </c>
      <c r="D56" s="35" t="s">
        <v>14</v>
      </c>
      <c r="E56" s="35">
        <v>56</v>
      </c>
      <c r="F56" s="35">
        <v>12.4</v>
      </c>
      <c r="G56" s="35">
        <v>97</v>
      </c>
      <c r="H56" s="35" t="s">
        <v>19</v>
      </c>
    </row>
    <row r="57" spans="1:8">
      <c r="A57" s="17">
        <v>55</v>
      </c>
      <c r="B57" s="35" t="s">
        <v>118</v>
      </c>
      <c r="C57" s="35" t="s">
        <v>49</v>
      </c>
      <c r="D57" s="35" t="s">
        <v>14</v>
      </c>
      <c r="E57" s="35">
        <v>36</v>
      </c>
      <c r="F57" s="35">
        <v>15.5</v>
      </c>
      <c r="G57" s="35">
        <v>92</v>
      </c>
      <c r="H57" s="35" t="s">
        <v>11</v>
      </c>
    </row>
    <row r="58" spans="1:8">
      <c r="A58" s="17">
        <v>56</v>
      </c>
      <c r="B58" s="35" t="s">
        <v>119</v>
      </c>
      <c r="C58" s="35" t="s">
        <v>120</v>
      </c>
      <c r="D58" s="35" t="s">
        <v>14</v>
      </c>
      <c r="E58" s="35">
        <v>50</v>
      </c>
      <c r="F58" s="35">
        <v>23.2</v>
      </c>
      <c r="G58" s="35">
        <v>102</v>
      </c>
      <c r="H58" s="35" t="s">
        <v>11</v>
      </c>
    </row>
    <row r="59" spans="1:8">
      <c r="A59" s="17">
        <v>57</v>
      </c>
      <c r="B59" s="35" t="s">
        <v>121</v>
      </c>
      <c r="C59" s="35" t="s">
        <v>122</v>
      </c>
      <c r="D59" s="35" t="s">
        <v>14</v>
      </c>
      <c r="E59" s="35">
        <v>27</v>
      </c>
      <c r="F59" s="35">
        <v>11.6</v>
      </c>
      <c r="G59" s="35">
        <v>83</v>
      </c>
      <c r="H59" s="35" t="s">
        <v>11</v>
      </c>
    </row>
    <row r="60" spans="1:8">
      <c r="A60" s="17">
        <v>58</v>
      </c>
      <c r="B60" s="35" t="s">
        <v>123</v>
      </c>
      <c r="C60" s="35" t="s">
        <v>124</v>
      </c>
      <c r="D60" s="35" t="s">
        <v>14</v>
      </c>
      <c r="E60" s="35">
        <v>2</v>
      </c>
      <c r="F60" s="35">
        <v>4.4</v>
      </c>
      <c r="G60" s="35">
        <v>55</v>
      </c>
      <c r="H60" s="35" t="s">
        <v>68</v>
      </c>
    </row>
    <row r="61" spans="1:8">
      <c r="A61" s="17">
        <v>59</v>
      </c>
      <c r="B61" s="35" t="s">
        <v>125</v>
      </c>
      <c r="C61" s="35" t="s">
        <v>126</v>
      </c>
      <c r="D61" s="35" t="s">
        <v>14</v>
      </c>
      <c r="E61" s="35">
        <v>20</v>
      </c>
      <c r="F61" s="35">
        <v>11</v>
      </c>
      <c r="G61" s="35">
        <v>78</v>
      </c>
      <c r="H61" s="35" t="s">
        <v>19</v>
      </c>
    </row>
    <row r="62" spans="1:8">
      <c r="A62" s="17">
        <v>60</v>
      </c>
      <c r="B62" s="35" t="s">
        <v>127</v>
      </c>
      <c r="C62" s="35" t="s">
        <v>124</v>
      </c>
      <c r="D62" s="35" t="s">
        <v>14</v>
      </c>
      <c r="E62" s="35">
        <v>53</v>
      </c>
      <c r="F62" s="35">
        <v>20.5</v>
      </c>
      <c r="G62" s="35">
        <v>105</v>
      </c>
      <c r="H62" s="35" t="s">
        <v>19</v>
      </c>
    </row>
    <row r="63" spans="1:8">
      <c r="A63" s="17">
        <v>61</v>
      </c>
      <c r="B63" s="35" t="s">
        <v>128</v>
      </c>
      <c r="C63" s="35" t="s">
        <v>106</v>
      </c>
      <c r="D63" s="35" t="s">
        <v>14</v>
      </c>
      <c r="E63" s="35">
        <v>49</v>
      </c>
      <c r="F63" s="35">
        <v>13.5</v>
      </c>
      <c r="G63" s="35">
        <v>100</v>
      </c>
      <c r="H63" s="35" t="s">
        <v>11</v>
      </c>
    </row>
    <row r="64" spans="1:8">
      <c r="A64" s="17">
        <v>62</v>
      </c>
      <c r="B64" s="35" t="s">
        <v>129</v>
      </c>
      <c r="C64" s="35" t="s">
        <v>130</v>
      </c>
      <c r="D64" s="35" t="s">
        <v>14</v>
      </c>
      <c r="E64" s="35">
        <v>21</v>
      </c>
      <c r="F64" s="35">
        <v>8.5</v>
      </c>
      <c r="G64" s="35">
        <v>70</v>
      </c>
      <c r="H64" s="35" t="s">
        <v>11</v>
      </c>
    </row>
    <row r="65" spans="1:8">
      <c r="A65" s="17">
        <v>63</v>
      </c>
      <c r="B65" s="35" t="s">
        <v>131</v>
      </c>
      <c r="C65" s="35" t="s">
        <v>91</v>
      </c>
      <c r="D65" s="35" t="s">
        <v>14</v>
      </c>
      <c r="E65" s="35">
        <v>28</v>
      </c>
      <c r="F65" s="35">
        <v>11</v>
      </c>
      <c r="G65" s="35">
        <v>88</v>
      </c>
      <c r="H65" s="35" t="s">
        <v>11</v>
      </c>
    </row>
    <row r="66" spans="1:8">
      <c r="A66" s="17">
        <v>64</v>
      </c>
      <c r="B66" s="35" t="s">
        <v>132</v>
      </c>
      <c r="C66" s="35" t="s">
        <v>53</v>
      </c>
      <c r="D66" s="35" t="s">
        <v>10</v>
      </c>
      <c r="E66" s="35">
        <v>27</v>
      </c>
      <c r="F66" s="35">
        <v>11.4</v>
      </c>
      <c r="G66" s="35">
        <v>82</v>
      </c>
      <c r="H66" s="35" t="s">
        <v>11</v>
      </c>
    </row>
    <row r="67" spans="1:8">
      <c r="A67" s="17">
        <v>65</v>
      </c>
      <c r="B67" s="35" t="s">
        <v>133</v>
      </c>
      <c r="C67" s="35" t="s">
        <v>29</v>
      </c>
      <c r="D67" s="35" t="s">
        <v>10</v>
      </c>
      <c r="E67" s="35">
        <v>21</v>
      </c>
      <c r="F67" s="35">
        <v>9.4</v>
      </c>
      <c r="G67" s="35">
        <v>76</v>
      </c>
      <c r="H67" s="35" t="s">
        <v>11</v>
      </c>
    </row>
    <row r="68" spans="1:8">
      <c r="A68" s="17">
        <v>66</v>
      </c>
      <c r="B68" s="35"/>
      <c r="C68" s="35"/>
      <c r="D68" s="35"/>
      <c r="E68" s="35"/>
      <c r="F68" s="35"/>
      <c r="G68" s="35"/>
      <c r="H68" s="35"/>
    </row>
    <row r="69" spans="1:8">
      <c r="A69" s="17">
        <v>67</v>
      </c>
      <c r="B69" s="35"/>
      <c r="C69" s="35"/>
      <c r="D69" s="35"/>
      <c r="E69" s="35"/>
      <c r="F69" s="35"/>
      <c r="G69" s="35"/>
      <c r="H69" s="35"/>
    </row>
    <row r="70" spans="1:8">
      <c r="A70" s="17">
        <v>68</v>
      </c>
      <c r="B70" s="35"/>
      <c r="C70" s="35"/>
      <c r="D70" s="35"/>
      <c r="E70" s="35"/>
      <c r="F70" s="35"/>
      <c r="G70" s="35"/>
      <c r="H70" s="35"/>
    </row>
    <row r="71" spans="1:8">
      <c r="A71" s="17">
        <v>69</v>
      </c>
      <c r="B71" s="35"/>
      <c r="C71" s="35"/>
      <c r="D71" s="35"/>
      <c r="E71" s="35"/>
      <c r="F71" s="35"/>
      <c r="G71" s="35"/>
      <c r="H71" s="35"/>
    </row>
    <row r="72" spans="1:8">
      <c r="A72" s="17">
        <v>70</v>
      </c>
      <c r="B72" s="35"/>
      <c r="C72" s="35"/>
      <c r="D72" s="35"/>
      <c r="E72" s="35"/>
      <c r="F72" s="35"/>
      <c r="G72" s="35"/>
      <c r="H72" s="35"/>
    </row>
    <row r="73" spans="1:8">
      <c r="A73" s="17">
        <v>71</v>
      </c>
      <c r="B73" s="35"/>
      <c r="C73" s="35"/>
      <c r="D73" s="35"/>
      <c r="E73" s="35"/>
      <c r="F73" s="35"/>
      <c r="G73" s="35"/>
      <c r="H73" s="35"/>
    </row>
    <row r="74" spans="1:8">
      <c r="A74" s="17">
        <v>72</v>
      </c>
      <c r="B74" s="35"/>
      <c r="C74" s="35"/>
      <c r="D74" s="35"/>
      <c r="E74" s="35"/>
      <c r="F74" s="35"/>
      <c r="G74" s="35"/>
      <c r="H74" s="35"/>
    </row>
    <row r="75" spans="1:8">
      <c r="A75" s="17">
        <v>73</v>
      </c>
      <c r="B75" s="35"/>
      <c r="C75" s="35"/>
      <c r="D75" s="35"/>
      <c r="E75" s="35"/>
      <c r="F75" s="35"/>
      <c r="G75" s="35"/>
      <c r="H75" s="35"/>
    </row>
    <row r="76" spans="1:8">
      <c r="A76" s="17">
        <v>74</v>
      </c>
      <c r="B76" s="35"/>
      <c r="C76" s="35"/>
      <c r="D76" s="35"/>
      <c r="E76" s="35"/>
      <c r="F76" s="35"/>
      <c r="G76" s="35"/>
      <c r="H76" s="35"/>
    </row>
    <row r="77" spans="1:8">
      <c r="A77" s="17">
        <v>75</v>
      </c>
      <c r="B77" s="35"/>
      <c r="C77" s="35"/>
      <c r="D77" s="35"/>
      <c r="E77" s="35"/>
      <c r="F77" s="35"/>
      <c r="G77" s="35"/>
      <c r="H77" s="35"/>
    </row>
    <row r="78" spans="1:8">
      <c r="A78" s="17">
        <v>76</v>
      </c>
      <c r="B78" s="35"/>
      <c r="C78" s="35"/>
      <c r="D78" s="35"/>
      <c r="E78" s="35"/>
      <c r="F78" s="35"/>
      <c r="G78" s="35"/>
      <c r="H78" s="35"/>
    </row>
    <row r="79" spans="1:8">
      <c r="A79" s="17">
        <v>77</v>
      </c>
      <c r="B79" s="35"/>
      <c r="C79" s="35"/>
      <c r="D79" s="35"/>
      <c r="E79" s="35"/>
      <c r="F79" s="35"/>
      <c r="G79" s="35"/>
      <c r="H79" s="35"/>
    </row>
    <row r="80" spans="1:8">
      <c r="A80" s="17">
        <v>78</v>
      </c>
      <c r="B80" s="35"/>
      <c r="C80" s="35"/>
      <c r="D80" s="35"/>
      <c r="E80" s="35"/>
      <c r="F80" s="35"/>
      <c r="G80" s="35"/>
      <c r="H80" s="35"/>
    </row>
    <row r="81" spans="1:8">
      <c r="A81" s="17">
        <v>79</v>
      </c>
      <c r="B81" s="35"/>
      <c r="C81" s="35"/>
      <c r="D81" s="35"/>
      <c r="E81" s="35"/>
      <c r="F81" s="35"/>
      <c r="G81" s="35"/>
      <c r="H81" s="35"/>
    </row>
    <row r="82" spans="1:8">
      <c r="A82" s="17">
        <v>80</v>
      </c>
      <c r="B82" s="35"/>
      <c r="C82" s="35"/>
      <c r="D82" s="35"/>
      <c r="E82" s="35"/>
      <c r="F82" s="35"/>
      <c r="G82" s="35"/>
      <c r="H82" s="35"/>
    </row>
    <row r="83" spans="1:8">
      <c r="A83" s="17">
        <v>81</v>
      </c>
      <c r="B83" s="35"/>
      <c r="C83" s="35"/>
      <c r="D83" s="35"/>
      <c r="E83" s="35"/>
      <c r="F83" s="35"/>
      <c r="G83" s="35"/>
      <c r="H83" s="35"/>
    </row>
    <row r="84" spans="1:8">
      <c r="A84" s="17">
        <v>82</v>
      </c>
      <c r="B84" s="35"/>
      <c r="C84" s="35"/>
      <c r="D84" s="35"/>
      <c r="E84" s="35"/>
      <c r="F84" s="35"/>
      <c r="G84" s="35"/>
      <c r="H84" s="35"/>
    </row>
    <row r="85" spans="1:8">
      <c r="A85" s="17">
        <v>83</v>
      </c>
      <c r="B85" s="35"/>
      <c r="C85" s="35"/>
      <c r="D85" s="35"/>
      <c r="E85" s="35"/>
      <c r="F85" s="35"/>
      <c r="G85" s="35"/>
      <c r="H85" s="35"/>
    </row>
    <row r="86" spans="1:8">
      <c r="A86" s="17">
        <v>84</v>
      </c>
      <c r="B86" s="35"/>
      <c r="C86" s="35"/>
      <c r="D86" s="35"/>
      <c r="E86" s="35"/>
      <c r="F86" s="35"/>
      <c r="G86" s="35"/>
      <c r="H86" s="35"/>
    </row>
    <row r="87" spans="1:8">
      <c r="A87" s="17">
        <v>85</v>
      </c>
      <c r="B87" s="35"/>
      <c r="C87" s="35"/>
      <c r="D87" s="35"/>
      <c r="E87" s="35"/>
      <c r="F87" s="35"/>
      <c r="G87" s="35"/>
      <c r="H87" s="35"/>
    </row>
    <row r="88" spans="1:8">
      <c r="A88" s="17">
        <v>86</v>
      </c>
      <c r="B88" s="35"/>
      <c r="C88" s="35"/>
      <c r="D88" s="35"/>
      <c r="E88" s="35"/>
      <c r="F88" s="35"/>
      <c r="G88" s="35"/>
      <c r="H88" s="35"/>
    </row>
    <row r="89" spans="1:8">
      <c r="A89" s="17">
        <v>87</v>
      </c>
      <c r="B89" s="35"/>
      <c r="C89" s="35"/>
      <c r="D89" s="35"/>
      <c r="E89" s="35"/>
      <c r="F89" s="35"/>
      <c r="G89" s="35"/>
      <c r="H89" s="35"/>
    </row>
    <row r="90" spans="1:8">
      <c r="A90" s="17">
        <v>88</v>
      </c>
      <c r="B90" s="35"/>
      <c r="C90" s="35"/>
      <c r="D90" s="35"/>
      <c r="E90" s="35"/>
      <c r="F90" s="35"/>
      <c r="G90" s="35"/>
      <c r="H90" s="35"/>
    </row>
    <row r="91" spans="1:8">
      <c r="A91" s="17">
        <v>89</v>
      </c>
      <c r="B91" s="35"/>
      <c r="C91" s="35"/>
      <c r="D91" s="35"/>
      <c r="E91" s="35"/>
      <c r="F91" s="35"/>
      <c r="G91" s="35"/>
      <c r="H91" s="35"/>
    </row>
    <row r="92" spans="1:8">
      <c r="A92" s="17">
        <v>90</v>
      </c>
      <c r="B92" s="35"/>
      <c r="C92" s="35"/>
      <c r="D92" s="35"/>
      <c r="E92" s="35"/>
      <c r="F92" s="35"/>
      <c r="G92" s="35"/>
      <c r="H92" s="35"/>
    </row>
    <row r="93" spans="1:8">
      <c r="A93" s="17">
        <v>91</v>
      </c>
      <c r="B93" s="35"/>
      <c r="C93" s="35"/>
      <c r="D93" s="35"/>
      <c r="E93" s="35"/>
      <c r="F93" s="35"/>
      <c r="G93" s="35"/>
      <c r="H93" s="35"/>
    </row>
    <row r="94" spans="1:8">
      <c r="A94" s="17">
        <v>92</v>
      </c>
      <c r="B94" s="35"/>
      <c r="C94" s="35"/>
      <c r="D94" s="35"/>
      <c r="E94" s="35"/>
      <c r="F94" s="35"/>
      <c r="G94" s="35"/>
      <c r="H94" s="35"/>
    </row>
    <row r="95" spans="1:8">
      <c r="A95" s="17">
        <v>93</v>
      </c>
      <c r="B95" s="35"/>
      <c r="C95" s="35"/>
      <c r="D95" s="35"/>
      <c r="E95" s="35"/>
      <c r="F95" s="35"/>
      <c r="G95" s="35"/>
      <c r="H95" s="35"/>
    </row>
    <row r="96" spans="1:8">
      <c r="A96" s="17">
        <v>94</v>
      </c>
      <c r="B96" s="35"/>
      <c r="C96" s="35"/>
      <c r="D96" s="35"/>
      <c r="E96" s="35"/>
      <c r="F96" s="35"/>
      <c r="G96" s="35"/>
      <c r="H96" s="35"/>
    </row>
    <row r="97" spans="1:8">
      <c r="A97" s="17">
        <v>95</v>
      </c>
      <c r="B97" s="35"/>
      <c r="C97" s="35"/>
      <c r="D97" s="35"/>
      <c r="E97" s="35"/>
      <c r="F97" s="35"/>
      <c r="G97" s="35"/>
      <c r="H97" s="35"/>
    </row>
    <row r="98" spans="1:8">
      <c r="A98" s="17">
        <v>96</v>
      </c>
      <c r="B98" s="35"/>
      <c r="C98" s="35"/>
      <c r="D98" s="35"/>
      <c r="E98" s="35"/>
      <c r="F98" s="35"/>
      <c r="G98" s="35"/>
      <c r="H98" s="35"/>
    </row>
    <row r="99" spans="1:8">
      <c r="A99" s="17">
        <v>97</v>
      </c>
      <c r="B99" s="35"/>
      <c r="C99" s="35"/>
      <c r="D99" s="35"/>
      <c r="E99" s="35"/>
      <c r="F99" s="35"/>
      <c r="G99" s="35"/>
      <c r="H99" s="35"/>
    </row>
    <row r="100" spans="1:8">
      <c r="A100" s="17">
        <v>98</v>
      </c>
      <c r="B100" s="35"/>
      <c r="C100" s="35"/>
      <c r="D100" s="35"/>
      <c r="E100" s="35"/>
      <c r="F100" s="35"/>
      <c r="G100" s="35"/>
      <c r="H100" s="3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opLeftCell="A23" workbookViewId="0">
      <selection activeCell="K6" sqref="K6"/>
    </sheetView>
  </sheetViews>
  <sheetFormatPr defaultColWidth="9" defaultRowHeight="15"/>
  <cols>
    <col min="2" max="2" width="14.5619047619048" customWidth="true"/>
    <col min="3" max="3" width="14.7047619047619" customWidth="true"/>
    <col min="4" max="4" width="18.8571428571429" customWidth="true"/>
    <col min="5" max="5" width="14.7047619047619" customWidth="true"/>
    <col min="6" max="6" width="17.8571428571429" customWidth="true"/>
  </cols>
  <sheetData>
    <row r="2" spans="2:8"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H2" t="s">
        <v>134</v>
      </c>
    </row>
    <row r="3" spans="2:9">
      <c r="B3" s="35" t="s">
        <v>10</v>
      </c>
      <c r="C3" s="36">
        <v>17</v>
      </c>
      <c r="D3" s="35">
        <v>9</v>
      </c>
      <c r="E3" s="35">
        <v>74</v>
      </c>
      <c r="F3" s="35" t="s">
        <v>135</v>
      </c>
      <c r="H3" s="44" t="s">
        <v>136</v>
      </c>
      <c r="I3">
        <v>52</v>
      </c>
    </row>
    <row r="4" spans="2:9">
      <c r="B4" s="35" t="s">
        <v>14</v>
      </c>
      <c r="C4" s="35">
        <v>14</v>
      </c>
      <c r="D4" s="37">
        <v>7.5</v>
      </c>
      <c r="E4" s="35">
        <v>70</v>
      </c>
      <c r="F4" s="35" t="s">
        <v>135</v>
      </c>
      <c r="H4" s="45" t="s">
        <v>137</v>
      </c>
      <c r="I4">
        <v>14</v>
      </c>
    </row>
    <row r="5" spans="2:9">
      <c r="B5" s="35" t="s">
        <v>10</v>
      </c>
      <c r="C5" s="35">
        <v>16</v>
      </c>
      <c r="D5" s="35">
        <v>8</v>
      </c>
      <c r="E5" s="35">
        <v>73</v>
      </c>
      <c r="F5" s="35" t="s">
        <v>135</v>
      </c>
      <c r="H5" s="45" t="s">
        <v>138</v>
      </c>
      <c r="I5">
        <v>4</v>
      </c>
    </row>
    <row r="6" spans="2:6">
      <c r="B6" s="35" t="s">
        <v>10</v>
      </c>
      <c r="C6" s="35">
        <v>21</v>
      </c>
      <c r="D6" s="35">
        <v>7.8</v>
      </c>
      <c r="E6" s="35">
        <v>71</v>
      </c>
      <c r="F6" s="35" t="s">
        <v>135</v>
      </c>
    </row>
    <row r="7" spans="2:8">
      <c r="B7" s="35" t="s">
        <v>10</v>
      </c>
      <c r="C7" s="35">
        <v>21</v>
      </c>
      <c r="D7" s="35">
        <v>10.7</v>
      </c>
      <c r="E7" s="35">
        <v>77</v>
      </c>
      <c r="F7" s="35" t="s">
        <v>135</v>
      </c>
      <c r="H7" s="45" t="s">
        <v>139</v>
      </c>
    </row>
    <row r="8" spans="2:9">
      <c r="B8" s="35" t="s">
        <v>10</v>
      </c>
      <c r="C8" s="35">
        <v>22</v>
      </c>
      <c r="D8" s="35">
        <v>11</v>
      </c>
      <c r="E8" s="35">
        <v>85</v>
      </c>
      <c r="F8" s="35" t="s">
        <v>135</v>
      </c>
      <c r="H8" s="18" t="s">
        <v>140</v>
      </c>
      <c r="I8">
        <v>11</v>
      </c>
    </row>
    <row r="9" spans="2:9">
      <c r="B9" s="35" t="s">
        <v>10</v>
      </c>
      <c r="C9" s="35">
        <v>39</v>
      </c>
      <c r="D9" s="35">
        <v>13.8</v>
      </c>
      <c r="E9" s="35">
        <v>101</v>
      </c>
      <c r="F9" s="35" t="s">
        <v>135</v>
      </c>
      <c r="H9" s="18" t="s">
        <v>68</v>
      </c>
      <c r="I9">
        <v>32</v>
      </c>
    </row>
    <row r="10" spans="2:9">
      <c r="B10" s="35" t="s">
        <v>10</v>
      </c>
      <c r="C10" s="35">
        <v>24</v>
      </c>
      <c r="D10" s="35">
        <v>10.3</v>
      </c>
      <c r="E10" s="35">
        <v>81</v>
      </c>
      <c r="F10" s="35" t="s">
        <v>135</v>
      </c>
      <c r="H10" s="18" t="s">
        <v>141</v>
      </c>
      <c r="I10">
        <v>27</v>
      </c>
    </row>
    <row r="11" spans="2:6">
      <c r="B11" s="35" t="s">
        <v>10</v>
      </c>
      <c r="C11" s="35">
        <v>24</v>
      </c>
      <c r="D11" s="35">
        <v>9.5</v>
      </c>
      <c r="E11" s="35">
        <v>79</v>
      </c>
      <c r="F11" s="35" t="s">
        <v>135</v>
      </c>
    </row>
    <row r="12" spans="2:8">
      <c r="B12" s="35" t="s">
        <v>10</v>
      </c>
      <c r="C12" s="35">
        <v>34</v>
      </c>
      <c r="D12" s="35">
        <v>11.2</v>
      </c>
      <c r="E12" s="35">
        <v>91</v>
      </c>
      <c r="F12" s="35" t="s">
        <v>135</v>
      </c>
      <c r="H12" s="18" t="s">
        <v>142</v>
      </c>
    </row>
    <row r="13" spans="2:9">
      <c r="B13" s="35" t="s">
        <v>10</v>
      </c>
      <c r="C13" s="35">
        <v>35</v>
      </c>
      <c r="D13" s="35">
        <v>12.2</v>
      </c>
      <c r="E13" s="35">
        <v>88</v>
      </c>
      <c r="F13" s="35" t="s">
        <v>135</v>
      </c>
      <c r="H13" s="18" t="s">
        <v>10</v>
      </c>
      <c r="I13">
        <v>31</v>
      </c>
    </row>
    <row r="14" spans="2:9">
      <c r="B14" s="35" t="s">
        <v>10</v>
      </c>
      <c r="C14" s="35">
        <v>36</v>
      </c>
      <c r="D14" s="35">
        <v>11</v>
      </c>
      <c r="E14" s="35">
        <v>88</v>
      </c>
      <c r="F14" s="35" t="s">
        <v>135</v>
      </c>
      <c r="H14" s="18" t="s">
        <v>14</v>
      </c>
      <c r="I14">
        <v>39</v>
      </c>
    </row>
    <row r="15" spans="2:6">
      <c r="B15" s="35" t="s">
        <v>10</v>
      </c>
      <c r="C15" s="35">
        <v>46</v>
      </c>
      <c r="D15" s="35">
        <v>12.6</v>
      </c>
      <c r="E15" s="35">
        <v>93</v>
      </c>
      <c r="F15" s="35" t="s">
        <v>135</v>
      </c>
    </row>
    <row r="16" spans="2:8">
      <c r="B16" s="35" t="s">
        <v>10</v>
      </c>
      <c r="C16" s="35">
        <v>46</v>
      </c>
      <c r="D16" s="35">
        <v>16</v>
      </c>
      <c r="E16" s="35">
        <v>100</v>
      </c>
      <c r="F16" s="35" t="s">
        <v>135</v>
      </c>
      <c r="H16" s="18" t="s">
        <v>143</v>
      </c>
    </row>
    <row r="17" spans="2:9">
      <c r="B17" s="35" t="s">
        <v>10</v>
      </c>
      <c r="C17" s="35">
        <v>53</v>
      </c>
      <c r="D17" s="35">
        <v>14.6</v>
      </c>
      <c r="E17" s="35">
        <v>102</v>
      </c>
      <c r="F17" s="35" t="s">
        <v>135</v>
      </c>
      <c r="H17" s="18" t="s">
        <v>137</v>
      </c>
      <c r="I17">
        <v>5</v>
      </c>
    </row>
    <row r="18" spans="2:9">
      <c r="B18" s="35" t="s">
        <v>10</v>
      </c>
      <c r="C18" s="35">
        <v>54</v>
      </c>
      <c r="D18" s="35">
        <v>13.1</v>
      </c>
      <c r="E18" s="35">
        <v>97</v>
      </c>
      <c r="F18" s="35" t="s">
        <v>135</v>
      </c>
      <c r="H18" s="18" t="s">
        <v>144</v>
      </c>
      <c r="I18">
        <v>53</v>
      </c>
    </row>
    <row r="19" spans="2:9">
      <c r="B19" s="35" t="s">
        <v>10</v>
      </c>
      <c r="C19" s="35">
        <v>54</v>
      </c>
      <c r="D19" s="35">
        <v>15.3</v>
      </c>
      <c r="E19" s="35">
        <v>105</v>
      </c>
      <c r="F19" s="35" t="s">
        <v>135</v>
      </c>
      <c r="H19" s="18" t="s">
        <v>145</v>
      </c>
      <c r="I19">
        <v>12</v>
      </c>
    </row>
    <row r="20" spans="2:6">
      <c r="B20" s="35" t="s">
        <v>10</v>
      </c>
      <c r="C20" s="35">
        <v>3</v>
      </c>
      <c r="D20" s="35">
        <v>4.4</v>
      </c>
      <c r="E20" s="35">
        <v>55</v>
      </c>
      <c r="F20" s="35" t="s">
        <v>135</v>
      </c>
    </row>
    <row r="21" spans="2:8">
      <c r="B21" s="35" t="s">
        <v>10</v>
      </c>
      <c r="C21" s="35">
        <v>57</v>
      </c>
      <c r="D21" s="35">
        <v>21.6</v>
      </c>
      <c r="E21" s="35">
        <v>111</v>
      </c>
      <c r="F21" s="35" t="s">
        <v>135</v>
      </c>
      <c r="H21" s="18" t="s">
        <v>146</v>
      </c>
    </row>
    <row r="22" spans="2:9">
      <c r="B22" s="35" t="s">
        <v>10</v>
      </c>
      <c r="C22" s="35">
        <v>57</v>
      </c>
      <c r="D22" s="35">
        <v>16.5</v>
      </c>
      <c r="E22" s="35">
        <v>103</v>
      </c>
      <c r="F22" s="35" t="s">
        <v>147</v>
      </c>
      <c r="H22" s="18" t="s">
        <v>146</v>
      </c>
      <c r="I22">
        <v>2</v>
      </c>
    </row>
    <row r="23" spans="2:9">
      <c r="B23" s="35" t="s">
        <v>10</v>
      </c>
      <c r="C23" s="35">
        <v>29</v>
      </c>
      <c r="D23" s="35">
        <v>11.8</v>
      </c>
      <c r="E23" s="35">
        <v>85</v>
      </c>
      <c r="F23" s="35" t="s">
        <v>135</v>
      </c>
      <c r="H23" s="18" t="s">
        <v>144</v>
      </c>
      <c r="I23">
        <v>45</v>
      </c>
    </row>
    <row r="24" spans="2:9">
      <c r="B24" s="35" t="s">
        <v>10</v>
      </c>
      <c r="C24" s="35">
        <v>34</v>
      </c>
      <c r="D24" s="35">
        <v>11</v>
      </c>
      <c r="E24" s="35">
        <v>80</v>
      </c>
      <c r="F24" s="35" t="s">
        <v>135</v>
      </c>
      <c r="H24" s="18" t="s">
        <v>148</v>
      </c>
      <c r="I24">
        <v>23</v>
      </c>
    </row>
    <row r="25" spans="2:6">
      <c r="B25" s="35" t="s">
        <v>10</v>
      </c>
      <c r="C25" s="35">
        <v>21</v>
      </c>
      <c r="D25" s="35">
        <v>11.7</v>
      </c>
      <c r="E25" s="35">
        <v>80</v>
      </c>
      <c r="F25" s="35" t="s">
        <v>135</v>
      </c>
    </row>
    <row r="26" spans="2:6">
      <c r="B26" s="35" t="s">
        <v>10</v>
      </c>
      <c r="C26" s="35">
        <v>30</v>
      </c>
      <c r="D26" s="35">
        <v>12</v>
      </c>
      <c r="E26" s="35">
        <v>85</v>
      </c>
      <c r="F26" s="35" t="s">
        <v>147</v>
      </c>
    </row>
    <row r="27" spans="2:6">
      <c r="B27" s="35" t="s">
        <v>10</v>
      </c>
      <c r="C27" s="35">
        <v>8</v>
      </c>
      <c r="D27" s="35">
        <v>5.5</v>
      </c>
      <c r="E27" s="35">
        <v>64</v>
      </c>
      <c r="F27" s="35" t="s">
        <v>135</v>
      </c>
    </row>
    <row r="28" spans="2:6">
      <c r="B28" s="35" t="s">
        <v>10</v>
      </c>
      <c r="C28" s="35">
        <v>9</v>
      </c>
      <c r="D28" s="35">
        <v>8.4</v>
      </c>
      <c r="E28" s="35">
        <v>89</v>
      </c>
      <c r="F28" s="35" t="s">
        <v>149</v>
      </c>
    </row>
    <row r="29" spans="2:6">
      <c r="B29" s="35" t="s">
        <v>10</v>
      </c>
      <c r="C29" s="35">
        <v>28</v>
      </c>
      <c r="D29" s="35">
        <v>11</v>
      </c>
      <c r="E29" s="35">
        <v>82</v>
      </c>
      <c r="F29" s="35" t="s">
        <v>149</v>
      </c>
    </row>
    <row r="30" spans="2:6">
      <c r="B30" s="35" t="s">
        <v>10</v>
      </c>
      <c r="C30" s="35">
        <v>3</v>
      </c>
      <c r="D30" s="35">
        <v>6.4</v>
      </c>
      <c r="E30" s="35">
        <v>55</v>
      </c>
      <c r="F30" s="35" t="s">
        <v>135</v>
      </c>
    </row>
    <row r="31" spans="2:6">
      <c r="B31" s="35" t="s">
        <v>10</v>
      </c>
      <c r="C31" s="35">
        <v>30</v>
      </c>
      <c r="D31" s="35">
        <v>12</v>
      </c>
      <c r="E31" s="35">
        <v>85</v>
      </c>
      <c r="F31" s="35" t="s">
        <v>150</v>
      </c>
    </row>
    <row r="32" spans="2:6">
      <c r="B32" s="35" t="s">
        <v>14</v>
      </c>
      <c r="C32" s="35">
        <v>3</v>
      </c>
      <c r="D32" s="35">
        <v>5</v>
      </c>
      <c r="E32" s="35">
        <v>56</v>
      </c>
      <c r="F32" s="35" t="s">
        <v>135</v>
      </c>
    </row>
    <row r="33" spans="2:6">
      <c r="B33" s="35" t="s">
        <v>14</v>
      </c>
      <c r="C33" s="35">
        <v>4</v>
      </c>
      <c r="D33" s="35">
        <v>7</v>
      </c>
      <c r="E33" s="35">
        <v>65</v>
      </c>
      <c r="F33" s="35" t="s">
        <v>135</v>
      </c>
    </row>
    <row r="34" spans="2:6">
      <c r="B34" s="35" t="s">
        <v>14</v>
      </c>
      <c r="C34" s="35">
        <v>6</v>
      </c>
      <c r="D34" s="35">
        <v>9.5</v>
      </c>
      <c r="E34" s="35">
        <v>68</v>
      </c>
      <c r="F34" s="35" t="s">
        <v>135</v>
      </c>
    </row>
    <row r="35" spans="2:6">
      <c r="B35" s="35" t="s">
        <v>14</v>
      </c>
      <c r="C35" s="35">
        <v>7</v>
      </c>
      <c r="D35" s="35">
        <v>7.7</v>
      </c>
      <c r="E35" s="35">
        <v>69</v>
      </c>
      <c r="F35" s="35" t="s">
        <v>147</v>
      </c>
    </row>
    <row r="36" spans="2:6">
      <c r="B36" s="35" t="s">
        <v>14</v>
      </c>
      <c r="C36" s="35">
        <v>11</v>
      </c>
      <c r="D36" s="35">
        <v>8.7</v>
      </c>
      <c r="E36" s="35">
        <v>71</v>
      </c>
      <c r="F36" s="35" t="s">
        <v>135</v>
      </c>
    </row>
    <row r="37" spans="2:6">
      <c r="B37" s="35" t="s">
        <v>14</v>
      </c>
      <c r="C37" s="35">
        <v>12</v>
      </c>
      <c r="D37" s="35">
        <v>9</v>
      </c>
      <c r="E37" s="35">
        <v>72</v>
      </c>
      <c r="F37" s="35" t="s">
        <v>135</v>
      </c>
    </row>
    <row r="38" spans="2:6">
      <c r="B38" s="35" t="s">
        <v>14</v>
      </c>
      <c r="C38" s="35">
        <v>14</v>
      </c>
      <c r="D38" s="35">
        <v>9.9</v>
      </c>
      <c r="E38" s="35">
        <v>75</v>
      </c>
      <c r="F38" s="35" t="s">
        <v>135</v>
      </c>
    </row>
    <row r="39" spans="2:6">
      <c r="B39" s="35" t="s">
        <v>14</v>
      </c>
      <c r="C39" s="35">
        <v>15</v>
      </c>
      <c r="D39" s="35">
        <v>8.6</v>
      </c>
      <c r="E39" s="35">
        <v>74</v>
      </c>
      <c r="F39" s="35" t="s">
        <v>135</v>
      </c>
    </row>
    <row r="40" spans="2:6">
      <c r="B40" s="35" t="s">
        <v>14</v>
      </c>
      <c r="C40" s="35">
        <v>15</v>
      </c>
      <c r="D40" s="35">
        <v>8.5</v>
      </c>
      <c r="E40" s="35">
        <v>72</v>
      </c>
      <c r="F40" s="35" t="s">
        <v>135</v>
      </c>
    </row>
    <row r="41" spans="2:6">
      <c r="B41" s="35" t="s">
        <v>14</v>
      </c>
      <c r="C41" s="35">
        <v>16</v>
      </c>
      <c r="D41" s="35">
        <v>8.4</v>
      </c>
      <c r="E41" s="35">
        <v>77</v>
      </c>
      <c r="F41" s="35" t="s">
        <v>135</v>
      </c>
    </row>
    <row r="42" spans="2:6">
      <c r="B42" s="35" t="s">
        <v>14</v>
      </c>
      <c r="C42" s="35">
        <v>25</v>
      </c>
      <c r="D42" s="35">
        <v>10.5</v>
      </c>
      <c r="E42" s="35">
        <v>82</v>
      </c>
      <c r="F42" s="35" t="s">
        <v>135</v>
      </c>
    </row>
    <row r="43" spans="2:6">
      <c r="B43" s="35" t="s">
        <v>14</v>
      </c>
      <c r="C43" s="35">
        <v>31</v>
      </c>
      <c r="D43" s="35">
        <v>17.2</v>
      </c>
      <c r="E43" s="35">
        <v>87</v>
      </c>
      <c r="F43" s="35" t="s">
        <v>135</v>
      </c>
    </row>
    <row r="44" spans="2:6">
      <c r="B44" s="35" t="s">
        <v>14</v>
      </c>
      <c r="C44" s="35">
        <v>33</v>
      </c>
      <c r="D44" s="35">
        <v>18</v>
      </c>
      <c r="E44" s="35">
        <v>96</v>
      </c>
      <c r="F44" s="35" t="s">
        <v>147</v>
      </c>
    </row>
    <row r="45" spans="2:6">
      <c r="B45" s="35" t="s">
        <v>14</v>
      </c>
      <c r="C45" s="35">
        <v>38</v>
      </c>
      <c r="D45" s="35">
        <v>24</v>
      </c>
      <c r="E45" s="35">
        <v>99</v>
      </c>
      <c r="F45" s="35" t="s">
        <v>147</v>
      </c>
    </row>
    <row r="46" spans="2:6">
      <c r="B46" s="35" t="s">
        <v>14</v>
      </c>
      <c r="C46" s="35">
        <v>39</v>
      </c>
      <c r="D46" s="35">
        <v>13.6</v>
      </c>
      <c r="E46" s="35">
        <v>97</v>
      </c>
      <c r="F46" s="35" t="s">
        <v>147</v>
      </c>
    </row>
    <row r="47" spans="2:6">
      <c r="B47" s="35" t="s">
        <v>14</v>
      </c>
      <c r="C47" s="35">
        <v>40</v>
      </c>
      <c r="D47" s="35">
        <v>12.5</v>
      </c>
      <c r="E47" s="35">
        <v>91</v>
      </c>
      <c r="F47" s="35" t="s">
        <v>135</v>
      </c>
    </row>
    <row r="48" spans="2:6">
      <c r="B48" s="35" t="s">
        <v>14</v>
      </c>
      <c r="C48" s="35">
        <v>42</v>
      </c>
      <c r="D48" s="35">
        <v>13.8</v>
      </c>
      <c r="E48" s="35">
        <v>93</v>
      </c>
      <c r="F48" s="35" t="s">
        <v>135</v>
      </c>
    </row>
    <row r="49" spans="2:6">
      <c r="B49" s="35" t="s">
        <v>14</v>
      </c>
      <c r="C49" s="35">
        <v>45</v>
      </c>
      <c r="D49" s="35">
        <v>14.2</v>
      </c>
      <c r="E49" s="35">
        <v>95</v>
      </c>
      <c r="F49" s="35" t="s">
        <v>135</v>
      </c>
    </row>
    <row r="50" spans="2:6">
      <c r="B50" s="35" t="s">
        <v>14</v>
      </c>
      <c r="C50" s="35">
        <v>46</v>
      </c>
      <c r="D50" s="35">
        <v>13.5</v>
      </c>
      <c r="E50" s="35">
        <v>97</v>
      </c>
      <c r="F50" s="35" t="s">
        <v>135</v>
      </c>
    </row>
    <row r="51" spans="2:6">
      <c r="B51" s="35" t="s">
        <v>14</v>
      </c>
      <c r="C51" s="35">
        <v>47</v>
      </c>
      <c r="D51" s="35">
        <v>12.7</v>
      </c>
      <c r="E51" s="35">
        <v>94</v>
      </c>
      <c r="F51" s="35" t="s">
        <v>135</v>
      </c>
    </row>
    <row r="52" spans="2:6">
      <c r="B52" s="35" t="s">
        <v>14</v>
      </c>
      <c r="C52" s="35">
        <v>47</v>
      </c>
      <c r="D52" s="35">
        <v>14</v>
      </c>
      <c r="E52" s="35">
        <v>97</v>
      </c>
      <c r="F52" s="35" t="s">
        <v>135</v>
      </c>
    </row>
    <row r="53" spans="2:6">
      <c r="B53" s="35" t="s">
        <v>14</v>
      </c>
      <c r="C53" s="35">
        <v>45</v>
      </c>
      <c r="D53" s="35">
        <v>19.6</v>
      </c>
      <c r="E53" s="35">
        <v>103</v>
      </c>
      <c r="F53" s="35" t="s">
        <v>135</v>
      </c>
    </row>
    <row r="54" spans="2:6">
      <c r="B54" s="35" t="s">
        <v>14</v>
      </c>
      <c r="C54" s="35">
        <v>53</v>
      </c>
      <c r="D54" s="35">
        <v>17.6</v>
      </c>
      <c r="E54" s="35">
        <v>104</v>
      </c>
      <c r="F54" s="35" t="s">
        <v>147</v>
      </c>
    </row>
    <row r="55" spans="2:6">
      <c r="B55" s="35" t="s">
        <v>14</v>
      </c>
      <c r="C55" s="35">
        <v>53</v>
      </c>
      <c r="D55" s="35">
        <v>18.6</v>
      </c>
      <c r="E55" s="35">
        <v>104</v>
      </c>
      <c r="F55" s="35" t="s">
        <v>147</v>
      </c>
    </row>
    <row r="56" spans="2:6">
      <c r="B56" s="35" t="s">
        <v>14</v>
      </c>
      <c r="C56" s="35">
        <v>56</v>
      </c>
      <c r="D56" s="35">
        <v>12.4</v>
      </c>
      <c r="E56" s="35">
        <v>97</v>
      </c>
      <c r="F56" s="35" t="s">
        <v>147</v>
      </c>
    </row>
    <row r="57" spans="2:6">
      <c r="B57" s="35" t="s">
        <v>14</v>
      </c>
      <c r="C57" s="35">
        <v>36</v>
      </c>
      <c r="D57" s="35">
        <v>15.5</v>
      </c>
      <c r="E57" s="35">
        <v>92</v>
      </c>
      <c r="F57" s="35" t="s">
        <v>135</v>
      </c>
    </row>
    <row r="58" spans="2:6">
      <c r="B58" s="35" t="s">
        <v>14</v>
      </c>
      <c r="C58" s="35">
        <v>50</v>
      </c>
      <c r="D58" s="35">
        <v>23.2</v>
      </c>
      <c r="E58" s="35">
        <v>102</v>
      </c>
      <c r="F58" s="35" t="s">
        <v>147</v>
      </c>
    </row>
    <row r="59" spans="2:6">
      <c r="B59" s="35" t="s">
        <v>14</v>
      </c>
      <c r="C59" s="35">
        <v>27</v>
      </c>
      <c r="D59" s="35">
        <v>11.6</v>
      </c>
      <c r="E59" s="35">
        <v>83</v>
      </c>
      <c r="F59" s="35" t="s">
        <v>147</v>
      </c>
    </row>
    <row r="60" spans="2:6">
      <c r="B60" s="35" t="s">
        <v>14</v>
      </c>
      <c r="C60" s="35">
        <v>2</v>
      </c>
      <c r="D60" s="35">
        <v>4.4</v>
      </c>
      <c r="E60" s="35">
        <v>55</v>
      </c>
      <c r="F60" s="35" t="s">
        <v>135</v>
      </c>
    </row>
    <row r="61" spans="2:6">
      <c r="B61" s="35" t="s">
        <v>14</v>
      </c>
      <c r="C61" s="35">
        <v>20</v>
      </c>
      <c r="D61" s="35">
        <v>11</v>
      </c>
      <c r="E61" s="35">
        <v>78</v>
      </c>
      <c r="F61" s="35" t="s">
        <v>135</v>
      </c>
    </row>
    <row r="62" spans="2:6">
      <c r="B62" s="35" t="s">
        <v>14</v>
      </c>
      <c r="C62" s="35">
        <v>53</v>
      </c>
      <c r="D62" s="35">
        <v>20.5</v>
      </c>
      <c r="E62" s="35">
        <v>105</v>
      </c>
      <c r="F62" s="35" t="s">
        <v>147</v>
      </c>
    </row>
    <row r="63" spans="2:6">
      <c r="B63" s="35" t="s">
        <v>14</v>
      </c>
      <c r="C63" s="35">
        <v>49</v>
      </c>
      <c r="D63" s="35">
        <v>13.5</v>
      </c>
      <c r="E63" s="35">
        <v>100</v>
      </c>
      <c r="F63" s="35" t="s">
        <v>147</v>
      </c>
    </row>
    <row r="64" spans="2:6">
      <c r="B64" s="35" t="s">
        <v>14</v>
      </c>
      <c r="C64" s="35">
        <v>21</v>
      </c>
      <c r="D64" s="35">
        <v>8.5</v>
      </c>
      <c r="E64" s="35">
        <v>70</v>
      </c>
      <c r="F64" s="35" t="s">
        <v>135</v>
      </c>
    </row>
    <row r="65" spans="2:6">
      <c r="B65" s="35" t="s">
        <v>14</v>
      </c>
      <c r="C65" s="35">
        <v>28</v>
      </c>
      <c r="D65" s="35">
        <v>11</v>
      </c>
      <c r="E65" s="35">
        <v>88</v>
      </c>
      <c r="F65" s="35" t="s">
        <v>135</v>
      </c>
    </row>
    <row r="66" spans="2:6">
      <c r="B66" s="35" t="s">
        <v>10</v>
      </c>
      <c r="C66" s="35">
        <v>27</v>
      </c>
      <c r="D66" s="35">
        <v>11.4</v>
      </c>
      <c r="E66" s="35">
        <v>82</v>
      </c>
      <c r="F66" s="35" t="s">
        <v>135</v>
      </c>
    </row>
    <row r="67" spans="2:6">
      <c r="B67" s="35" t="s">
        <v>10</v>
      </c>
      <c r="C67" s="35">
        <v>21</v>
      </c>
      <c r="D67" s="35">
        <v>9.4</v>
      </c>
      <c r="E67" s="35">
        <v>76</v>
      </c>
      <c r="F67" s="35" t="s">
        <v>135</v>
      </c>
    </row>
    <row r="68" spans="2:6">
      <c r="B68" s="16" t="s">
        <v>14</v>
      </c>
      <c r="C68" s="16">
        <v>40</v>
      </c>
      <c r="D68" s="16">
        <v>10.5</v>
      </c>
      <c r="E68" s="16">
        <v>92</v>
      </c>
      <c r="F68" s="16" t="s">
        <v>149</v>
      </c>
    </row>
    <row r="69" spans="2:6">
      <c r="B69" s="16" t="s">
        <v>10</v>
      </c>
      <c r="C69" s="16">
        <v>38</v>
      </c>
      <c r="D69" s="16">
        <v>10.3</v>
      </c>
      <c r="E69" s="16">
        <v>90</v>
      </c>
      <c r="F69" s="16" t="s">
        <v>149</v>
      </c>
    </row>
    <row r="70" spans="2:6">
      <c r="B70" s="16" t="s">
        <v>14</v>
      </c>
      <c r="C70" s="16">
        <v>15</v>
      </c>
      <c r="D70" s="16">
        <v>8.7</v>
      </c>
      <c r="E70" s="16">
        <v>72</v>
      </c>
      <c r="F70" s="16" t="s">
        <v>135</v>
      </c>
    </row>
    <row r="71" spans="2:6">
      <c r="B71" s="16" t="s">
        <v>14</v>
      </c>
      <c r="C71" s="16">
        <v>20</v>
      </c>
      <c r="D71" s="16">
        <v>11.5</v>
      </c>
      <c r="E71" s="16">
        <v>85</v>
      </c>
      <c r="F71" s="16" t="s">
        <v>135</v>
      </c>
    </row>
    <row r="72" spans="2:6">
      <c r="B72" s="16" t="s">
        <v>10</v>
      </c>
      <c r="C72" s="16">
        <v>37</v>
      </c>
      <c r="D72" s="16">
        <v>17</v>
      </c>
      <c r="E72" s="16">
        <v>96</v>
      </c>
      <c r="F72" s="16" t="s">
        <v>135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72"/>
  <sheetViews>
    <sheetView topLeftCell="G13" workbookViewId="0">
      <selection activeCell="M17" sqref="M17"/>
    </sheetView>
  </sheetViews>
  <sheetFormatPr defaultColWidth="9" defaultRowHeight="15"/>
  <cols>
    <col min="3" max="3" width="13.2857142857143" customWidth="true"/>
    <col min="4" max="4" width="16.8571428571429" customWidth="true"/>
    <col min="5" max="5" width="15.7047619047619" customWidth="true"/>
    <col min="6" max="6" width="17.5714285714286" customWidth="true"/>
    <col min="8" max="8" width="7.56190476190476" customWidth="true"/>
    <col min="9" max="9" width="18.5714285714286" customWidth="true"/>
    <col min="10" max="10" width="19.8571428571429" customWidth="true"/>
    <col min="11" max="11" width="12.5619047619048" customWidth="true"/>
    <col min="12" max="12" width="16.7047619047619" customWidth="true"/>
    <col min="13" max="13" width="33.4285714285714" customWidth="true"/>
    <col min="14" max="14" width="21.5714285714286" customWidth="true"/>
    <col min="15" max="15" width="14" customWidth="true"/>
    <col min="16" max="16" width="11.4285714285714" customWidth="true"/>
    <col min="17" max="17" width="12.5619047619048" customWidth="true"/>
  </cols>
  <sheetData>
    <row r="2" spans="2:17">
      <c r="B2" s="34" t="s">
        <v>3</v>
      </c>
      <c r="C2" s="34" t="s">
        <v>4</v>
      </c>
      <c r="D2" s="34" t="s">
        <v>5</v>
      </c>
      <c r="E2" s="34" t="s">
        <v>6</v>
      </c>
      <c r="F2" s="34" t="s">
        <v>7</v>
      </c>
      <c r="H2" s="2" t="s">
        <v>151</v>
      </c>
      <c r="I2" s="13" t="s">
        <v>152</v>
      </c>
      <c r="J2" s="14"/>
      <c r="K2" s="15" t="s">
        <v>153</v>
      </c>
      <c r="L2" s="15" t="s">
        <v>150</v>
      </c>
      <c r="M2" s="15" t="s">
        <v>135</v>
      </c>
      <c r="N2" s="15" t="s">
        <v>149</v>
      </c>
      <c r="O2" s="15" t="s">
        <v>154</v>
      </c>
      <c r="P2" s="15" t="s">
        <v>155</v>
      </c>
      <c r="Q2" s="43"/>
    </row>
    <row r="3" spans="2:17">
      <c r="B3" s="35" t="s">
        <v>10</v>
      </c>
      <c r="C3" s="36" t="s">
        <v>68</v>
      </c>
      <c r="D3" s="35" t="s">
        <v>150</v>
      </c>
      <c r="E3" s="35" t="s">
        <v>156</v>
      </c>
      <c r="F3" s="35" t="s">
        <v>135</v>
      </c>
      <c r="H3" s="3">
        <v>2</v>
      </c>
      <c r="I3" s="16" t="s">
        <v>157</v>
      </c>
      <c r="J3" s="17"/>
      <c r="K3" s="17">
        <f>COUNTA(C3:C52)</f>
        <v>50</v>
      </c>
      <c r="L3" s="17">
        <v>7</v>
      </c>
      <c r="M3" s="17">
        <v>41</v>
      </c>
      <c r="N3" s="17">
        <v>2</v>
      </c>
      <c r="O3" s="17">
        <f>((-M3/K3)*IMLOG2(M3/K3)+(-N3/K3)*IMLOG2(N3/K3)+(-L3/K3)*IMLOG2(L3/K3))</f>
        <v>0.817633856899832</v>
      </c>
      <c r="P3" s="11"/>
      <c r="Q3" s="39"/>
    </row>
    <row r="4" spans="2:17">
      <c r="B4" s="35" t="s">
        <v>14</v>
      </c>
      <c r="C4" s="35" t="s">
        <v>68</v>
      </c>
      <c r="D4" s="37" t="s">
        <v>158</v>
      </c>
      <c r="E4" s="35" t="s">
        <v>156</v>
      </c>
      <c r="F4" s="35" t="s">
        <v>135</v>
      </c>
      <c r="H4" s="3"/>
      <c r="I4" s="16" t="s">
        <v>159</v>
      </c>
      <c r="J4" s="16" t="s">
        <v>14</v>
      </c>
      <c r="K4" s="17">
        <v>22</v>
      </c>
      <c r="L4" s="17">
        <v>4</v>
      </c>
      <c r="M4" s="17">
        <v>18</v>
      </c>
      <c r="N4" s="17">
        <v>0</v>
      </c>
      <c r="O4" s="17">
        <v>0</v>
      </c>
      <c r="P4" s="11">
        <f>($O14)-((($K4/$K3)*($O4)+((($K5/$K3)*$O5))))</f>
        <v>0.515081754012665</v>
      </c>
      <c r="Q4" s="39"/>
    </row>
    <row r="5" spans="2:17">
      <c r="B5" s="35" t="s">
        <v>10</v>
      </c>
      <c r="C5" s="35" t="s">
        <v>68</v>
      </c>
      <c r="D5" s="35" t="s">
        <v>158</v>
      </c>
      <c r="E5" s="35" t="s">
        <v>156</v>
      </c>
      <c r="F5" s="35" t="s">
        <v>135</v>
      </c>
      <c r="H5" s="3"/>
      <c r="I5" s="16"/>
      <c r="J5" s="16" t="s">
        <v>10</v>
      </c>
      <c r="K5" s="17">
        <v>28</v>
      </c>
      <c r="L5" s="17">
        <v>3</v>
      </c>
      <c r="M5" s="17">
        <v>23</v>
      </c>
      <c r="N5" s="17">
        <v>2</v>
      </c>
      <c r="O5" s="19">
        <f>((-L5/K5)*IMLOG2(L5/K5)+(-M5/K5)*IMLOG2(M5/K5)+(-N5/K5)*IMLOG2(N5/K5))</f>
        <v>0.850325904504934</v>
      </c>
      <c r="P5" s="11"/>
      <c r="Q5" s="39"/>
    </row>
    <row r="6" spans="2:17">
      <c r="B6" s="35" t="s">
        <v>10</v>
      </c>
      <c r="C6" s="35" t="s">
        <v>68</v>
      </c>
      <c r="D6" s="35" t="s">
        <v>158</v>
      </c>
      <c r="E6" s="35" t="s">
        <v>156</v>
      </c>
      <c r="F6" s="35" t="s">
        <v>135</v>
      </c>
      <c r="H6" s="3"/>
      <c r="I6" s="16" t="s">
        <v>4</v>
      </c>
      <c r="J6" s="16" t="s">
        <v>140</v>
      </c>
      <c r="K6" s="17">
        <v>3</v>
      </c>
      <c r="L6" s="17">
        <v>0</v>
      </c>
      <c r="M6" s="17">
        <v>2</v>
      </c>
      <c r="N6" s="17">
        <v>0</v>
      </c>
      <c r="O6" s="19">
        <v>0</v>
      </c>
      <c r="P6" s="11">
        <f>($O14)-((($K6/$K3)*($O6)+($K7/$K3)*($O7)+($K8/$K3)*($O8)))</f>
        <v>0.713378587252112</v>
      </c>
      <c r="Q6" s="39"/>
    </row>
    <row r="7" spans="2:17">
      <c r="B7" s="35" t="s">
        <v>10</v>
      </c>
      <c r="C7" s="35" t="s">
        <v>68</v>
      </c>
      <c r="D7" s="35" t="s">
        <v>135</v>
      </c>
      <c r="E7" s="35" t="s">
        <v>156</v>
      </c>
      <c r="F7" s="35" t="s">
        <v>135</v>
      </c>
      <c r="H7" s="3"/>
      <c r="I7" s="16"/>
      <c r="J7" s="16" t="s">
        <v>68</v>
      </c>
      <c r="K7" s="17">
        <v>16</v>
      </c>
      <c r="L7" s="17">
        <v>2</v>
      </c>
      <c r="M7" s="17">
        <v>13</v>
      </c>
      <c r="N7" s="17">
        <v>1</v>
      </c>
      <c r="O7" s="19">
        <f>((-L7/K7)*IMLOG2(L7/K7)+(-M7/K7)*IMLOG2(M7/K7)+(-N7/K7)*IMLOG2(N7/K7))</f>
        <v>0.868392729010363</v>
      </c>
      <c r="P7" s="11"/>
      <c r="Q7" s="39"/>
    </row>
    <row r="8" spans="2:17">
      <c r="B8" s="35" t="s">
        <v>10</v>
      </c>
      <c r="C8" s="35" t="s">
        <v>68</v>
      </c>
      <c r="D8" s="35" t="s">
        <v>135</v>
      </c>
      <c r="E8" s="35" t="s">
        <v>160</v>
      </c>
      <c r="F8" s="35" t="s">
        <v>135</v>
      </c>
      <c r="H8" s="3"/>
      <c r="I8" s="16"/>
      <c r="J8" s="16" t="s">
        <v>141</v>
      </c>
      <c r="K8" s="17">
        <v>8</v>
      </c>
      <c r="L8" s="17">
        <v>1</v>
      </c>
      <c r="M8" s="17">
        <v>7</v>
      </c>
      <c r="N8" s="17">
        <v>0</v>
      </c>
      <c r="O8" s="19">
        <v>0</v>
      </c>
      <c r="P8" s="11"/>
      <c r="Q8" s="39"/>
    </row>
    <row r="9" spans="2:17">
      <c r="B9" s="35" t="s">
        <v>10</v>
      </c>
      <c r="C9" s="35" t="s">
        <v>141</v>
      </c>
      <c r="D9" s="35" t="s">
        <v>135</v>
      </c>
      <c r="E9" s="35" t="s">
        <v>135</v>
      </c>
      <c r="F9" s="35" t="s">
        <v>135</v>
      </c>
      <c r="H9" s="3"/>
      <c r="I9" s="16" t="s">
        <v>5</v>
      </c>
      <c r="J9" s="16" t="s">
        <v>147</v>
      </c>
      <c r="K9" s="17">
        <v>1</v>
      </c>
      <c r="L9" s="17">
        <v>0</v>
      </c>
      <c r="M9" s="17">
        <v>1</v>
      </c>
      <c r="N9" s="17">
        <v>0</v>
      </c>
      <c r="O9" s="19">
        <v>0</v>
      </c>
      <c r="P9" s="11">
        <f>($O14)-((($K9/$K3)*($O9)+($K10/$K3)*($O10)+($K11/$K3)*($O11)))</f>
        <v>0.569657951306308</v>
      </c>
      <c r="Q9" s="39"/>
    </row>
    <row r="10" spans="2:17">
      <c r="B10" s="35" t="s">
        <v>10</v>
      </c>
      <c r="C10" s="35" t="s">
        <v>68</v>
      </c>
      <c r="D10" s="35" t="s">
        <v>135</v>
      </c>
      <c r="E10" s="35" t="s">
        <v>135</v>
      </c>
      <c r="F10" s="35" t="s">
        <v>135</v>
      </c>
      <c r="H10" s="4"/>
      <c r="I10" s="17"/>
      <c r="J10" s="16" t="s">
        <v>161</v>
      </c>
      <c r="K10" s="17">
        <v>20</v>
      </c>
      <c r="L10" s="17">
        <v>3</v>
      </c>
      <c r="M10" s="17">
        <v>15</v>
      </c>
      <c r="N10" s="17">
        <v>2</v>
      </c>
      <c r="O10" s="19">
        <f>((-L10/K10)*IMLOG2(L10/K10)+(-M10/K10)*IMLOG2(M10/K10)+(-N10/K10)*IMLOG2(N10/K10))</f>
        <v>1.0540157730728</v>
      </c>
      <c r="P10" s="11"/>
      <c r="Q10" s="39"/>
    </row>
    <row r="11" spans="2:17">
      <c r="B11" s="35" t="s">
        <v>10</v>
      </c>
      <c r="C11" s="35" t="s">
        <v>68</v>
      </c>
      <c r="D11" s="35" t="s">
        <v>158</v>
      </c>
      <c r="E11" s="35" t="s">
        <v>156</v>
      </c>
      <c r="F11" s="35" t="s">
        <v>135</v>
      </c>
      <c r="H11" s="3"/>
      <c r="I11" s="16"/>
      <c r="J11" s="16" t="s">
        <v>162</v>
      </c>
      <c r="K11" s="17">
        <v>8</v>
      </c>
      <c r="L11" s="17">
        <v>0</v>
      </c>
      <c r="M11" s="17">
        <v>8</v>
      </c>
      <c r="N11" s="17">
        <v>0</v>
      </c>
      <c r="O11" s="19">
        <v>0</v>
      </c>
      <c r="P11" s="11"/>
      <c r="Q11" s="39"/>
    </row>
    <row r="12" spans="2:17">
      <c r="B12" s="35" t="s">
        <v>10</v>
      </c>
      <c r="C12" s="35" t="s">
        <v>68</v>
      </c>
      <c r="D12" s="35" t="s">
        <v>135</v>
      </c>
      <c r="E12" s="35" t="s">
        <v>135</v>
      </c>
      <c r="F12" s="35" t="s">
        <v>135</v>
      </c>
      <c r="H12" s="3"/>
      <c r="I12" s="16" t="s">
        <v>6</v>
      </c>
      <c r="J12" s="16" t="s">
        <v>163</v>
      </c>
      <c r="K12" s="17">
        <v>2</v>
      </c>
      <c r="L12" s="17">
        <v>0</v>
      </c>
      <c r="M12" s="17">
        <v>2</v>
      </c>
      <c r="N12" s="17">
        <v>0</v>
      </c>
      <c r="O12" s="19">
        <v>0</v>
      </c>
      <c r="P12" s="11">
        <f>($O5)-((($K12/$K3)*($O12)+($K13/$K3)*($O13)+($K14/$K3)*($O14)))</f>
        <v>0.592597196765723</v>
      </c>
      <c r="Q12" s="39"/>
    </row>
    <row r="13" spans="2:17">
      <c r="B13" s="35" t="s">
        <v>10</v>
      </c>
      <c r="C13" s="35" t="s">
        <v>68</v>
      </c>
      <c r="D13" s="35" t="s">
        <v>135</v>
      </c>
      <c r="E13" s="35" t="s">
        <v>156</v>
      </c>
      <c r="F13" s="35" t="s">
        <v>135</v>
      </c>
      <c r="H13" s="3"/>
      <c r="I13" s="16"/>
      <c r="J13" s="16" t="s">
        <v>161</v>
      </c>
      <c r="K13" s="17">
        <v>13</v>
      </c>
      <c r="L13" s="17">
        <v>2</v>
      </c>
      <c r="M13" s="17">
        <v>11</v>
      </c>
      <c r="N13" s="17">
        <v>0</v>
      </c>
      <c r="O13" s="19">
        <v>0</v>
      </c>
      <c r="P13" s="11"/>
      <c r="Q13" s="39"/>
    </row>
    <row r="14" spans="2:17">
      <c r="B14" s="35" t="s">
        <v>10</v>
      </c>
      <c r="C14" s="35" t="s">
        <v>68</v>
      </c>
      <c r="D14" s="35" t="s">
        <v>158</v>
      </c>
      <c r="E14" s="35" t="s">
        <v>156</v>
      </c>
      <c r="F14" s="35" t="s">
        <v>135</v>
      </c>
      <c r="H14" s="5"/>
      <c r="I14" s="17"/>
      <c r="J14" s="16" t="s">
        <v>164</v>
      </c>
      <c r="K14" s="17">
        <v>13</v>
      </c>
      <c r="L14" s="17">
        <v>1</v>
      </c>
      <c r="M14" s="17">
        <v>10</v>
      </c>
      <c r="N14" s="17">
        <v>2</v>
      </c>
      <c r="O14" s="19">
        <f t="shared" ref="O14" si="0">((-L14/K14)*IMLOG2(L14/K14)+(-M14/K14)*IMLOG2(M14/K14)+(-N14/K14)*IMLOG2(N14/K14))</f>
        <v>0.991264260535428</v>
      </c>
      <c r="P14" s="11"/>
      <c r="Q14" s="39"/>
    </row>
    <row r="15" spans="2:17">
      <c r="B15" s="35" t="s">
        <v>10</v>
      </c>
      <c r="C15" s="35" t="s">
        <v>141</v>
      </c>
      <c r="D15" s="35" t="s">
        <v>135</v>
      </c>
      <c r="E15" s="35" t="s">
        <v>156</v>
      </c>
      <c r="F15" s="35" t="s">
        <v>135</v>
      </c>
      <c r="H15" s="12"/>
      <c r="I15" s="12"/>
      <c r="J15" s="40"/>
      <c r="K15" s="40"/>
      <c r="L15" s="39"/>
      <c r="M15" s="39"/>
      <c r="N15" s="39"/>
      <c r="O15" s="39"/>
      <c r="P15" s="39"/>
      <c r="Q15" s="39"/>
    </row>
    <row r="16" spans="2:17">
      <c r="B16" s="35" t="s">
        <v>10</v>
      </c>
      <c r="C16" s="35" t="s">
        <v>141</v>
      </c>
      <c r="D16" s="35" t="s">
        <v>135</v>
      </c>
      <c r="E16" s="35" t="s">
        <v>135</v>
      </c>
      <c r="F16" s="35" t="s">
        <v>135</v>
      </c>
      <c r="H16" s="12"/>
      <c r="I16" s="12"/>
      <c r="J16" s="40"/>
      <c r="K16" s="39"/>
      <c r="L16" s="39"/>
      <c r="M16" s="39"/>
      <c r="N16" s="39"/>
      <c r="O16" s="39"/>
      <c r="P16" s="39"/>
      <c r="Q16" s="39"/>
    </row>
    <row r="17" spans="2:17">
      <c r="B17" s="35" t="s">
        <v>10</v>
      </c>
      <c r="C17" s="35" t="s">
        <v>141</v>
      </c>
      <c r="D17" s="35" t="s">
        <v>135</v>
      </c>
      <c r="E17" s="35" t="s">
        <v>135</v>
      </c>
      <c r="F17" s="35" t="s">
        <v>135</v>
      </c>
      <c r="H17" s="2" t="s">
        <v>151</v>
      </c>
      <c r="I17" s="15" t="s">
        <v>152</v>
      </c>
      <c r="J17" s="41" t="s">
        <v>165</v>
      </c>
      <c r="K17" s="39"/>
      <c r="L17" s="8" t="s">
        <v>151</v>
      </c>
      <c r="M17" s="15" t="s">
        <v>152</v>
      </c>
      <c r="N17" s="41" t="s">
        <v>165</v>
      </c>
      <c r="O17" s="39">
        <f>(-$L14/K14)*IMLOG2(L14/K14)</f>
        <v>0.284649209087776</v>
      </c>
      <c r="P17" s="39">
        <f>(-10/13)*IMLOG2(10/13)</f>
        <v>0.291162787118254</v>
      </c>
      <c r="Q17">
        <f>(-2/13)*IMLOG2(2/13)</f>
        <v>0.415452264329398</v>
      </c>
    </row>
    <row r="18" spans="2:16">
      <c r="B18" s="35" t="s">
        <v>10</v>
      </c>
      <c r="C18" s="35" t="s">
        <v>141</v>
      </c>
      <c r="D18" s="35" t="s">
        <v>158</v>
      </c>
      <c r="E18" s="35" t="s">
        <v>135</v>
      </c>
      <c r="F18" s="35" t="s">
        <v>135</v>
      </c>
      <c r="H18" s="3">
        <v>1</v>
      </c>
      <c r="I18" s="16" t="s">
        <v>159</v>
      </c>
      <c r="J18" s="17">
        <v>0.34145135</v>
      </c>
      <c r="K18" s="39"/>
      <c r="L18" s="10">
        <v>2</v>
      </c>
      <c r="M18" s="16" t="s">
        <v>166</v>
      </c>
      <c r="N18" s="19" t="s">
        <v>167</v>
      </c>
      <c r="O18" s="39">
        <f>SUM(O17:Q17)</f>
        <v>0.991264260535428</v>
      </c>
      <c r="P18" s="39"/>
    </row>
    <row r="19" spans="2:16">
      <c r="B19" s="35" t="s">
        <v>10</v>
      </c>
      <c r="C19" s="35" t="s">
        <v>141</v>
      </c>
      <c r="D19" s="35" t="s">
        <v>135</v>
      </c>
      <c r="E19" s="35" t="s">
        <v>135</v>
      </c>
      <c r="F19" s="35" t="s">
        <v>135</v>
      </c>
      <c r="H19" s="3"/>
      <c r="I19" s="16" t="s">
        <v>4</v>
      </c>
      <c r="J19" s="42">
        <v>0.25633523</v>
      </c>
      <c r="K19" s="39"/>
      <c r="L19" s="10"/>
      <c r="M19" s="16" t="s">
        <v>4</v>
      </c>
      <c r="N19" s="17">
        <v>0.57244023</v>
      </c>
      <c r="O19" s="39"/>
      <c r="P19" s="39"/>
    </row>
    <row r="20" spans="2:16">
      <c r="B20" s="35" t="s">
        <v>10</v>
      </c>
      <c r="C20" s="35" t="s">
        <v>140</v>
      </c>
      <c r="D20" s="35" t="s">
        <v>158</v>
      </c>
      <c r="E20" s="35" t="s">
        <v>156</v>
      </c>
      <c r="F20" s="35" t="s">
        <v>135</v>
      </c>
      <c r="H20" s="3"/>
      <c r="I20" s="16" t="s">
        <v>5</v>
      </c>
      <c r="J20" s="5">
        <v>0.17300347</v>
      </c>
      <c r="K20" s="39"/>
      <c r="L20" s="10"/>
      <c r="M20" s="16" t="s">
        <v>5</v>
      </c>
      <c r="N20" s="11">
        <v>0.4287196</v>
      </c>
      <c r="O20" s="39"/>
      <c r="P20" s="39"/>
    </row>
    <row r="21" spans="2:16">
      <c r="B21" s="35" t="s">
        <v>10</v>
      </c>
      <c r="C21" s="35" t="s">
        <v>141</v>
      </c>
      <c r="D21" s="35" t="s">
        <v>135</v>
      </c>
      <c r="E21" s="35" t="s">
        <v>135</v>
      </c>
      <c r="F21" s="35" t="s">
        <v>135</v>
      </c>
      <c r="H21" s="10"/>
      <c r="I21" s="16" t="s">
        <v>6</v>
      </c>
      <c r="J21" s="42">
        <v>0.21900695</v>
      </c>
      <c r="K21" s="39"/>
      <c r="L21" s="10"/>
      <c r="M21" s="16" t="s">
        <v>6</v>
      </c>
      <c r="N21" s="42">
        <v>0.5925972</v>
      </c>
      <c r="O21" s="39"/>
      <c r="P21" s="39"/>
    </row>
    <row r="22" spans="2:15">
      <c r="B22" s="35" t="s">
        <v>10</v>
      </c>
      <c r="C22" s="35" t="s">
        <v>141</v>
      </c>
      <c r="D22" s="35" t="s">
        <v>135</v>
      </c>
      <c r="E22" s="35" t="s">
        <v>135</v>
      </c>
      <c r="F22" s="35" t="s">
        <v>147</v>
      </c>
      <c r="H22" s="12"/>
      <c r="I22" s="40"/>
      <c r="J22" s="39"/>
      <c r="K22" s="39"/>
      <c r="L22" s="39"/>
      <c r="M22" s="39"/>
      <c r="N22" s="39"/>
      <c r="O22" s="39"/>
    </row>
    <row r="23" spans="2:15">
      <c r="B23" s="35" t="s">
        <v>10</v>
      </c>
      <c r="C23" s="35" t="s">
        <v>68</v>
      </c>
      <c r="D23" s="35" t="s">
        <v>135</v>
      </c>
      <c r="E23" s="35" t="s">
        <v>135</v>
      </c>
      <c r="F23" s="35" t="s">
        <v>135</v>
      </c>
      <c r="H23" s="12"/>
      <c r="I23" s="40"/>
      <c r="J23" s="39"/>
      <c r="K23" s="39"/>
      <c r="L23" s="8" t="s">
        <v>151</v>
      </c>
      <c r="M23" s="15" t="s">
        <v>152</v>
      </c>
      <c r="N23" s="41" t="s">
        <v>165</v>
      </c>
      <c r="O23" s="39"/>
    </row>
    <row r="24" spans="2:16">
      <c r="B24" s="35" t="s">
        <v>10</v>
      </c>
      <c r="C24" s="35" t="s">
        <v>68</v>
      </c>
      <c r="D24" s="35" t="s">
        <v>135</v>
      </c>
      <c r="E24" s="35" t="s">
        <v>156</v>
      </c>
      <c r="F24" s="35" t="s">
        <v>135</v>
      </c>
      <c r="H24" s="12"/>
      <c r="I24" s="39"/>
      <c r="J24" s="39"/>
      <c r="K24" s="39"/>
      <c r="L24" s="10">
        <v>3</v>
      </c>
      <c r="M24" s="16" t="s">
        <v>168</v>
      </c>
      <c r="N24" s="17">
        <v>0.991264261</v>
      </c>
      <c r="O24" s="39"/>
      <c r="P24" s="39"/>
    </row>
    <row r="25" spans="2:16">
      <c r="B25" s="35" t="s">
        <v>10</v>
      </c>
      <c r="C25" s="35" t="s">
        <v>68</v>
      </c>
      <c r="D25" s="35" t="s">
        <v>135</v>
      </c>
      <c r="E25" s="35" t="s">
        <v>160</v>
      </c>
      <c r="F25" s="35" t="s">
        <v>135</v>
      </c>
      <c r="H25" s="39"/>
      <c r="I25" s="12"/>
      <c r="J25" s="39"/>
      <c r="K25" s="39"/>
      <c r="L25" s="10"/>
      <c r="M25" s="16" t="s">
        <v>169</v>
      </c>
      <c r="N25" s="17">
        <v>0.51508175</v>
      </c>
      <c r="O25" s="39"/>
      <c r="P25" s="39"/>
    </row>
    <row r="26" spans="2:16">
      <c r="B26" s="35" t="s">
        <v>10</v>
      </c>
      <c r="C26" s="35" t="s">
        <v>68</v>
      </c>
      <c r="D26" s="35" t="s">
        <v>135</v>
      </c>
      <c r="E26" s="35" t="s">
        <v>156</v>
      </c>
      <c r="F26" s="35" t="s">
        <v>147</v>
      </c>
      <c r="H26" s="12"/>
      <c r="I26" s="39"/>
      <c r="J26" s="39"/>
      <c r="K26" s="39"/>
      <c r="L26" s="10"/>
      <c r="M26" s="16" t="s">
        <v>4</v>
      </c>
      <c r="N26" s="17">
        <v>0.71337859</v>
      </c>
      <c r="O26" s="39"/>
      <c r="P26" s="39"/>
    </row>
    <row r="27" spans="2:16">
      <c r="B27" s="35" t="s">
        <v>10</v>
      </c>
      <c r="C27" s="35" t="s">
        <v>140</v>
      </c>
      <c r="D27" s="35" t="s">
        <v>158</v>
      </c>
      <c r="E27" s="35" t="s">
        <v>156</v>
      </c>
      <c r="F27" s="35" t="s">
        <v>135</v>
      </c>
      <c r="H27" s="12"/>
      <c r="I27" s="39"/>
      <c r="J27" s="39"/>
      <c r="K27" s="39"/>
      <c r="L27" s="10"/>
      <c r="M27" s="16" t="s">
        <v>5</v>
      </c>
      <c r="N27" s="42">
        <v>0.56965795</v>
      </c>
      <c r="O27" s="39"/>
      <c r="P27" s="39"/>
    </row>
    <row r="28" spans="2:16">
      <c r="B28" s="35" t="s">
        <v>10</v>
      </c>
      <c r="C28" s="35" t="s">
        <v>140</v>
      </c>
      <c r="D28" s="35" t="s">
        <v>135</v>
      </c>
      <c r="E28" s="35" t="s">
        <v>135</v>
      </c>
      <c r="F28" s="35" t="s">
        <v>149</v>
      </c>
      <c r="H28" s="12"/>
      <c r="I28" s="12"/>
      <c r="J28" s="39"/>
      <c r="K28" s="39"/>
      <c r="L28" s="39"/>
      <c r="M28" s="39"/>
      <c r="N28" s="39"/>
      <c r="O28" s="39"/>
      <c r="P28" s="39"/>
    </row>
    <row r="29" spans="2:16">
      <c r="B29" s="35" t="s">
        <v>10</v>
      </c>
      <c r="C29" s="35" t="s">
        <v>68</v>
      </c>
      <c r="D29" s="35" t="s">
        <v>135</v>
      </c>
      <c r="E29" s="35" t="s">
        <v>135</v>
      </c>
      <c r="F29" s="35" t="s">
        <v>149</v>
      </c>
      <c r="H29" s="39"/>
      <c r="I29" s="39"/>
      <c r="J29" s="39"/>
      <c r="K29" s="39"/>
      <c r="L29" s="39"/>
      <c r="M29" s="39"/>
      <c r="N29" s="39"/>
      <c r="O29" s="39"/>
      <c r="P29" s="39"/>
    </row>
    <row r="30" spans="2:17">
      <c r="B30" s="35" t="s">
        <v>10</v>
      </c>
      <c r="C30" s="35" t="s">
        <v>140</v>
      </c>
      <c r="D30" s="35" t="s">
        <v>135</v>
      </c>
      <c r="E30" s="35" t="s">
        <v>135</v>
      </c>
      <c r="F30" s="35" t="s">
        <v>135</v>
      </c>
      <c r="H30" s="39"/>
      <c r="I30" s="12"/>
      <c r="J30" s="40"/>
      <c r="K30" s="39"/>
      <c r="L30" s="39"/>
      <c r="M30" s="39"/>
      <c r="N30" s="39"/>
      <c r="O30" s="39"/>
      <c r="P30" s="39"/>
      <c r="Q30" s="39"/>
    </row>
    <row r="31" spans="2:17">
      <c r="B31" s="35" t="s">
        <v>10</v>
      </c>
      <c r="C31" s="35" t="s">
        <v>68</v>
      </c>
      <c r="D31" s="35" t="s">
        <v>135</v>
      </c>
      <c r="E31" s="35" t="s">
        <v>156</v>
      </c>
      <c r="F31" s="35" t="s">
        <v>150</v>
      </c>
      <c r="H31" s="39"/>
      <c r="I31" s="39"/>
      <c r="J31" s="12"/>
      <c r="K31" s="39"/>
      <c r="L31" s="39"/>
      <c r="M31" s="39"/>
      <c r="N31" s="39"/>
      <c r="O31" s="39"/>
      <c r="P31" s="39"/>
      <c r="Q31" s="39"/>
    </row>
    <row r="32" spans="2:17">
      <c r="B32" s="35" t="s">
        <v>14</v>
      </c>
      <c r="C32" s="35" t="s">
        <v>140</v>
      </c>
      <c r="D32" s="35" t="s">
        <v>135</v>
      </c>
      <c r="E32" s="35" t="s">
        <v>156</v>
      </c>
      <c r="F32" s="35" t="s">
        <v>135</v>
      </c>
      <c r="H32" s="39"/>
      <c r="I32" s="39"/>
      <c r="J32" s="40"/>
      <c r="K32" s="39"/>
      <c r="L32" s="39"/>
      <c r="M32" s="39"/>
      <c r="N32" s="39"/>
      <c r="O32" s="39"/>
      <c r="P32" s="39"/>
      <c r="Q32" s="39"/>
    </row>
    <row r="33" spans="2:17">
      <c r="B33" s="35" t="s">
        <v>14</v>
      </c>
      <c r="C33" s="35" t="s">
        <v>140</v>
      </c>
      <c r="D33" s="35" t="s">
        <v>135</v>
      </c>
      <c r="E33" s="35" t="s">
        <v>135</v>
      </c>
      <c r="F33" s="35" t="s">
        <v>135</v>
      </c>
      <c r="H33" s="39"/>
      <c r="I33" s="39"/>
      <c r="J33" s="40"/>
      <c r="K33" s="39"/>
      <c r="L33" s="39"/>
      <c r="M33" s="39"/>
      <c r="N33" s="39"/>
      <c r="O33" s="39"/>
      <c r="P33" s="39"/>
      <c r="Q33" s="39"/>
    </row>
    <row r="34" spans="2:17">
      <c r="B34" s="35" t="s">
        <v>14</v>
      </c>
      <c r="C34" s="35" t="s">
        <v>140</v>
      </c>
      <c r="D34" s="35" t="s">
        <v>135</v>
      </c>
      <c r="E34" s="35" t="s">
        <v>135</v>
      </c>
      <c r="F34" s="35" t="s">
        <v>135</v>
      </c>
      <c r="H34" s="39"/>
      <c r="I34" s="39"/>
      <c r="J34" s="12"/>
      <c r="K34" s="39"/>
      <c r="L34" s="39"/>
      <c r="M34" s="39"/>
      <c r="N34" s="39"/>
      <c r="O34" s="39"/>
      <c r="P34" s="39"/>
      <c r="Q34" s="39"/>
    </row>
    <row r="35" spans="2:17">
      <c r="B35" s="35" t="s">
        <v>14</v>
      </c>
      <c r="C35" s="35" t="s">
        <v>140</v>
      </c>
      <c r="D35" s="35" t="s">
        <v>135</v>
      </c>
      <c r="E35" s="35" t="s">
        <v>135</v>
      </c>
      <c r="F35" s="35" t="s">
        <v>147</v>
      </c>
      <c r="H35" s="39"/>
      <c r="I35" s="39"/>
      <c r="J35" s="40"/>
      <c r="K35" s="39"/>
      <c r="L35" s="39"/>
      <c r="M35" s="39"/>
      <c r="N35" s="39"/>
      <c r="O35" s="39"/>
      <c r="P35" s="39"/>
      <c r="Q35" s="39"/>
    </row>
    <row r="36" spans="2:17">
      <c r="B36" s="35" t="s">
        <v>14</v>
      </c>
      <c r="C36" s="35" t="s">
        <v>140</v>
      </c>
      <c r="D36" s="35" t="s">
        <v>135</v>
      </c>
      <c r="E36" s="35" t="s">
        <v>135</v>
      </c>
      <c r="F36" s="35" t="s">
        <v>135</v>
      </c>
      <c r="H36" s="39"/>
      <c r="I36" s="39"/>
      <c r="J36" s="12"/>
      <c r="K36" s="39"/>
      <c r="L36" s="39"/>
      <c r="M36" s="39"/>
      <c r="N36" s="39"/>
      <c r="O36" s="39"/>
      <c r="P36" s="39"/>
      <c r="Q36" s="39"/>
    </row>
    <row r="37" spans="2:17">
      <c r="B37" s="35" t="s">
        <v>14</v>
      </c>
      <c r="C37" s="35" t="s">
        <v>140</v>
      </c>
      <c r="D37" s="35" t="s">
        <v>135</v>
      </c>
      <c r="E37" s="35" t="s">
        <v>135</v>
      </c>
      <c r="F37" s="35" t="s">
        <v>135</v>
      </c>
      <c r="H37" s="39"/>
      <c r="I37" s="39"/>
      <c r="J37" s="12"/>
      <c r="K37" s="39"/>
      <c r="L37" s="39"/>
      <c r="M37" s="39"/>
      <c r="N37" s="39"/>
      <c r="O37" s="39"/>
      <c r="P37" s="39"/>
      <c r="Q37" s="39"/>
    </row>
    <row r="38" spans="2:17">
      <c r="B38" s="35" t="s">
        <v>14</v>
      </c>
      <c r="C38" s="35" t="s">
        <v>68</v>
      </c>
      <c r="D38" s="35" t="s">
        <v>135</v>
      </c>
      <c r="E38" s="35" t="s">
        <v>135</v>
      </c>
      <c r="F38" s="35" t="s">
        <v>135</v>
      </c>
      <c r="H38" s="39"/>
      <c r="I38" s="39"/>
      <c r="J38" s="40"/>
      <c r="K38" s="39"/>
      <c r="L38" s="39"/>
      <c r="M38" s="39"/>
      <c r="N38" s="39"/>
      <c r="O38" s="39"/>
      <c r="P38" s="39"/>
      <c r="Q38" s="39"/>
    </row>
    <row r="39" spans="2:17">
      <c r="B39" s="35" t="s">
        <v>14</v>
      </c>
      <c r="C39" s="35" t="s">
        <v>68</v>
      </c>
      <c r="D39" s="35" t="s">
        <v>135</v>
      </c>
      <c r="E39" s="35" t="s">
        <v>156</v>
      </c>
      <c r="F39" s="35" t="s">
        <v>135</v>
      </c>
      <c r="H39" s="39"/>
      <c r="I39" s="39"/>
      <c r="J39" s="40"/>
      <c r="K39" s="39"/>
      <c r="L39" s="39"/>
      <c r="M39" s="39"/>
      <c r="N39" s="39"/>
      <c r="O39" s="39"/>
      <c r="P39" s="39"/>
      <c r="Q39" s="39"/>
    </row>
    <row r="40" spans="2:17">
      <c r="B40" s="35" t="s">
        <v>14</v>
      </c>
      <c r="C40" s="35" t="s">
        <v>68</v>
      </c>
      <c r="D40" s="35" t="s">
        <v>135</v>
      </c>
      <c r="E40" s="35" t="s">
        <v>135</v>
      </c>
      <c r="F40" s="35" t="s">
        <v>135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2:17">
      <c r="B41" s="35" t="s">
        <v>14</v>
      </c>
      <c r="C41" s="35" t="s">
        <v>68</v>
      </c>
      <c r="D41" s="35" t="s">
        <v>135</v>
      </c>
      <c r="E41" s="35" t="s">
        <v>135</v>
      </c>
      <c r="F41" s="35" t="s">
        <v>135</v>
      </c>
      <c r="H41" s="39"/>
      <c r="J41" s="39"/>
      <c r="K41" s="39"/>
      <c r="L41" s="39"/>
      <c r="M41" s="39"/>
      <c r="N41" s="39"/>
      <c r="O41" s="39"/>
      <c r="P41" s="39"/>
      <c r="Q41" s="39"/>
    </row>
    <row r="42" spans="2:17">
      <c r="B42" s="35" t="s">
        <v>14</v>
      </c>
      <c r="C42" s="35" t="s">
        <v>68</v>
      </c>
      <c r="D42" s="35" t="s">
        <v>135</v>
      </c>
      <c r="E42" s="35" t="s">
        <v>135</v>
      </c>
      <c r="F42" s="35" t="s">
        <v>135</v>
      </c>
      <c r="H42" s="39"/>
      <c r="J42" s="39"/>
      <c r="K42" s="39"/>
      <c r="L42" s="39"/>
      <c r="M42" s="39"/>
      <c r="N42" s="39"/>
      <c r="O42" s="39"/>
      <c r="P42" s="39"/>
      <c r="Q42" s="39"/>
    </row>
    <row r="43" spans="2:17">
      <c r="B43" s="35" t="s">
        <v>14</v>
      </c>
      <c r="C43" s="35" t="s">
        <v>68</v>
      </c>
      <c r="D43" s="35" t="s">
        <v>150</v>
      </c>
      <c r="E43" s="35" t="s">
        <v>135</v>
      </c>
      <c r="F43" s="35" t="s">
        <v>135</v>
      </c>
      <c r="H43" s="39"/>
      <c r="J43" s="39"/>
      <c r="K43" s="39"/>
      <c r="L43" s="39"/>
      <c r="M43" s="39"/>
      <c r="N43" s="39"/>
      <c r="O43" s="39"/>
      <c r="P43" s="39"/>
      <c r="Q43" s="39"/>
    </row>
    <row r="44" spans="2:17">
      <c r="B44" s="35" t="s">
        <v>14</v>
      </c>
      <c r="C44" s="35" t="s">
        <v>68</v>
      </c>
      <c r="D44" s="35" t="s">
        <v>150</v>
      </c>
      <c r="E44" s="35" t="s">
        <v>135</v>
      </c>
      <c r="F44" s="35" t="s">
        <v>147</v>
      </c>
      <c r="H44" s="39"/>
      <c r="J44" s="39"/>
      <c r="K44" s="39"/>
      <c r="L44" s="39"/>
      <c r="M44" s="39"/>
      <c r="N44" s="39"/>
      <c r="O44" s="39"/>
      <c r="P44" s="39"/>
      <c r="Q44" s="39"/>
    </row>
    <row r="45" spans="2:17">
      <c r="B45" s="35" t="s">
        <v>14</v>
      </c>
      <c r="C45" s="35" t="s">
        <v>141</v>
      </c>
      <c r="D45" s="35" t="s">
        <v>150</v>
      </c>
      <c r="E45" s="35" t="s">
        <v>135</v>
      </c>
      <c r="F45" s="35" t="s">
        <v>147</v>
      </c>
      <c r="H45" s="39"/>
      <c r="J45" s="39"/>
      <c r="K45" s="39"/>
      <c r="L45" s="39"/>
      <c r="M45" s="39"/>
      <c r="N45" s="39"/>
      <c r="O45" s="39"/>
      <c r="P45" s="39"/>
      <c r="Q45" s="39"/>
    </row>
    <row r="46" spans="2:17">
      <c r="B46" s="35" t="s">
        <v>14</v>
      </c>
      <c r="C46" s="35" t="s">
        <v>141</v>
      </c>
      <c r="D46" s="35" t="s">
        <v>135</v>
      </c>
      <c r="E46" s="35" t="s">
        <v>135</v>
      </c>
      <c r="F46" s="35" t="s">
        <v>147</v>
      </c>
      <c r="H46" s="39"/>
      <c r="J46" s="39"/>
      <c r="K46" s="39"/>
      <c r="L46" s="39"/>
      <c r="M46" s="39"/>
      <c r="N46" s="39"/>
      <c r="O46" s="39"/>
      <c r="P46" s="39"/>
      <c r="Q46" s="39"/>
    </row>
    <row r="47" spans="2:6">
      <c r="B47" s="35" t="s">
        <v>14</v>
      </c>
      <c r="C47" s="35" t="s">
        <v>141</v>
      </c>
      <c r="D47" s="35" t="s">
        <v>135</v>
      </c>
      <c r="E47" s="35" t="s">
        <v>135</v>
      </c>
      <c r="F47" s="35" t="s">
        <v>135</v>
      </c>
    </row>
    <row r="48" spans="2:6">
      <c r="B48" s="35" t="s">
        <v>14</v>
      </c>
      <c r="C48" s="35" t="s">
        <v>141</v>
      </c>
      <c r="D48" s="35" t="s">
        <v>135</v>
      </c>
      <c r="E48" s="35" t="s">
        <v>135</v>
      </c>
      <c r="F48" s="35" t="s">
        <v>135</v>
      </c>
    </row>
    <row r="49" spans="2:6">
      <c r="B49" s="35" t="s">
        <v>14</v>
      </c>
      <c r="C49" s="35" t="s">
        <v>141</v>
      </c>
      <c r="D49" s="35" t="s">
        <v>135</v>
      </c>
      <c r="E49" s="35" t="s">
        <v>156</v>
      </c>
      <c r="F49" s="35" t="s">
        <v>135</v>
      </c>
    </row>
    <row r="50" spans="2:6">
      <c r="B50" s="35" t="s">
        <v>14</v>
      </c>
      <c r="C50" s="35" t="s">
        <v>141</v>
      </c>
      <c r="D50" s="35" t="s">
        <v>135</v>
      </c>
      <c r="E50" s="35" t="s">
        <v>135</v>
      </c>
      <c r="F50" s="35" t="s">
        <v>135</v>
      </c>
    </row>
    <row r="51" spans="2:6">
      <c r="B51" s="35" t="s">
        <v>14</v>
      </c>
      <c r="C51" s="35" t="s">
        <v>141</v>
      </c>
      <c r="D51" s="35" t="s">
        <v>135</v>
      </c>
      <c r="E51" s="35" t="s">
        <v>135</v>
      </c>
      <c r="F51" s="35" t="s">
        <v>135</v>
      </c>
    </row>
    <row r="52" spans="2:6">
      <c r="B52" s="35" t="s">
        <v>14</v>
      </c>
      <c r="C52" s="35" t="s">
        <v>141</v>
      </c>
      <c r="D52" s="35" t="s">
        <v>135</v>
      </c>
      <c r="E52" s="35" t="s">
        <v>135</v>
      </c>
      <c r="F52" s="35" t="s">
        <v>135</v>
      </c>
    </row>
    <row r="53" spans="2:6">
      <c r="B53" s="38"/>
      <c r="C53" s="38"/>
      <c r="D53" s="38"/>
      <c r="E53" s="38"/>
      <c r="F53" s="38"/>
    </row>
    <row r="54" spans="2:6">
      <c r="B54" s="38"/>
      <c r="C54" s="38"/>
      <c r="D54" s="38"/>
      <c r="E54" s="38"/>
      <c r="F54" s="38"/>
    </row>
    <row r="55" spans="2:6">
      <c r="B55" s="38"/>
      <c r="C55" s="38"/>
      <c r="D55" s="38"/>
      <c r="E55" s="38"/>
      <c r="F55" s="38"/>
    </row>
    <row r="56" spans="2:6">
      <c r="B56" s="38"/>
      <c r="C56" s="38"/>
      <c r="D56" s="38"/>
      <c r="E56" s="38"/>
      <c r="F56" s="38"/>
    </row>
    <row r="57" spans="2:6">
      <c r="B57" s="38"/>
      <c r="C57" s="38"/>
      <c r="D57" s="38"/>
      <c r="E57" s="38"/>
      <c r="F57" s="38"/>
    </row>
    <row r="58" spans="2:6">
      <c r="B58" s="38"/>
      <c r="C58" s="38"/>
      <c r="D58" s="38"/>
      <c r="E58" s="38"/>
      <c r="F58" s="38"/>
    </row>
    <row r="59" spans="2:6">
      <c r="B59" s="38"/>
      <c r="C59" s="38"/>
      <c r="D59" s="38"/>
      <c r="E59" s="38"/>
      <c r="F59" s="38"/>
    </row>
    <row r="60" spans="2:6">
      <c r="B60" s="38"/>
      <c r="C60" s="38"/>
      <c r="D60" s="38"/>
      <c r="E60" s="38"/>
      <c r="F60" s="38"/>
    </row>
    <row r="61" spans="2:6">
      <c r="B61" s="38"/>
      <c r="C61" s="38"/>
      <c r="D61" s="38"/>
      <c r="E61" s="38"/>
      <c r="F61" s="38"/>
    </row>
    <row r="62" spans="2:6">
      <c r="B62" s="38"/>
      <c r="C62" s="38"/>
      <c r="D62" s="38"/>
      <c r="E62" s="38"/>
      <c r="F62" s="38"/>
    </row>
    <row r="63" spans="2:6">
      <c r="B63" s="38"/>
      <c r="C63" s="38"/>
      <c r="D63" s="38"/>
      <c r="E63" s="38"/>
      <c r="F63" s="38"/>
    </row>
    <row r="64" spans="2:6">
      <c r="B64" s="38"/>
      <c r="C64" s="38"/>
      <c r="D64" s="38"/>
      <c r="E64" s="38"/>
      <c r="F64" s="38"/>
    </row>
    <row r="65" spans="2:6">
      <c r="B65" s="38"/>
      <c r="C65" s="38"/>
      <c r="D65" s="38"/>
      <c r="E65" s="38"/>
      <c r="F65" s="38"/>
    </row>
    <row r="66" spans="2:6">
      <c r="B66" s="38"/>
      <c r="C66" s="38"/>
      <c r="D66" s="38"/>
      <c r="E66" s="38"/>
      <c r="F66" s="38"/>
    </row>
    <row r="67" spans="2:6">
      <c r="B67" s="38"/>
      <c r="C67" s="38"/>
      <c r="D67" s="38"/>
      <c r="E67" s="38"/>
      <c r="F67" s="38"/>
    </row>
    <row r="68" spans="2:6">
      <c r="B68" s="18"/>
      <c r="C68" s="18"/>
      <c r="D68" s="18"/>
      <c r="E68" s="38"/>
      <c r="F68" s="18"/>
    </row>
    <row r="69" spans="2:6">
      <c r="B69" s="18"/>
      <c r="C69" s="18"/>
      <c r="D69" s="18"/>
      <c r="E69" s="38"/>
      <c r="F69" s="18"/>
    </row>
    <row r="70" spans="2:6">
      <c r="B70" s="18"/>
      <c r="C70" s="18"/>
      <c r="D70" s="18"/>
      <c r="E70" s="38"/>
      <c r="F70" s="18"/>
    </row>
    <row r="71" spans="2:6">
      <c r="B71" s="18"/>
      <c r="C71" s="18"/>
      <c r="D71" s="18"/>
      <c r="E71" s="38"/>
      <c r="F71" s="18"/>
    </row>
    <row r="72" spans="2:6">
      <c r="B72" s="18"/>
      <c r="C72" s="18"/>
      <c r="D72" s="9"/>
      <c r="E72" s="18"/>
      <c r="F72" s="18"/>
    </row>
  </sheetData>
  <mergeCells count="1">
    <mergeCell ref="I2:J2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52"/>
  <sheetViews>
    <sheetView workbookViewId="0">
      <selection activeCell="K4" sqref="K4:N15"/>
    </sheetView>
  </sheetViews>
  <sheetFormatPr defaultColWidth="9" defaultRowHeight="15"/>
  <cols>
    <col min="9" max="9" width="13.1428571428571" customWidth="true"/>
    <col min="10" max="10" width="12.2857142857143" customWidth="true"/>
  </cols>
  <sheetData>
    <row r="2" spans="2:2">
      <c r="B2" t="s">
        <v>170</v>
      </c>
    </row>
    <row r="3" spans="2:16">
      <c r="B3" s="1" t="s">
        <v>171</v>
      </c>
      <c r="C3" s="1" t="s">
        <v>68</v>
      </c>
      <c r="D3" s="1" t="s">
        <v>135</v>
      </c>
      <c r="E3" s="1" t="s">
        <v>135</v>
      </c>
      <c r="F3" s="1" t="s">
        <v>135</v>
      </c>
      <c r="I3" s="13" t="s">
        <v>152</v>
      </c>
      <c r="J3" s="14"/>
      <c r="K3" s="15" t="s">
        <v>153</v>
      </c>
      <c r="L3" s="15" t="s">
        <v>150</v>
      </c>
      <c r="M3" s="15" t="s">
        <v>135</v>
      </c>
      <c r="N3" s="15" t="s">
        <v>149</v>
      </c>
      <c r="O3" s="15" t="s">
        <v>154</v>
      </c>
      <c r="P3" s="15" t="s">
        <v>155</v>
      </c>
    </row>
    <row r="4" spans="2:16">
      <c r="B4" s="1" t="s">
        <v>172</v>
      </c>
      <c r="C4" s="1" t="s">
        <v>68</v>
      </c>
      <c r="D4" s="1" t="s">
        <v>135</v>
      </c>
      <c r="E4" s="1" t="s">
        <v>156</v>
      </c>
      <c r="F4" s="1" t="s">
        <v>135</v>
      </c>
      <c r="I4" s="29" t="s">
        <v>157</v>
      </c>
      <c r="J4" s="30"/>
      <c r="K4" s="11">
        <v>50</v>
      </c>
      <c r="L4" s="11">
        <f>COUNTIF(F3:F52,"lebih")</f>
        <v>7</v>
      </c>
      <c r="M4" s="11">
        <f>COUNTIF(F3:F52,"normal")</f>
        <v>41</v>
      </c>
      <c r="N4" s="11">
        <f>COUNTIF(F3:F52,"kurang")</f>
        <v>2</v>
      </c>
      <c r="O4" s="11"/>
      <c r="P4" s="11"/>
    </row>
    <row r="5" spans="2:16">
      <c r="B5" s="1" t="s">
        <v>171</v>
      </c>
      <c r="C5" s="1" t="s">
        <v>68</v>
      </c>
      <c r="D5" s="1" t="s">
        <v>135</v>
      </c>
      <c r="E5" s="1" t="s">
        <v>135</v>
      </c>
      <c r="F5" s="1" t="s">
        <v>135</v>
      </c>
      <c r="I5" s="29" t="s">
        <v>159</v>
      </c>
      <c r="J5" s="29" t="s">
        <v>14</v>
      </c>
      <c r="K5" s="11">
        <f>COUNTIF(B3:B52,"l")</f>
        <v>22</v>
      </c>
      <c r="L5" s="11">
        <f>COUNTIFS($B$3:$B$52,"l",$F$3:$F$52,"lebih")</f>
        <v>4</v>
      </c>
      <c r="M5" s="11">
        <f>COUNTIFS($B$3:$B$52,"l",$F$3:$F$52,"normal")</f>
        <v>18</v>
      </c>
      <c r="N5" s="11">
        <f>COUNTIFS($B$3:$B$52,"l",$F$3:$F$52,"kurang")</f>
        <v>0</v>
      </c>
      <c r="O5" s="11"/>
      <c r="P5" s="11"/>
    </row>
    <row r="6" spans="2:16">
      <c r="B6" s="1" t="s">
        <v>171</v>
      </c>
      <c r="C6" s="1" t="s">
        <v>68</v>
      </c>
      <c r="D6" s="1" t="s">
        <v>135</v>
      </c>
      <c r="E6" s="1" t="s">
        <v>156</v>
      </c>
      <c r="F6" s="1" t="s">
        <v>135</v>
      </c>
      <c r="I6" s="29"/>
      <c r="J6" s="29" t="s">
        <v>10</v>
      </c>
      <c r="K6" s="11">
        <f>COUNTIF(B3:B52,"p")</f>
        <v>28</v>
      </c>
      <c r="L6" s="11">
        <f>COUNTIFS($B$3:$B$52,"p",$F$3:$F$52,"lebih")</f>
        <v>3</v>
      </c>
      <c r="M6" s="11">
        <f>COUNTIFS($B$3:$B$52,"p",$F$3:$F$52,"normal")</f>
        <v>23</v>
      </c>
      <c r="N6" s="11">
        <f>COUNTIFS($B$3:$B$52,"p",$F$3:$F$52,"kurang")</f>
        <v>2</v>
      </c>
      <c r="O6" s="33"/>
      <c r="P6" s="11"/>
    </row>
    <row r="7" spans="2:16">
      <c r="B7" s="1" t="s">
        <v>171</v>
      </c>
      <c r="C7" s="1" t="s">
        <v>68</v>
      </c>
      <c r="D7" s="1" t="s">
        <v>135</v>
      </c>
      <c r="E7" s="1" t="s">
        <v>156</v>
      </c>
      <c r="F7" s="1" t="s">
        <v>135</v>
      </c>
      <c r="I7" s="29" t="s">
        <v>4</v>
      </c>
      <c r="J7" s="29" t="s">
        <v>140</v>
      </c>
      <c r="K7" s="11">
        <f>COUNTIF($C$3:$C$52,"A")</f>
        <v>10</v>
      </c>
      <c r="L7" s="11">
        <f>COUNTIFS($C$3:$C$52,"A",$F$3:$F$52,"lebih")</f>
        <v>1</v>
      </c>
      <c r="M7" s="11">
        <f>COUNTIFS($C$3:$C$52,"A",$F$3:$F$52,"normal")</f>
        <v>8</v>
      </c>
      <c r="N7" s="11">
        <f>COUNTIFS($C$3:$C$52,"A",$F$3:$F$52,"kurang")</f>
        <v>1</v>
      </c>
      <c r="O7" s="11"/>
      <c r="P7" s="11"/>
    </row>
    <row r="8" spans="2:16">
      <c r="B8" s="1" t="s">
        <v>171</v>
      </c>
      <c r="C8" s="1" t="s">
        <v>68</v>
      </c>
      <c r="D8" s="1" t="s">
        <v>135</v>
      </c>
      <c r="E8" s="1" t="s">
        <v>135</v>
      </c>
      <c r="F8" s="1" t="s">
        <v>135</v>
      </c>
      <c r="I8" s="29"/>
      <c r="J8" s="29" t="s">
        <v>68</v>
      </c>
      <c r="K8" s="11">
        <f>COUNTIF($C$3:$C$52,"B")</f>
        <v>24</v>
      </c>
      <c r="L8" s="11">
        <f>COUNTIFS($C$3:$C$52,"b",$F$3:$F$52,"lebih")</f>
        <v>3</v>
      </c>
      <c r="M8" s="11">
        <f>COUNTIFS($C$3:$C$52,"b",$F$3:$F$52,"normal")</f>
        <v>20</v>
      </c>
      <c r="N8" s="11">
        <f>COUNTIFS($C$3:$C$52,"b",$F$3:$F$52,"kurang")</f>
        <v>1</v>
      </c>
      <c r="O8" s="11"/>
      <c r="P8" s="11"/>
    </row>
    <row r="9" spans="2:16">
      <c r="B9" s="1" t="s">
        <v>171</v>
      </c>
      <c r="C9" s="1" t="s">
        <v>141</v>
      </c>
      <c r="D9" s="1" t="s">
        <v>135</v>
      </c>
      <c r="E9" s="1" t="s">
        <v>135</v>
      </c>
      <c r="F9" s="1" t="s">
        <v>135</v>
      </c>
      <c r="I9" s="29"/>
      <c r="J9" s="29" t="s">
        <v>141</v>
      </c>
      <c r="K9" s="11">
        <f>COUNTIF($C$3:$C$52,"c")</f>
        <v>16</v>
      </c>
      <c r="L9" s="11">
        <f>COUNTIFS($C$3:$C$52,"c",$F$3:$F$52,"lebih")</f>
        <v>3</v>
      </c>
      <c r="M9" s="11">
        <f>COUNTIFS($C$3:$C$52,"c",$F$3:$F$52,"normal")</f>
        <v>13</v>
      </c>
      <c r="N9" s="11">
        <f>COUNTIFS($C$3:$C$52,"c",$F$3:$F$52,"kurang")</f>
        <v>0</v>
      </c>
      <c r="O9" s="11"/>
      <c r="P9" s="11"/>
    </row>
    <row r="10" spans="2:16">
      <c r="B10" s="1" t="s">
        <v>171</v>
      </c>
      <c r="C10" s="1" t="s">
        <v>68</v>
      </c>
      <c r="D10" s="1" t="s">
        <v>135</v>
      </c>
      <c r="E10" s="1" t="s">
        <v>135</v>
      </c>
      <c r="F10" s="1" t="s">
        <v>135</v>
      </c>
      <c r="I10" s="29" t="s">
        <v>5</v>
      </c>
      <c r="J10" s="29" t="s">
        <v>147</v>
      </c>
      <c r="K10" s="11">
        <f>COUNTIF($D$3:$D$52,"lebih")</f>
        <v>3</v>
      </c>
      <c r="L10" s="11">
        <f>COUNTIFS($D$3:$D$52,"lebih",$F$3:$F$52,"lebih")</f>
        <v>1</v>
      </c>
      <c r="M10" s="11">
        <f>COUNTIFS($D$3:$D$52,"lebih",$F$3:$F$52,"normal")</f>
        <v>2</v>
      </c>
      <c r="N10" s="11">
        <f>COUNTIFS($D$3:$D$52,"lebih",$F$3:$F$52,"kurang")</f>
        <v>0</v>
      </c>
      <c r="O10" s="11"/>
      <c r="P10" s="11"/>
    </row>
    <row r="11" spans="2:16">
      <c r="B11" s="1" t="s">
        <v>171</v>
      </c>
      <c r="C11" s="1" t="s">
        <v>68</v>
      </c>
      <c r="D11" s="1" t="s">
        <v>135</v>
      </c>
      <c r="E11" s="1" t="s">
        <v>156</v>
      </c>
      <c r="F11" s="1" t="s">
        <v>135</v>
      </c>
      <c r="I11" s="30"/>
      <c r="J11" s="29" t="s">
        <v>161</v>
      </c>
      <c r="K11" s="11">
        <f>COUNTIF($D$3:$D$52,"normal")</f>
        <v>45</v>
      </c>
      <c r="L11" s="11">
        <f>COUNTIFS($D$3:$D$52,"normal",$F$3:$F$52,"lebih")</f>
        <v>6</v>
      </c>
      <c r="M11" s="11">
        <f>COUNTIFS($D$3:$D$52,"normal",$F$3:$F$52,"normal")</f>
        <v>38</v>
      </c>
      <c r="N11" s="11">
        <f>COUNTIFS($D$3:$D$52,"normal",$F$3:$F$52,"kurang")</f>
        <v>1</v>
      </c>
      <c r="O11" s="11"/>
      <c r="P11" s="11"/>
    </row>
    <row r="12" spans="2:16">
      <c r="B12" s="1" t="s">
        <v>171</v>
      </c>
      <c r="C12" s="1" t="s">
        <v>68</v>
      </c>
      <c r="D12" s="1" t="s">
        <v>135</v>
      </c>
      <c r="E12" s="1" t="s">
        <v>135</v>
      </c>
      <c r="F12" s="1" t="s">
        <v>135</v>
      </c>
      <c r="I12" s="29"/>
      <c r="J12" s="29" t="s">
        <v>162</v>
      </c>
      <c r="K12" s="11">
        <f>COUNTIF($D$3:$D$52,"kurus")</f>
        <v>2</v>
      </c>
      <c r="L12" s="11">
        <f>COUNTIFS($D$3:$D$52,"kurus",$F$3:$F$52,"lebih")</f>
        <v>0</v>
      </c>
      <c r="M12" s="11">
        <f>COUNTIFS($D$3:$D$52,"kurus",$F$3:$F$52,"normal")</f>
        <v>1</v>
      </c>
      <c r="N12" s="11">
        <f>COUNTIFS($D$3:$D$52,"kurus",$F$3:$F$52,"kurang")</f>
        <v>1</v>
      </c>
      <c r="O12" s="11"/>
      <c r="P12" s="11"/>
    </row>
    <row r="13" spans="2:16">
      <c r="B13" s="1" t="s">
        <v>171</v>
      </c>
      <c r="C13" s="1" t="s">
        <v>68</v>
      </c>
      <c r="D13" s="1" t="s">
        <v>135</v>
      </c>
      <c r="E13" s="1" t="s">
        <v>135</v>
      </c>
      <c r="F13" s="1" t="s">
        <v>135</v>
      </c>
      <c r="I13" s="29" t="s">
        <v>6</v>
      </c>
      <c r="J13" s="29" t="s">
        <v>163</v>
      </c>
      <c r="K13" s="11">
        <f>COUNTIF($E$3:$E$52,"tinggi")</f>
        <v>1</v>
      </c>
      <c r="L13" s="11">
        <f>COUNTIFS($E$3:$E$52,"tinggi",$F$3:$F$52,"lebih")</f>
        <v>0</v>
      </c>
      <c r="M13" s="11">
        <f>COUNTIFS($E$3:$E$52,"tinggi",$F$3:$F$52,"normal")</f>
        <v>0</v>
      </c>
      <c r="N13" s="11">
        <f>COUNTIFS($E$3:$E$52,"tinggi",$F$3:$F$52,"kurang")</f>
        <v>1</v>
      </c>
      <c r="O13" s="11"/>
      <c r="P13" s="11"/>
    </row>
    <row r="14" spans="2:16">
      <c r="B14" s="1" t="s">
        <v>171</v>
      </c>
      <c r="C14" s="1" t="s">
        <v>68</v>
      </c>
      <c r="D14" s="1" t="s">
        <v>135</v>
      </c>
      <c r="E14" s="1" t="s">
        <v>135</v>
      </c>
      <c r="F14" s="1" t="s">
        <v>135</v>
      </c>
      <c r="I14" s="29"/>
      <c r="J14" s="29" t="s">
        <v>164</v>
      </c>
      <c r="K14" s="11">
        <f>COUNTIF($E$3:$E$52,"pendek")</f>
        <v>14</v>
      </c>
      <c r="L14" s="11">
        <f>COUNTIFS($E$3:$E$52,"pendek",$F$3:$F$52,"lebih")</f>
        <v>0</v>
      </c>
      <c r="M14" s="11">
        <f>COUNTIFS($E$3:$E$52,"pendek",$F$3:$F$52,"normal")</f>
        <v>13</v>
      </c>
      <c r="N14" s="11">
        <f>COUNTIFS($E$3:$E$52,"pendek",$F$3:$F$52,"kurang")</f>
        <v>1</v>
      </c>
      <c r="O14" s="11"/>
      <c r="P14" s="11"/>
    </row>
    <row r="15" spans="2:16">
      <c r="B15" s="1" t="s">
        <v>171</v>
      </c>
      <c r="C15" s="1" t="s">
        <v>141</v>
      </c>
      <c r="D15" s="1" t="s">
        <v>135</v>
      </c>
      <c r="E15" s="1" t="s">
        <v>156</v>
      </c>
      <c r="F15" s="1" t="s">
        <v>135</v>
      </c>
      <c r="I15" s="30"/>
      <c r="J15" s="29" t="s">
        <v>161</v>
      </c>
      <c r="K15" s="11">
        <f>COUNTIF($E$3:$E$52,"normal")</f>
        <v>35</v>
      </c>
      <c r="L15" s="11">
        <f>COUNTIFS($E$3:$E$52,"normal",$F$3:$F$52,"lebih")</f>
        <v>7</v>
      </c>
      <c r="M15" s="11">
        <f>COUNTIFS($E$3:$E$52,"normal",$F$3:$F$52,"normal")</f>
        <v>28</v>
      </c>
      <c r="N15" s="11">
        <f>COUNTIFS($E$3:$E$52,"normal",$F$3:$F$52,"kurang")</f>
        <v>0</v>
      </c>
      <c r="O15" s="11"/>
      <c r="P15" s="11"/>
    </row>
    <row r="16" spans="2:16">
      <c r="B16" s="1" t="s">
        <v>171</v>
      </c>
      <c r="C16" s="1" t="s">
        <v>141</v>
      </c>
      <c r="D16" s="1" t="s">
        <v>135</v>
      </c>
      <c r="E16" s="1" t="s">
        <v>135</v>
      </c>
      <c r="F16" s="1" t="s">
        <v>135</v>
      </c>
      <c r="I16" s="31"/>
      <c r="J16" s="31"/>
      <c r="K16" s="21"/>
      <c r="L16" s="21"/>
      <c r="M16" s="21"/>
      <c r="N16" s="21"/>
      <c r="O16" s="21"/>
      <c r="P16" s="21"/>
    </row>
    <row r="17" spans="2:16">
      <c r="B17" s="1" t="s">
        <v>171</v>
      </c>
      <c r="C17" s="1" t="s">
        <v>141</v>
      </c>
      <c r="D17" s="1" t="s">
        <v>135</v>
      </c>
      <c r="E17" s="1" t="s">
        <v>135</v>
      </c>
      <c r="F17" s="1" t="s">
        <v>135</v>
      </c>
      <c r="I17" s="31"/>
      <c r="J17" s="31"/>
      <c r="K17" s="21"/>
      <c r="L17" s="21"/>
      <c r="M17" s="21"/>
      <c r="N17" s="21"/>
      <c r="O17" s="21"/>
      <c r="P17" s="21"/>
    </row>
    <row r="18" spans="2:16">
      <c r="B18" s="1" t="s">
        <v>171</v>
      </c>
      <c r="C18" s="1" t="s">
        <v>141</v>
      </c>
      <c r="D18" s="1" t="s">
        <v>135</v>
      </c>
      <c r="E18" s="1" t="s">
        <v>156</v>
      </c>
      <c r="F18" s="1" t="s">
        <v>135</v>
      </c>
      <c r="I18" s="31"/>
      <c r="J18" s="31"/>
      <c r="K18" s="21"/>
      <c r="L18" s="21"/>
      <c r="M18" s="21"/>
      <c r="N18" s="21"/>
      <c r="O18" s="21"/>
      <c r="P18" s="21"/>
    </row>
    <row r="19" spans="2:6">
      <c r="B19" s="1" t="s">
        <v>171</v>
      </c>
      <c r="C19" s="1" t="s">
        <v>141</v>
      </c>
      <c r="D19" s="1" t="s">
        <v>135</v>
      </c>
      <c r="E19" s="1" t="s">
        <v>135</v>
      </c>
      <c r="F19" s="1" t="s">
        <v>135</v>
      </c>
    </row>
    <row r="20" spans="2:6">
      <c r="B20" s="1" t="s">
        <v>171</v>
      </c>
      <c r="C20" s="1" t="s">
        <v>140</v>
      </c>
      <c r="D20" s="1" t="s">
        <v>135</v>
      </c>
      <c r="E20" s="1" t="s">
        <v>156</v>
      </c>
      <c r="F20" s="1" t="s">
        <v>135</v>
      </c>
    </row>
    <row r="21" spans="2:6">
      <c r="B21" s="1" t="s">
        <v>171</v>
      </c>
      <c r="C21" s="1" t="s">
        <v>141</v>
      </c>
      <c r="D21" s="1" t="s">
        <v>135</v>
      </c>
      <c r="E21" s="1" t="s">
        <v>135</v>
      </c>
      <c r="F21" s="1" t="s">
        <v>135</v>
      </c>
    </row>
    <row r="22" spans="2:11">
      <c r="B22" s="1" t="s">
        <v>171</v>
      </c>
      <c r="C22" s="1" t="s">
        <v>141</v>
      </c>
      <c r="D22" s="1" t="s">
        <v>135</v>
      </c>
      <c r="E22" s="1" t="s">
        <v>135</v>
      </c>
      <c r="F22" s="1" t="s">
        <v>150</v>
      </c>
      <c r="J22" s="31"/>
      <c r="K22" s="21"/>
    </row>
    <row r="23" spans="2:11">
      <c r="B23" s="1" t="s">
        <v>171</v>
      </c>
      <c r="C23" s="1" t="s">
        <v>68</v>
      </c>
      <c r="D23" s="1" t="s">
        <v>135</v>
      </c>
      <c r="E23" s="1" t="s">
        <v>135</v>
      </c>
      <c r="F23" s="1" t="s">
        <v>135</v>
      </c>
      <c r="J23" s="31"/>
      <c r="K23" s="21"/>
    </row>
    <row r="24" spans="2:11">
      <c r="B24" s="1" t="s">
        <v>171</v>
      </c>
      <c r="C24" s="1" t="s">
        <v>68</v>
      </c>
      <c r="D24" s="1" t="s">
        <v>135</v>
      </c>
      <c r="E24" s="1" t="s">
        <v>156</v>
      </c>
      <c r="F24" s="1" t="s">
        <v>135</v>
      </c>
      <c r="J24" s="31"/>
      <c r="K24" s="32"/>
    </row>
    <row r="25" spans="2:6">
      <c r="B25" s="1" t="s">
        <v>171</v>
      </c>
      <c r="C25" s="1" t="s">
        <v>68</v>
      </c>
      <c r="D25" s="1" t="s">
        <v>135</v>
      </c>
      <c r="E25" s="1" t="s">
        <v>135</v>
      </c>
      <c r="F25" s="1" t="s">
        <v>135</v>
      </c>
    </row>
    <row r="26" spans="2:6">
      <c r="B26" s="1" t="s">
        <v>171</v>
      </c>
      <c r="C26" s="1" t="s">
        <v>68</v>
      </c>
      <c r="D26" s="1" t="s">
        <v>135</v>
      </c>
      <c r="E26" s="1" t="s">
        <v>135</v>
      </c>
      <c r="F26" s="1" t="s">
        <v>150</v>
      </c>
    </row>
    <row r="27" spans="2:6">
      <c r="B27" s="1" t="s">
        <v>171</v>
      </c>
      <c r="C27" s="1" t="s">
        <v>140</v>
      </c>
      <c r="D27" s="1" t="s">
        <v>158</v>
      </c>
      <c r="E27" s="1" t="s">
        <v>135</v>
      </c>
      <c r="F27" s="1" t="s">
        <v>135</v>
      </c>
    </row>
    <row r="28" spans="2:6">
      <c r="B28" s="1" t="s">
        <v>171</v>
      </c>
      <c r="C28" s="1" t="s">
        <v>140</v>
      </c>
      <c r="D28" s="1" t="s">
        <v>158</v>
      </c>
      <c r="E28" s="1" t="s">
        <v>160</v>
      </c>
      <c r="F28" s="1" t="s">
        <v>149</v>
      </c>
    </row>
    <row r="29" spans="2:6">
      <c r="B29" s="1" t="s">
        <v>171</v>
      </c>
      <c r="C29" s="1" t="s">
        <v>68</v>
      </c>
      <c r="D29" s="1" t="s">
        <v>135</v>
      </c>
      <c r="E29" s="1" t="s">
        <v>156</v>
      </c>
      <c r="F29" s="1" t="s">
        <v>149</v>
      </c>
    </row>
    <row r="30" spans="2:6">
      <c r="B30" s="1" t="s">
        <v>171</v>
      </c>
      <c r="C30" s="1" t="s">
        <v>140</v>
      </c>
      <c r="D30" s="1" t="s">
        <v>150</v>
      </c>
      <c r="E30" s="1" t="s">
        <v>156</v>
      </c>
      <c r="F30" s="1" t="s">
        <v>135</v>
      </c>
    </row>
    <row r="31" spans="2:6">
      <c r="B31" s="1" t="s">
        <v>171</v>
      </c>
      <c r="C31" s="1" t="s">
        <v>68</v>
      </c>
      <c r="D31" s="1" t="s">
        <v>135</v>
      </c>
      <c r="E31" s="1" t="s">
        <v>135</v>
      </c>
      <c r="F31" s="1" t="s">
        <v>150</v>
      </c>
    </row>
    <row r="32" spans="2:6">
      <c r="B32" s="1" t="s">
        <v>172</v>
      </c>
      <c r="C32" s="1" t="s">
        <v>140</v>
      </c>
      <c r="D32" s="1" t="s">
        <v>135</v>
      </c>
      <c r="E32" s="1" t="s">
        <v>156</v>
      </c>
      <c r="F32" s="1" t="s">
        <v>135</v>
      </c>
    </row>
    <row r="33" spans="2:6">
      <c r="B33" s="1" t="s">
        <v>172</v>
      </c>
      <c r="C33" s="1" t="s">
        <v>140</v>
      </c>
      <c r="D33" s="1" t="s">
        <v>135</v>
      </c>
      <c r="E33" s="1" t="s">
        <v>135</v>
      </c>
      <c r="F33" s="1" t="s">
        <v>135</v>
      </c>
    </row>
    <row r="34" spans="2:6">
      <c r="B34" s="1" t="s">
        <v>172</v>
      </c>
      <c r="C34" s="1" t="s">
        <v>140</v>
      </c>
      <c r="D34" s="1" t="s">
        <v>135</v>
      </c>
      <c r="E34" s="1" t="s">
        <v>135</v>
      </c>
      <c r="F34" s="1" t="s">
        <v>135</v>
      </c>
    </row>
    <row r="35" spans="2:6">
      <c r="B35" s="1" t="s">
        <v>172</v>
      </c>
      <c r="C35" s="1" t="s">
        <v>140</v>
      </c>
      <c r="D35" s="1" t="s">
        <v>135</v>
      </c>
      <c r="E35" s="1" t="s">
        <v>135</v>
      </c>
      <c r="F35" s="1" t="s">
        <v>150</v>
      </c>
    </row>
    <row r="36" spans="2:6">
      <c r="B36" s="1" t="s">
        <v>172</v>
      </c>
      <c r="C36" s="1" t="s">
        <v>140</v>
      </c>
      <c r="D36" s="1" t="s">
        <v>135</v>
      </c>
      <c r="E36" s="1" t="s">
        <v>135</v>
      </c>
      <c r="F36" s="1" t="s">
        <v>135</v>
      </c>
    </row>
    <row r="37" spans="2:6">
      <c r="B37" s="1" t="s">
        <v>172</v>
      </c>
      <c r="C37" s="1" t="s">
        <v>140</v>
      </c>
      <c r="D37" s="1" t="s">
        <v>135</v>
      </c>
      <c r="E37" s="1" t="s">
        <v>135</v>
      </c>
      <c r="F37" s="1" t="s">
        <v>135</v>
      </c>
    </row>
    <row r="38" spans="2:6">
      <c r="B38" s="1" t="s">
        <v>172</v>
      </c>
      <c r="C38" s="1" t="s">
        <v>68</v>
      </c>
      <c r="D38" s="1" t="s">
        <v>135</v>
      </c>
      <c r="E38" s="1" t="s">
        <v>135</v>
      </c>
      <c r="F38" s="1" t="s">
        <v>135</v>
      </c>
    </row>
    <row r="39" spans="2:6">
      <c r="B39" s="1" t="s">
        <v>172</v>
      </c>
      <c r="C39" s="1" t="s">
        <v>68</v>
      </c>
      <c r="D39" s="1" t="s">
        <v>135</v>
      </c>
      <c r="E39" s="1" t="s">
        <v>156</v>
      </c>
      <c r="F39" s="1" t="s">
        <v>135</v>
      </c>
    </row>
    <row r="40" spans="2:6">
      <c r="B40" s="1" t="s">
        <v>172</v>
      </c>
      <c r="C40" s="1" t="s">
        <v>68</v>
      </c>
      <c r="D40" s="1" t="s">
        <v>135</v>
      </c>
      <c r="E40" s="1" t="s">
        <v>156</v>
      </c>
      <c r="F40" s="1" t="s">
        <v>135</v>
      </c>
    </row>
    <row r="41" spans="2:6">
      <c r="B41" s="1" t="s">
        <v>172</v>
      </c>
      <c r="C41" s="1" t="s">
        <v>68</v>
      </c>
      <c r="D41" s="1" t="s">
        <v>135</v>
      </c>
      <c r="E41" s="1" t="s">
        <v>135</v>
      </c>
      <c r="F41" s="1" t="s">
        <v>135</v>
      </c>
    </row>
    <row r="42" spans="2:6">
      <c r="B42" s="1" t="s">
        <v>172</v>
      </c>
      <c r="C42" s="1" t="s">
        <v>68</v>
      </c>
      <c r="D42" s="1" t="s">
        <v>135</v>
      </c>
      <c r="E42" s="1" t="s">
        <v>135</v>
      </c>
      <c r="F42" s="1" t="s">
        <v>135</v>
      </c>
    </row>
    <row r="43" spans="2:6">
      <c r="B43" s="1" t="s">
        <v>172</v>
      </c>
      <c r="C43" s="1" t="s">
        <v>68</v>
      </c>
      <c r="D43" s="1" t="s">
        <v>150</v>
      </c>
      <c r="E43" s="1" t="s">
        <v>135</v>
      </c>
      <c r="F43" s="1" t="s">
        <v>135</v>
      </c>
    </row>
    <row r="44" spans="2:6">
      <c r="B44" s="1" t="s">
        <v>172</v>
      </c>
      <c r="C44" s="1" t="s">
        <v>68</v>
      </c>
      <c r="D44" s="1" t="s">
        <v>135</v>
      </c>
      <c r="E44" s="1" t="s">
        <v>135</v>
      </c>
      <c r="F44" s="1" t="s">
        <v>150</v>
      </c>
    </row>
    <row r="45" spans="2:6">
      <c r="B45" s="1" t="s">
        <v>172</v>
      </c>
      <c r="C45" s="1" t="s">
        <v>141</v>
      </c>
      <c r="D45" s="1" t="s">
        <v>150</v>
      </c>
      <c r="E45" s="1" t="s">
        <v>135</v>
      </c>
      <c r="F45" s="1" t="s">
        <v>150</v>
      </c>
    </row>
    <row r="46" spans="2:6">
      <c r="B46" s="1" t="s">
        <v>172</v>
      </c>
      <c r="C46" s="1" t="s">
        <v>141</v>
      </c>
      <c r="D46" s="1" t="s">
        <v>135</v>
      </c>
      <c r="E46" s="1" t="s">
        <v>135</v>
      </c>
      <c r="F46" s="1" t="s">
        <v>150</v>
      </c>
    </row>
    <row r="47" spans="2:6">
      <c r="B47" s="1" t="s">
        <v>172</v>
      </c>
      <c r="C47" s="1" t="s">
        <v>141</v>
      </c>
      <c r="D47" s="1" t="s">
        <v>135</v>
      </c>
      <c r="E47" s="1" t="s">
        <v>135</v>
      </c>
      <c r="F47" s="1" t="s">
        <v>135</v>
      </c>
    </row>
    <row r="48" spans="2:6">
      <c r="B48" s="1" t="s">
        <v>172</v>
      </c>
      <c r="C48" s="1" t="s">
        <v>141</v>
      </c>
      <c r="D48" s="1" t="s">
        <v>135</v>
      </c>
      <c r="E48" s="1" t="s">
        <v>135</v>
      </c>
      <c r="F48" s="1" t="s">
        <v>135</v>
      </c>
    </row>
    <row r="49" spans="2:6">
      <c r="B49" s="1" t="s">
        <v>172</v>
      </c>
      <c r="C49" s="1" t="s">
        <v>141</v>
      </c>
      <c r="D49" s="1" t="s">
        <v>135</v>
      </c>
      <c r="E49" s="1" t="s">
        <v>135</v>
      </c>
      <c r="F49" s="1" t="s">
        <v>135</v>
      </c>
    </row>
    <row r="50" spans="2:6">
      <c r="B50" s="1" t="s">
        <v>172</v>
      </c>
      <c r="C50" s="1" t="s">
        <v>141</v>
      </c>
      <c r="D50" s="1" t="s">
        <v>135</v>
      </c>
      <c r="E50" s="1" t="s">
        <v>135</v>
      </c>
      <c r="F50" s="1" t="s">
        <v>135</v>
      </c>
    </row>
    <row r="51" spans="2:6">
      <c r="B51" s="1" t="s">
        <v>172</v>
      </c>
      <c r="C51" s="1" t="s">
        <v>141</v>
      </c>
      <c r="D51" s="1" t="s">
        <v>135</v>
      </c>
      <c r="E51" s="1" t="s">
        <v>156</v>
      </c>
      <c r="F51" s="1" t="s">
        <v>135</v>
      </c>
    </row>
    <row r="52" spans="2:6">
      <c r="B52" s="1" t="s">
        <v>172</v>
      </c>
      <c r="C52" s="1" t="s">
        <v>141</v>
      </c>
      <c r="D52" s="1" t="s">
        <v>135</v>
      </c>
      <c r="E52" s="1" t="s">
        <v>135</v>
      </c>
      <c r="F52" s="1" t="s">
        <v>135</v>
      </c>
    </row>
  </sheetData>
  <mergeCells count="1">
    <mergeCell ref="I3:J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1048576"/>
  <sheetViews>
    <sheetView tabSelected="1" workbookViewId="0">
      <selection activeCell="U41" sqref="U41"/>
    </sheetView>
  </sheetViews>
  <sheetFormatPr defaultColWidth="9" defaultRowHeight="15"/>
  <cols>
    <col min="2" max="2" width="17.2857142857143" customWidth="true"/>
    <col min="3" max="3" width="13.5619047619048" customWidth="true"/>
    <col min="4" max="4" width="17.8571428571429" customWidth="true"/>
    <col min="5" max="5" width="19" customWidth="true"/>
    <col min="6" max="6" width="15.5619047619048" customWidth="true"/>
    <col min="9" max="9" width="13.6285714285714" customWidth="true"/>
    <col min="15" max="16" width="13.752380952381"/>
    <col min="17" max="17" width="12.6285714285714"/>
    <col min="25" max="25" width="12.8761904761905" customWidth="true"/>
    <col min="26" max="26" width="13.7142857142857" customWidth="true"/>
    <col min="36" max="37" width="12.8571428571429"/>
  </cols>
  <sheetData>
    <row r="1" spans="2:16">
      <c r="B1" s="1" t="s">
        <v>171</v>
      </c>
      <c r="C1" s="1" t="s">
        <v>68</v>
      </c>
      <c r="D1" s="1" t="s">
        <v>135</v>
      </c>
      <c r="E1" s="1" t="s">
        <v>135</v>
      </c>
      <c r="F1" s="1" t="s">
        <v>135</v>
      </c>
      <c r="H1" s="2" t="s">
        <v>151</v>
      </c>
      <c r="I1" s="13" t="s">
        <v>152</v>
      </c>
      <c r="J1" s="14"/>
      <c r="K1" s="15" t="s">
        <v>153</v>
      </c>
      <c r="L1" s="15" t="s">
        <v>150</v>
      </c>
      <c r="M1" s="15" t="s">
        <v>135</v>
      </c>
      <c r="N1" s="15" t="s">
        <v>149</v>
      </c>
      <c r="O1" s="15" t="s">
        <v>154</v>
      </c>
      <c r="P1" s="15" t="s">
        <v>155</v>
      </c>
    </row>
    <row r="2" spans="2:16">
      <c r="B2" s="1" t="s">
        <v>172</v>
      </c>
      <c r="C2" s="1" t="s">
        <v>68</v>
      </c>
      <c r="D2" s="1" t="s">
        <v>135</v>
      </c>
      <c r="E2" s="1" t="s">
        <v>156</v>
      </c>
      <c r="F2" s="1" t="s">
        <v>135</v>
      </c>
      <c r="H2" s="3">
        <v>1</v>
      </c>
      <c r="I2" s="16" t="s">
        <v>157</v>
      </c>
      <c r="J2" s="17"/>
      <c r="K2" s="17">
        <v>50</v>
      </c>
      <c r="L2" s="17">
        <v>7</v>
      </c>
      <c r="M2" s="17">
        <v>41</v>
      </c>
      <c r="N2" s="17">
        <v>2</v>
      </c>
      <c r="O2" s="17">
        <f>((-M2/K2)*IMLOG2(M2/K2)+(-N2/K2)*IMLOG2(N2/K2)+(-L2/K2)*IMLOG2(L2/K2))</f>
        <v>0.817633856899831</v>
      </c>
      <c r="P2" s="11"/>
    </row>
    <row r="3" spans="2:16">
      <c r="B3" s="1" t="s">
        <v>171</v>
      </c>
      <c r="C3" s="1" t="s">
        <v>68</v>
      </c>
      <c r="D3" s="1" t="s">
        <v>135</v>
      </c>
      <c r="E3" s="1" t="s">
        <v>135</v>
      </c>
      <c r="F3" s="1" t="s">
        <v>135</v>
      </c>
      <c r="H3" s="3"/>
      <c r="I3" s="16" t="s">
        <v>159</v>
      </c>
      <c r="J3" s="16" t="s">
        <v>14</v>
      </c>
      <c r="K3" s="17">
        <v>22</v>
      </c>
      <c r="L3" s="17">
        <v>4</v>
      </c>
      <c r="M3" s="17">
        <v>18</v>
      </c>
      <c r="N3" s="17">
        <v>0</v>
      </c>
      <c r="O3" s="17">
        <f>((-M3/K3)*IMLOG2(M3/K3)+(-L3/K3)*IMLOG2(L3/K3))</f>
        <v>0.684038435639042</v>
      </c>
      <c r="P3" s="11">
        <f>($O$2)-((K3/K2*O3)+(K4/K2*O4))</f>
        <v>0.0404744386958897</v>
      </c>
    </row>
    <row r="4" spans="2:16">
      <c r="B4" s="1" t="s">
        <v>171</v>
      </c>
      <c r="C4" s="1" t="s">
        <v>68</v>
      </c>
      <c r="D4" s="1" t="s">
        <v>135</v>
      </c>
      <c r="E4" s="1" t="s">
        <v>156</v>
      </c>
      <c r="F4" s="1" t="s">
        <v>135</v>
      </c>
      <c r="H4" s="3"/>
      <c r="I4" s="16"/>
      <c r="J4" s="16" t="s">
        <v>10</v>
      </c>
      <c r="K4" s="17">
        <v>28</v>
      </c>
      <c r="L4" s="17">
        <v>3</v>
      </c>
      <c r="M4" s="17">
        <v>23</v>
      </c>
      <c r="N4" s="17">
        <v>2</v>
      </c>
      <c r="O4" s="19">
        <f>((-L4/K4)*IMLOG2(L4/K4)+(-M4/K4)*IMLOG2(M4/K4)+(-N4/K4)*IMLOG2(N4/K4))</f>
        <v>0.850325904504934</v>
      </c>
      <c r="P4" s="11"/>
    </row>
    <row r="5" spans="2:16">
      <c r="B5" s="1" t="s">
        <v>171</v>
      </c>
      <c r="C5" s="1" t="s">
        <v>68</v>
      </c>
      <c r="D5" s="1" t="s">
        <v>135</v>
      </c>
      <c r="E5" s="1" t="s">
        <v>156</v>
      </c>
      <c r="F5" s="1" t="s">
        <v>135</v>
      </c>
      <c r="H5" s="3"/>
      <c r="I5" s="16" t="s">
        <v>4</v>
      </c>
      <c r="J5" s="16" t="s">
        <v>140</v>
      </c>
      <c r="K5" s="17">
        <v>10</v>
      </c>
      <c r="L5" s="17">
        <v>1</v>
      </c>
      <c r="M5" s="17">
        <v>8</v>
      </c>
      <c r="N5" s="17">
        <v>1</v>
      </c>
      <c r="O5" s="19">
        <f>((-L5/K5)*IMLOG2(L5/K5)+(-M5/K5)*IMLOG2(M5/K5)+(-N5/K5)*IMLOG2(N5/K5))</f>
        <v>0.921928094887362</v>
      </c>
      <c r="P5" s="11">
        <f>($O$2)-((K5/K2*O5)+(K6/K2*O6)+(K7/K2*O7))</f>
        <v>0.0335473023343716</v>
      </c>
    </row>
    <row r="6" spans="2:16">
      <c r="B6" s="1" t="s">
        <v>171</v>
      </c>
      <c r="C6" s="1" t="s">
        <v>68</v>
      </c>
      <c r="D6" s="1" t="s">
        <v>135</v>
      </c>
      <c r="E6" s="1" t="s">
        <v>135</v>
      </c>
      <c r="F6" s="1" t="s">
        <v>135</v>
      </c>
      <c r="H6" s="3"/>
      <c r="I6" s="16"/>
      <c r="J6" s="16" t="s">
        <v>68</v>
      </c>
      <c r="K6" s="17">
        <v>24</v>
      </c>
      <c r="L6" s="17">
        <v>3</v>
      </c>
      <c r="M6" s="17">
        <v>20</v>
      </c>
      <c r="N6" s="17">
        <v>1</v>
      </c>
      <c r="O6" s="19">
        <f>((-L6/K6)*IMLOG2(L6/K6)+(-M6/K6)*IMLOG2(M6/K6)+(-N6/K6)*IMLOG2(N6/K6))</f>
        <v>0.785235442391543</v>
      </c>
      <c r="P6" s="11"/>
    </row>
    <row r="7" spans="2:16">
      <c r="B7" s="1" t="s">
        <v>171</v>
      </c>
      <c r="C7" s="1" t="s">
        <v>141</v>
      </c>
      <c r="D7" s="1" t="s">
        <v>135</v>
      </c>
      <c r="E7" s="1" t="s">
        <v>135</v>
      </c>
      <c r="F7" s="1" t="s">
        <v>135</v>
      </c>
      <c r="H7" s="3"/>
      <c r="I7" s="16"/>
      <c r="J7" s="16" t="s">
        <v>141</v>
      </c>
      <c r="K7" s="17">
        <v>16</v>
      </c>
      <c r="L7" s="17">
        <v>3</v>
      </c>
      <c r="M7" s="17">
        <v>13</v>
      </c>
      <c r="N7" s="17">
        <v>0</v>
      </c>
      <c r="O7" s="19">
        <f>((-L7/K7)*IMLOG2(L7/K7)+(-M7/K7)*IMLOG2(M7/K7))</f>
        <v>0.696212260125145</v>
      </c>
      <c r="P7" s="11"/>
    </row>
    <row r="8" spans="2:16">
      <c r="B8" s="1" t="s">
        <v>171</v>
      </c>
      <c r="C8" s="1" t="s">
        <v>68</v>
      </c>
      <c r="D8" s="1" t="s">
        <v>135</v>
      </c>
      <c r="E8" s="1" t="s">
        <v>135</v>
      </c>
      <c r="F8" s="1" t="s">
        <v>135</v>
      </c>
      <c r="H8" s="3"/>
      <c r="I8" s="16" t="s">
        <v>5</v>
      </c>
      <c r="J8" s="16" t="s">
        <v>147</v>
      </c>
      <c r="K8" s="17">
        <v>3</v>
      </c>
      <c r="L8" s="17">
        <v>1</v>
      </c>
      <c r="M8" s="17">
        <v>2</v>
      </c>
      <c r="N8" s="17">
        <v>0</v>
      </c>
      <c r="O8" s="19">
        <f>((-L8/K8)*IMLOG2(L8/K8)+(-M8/K8)*IMLOG2(M8/K8))</f>
        <v>0.918295834054491</v>
      </c>
      <c r="P8" s="11">
        <f>($O$2)-((K8/$K$2*O8)+(K9/$K$2*O9)+(K10/$K$2*O10))</f>
        <v>0.0784887304635183</v>
      </c>
    </row>
    <row r="9" spans="2:16">
      <c r="B9" s="1" t="s">
        <v>171</v>
      </c>
      <c r="C9" s="1" t="s">
        <v>68</v>
      </c>
      <c r="D9" s="1" t="s">
        <v>135</v>
      </c>
      <c r="E9" s="1" t="s">
        <v>156</v>
      </c>
      <c r="F9" s="1" t="s">
        <v>135</v>
      </c>
      <c r="H9" s="4"/>
      <c r="I9" s="17"/>
      <c r="J9" s="16" t="s">
        <v>161</v>
      </c>
      <c r="K9" s="17">
        <v>45</v>
      </c>
      <c r="L9" s="17">
        <v>6</v>
      </c>
      <c r="M9" s="17">
        <v>38</v>
      </c>
      <c r="N9" s="17">
        <v>1</v>
      </c>
      <c r="O9" s="19">
        <f>((-L9/K9)*IMLOG2(L9/K9)+(-M9/K9)*IMLOG2(M9/K9)+(-N9/K9)*IMLOG2(N9/K9))</f>
        <v>0.71560819599227</v>
      </c>
      <c r="P9" s="11"/>
    </row>
    <row r="10" spans="2:16">
      <c r="B10" s="1" t="s">
        <v>171</v>
      </c>
      <c r="C10" s="1" t="s">
        <v>68</v>
      </c>
      <c r="D10" s="1" t="s">
        <v>135</v>
      </c>
      <c r="E10" s="1" t="s">
        <v>135</v>
      </c>
      <c r="F10" s="1" t="s">
        <v>135</v>
      </c>
      <c r="H10" s="3"/>
      <c r="I10" s="16"/>
      <c r="J10" s="16" t="s">
        <v>162</v>
      </c>
      <c r="K10" s="17">
        <v>2</v>
      </c>
      <c r="L10" s="17">
        <v>0</v>
      </c>
      <c r="M10" s="17">
        <v>1</v>
      </c>
      <c r="N10" s="17">
        <v>1</v>
      </c>
      <c r="O10" s="19">
        <f>((-M10/K10)*IMLOG2(M10/K10)+(-N10/K10)*IMLOG2(N10/K10))</f>
        <v>1</v>
      </c>
      <c r="P10" s="11"/>
    </row>
    <row r="11" spans="2:16">
      <c r="B11" s="1" t="s">
        <v>171</v>
      </c>
      <c r="C11" s="1" t="s">
        <v>68</v>
      </c>
      <c r="D11" s="1" t="s">
        <v>135</v>
      </c>
      <c r="E11" s="1" t="s">
        <v>135</v>
      </c>
      <c r="F11" s="1" t="s">
        <v>135</v>
      </c>
      <c r="H11" s="3"/>
      <c r="I11" s="16" t="s">
        <v>6</v>
      </c>
      <c r="J11" s="16" t="s">
        <v>163</v>
      </c>
      <c r="K11" s="17">
        <v>1</v>
      </c>
      <c r="L11" s="17">
        <v>0</v>
      </c>
      <c r="M11" s="17">
        <v>0</v>
      </c>
      <c r="N11" s="17">
        <v>1</v>
      </c>
      <c r="O11" s="19">
        <v>0</v>
      </c>
      <c r="P11" s="11">
        <f>($O$2)-((K11/$K$2*O11)+(K12/$K$2*O12)+(K13/$K$2*O13))</f>
        <v>0.208339139019233</v>
      </c>
    </row>
    <row r="12" spans="2:16">
      <c r="B12" s="1" t="s">
        <v>171</v>
      </c>
      <c r="C12" s="1" t="s">
        <v>68</v>
      </c>
      <c r="D12" s="1" t="s">
        <v>135</v>
      </c>
      <c r="E12" s="1" t="s">
        <v>135</v>
      </c>
      <c r="F12" s="1" t="s">
        <v>135</v>
      </c>
      <c r="H12" s="3"/>
      <c r="I12" s="16"/>
      <c r="J12" s="16" t="s">
        <v>164</v>
      </c>
      <c r="K12" s="17">
        <v>14</v>
      </c>
      <c r="L12" s="17">
        <v>0</v>
      </c>
      <c r="M12" s="17">
        <v>13</v>
      </c>
      <c r="N12" s="17">
        <v>1</v>
      </c>
      <c r="O12" s="19">
        <f>((-M12/K12)*IMLOG2(M12/K12)+(-N12/K12)*IMLOG2(N12/K12))</f>
        <v>0.371232326640875</v>
      </c>
      <c r="P12" s="11"/>
    </row>
    <row r="13" spans="2:16">
      <c r="B13" s="1" t="s">
        <v>171</v>
      </c>
      <c r="C13" s="1" t="s">
        <v>141</v>
      </c>
      <c r="D13" s="1" t="s">
        <v>135</v>
      </c>
      <c r="E13" s="1" t="s">
        <v>156</v>
      </c>
      <c r="F13" s="1" t="s">
        <v>135</v>
      </c>
      <c r="H13" s="5"/>
      <c r="I13" s="17"/>
      <c r="J13" s="16" t="s">
        <v>161</v>
      </c>
      <c r="K13" s="17">
        <v>35</v>
      </c>
      <c r="L13" s="17">
        <v>7</v>
      </c>
      <c r="M13" s="17">
        <v>28</v>
      </c>
      <c r="N13" s="17">
        <v>0</v>
      </c>
      <c r="O13" s="19">
        <f>((-M13/K13)*IMLOG2(M13/K13)+(-L13/K13)*IMLOG2(L13/K13))</f>
        <v>0.721928094887362</v>
      </c>
      <c r="P13" s="11"/>
    </row>
    <row r="14" spans="2:6">
      <c r="B14" s="1" t="s">
        <v>171</v>
      </c>
      <c r="C14" s="1" t="s">
        <v>141</v>
      </c>
      <c r="D14" s="1" t="s">
        <v>135</v>
      </c>
      <c r="E14" s="1" t="s">
        <v>135</v>
      </c>
      <c r="F14" s="1" t="s">
        <v>135</v>
      </c>
    </row>
    <row r="15" spans="2:37">
      <c r="B15" s="1" t="s">
        <v>171</v>
      </c>
      <c r="C15" s="1" t="s">
        <v>141</v>
      </c>
      <c r="D15" s="1" t="s">
        <v>135</v>
      </c>
      <c r="E15" s="1" t="s">
        <v>135</v>
      </c>
      <c r="F15" s="1" t="s">
        <v>135</v>
      </c>
      <c r="H15" s="6" t="s">
        <v>173</v>
      </c>
      <c r="I15" s="6"/>
      <c r="J15" s="6"/>
      <c r="K15" s="6"/>
      <c r="L15" s="6"/>
      <c r="M15" s="6"/>
      <c r="N15" s="6"/>
      <c r="O15" s="6"/>
      <c r="P15" s="6"/>
      <c r="AC15" s="6" t="s">
        <v>174</v>
      </c>
      <c r="AD15" s="6"/>
      <c r="AE15" s="6"/>
      <c r="AF15" s="6"/>
      <c r="AG15" s="6"/>
      <c r="AH15" s="6"/>
      <c r="AI15" s="6"/>
      <c r="AJ15" s="6"/>
      <c r="AK15" s="6"/>
    </row>
    <row r="16" spans="2:37">
      <c r="B16" s="1" t="s">
        <v>171</v>
      </c>
      <c r="C16" s="1" t="s">
        <v>141</v>
      </c>
      <c r="D16" s="1" t="s">
        <v>135</v>
      </c>
      <c r="E16" s="1" t="s">
        <v>156</v>
      </c>
      <c r="F16" s="1" t="s">
        <v>135</v>
      </c>
      <c r="G16" s="7"/>
      <c r="H16" s="8" t="s">
        <v>151</v>
      </c>
      <c r="I16" s="15" t="s">
        <v>152</v>
      </c>
      <c r="J16" s="15"/>
      <c r="K16" s="15" t="s">
        <v>153</v>
      </c>
      <c r="L16" s="15" t="s">
        <v>150</v>
      </c>
      <c r="M16" s="15" t="s">
        <v>135</v>
      </c>
      <c r="N16" s="15" t="s">
        <v>149</v>
      </c>
      <c r="O16" s="15" t="s">
        <v>154</v>
      </c>
      <c r="P16" s="15" t="s">
        <v>155</v>
      </c>
      <c r="AC16" s="8" t="s">
        <v>151</v>
      </c>
      <c r="AD16" s="15" t="s">
        <v>152</v>
      </c>
      <c r="AE16" s="15"/>
      <c r="AF16" s="15" t="s">
        <v>153</v>
      </c>
      <c r="AG16" s="15" t="s">
        <v>150</v>
      </c>
      <c r="AH16" s="15" t="s">
        <v>135</v>
      </c>
      <c r="AI16" s="15" t="s">
        <v>149</v>
      </c>
      <c r="AJ16" s="15" t="s">
        <v>154</v>
      </c>
      <c r="AK16" s="15" t="s">
        <v>155</v>
      </c>
    </row>
    <row r="17" spans="2:37">
      <c r="B17" s="1" t="s">
        <v>171</v>
      </c>
      <c r="C17" s="1" t="s">
        <v>141</v>
      </c>
      <c r="D17" s="1" t="s">
        <v>135</v>
      </c>
      <c r="E17" s="1" t="s">
        <v>135</v>
      </c>
      <c r="F17" s="1" t="s">
        <v>135</v>
      </c>
      <c r="G17" s="9"/>
      <c r="H17" s="10" t="s">
        <v>175</v>
      </c>
      <c r="I17" s="16" t="s">
        <v>157</v>
      </c>
      <c r="J17" s="17"/>
      <c r="K17" s="17">
        <v>50</v>
      </c>
      <c r="L17" s="17">
        <v>7</v>
      </c>
      <c r="M17" s="17">
        <v>41</v>
      </c>
      <c r="N17" s="17">
        <v>2</v>
      </c>
      <c r="O17" s="17">
        <f>((-M17/K17)*IMLOG2(M17/K17)+(-N17/K17)*IMLOG2(N17/K17)+(-L17/K17)*IMLOG2(L17/K17))</f>
        <v>0.817633856899831</v>
      </c>
      <c r="P17" s="11"/>
      <c r="AC17" s="10" t="s">
        <v>176</v>
      </c>
      <c r="AD17" s="16" t="s">
        <v>157</v>
      </c>
      <c r="AE17" s="17"/>
      <c r="AF17" s="17">
        <v>50</v>
      </c>
      <c r="AG17" s="17">
        <v>7</v>
      </c>
      <c r="AH17" s="17">
        <v>41</v>
      </c>
      <c r="AI17" s="17">
        <v>2</v>
      </c>
      <c r="AJ17" s="17">
        <f>((-AH17/AF17)*IMLOG2(AH17/AF17)+(-AI17/AF17)*IMLOG2(AI17/AF17)+(-AG17/AF17)*IMLOG2(AG17/AF17))</f>
        <v>0.817633856899831</v>
      </c>
      <c r="AK17" s="11"/>
    </row>
    <row r="18" spans="2:37">
      <c r="B18" s="1" t="s">
        <v>171</v>
      </c>
      <c r="C18" s="1" t="s">
        <v>140</v>
      </c>
      <c r="D18" s="1" t="s">
        <v>135</v>
      </c>
      <c r="E18" s="1" t="s">
        <v>156</v>
      </c>
      <c r="F18" s="1" t="s">
        <v>135</v>
      </c>
      <c r="G18" s="9"/>
      <c r="H18" s="11"/>
      <c r="I18" s="17" t="s">
        <v>6</v>
      </c>
      <c r="J18" s="17" t="s">
        <v>161</v>
      </c>
      <c r="K18" s="17">
        <f>COUNTIF($E$1:$E$50,"normal")</f>
        <v>35</v>
      </c>
      <c r="L18" s="11"/>
      <c r="M18" s="11"/>
      <c r="N18" s="11"/>
      <c r="O18" s="11"/>
      <c r="P18" s="11"/>
      <c r="AC18" s="11"/>
      <c r="AD18" s="17" t="s">
        <v>6</v>
      </c>
      <c r="AE18" s="17" t="s">
        <v>164</v>
      </c>
      <c r="AF18" s="17">
        <f>COUNTIF($E$1:$E$50,"pendek")</f>
        <v>14</v>
      </c>
      <c r="AG18" s="11"/>
      <c r="AH18" s="11"/>
      <c r="AI18" s="11"/>
      <c r="AJ18" s="11"/>
      <c r="AK18" s="11"/>
    </row>
    <row r="19" spans="2:37">
      <c r="B19" s="1" t="s">
        <v>171</v>
      </c>
      <c r="C19" s="1" t="s">
        <v>141</v>
      </c>
      <c r="D19" s="1" t="s">
        <v>135</v>
      </c>
      <c r="E19" s="1" t="s">
        <v>135</v>
      </c>
      <c r="F19" s="1" t="s">
        <v>135</v>
      </c>
      <c r="G19" s="9"/>
      <c r="H19" s="10"/>
      <c r="I19" s="16" t="s">
        <v>159</v>
      </c>
      <c r="J19" s="16" t="s">
        <v>14</v>
      </c>
      <c r="K19" s="17">
        <f>COUNTIFS($B$1:$B$50,"L",$E$1:$E$50,"normal")</f>
        <v>17</v>
      </c>
      <c r="L19" s="17">
        <f>COUNTIFS($B$1:$B$50,"L",$E$1:$E$50,"normal",$F$1:$F$50,"lebih")</f>
        <v>4</v>
      </c>
      <c r="M19" s="17">
        <f>COUNTIFS($B$1:$B$50,"L",$E$1:$E$50,"normal",$F$1:$F$50,"normal")</f>
        <v>13</v>
      </c>
      <c r="N19" s="17">
        <f>COUNTIFS($B$1:$B$50,"L",$E$1:$E$50,"normal",$F$1:$F$50,"kurang")</f>
        <v>0</v>
      </c>
      <c r="O19" s="17">
        <f>((-M19/K19)*IMLOG2(M19/K19)+(-L19/K19)*IMLOG2(L19/K19))</f>
        <v>0.787126586201269</v>
      </c>
      <c r="P19" s="11">
        <f>(O17)-((K19/K18*O19)+(K20/K18*O20))</f>
        <v>0.101017983897204</v>
      </c>
      <c r="AC19" s="10"/>
      <c r="AD19" s="16" t="s">
        <v>159</v>
      </c>
      <c r="AE19" s="16" t="s">
        <v>14</v>
      </c>
      <c r="AF19" s="17">
        <f>COUNTIFS($B$1:$B$50,"L",$E$1:$E$50,"pendek")</f>
        <v>5</v>
      </c>
      <c r="AG19" s="17">
        <f>COUNTIFS($B$1:$B$50,"L",$E$1:$E$50,"pendek",$F$1:$F$50,"lebih")</f>
        <v>0</v>
      </c>
      <c r="AH19" s="17">
        <f>COUNTIFS($B$1:$B$50,"L",$E$1:$E$50,"pendek",$F$1:$F$50,"normal")</f>
        <v>5</v>
      </c>
      <c r="AI19" s="17">
        <f>COUNTIFS($B$1:$B$50,"L",$E$1:$E$50,"pendek",$F$1:$F$50,"kurang")</f>
        <v>0</v>
      </c>
      <c r="AJ19" s="17">
        <v>0</v>
      </c>
      <c r="AK19" s="11">
        <f>($AJ$17)-((AF19/$AF$18*AJ19)+(AF20/$AF$18*AJ20))</f>
        <v>0.494110641686916</v>
      </c>
    </row>
    <row r="20" spans="2:37">
      <c r="B20" s="1" t="s">
        <v>171</v>
      </c>
      <c r="C20" s="1" t="s">
        <v>141</v>
      </c>
      <c r="D20" s="1" t="s">
        <v>135</v>
      </c>
      <c r="E20" s="1" t="s">
        <v>135</v>
      </c>
      <c r="F20" s="1" t="s">
        <v>150</v>
      </c>
      <c r="G20" s="9"/>
      <c r="H20" s="10"/>
      <c r="I20" s="16"/>
      <c r="J20" s="16" t="s">
        <v>10</v>
      </c>
      <c r="K20" s="17">
        <f>COUNTIFS($B$1:$B$50,"p",$E$1:$E$50,"normal")</f>
        <v>18</v>
      </c>
      <c r="L20" s="17">
        <f>COUNTIFS($B$1:$B$50,"p",$E$1:$E$50,"normal",$F$1:$F$50,"lebih")</f>
        <v>3</v>
      </c>
      <c r="M20" s="17">
        <f>COUNTIFS($B$1:$B$50,"p",$E$1:$E$50,"normal",$F$1:$F$50,"normal")</f>
        <v>15</v>
      </c>
      <c r="N20" s="17">
        <f>COUNTIFS($B$1:$B$50,"p",$E$1:$E$50,"normal",$F$1:$F$50,"kurang")</f>
        <v>0</v>
      </c>
      <c r="O20" s="17">
        <f t="shared" ref="O19:O25" si="0">((-M20/K20)*IMLOG2(M20/K20)+(-L20/K20)*IMLOG2(L20/K20))</f>
        <v>0.650022421648355</v>
      </c>
      <c r="P20" s="11"/>
      <c r="AC20" s="10"/>
      <c r="AD20" s="16"/>
      <c r="AE20" s="16" t="s">
        <v>10</v>
      </c>
      <c r="AF20" s="17">
        <f>COUNTIFS($B$1:$B$50,"p",$E$1:$E$50,"pendek")</f>
        <v>9</v>
      </c>
      <c r="AG20" s="17">
        <f>COUNTIFS($B$1:$B$50,"p",$E$1:$E$50,"pendek",$F$1:$F$50,"lebih")</f>
        <v>0</v>
      </c>
      <c r="AH20" s="17">
        <f>COUNTIFS($B$1:$B$50,"p",$E$1:$E$50,"pendek",$F$1:$F$50,"normal")</f>
        <v>8</v>
      </c>
      <c r="AI20" s="17">
        <f>COUNTIFS($B$1:$B$50,"p",$E$1:$E$50,"pendek",$F$1:$F$50,"kurang")</f>
        <v>1</v>
      </c>
      <c r="AJ20" s="17">
        <f>((-AH20/AF20)*IMLOG2(AH20/AF20)+(-AI20/AF20)*IMLOG2(AI20/AF20))</f>
        <v>0.503258334775645</v>
      </c>
      <c r="AK20" s="11"/>
    </row>
    <row r="21" spans="2:37">
      <c r="B21" s="1" t="s">
        <v>171</v>
      </c>
      <c r="C21" s="1" t="s">
        <v>68</v>
      </c>
      <c r="D21" s="1" t="s">
        <v>135</v>
      </c>
      <c r="E21" s="1" t="s">
        <v>135</v>
      </c>
      <c r="F21" s="1" t="s">
        <v>135</v>
      </c>
      <c r="G21" s="9"/>
      <c r="H21" s="10"/>
      <c r="I21" s="16" t="s">
        <v>4</v>
      </c>
      <c r="J21" s="16" t="s">
        <v>140</v>
      </c>
      <c r="K21" s="17">
        <f t="shared" ref="K21:K23" si="1">COUNTIFS($C$1:$C$50,"A",$E$1:$E$50,"normal")</f>
        <v>6</v>
      </c>
      <c r="L21" s="17">
        <f>COUNTIFS($C$1:$C$50,"A",$E$1:$E$50,"normal",$F$1:$F$50,"lebih")</f>
        <v>1</v>
      </c>
      <c r="M21" s="17">
        <f>COUNTIFS($C$1:$C$50,"A",$E$1:$E$50,"normal",$F$1:$F$50,"normal")</f>
        <v>5</v>
      </c>
      <c r="N21" s="17">
        <f>COUNTIFS($C$1:$C$50,"A",$E$1:$E$50,"normal",$F$1:$F$50,"kurang")</f>
        <v>0</v>
      </c>
      <c r="O21" s="17">
        <f t="shared" si="0"/>
        <v>0.650022421648355</v>
      </c>
      <c r="P21" s="11">
        <f>($O$17)-((K21/$K$18*O21)+(K22/$K$18*O22)+(K23/$K$18*O23))</f>
        <v>0.098460183280129</v>
      </c>
      <c r="AC21" s="10"/>
      <c r="AD21" s="16" t="s">
        <v>4</v>
      </c>
      <c r="AE21" s="16" t="s">
        <v>140</v>
      </c>
      <c r="AF21" s="17">
        <f>COUNTIFS($C$1:$C$50,"A",$E$1:$E$50,"pendek")</f>
        <v>3</v>
      </c>
      <c r="AG21" s="17">
        <f>COUNTIFS($C$1:$C$50,"A",$E$1:$E$50,"pendek",$F$1:$F$50,"lebih")</f>
        <v>0</v>
      </c>
      <c r="AH21" s="17">
        <f>COUNTIFS($C$1:$C$50,"A",$E$1:$E$50,"pendek",$F$1:$F$50,"normal")</f>
        <v>3</v>
      </c>
      <c r="AI21" s="17">
        <f>COUNTIFS($C$1:$C$50,"A",$E$1:$E$50,"pendek",$F$1:$F$50,"kurang")</f>
        <v>0</v>
      </c>
      <c r="AJ21" s="17">
        <v>0</v>
      </c>
      <c r="AK21" s="11">
        <f>($AJ$17)-((AF21/$AF$18*AJ21)+(AF22/$AF$18*AJ22)+(AF23/$AF$18*AJ23))</f>
        <v>0.507025603642919</v>
      </c>
    </row>
    <row r="22" spans="2:37">
      <c r="B22" s="1" t="s">
        <v>171</v>
      </c>
      <c r="C22" s="1" t="s">
        <v>68</v>
      </c>
      <c r="D22" s="1" t="s">
        <v>135</v>
      </c>
      <c r="E22" s="1" t="s">
        <v>156</v>
      </c>
      <c r="F22" s="1" t="s">
        <v>135</v>
      </c>
      <c r="G22" s="9"/>
      <c r="H22" s="10"/>
      <c r="I22" s="16"/>
      <c r="J22" s="16" t="s">
        <v>68</v>
      </c>
      <c r="K22" s="17">
        <f>COUNTIFS($C$1:$C$50,"b",$E$1:$E$50,"normal")</f>
        <v>16</v>
      </c>
      <c r="L22" s="17">
        <f>COUNTIFS($C$1:$C$50,"B",$E$1:$E$50,"normal",$F$1:$F$50,"lebih")</f>
        <v>3</v>
      </c>
      <c r="M22" s="17">
        <f>COUNTIFS($C$1:$C$50,"B",$E$1:$E$50,"normal",$F$1:$F$50,"normal")</f>
        <v>13</v>
      </c>
      <c r="N22" s="17">
        <f>COUNTIFS($C$1:$C$50,"B",$E$1:$E$50,"normal",$F$1:$F$50,"kurang")</f>
        <v>0</v>
      </c>
      <c r="O22" s="17">
        <f t="shared" si="0"/>
        <v>0.696212260125145</v>
      </c>
      <c r="P22" s="11"/>
      <c r="AC22" s="10"/>
      <c r="AD22" s="16"/>
      <c r="AE22" s="16" t="s">
        <v>68</v>
      </c>
      <c r="AF22" s="17">
        <f>COUNTIFS($C$1:$C$50,"b",$E$1:$E$50,"pendek")</f>
        <v>8</v>
      </c>
      <c r="AG22" s="17">
        <f>COUNTIFS($C$1:$C$50,"B",$E$1:$E$50,"pendek",$F$1:$F$50,"lebih")</f>
        <v>0</v>
      </c>
      <c r="AH22" s="17">
        <f>COUNTIFS($C$1:$C$50,"B",$E$1:$E$50,"pendek",$F$1:$F$50,"normal")</f>
        <v>7</v>
      </c>
      <c r="AI22" s="17">
        <f>COUNTIFS($C$1:$C$50,"B",$E$1:$E$50,"pendek",$F$1:$F$50,"kurang")</f>
        <v>1</v>
      </c>
      <c r="AJ22" s="17">
        <f>((-AH22/AF22)*IMLOG2(AH22/AF22)+(-AI22/AF22)*IMLOG2(AI22/AF22))</f>
        <v>0.543564443199597</v>
      </c>
      <c r="AK22" s="11"/>
    </row>
    <row r="23" spans="2:37">
      <c r="B23" s="1" t="s">
        <v>171</v>
      </c>
      <c r="C23" s="1" t="s">
        <v>68</v>
      </c>
      <c r="D23" s="1" t="s">
        <v>135</v>
      </c>
      <c r="E23" s="1" t="s">
        <v>135</v>
      </c>
      <c r="F23" s="1" t="s">
        <v>135</v>
      </c>
      <c r="G23" s="9"/>
      <c r="H23" s="10"/>
      <c r="I23" s="16"/>
      <c r="J23" s="16" t="s">
        <v>141</v>
      </c>
      <c r="K23" s="17">
        <f>COUNTIFS($C$1:$C$50,"C",$E$1:$E$50,"normal")</f>
        <v>13</v>
      </c>
      <c r="L23" s="17">
        <f>COUNTIFS($C$1:$C$50,"C",$E$1:$E$50,"normal",$F$1:$F$50,"lebih")</f>
        <v>3</v>
      </c>
      <c r="M23" s="17">
        <f>COUNTIFS($C$1:$C$50,"C",$E$1:$E$50,"normal",$F$1:$F$50,"normal")</f>
        <v>10</v>
      </c>
      <c r="N23" s="17">
        <f>COUNTIFS($C$1:$C$50,"C",$E$1:$E$50,"normal",$F$1:$F$50,"kurang")</f>
        <v>0</v>
      </c>
      <c r="O23" s="17">
        <f t="shared" si="0"/>
        <v>0.779349837292086</v>
      </c>
      <c r="P23" s="11"/>
      <c r="AC23" s="10"/>
      <c r="AD23" s="16"/>
      <c r="AE23" s="16" t="s">
        <v>141</v>
      </c>
      <c r="AF23" s="17">
        <f>COUNTIFS($C$1:$C$50,"C",$E$1:$E$50,"pendek")</f>
        <v>3</v>
      </c>
      <c r="AG23" s="17">
        <f>COUNTIFS($C$1:$C$50,"C",$E$1:$E$50,"pendek",$F$1:$F$50,"lebih")</f>
        <v>0</v>
      </c>
      <c r="AH23" s="17">
        <f>COUNTIFS($C$1:$C$50,"C",$E$1:$E$50,"pendek",$F$1:$F$50,"normal")</f>
        <v>3</v>
      </c>
      <c r="AI23" s="17">
        <f>COUNTIFS($C$1:$C$50,"C",$E$1:$E$50,"pendek",$F$1:$F$50,"kurang")</f>
        <v>0</v>
      </c>
      <c r="AJ23" s="17">
        <v>0</v>
      </c>
      <c r="AK23" s="11"/>
    </row>
    <row r="24" spans="2:37">
      <c r="B24" s="1" t="s">
        <v>171</v>
      </c>
      <c r="C24" s="1" t="s">
        <v>68</v>
      </c>
      <c r="D24" s="1" t="s">
        <v>135</v>
      </c>
      <c r="E24" s="1" t="s">
        <v>135</v>
      </c>
      <c r="F24" s="1" t="s">
        <v>150</v>
      </c>
      <c r="G24" s="9"/>
      <c r="H24" s="10"/>
      <c r="I24" s="16" t="s">
        <v>5</v>
      </c>
      <c r="J24" s="16" t="s">
        <v>147</v>
      </c>
      <c r="K24" s="17">
        <f t="shared" ref="K24:K26" si="2">COUNTIFS($D$1:$D$50,"LEBIH",$E$1:$E$50,"normal")</f>
        <v>2</v>
      </c>
      <c r="L24" s="17">
        <f>COUNTIFS($D$1:$D$50,"LEBIH",$E$1:$E$50,"normal",$F$1:$F$50,"lebih")</f>
        <v>1</v>
      </c>
      <c r="M24" s="17">
        <f>COUNTIFS($D$1:$D$50,"LEBIH",$E$1:$E$50,"normal",$F$1:$F$50,"normal")</f>
        <v>1</v>
      </c>
      <c r="N24" s="17">
        <f>COUNTIFS($D$1:$D$50,"LEBIH",$E$1:$E$50,"normal",$F$1:$F$50,"kurang")</f>
        <v>0</v>
      </c>
      <c r="O24" s="17">
        <f t="shared" si="0"/>
        <v>1</v>
      </c>
      <c r="P24" s="11">
        <f>($O$17)-((K24/$K$18*O24)+(K25/$K$18*O25)+(K26/$K$18*O26))</f>
        <v>0.123954076213984</v>
      </c>
      <c r="AC24" s="10"/>
      <c r="AD24" s="16" t="s">
        <v>5</v>
      </c>
      <c r="AE24" s="16" t="s">
        <v>147</v>
      </c>
      <c r="AF24" s="17">
        <f>COUNTIFS($D$1:$D$50,"LEBIH",$E$1:$E$50,"pendek")</f>
        <v>1</v>
      </c>
      <c r="AG24" s="17">
        <f>COUNTIFS($D$1:$D$50,"LEBIH",$E$1:$E$50,"pendek",$F$1:$F$50,"lebih")</f>
        <v>0</v>
      </c>
      <c r="AH24" s="17">
        <f>COUNTIFS($D$1:$D$50,"LEBIH",$E$1:$E$50,"pendek",$F$1:$F$50,"normal")</f>
        <v>1</v>
      </c>
      <c r="AI24" s="17">
        <f>COUNTIFS($D$1:$D$50,"LEBIH",$E$1:$E$50,"pendek",$F$1:$F$50,"kurang")</f>
        <v>0</v>
      </c>
      <c r="AJ24" s="17">
        <v>0</v>
      </c>
      <c r="AK24" s="11">
        <f>($AJ$17)-((AF24/$AF$18*AJ24)+(AF25/$AF$18*AJ25)+(AF26/$AF$18*AJ26))</f>
        <v>0.454336262101237</v>
      </c>
    </row>
    <row r="25" spans="2:37">
      <c r="B25" s="1" t="s">
        <v>171</v>
      </c>
      <c r="C25" s="1" t="s">
        <v>140</v>
      </c>
      <c r="D25" s="1" t="s">
        <v>158</v>
      </c>
      <c r="E25" s="1" t="s">
        <v>135</v>
      </c>
      <c r="F25" s="1" t="s">
        <v>135</v>
      </c>
      <c r="G25" s="9"/>
      <c r="H25" s="5"/>
      <c r="I25" s="17"/>
      <c r="J25" s="16" t="s">
        <v>161</v>
      </c>
      <c r="K25" s="17">
        <f>COUNTIFS($D$1:$D$50,"NORMAL",$E$1:$E$50,"normal")</f>
        <v>32</v>
      </c>
      <c r="L25" s="17">
        <f>COUNTIFS($D$1:$D$50,"NORMAL",$E$1:$E$50,"normal",$F$1:$F$50,"lebih")</f>
        <v>6</v>
      </c>
      <c r="M25" s="17">
        <f>COUNTIFS($D$1:$D$50,"NORMAL",$E$1:$E$50,"normal",$F$1:$F$50,"normal")</f>
        <v>26</v>
      </c>
      <c r="N25" s="17">
        <f>COUNTIFS($D$1:$D$50,"NORMAL",$E$1:$E$50,"normal",$F$1:$F$50,"kurang")</f>
        <v>0</v>
      </c>
      <c r="O25" s="17">
        <f t="shared" si="0"/>
        <v>0.696212260125145</v>
      </c>
      <c r="P25" s="11"/>
      <c r="AC25" s="5"/>
      <c r="AD25" s="17"/>
      <c r="AE25" s="16" t="s">
        <v>161</v>
      </c>
      <c r="AF25" s="17">
        <f>COUNTIFS($D$1:$D$50,"NORMAL",$E$1:$E$50,"pendek")</f>
        <v>13</v>
      </c>
      <c r="AG25" s="17">
        <f>COUNTIFS($D$1:$D$50,"NORMAL",$E$1:$E$50,"pendek",$F$1:$F$50,"lebih")</f>
        <v>0</v>
      </c>
      <c r="AH25" s="17">
        <f>COUNTIFS($D$1:$D$50,"NORMAL",$E$1:$E$50,"pendek",$F$1:$F$50,"normal")</f>
        <v>12</v>
      </c>
      <c r="AI25" s="17">
        <f>COUNTIFS($D$1:$D$50,"NORMAL",$E$1:$E$50,"pendek",$F$1:$F$50,"kurang")</f>
        <v>1</v>
      </c>
      <c r="AJ25" s="17">
        <f>((-AH25/AF25)*IMLOG2(AH25/AF25)+(-AI25/AF25)*IMLOG2(AI25/AF25))</f>
        <v>0.391243563629256</v>
      </c>
      <c r="AK25" s="11"/>
    </row>
    <row r="26" spans="2:37">
      <c r="B26" s="1" t="s">
        <v>171</v>
      </c>
      <c r="C26" s="1" t="s">
        <v>140</v>
      </c>
      <c r="D26" s="1" t="s">
        <v>158</v>
      </c>
      <c r="E26" s="1" t="s">
        <v>160</v>
      </c>
      <c r="F26" s="1" t="s">
        <v>149</v>
      </c>
      <c r="G26" s="9"/>
      <c r="H26" s="10"/>
      <c r="I26" s="16"/>
      <c r="J26" s="16" t="s">
        <v>162</v>
      </c>
      <c r="K26" s="17">
        <f>COUNTIFS($D$1:$D$50,"KURUS",$E$1:$E$50,"normal")</f>
        <v>1</v>
      </c>
      <c r="L26" s="17">
        <f>COUNTIFS($D$1:$D$50,"KURUS",$E$1:$E$50,"normal",$F$1:$F$50,"lebih")</f>
        <v>0</v>
      </c>
      <c r="M26" s="17">
        <f>COUNTIFS($D$1:$D$50,"KURUS",$E$1:$E$50,"normal",$F$1:$F$50,"normal")</f>
        <v>1</v>
      </c>
      <c r="N26" s="17">
        <f>COUNTIFS($D$1:$D$50,"KURUS",$E$1:$E$50,"normal",$F$1:$F$50,"kurang")</f>
        <v>0</v>
      </c>
      <c r="O26" s="19">
        <v>0</v>
      </c>
      <c r="P26" s="11"/>
      <c r="AC26" s="10"/>
      <c r="AD26" s="16"/>
      <c r="AE26" s="16" t="s">
        <v>162</v>
      </c>
      <c r="AF26" s="17">
        <f>COUNTIFS($D$1:$D$50,"KURUS",$E$1:$E$50,"pendek")</f>
        <v>0</v>
      </c>
      <c r="AG26" s="17">
        <f>COUNTIFS($D$1:$D$50,"KURUS",$E$1:$E$50,"pendek",$F$1:$F$50,"lebih")</f>
        <v>0</v>
      </c>
      <c r="AH26" s="17">
        <f>COUNTIFS($D$1:$D$50,"KURUS",$E$1:$E$50,"pendek",$F$1:$F$50,"normal")</f>
        <v>0</v>
      </c>
      <c r="AI26" s="17">
        <f>COUNTIFS($D$1:$D$50,"KURUS",$E$1:$E$50,"pendek",$F$1:$F$50,"kurang")</f>
        <v>0</v>
      </c>
      <c r="AJ26" s="19">
        <v>0</v>
      </c>
      <c r="AK26" s="11"/>
    </row>
    <row r="27" spans="2:16">
      <c r="B27" s="1" t="s">
        <v>171</v>
      </c>
      <c r="C27" s="1" t="s">
        <v>68</v>
      </c>
      <c r="D27" s="1" t="s">
        <v>135</v>
      </c>
      <c r="E27" s="1" t="s">
        <v>156</v>
      </c>
      <c r="F27" s="1" t="s">
        <v>149</v>
      </c>
      <c r="H27" s="12"/>
      <c r="I27" s="18"/>
      <c r="J27" s="18"/>
      <c r="K27" s="9"/>
      <c r="L27" s="9"/>
      <c r="M27" s="9"/>
      <c r="N27" s="9"/>
      <c r="O27" s="20"/>
      <c r="P27" s="21"/>
    </row>
    <row r="28" spans="2:37">
      <c r="B28" s="1" t="s">
        <v>171</v>
      </c>
      <c r="C28" s="1" t="s">
        <v>140</v>
      </c>
      <c r="D28" s="1" t="s">
        <v>150</v>
      </c>
      <c r="E28" s="1" t="s">
        <v>156</v>
      </c>
      <c r="F28" s="1" t="s">
        <v>135</v>
      </c>
      <c r="H28" s="6" t="s">
        <v>177</v>
      </c>
      <c r="I28" s="6"/>
      <c r="J28" s="6"/>
      <c r="K28" s="6"/>
      <c r="L28" s="6"/>
      <c r="M28" s="6"/>
      <c r="N28" s="6"/>
      <c r="O28" s="6"/>
      <c r="P28" s="6"/>
      <c r="R28" s="6" t="s">
        <v>178</v>
      </c>
      <c r="S28" s="6"/>
      <c r="T28" s="6"/>
      <c r="U28" s="6"/>
      <c r="V28" s="6"/>
      <c r="W28" s="6"/>
      <c r="X28" s="6"/>
      <c r="Y28" s="6"/>
      <c r="Z28" s="6"/>
      <c r="AC28" s="6" t="s">
        <v>179</v>
      </c>
      <c r="AD28" s="6"/>
      <c r="AE28" s="6"/>
      <c r="AF28" s="6"/>
      <c r="AG28" s="6"/>
      <c r="AH28" s="6"/>
      <c r="AI28" s="6"/>
      <c r="AJ28" s="6"/>
      <c r="AK28" s="6"/>
    </row>
    <row r="29" spans="2:37">
      <c r="B29" s="1" t="s">
        <v>171</v>
      </c>
      <c r="C29" s="1" t="s">
        <v>68</v>
      </c>
      <c r="D29" s="1" t="s">
        <v>135</v>
      </c>
      <c r="E29" s="1" t="s">
        <v>135</v>
      </c>
      <c r="F29" s="1" t="s">
        <v>150</v>
      </c>
      <c r="H29" s="8" t="s">
        <v>151</v>
      </c>
      <c r="I29" s="15" t="s">
        <v>152</v>
      </c>
      <c r="J29" s="15"/>
      <c r="K29" s="15" t="s">
        <v>153</v>
      </c>
      <c r="L29" s="15" t="s">
        <v>150</v>
      </c>
      <c r="M29" s="15" t="s">
        <v>135</v>
      </c>
      <c r="N29" s="15" t="s">
        <v>149</v>
      </c>
      <c r="O29" s="15" t="s">
        <v>154</v>
      </c>
      <c r="P29" s="15" t="s">
        <v>155</v>
      </c>
      <c r="R29" s="8" t="s">
        <v>151</v>
      </c>
      <c r="S29" s="15" t="s">
        <v>152</v>
      </c>
      <c r="T29" s="15"/>
      <c r="U29" s="15" t="s">
        <v>153</v>
      </c>
      <c r="V29" s="15" t="s">
        <v>150</v>
      </c>
      <c r="W29" s="15" t="s">
        <v>135</v>
      </c>
      <c r="X29" s="15" t="s">
        <v>149</v>
      </c>
      <c r="Y29" s="15" t="s">
        <v>154</v>
      </c>
      <c r="Z29" s="15" t="s">
        <v>155</v>
      </c>
      <c r="AC29" s="8" t="s">
        <v>151</v>
      </c>
      <c r="AD29" s="15" t="s">
        <v>152</v>
      </c>
      <c r="AE29" s="15"/>
      <c r="AF29" s="15" t="s">
        <v>153</v>
      </c>
      <c r="AG29" s="15" t="s">
        <v>150</v>
      </c>
      <c r="AH29" s="15" t="s">
        <v>135</v>
      </c>
      <c r="AI29" s="15" t="s">
        <v>149</v>
      </c>
      <c r="AJ29" s="15" t="s">
        <v>154</v>
      </c>
      <c r="AK29" s="15" t="s">
        <v>155</v>
      </c>
    </row>
    <row r="30" spans="2:37">
      <c r="B30" s="1" t="s">
        <v>172</v>
      </c>
      <c r="C30" s="1" t="s">
        <v>140</v>
      </c>
      <c r="D30" s="1" t="s">
        <v>135</v>
      </c>
      <c r="E30" s="1" t="s">
        <v>156</v>
      </c>
      <c r="F30" s="1" t="s">
        <v>135</v>
      </c>
      <c r="H30" s="10" t="s">
        <v>180</v>
      </c>
      <c r="I30" s="16" t="s">
        <v>157</v>
      </c>
      <c r="J30" s="17"/>
      <c r="K30" s="17">
        <v>50</v>
      </c>
      <c r="L30" s="17">
        <v>7</v>
      </c>
      <c r="M30" s="17">
        <v>41</v>
      </c>
      <c r="N30" s="17">
        <v>2</v>
      </c>
      <c r="O30" s="17">
        <f>((-M30/K30)*IMLOG2(M30/K30)+(-N30/K30)*IMLOG2(N30/K30)+(-L30/K30)*IMLOG2(L30/K30))</f>
        <v>0.817633856899831</v>
      </c>
      <c r="P30" s="11"/>
      <c r="R30" s="10" t="s">
        <v>181</v>
      </c>
      <c r="S30" s="16" t="s">
        <v>157</v>
      </c>
      <c r="T30" s="17"/>
      <c r="U30" s="17">
        <v>50</v>
      </c>
      <c r="V30" s="17">
        <v>7</v>
      </c>
      <c r="W30" s="17">
        <v>41</v>
      </c>
      <c r="X30" s="17">
        <v>2</v>
      </c>
      <c r="Y30" s="17">
        <f>((-W30/U30)*IMLOG2(W30/U30)+(-X30/U30)*IMLOG2(X30/U30)+(-V30/U30)*IMLOG2(V30/U30))</f>
        <v>0.817633856899831</v>
      </c>
      <c r="Z30" s="11"/>
      <c r="AC30" s="10" t="s">
        <v>182</v>
      </c>
      <c r="AD30" s="16" t="s">
        <v>157</v>
      </c>
      <c r="AE30" s="17"/>
      <c r="AF30" s="17">
        <v>50</v>
      </c>
      <c r="AG30" s="17">
        <v>7</v>
      </c>
      <c r="AH30" s="17">
        <v>41</v>
      </c>
      <c r="AI30" s="17">
        <v>2</v>
      </c>
      <c r="AJ30" s="17">
        <f>((-AH30/AF30)*IMLOG2(AH30/AF30)+(-AI30/AF30)*IMLOG2(AI30/AF30)+(-AG30/AF30)*IMLOG2(AG30/AF30))</f>
        <v>0.817633856899831</v>
      </c>
      <c r="AK30" s="11"/>
    </row>
    <row r="31" spans="2:37">
      <c r="B31" s="1" t="s">
        <v>172</v>
      </c>
      <c r="C31" s="1" t="s">
        <v>140</v>
      </c>
      <c r="D31" s="1" t="s">
        <v>135</v>
      </c>
      <c r="E31" s="1" t="s">
        <v>135</v>
      </c>
      <c r="F31" s="1" t="s">
        <v>135</v>
      </c>
      <c r="H31" s="11"/>
      <c r="I31" s="17" t="s">
        <v>5</v>
      </c>
      <c r="J31" s="17" t="s">
        <v>161</v>
      </c>
      <c r="K31" s="17">
        <f>COUNTIFS($E$1:$E$50,"normal",$D$1:$D$50,"NORMAL")</f>
        <v>32</v>
      </c>
      <c r="L31" s="11"/>
      <c r="M31" s="11"/>
      <c r="N31" s="11"/>
      <c r="O31" s="11"/>
      <c r="P31" s="11"/>
      <c r="R31" s="11"/>
      <c r="S31" s="17" t="s">
        <v>5</v>
      </c>
      <c r="T31" s="17" t="s">
        <v>161</v>
      </c>
      <c r="U31" s="17">
        <f>COUNTIFS($E$1:$E$50,"normal",$D$1:$D$50,"lebih")</f>
        <v>2</v>
      </c>
      <c r="V31" s="11"/>
      <c r="W31" s="11"/>
      <c r="X31" s="11"/>
      <c r="Y31" s="11"/>
      <c r="Z31" s="11"/>
      <c r="AC31" s="11"/>
      <c r="AD31" s="17" t="s">
        <v>4</v>
      </c>
      <c r="AE31" s="17" t="s">
        <v>68</v>
      </c>
      <c r="AF31" s="17">
        <f>COUNTIFS($E$1:$E$50,"pendek",$C$1:$C$50,"b")</f>
        <v>8</v>
      </c>
      <c r="AG31" s="11"/>
      <c r="AH31" s="11"/>
      <c r="AI31" s="11"/>
      <c r="AJ31" s="11"/>
      <c r="AK31" s="11"/>
    </row>
    <row r="32" spans="2:37">
      <c r="B32" s="1" t="s">
        <v>172</v>
      </c>
      <c r="C32" s="1" t="s">
        <v>140</v>
      </c>
      <c r="D32" s="1" t="s">
        <v>135</v>
      </c>
      <c r="E32" s="1" t="s">
        <v>135</v>
      </c>
      <c r="F32" s="1" t="s">
        <v>135</v>
      </c>
      <c r="H32" s="10"/>
      <c r="I32" s="16" t="s">
        <v>159</v>
      </c>
      <c r="J32" s="16" t="s">
        <v>14</v>
      </c>
      <c r="K32" s="17">
        <f>COUNTIFS($B$1:$B$50,"L",$E$1:$E$50,"normal",$D$1:$D$50,"NORMAL")</f>
        <v>15</v>
      </c>
      <c r="L32" s="17">
        <f>COUNTIFS($B$1:$B$50,"L",$E$1:$E$50,"normal",$F$1:$F$50,"lebih",$D$1:$D$50,"NORMAL")</f>
        <v>3</v>
      </c>
      <c r="M32" s="17">
        <f>COUNTIFS($B$1:$B$50,"L",$E$1:$E$50,"normal",$F$1:$F$50,"normal",$D$1:$D$50,"NORMAL")</f>
        <v>12</v>
      </c>
      <c r="N32" s="17">
        <f>COUNTIFS($B$1:$B$50,"L",$E$1:$E$50,"normal",$F$1:$F$50,"kurang",$D$1:$D$50,"NORMAL")</f>
        <v>0</v>
      </c>
      <c r="O32" s="17">
        <f t="shared" ref="O32:O36" si="3">((-M32/K32)*IMLOG2(M32/K32)+(-L32/K32)*IMLOG2(L32/K32))</f>
        <v>0.721928094887362</v>
      </c>
      <c r="P32" s="11">
        <f>(O30)-((K32/K31*O32)+(K33/K31*O33))</f>
        <v>0.122073440849948</v>
      </c>
      <c r="R32" s="10"/>
      <c r="S32" s="16" t="s">
        <v>159</v>
      </c>
      <c r="T32" s="16" t="s">
        <v>14</v>
      </c>
      <c r="U32" s="17">
        <f>COUNTIFS($B$1:$B$50,"L",$E$1:$E$50,"normal",$D$1:$D$50,"lebih")</f>
        <v>2</v>
      </c>
      <c r="V32" s="17">
        <f>COUNTIFS($B$1:$B$50,"L",$E$1:$E$50,"normal",$F$1:$F$50,"lebih",$D$1:$D$50,"lebih")</f>
        <v>1</v>
      </c>
      <c r="W32" s="17">
        <f>COUNTIFS($B$1:$B$50,"L",$E$1:$E$50,"normal",$F$1:$F$50,"normal",$D$1:$D$50,"lebih")</f>
        <v>1</v>
      </c>
      <c r="X32" s="17">
        <f>COUNTIFS($B$1:$B$50,"L",$E$1:$E$50,"normal",$F$1:$F$50,"kurang",$D$1:$D$50,"lebih")</f>
        <v>0</v>
      </c>
      <c r="Y32" s="17">
        <f>((-W32/U32)*IMLOG2(W32/U32)+(-V32/U32)*IMLOG2(V32/U32))</f>
        <v>1</v>
      </c>
      <c r="Z32" s="11">
        <f>(Y30)-((U32/U31*Y32)+(U33/U31*Y33))</f>
        <v>-0.182366143100169</v>
      </c>
      <c r="AC32" s="10"/>
      <c r="AD32" s="16" t="s">
        <v>159</v>
      </c>
      <c r="AE32" s="16" t="s">
        <v>14</v>
      </c>
      <c r="AF32" s="17">
        <f>COUNTIFS($B$1:$B$50,"L",$E$1:$E$50,"pendek",$C$1:$C$50,"b")</f>
        <v>3</v>
      </c>
      <c r="AG32" s="17">
        <f>COUNTIFS($B$1:$B$50,"L",$E$1:$E$50,"pendek",$F$1:$F$50,"lebih",$C$1:$C$50,"b")</f>
        <v>0</v>
      </c>
      <c r="AH32" s="17">
        <f>COUNTIFS($B$1:$B$50,"L",$E$1:$E$50,"pendek",$F$1:$F$50,"normal",$C$1:$C$50,"b")</f>
        <v>3</v>
      </c>
      <c r="AI32" s="17">
        <f>COUNTIFS($B$1:$B$50,"L",$E$1:$E$50,"pendek",$F$1:$F$50,"kurang",$C$1:$C$50,"b")</f>
        <v>0</v>
      </c>
      <c r="AJ32" s="17">
        <v>0</v>
      </c>
      <c r="AK32" s="11">
        <f>($AJ$30)-((AF32/$AF$31*AJ32)+(AF33/$AF$31*AJ33))</f>
        <v>0.36642879759523</v>
      </c>
    </row>
    <row r="33" spans="2:37">
      <c r="B33" s="1" t="s">
        <v>172</v>
      </c>
      <c r="C33" s="1" t="s">
        <v>140</v>
      </c>
      <c r="D33" s="1" t="s">
        <v>135</v>
      </c>
      <c r="E33" s="1" t="s">
        <v>135</v>
      </c>
      <c r="F33" s="1" t="s">
        <v>150</v>
      </c>
      <c r="H33" s="10"/>
      <c r="I33" s="16"/>
      <c r="J33" s="16" t="s">
        <v>10</v>
      </c>
      <c r="K33" s="17">
        <f>COUNTIFS($B$1:$B$50,"P",$E$1:$E$50,"normal",$D$1:$D$50,"NORMAL")</f>
        <v>17</v>
      </c>
      <c r="L33" s="17">
        <f>COUNTIFS($B$1:$B$50,"p",$E$1:$E$50,"normal",$F$1:$F$50,"lebih",$D$1:$D$50,"NORMAL")</f>
        <v>3</v>
      </c>
      <c r="M33" s="17">
        <f>COUNTIFS($B$1:$B$50,"p",$E$1:$E$50,"normal",$F$1:$F$50,"normal",$D$1:$D$50,"NORMAL")</f>
        <v>14</v>
      </c>
      <c r="N33" s="17">
        <f>COUNTIFS($B$1:$B$50,"p",$E$1:$E$50,"normal",$F$1:$F$50,"kurang",$D$1:$D$50,"NORMAL")</f>
        <v>0</v>
      </c>
      <c r="O33" s="17">
        <f t="shared" si="3"/>
        <v>0.672294817075637</v>
      </c>
      <c r="P33" s="11"/>
      <c r="R33" s="10"/>
      <c r="S33" s="16"/>
      <c r="T33" s="16" t="s">
        <v>10</v>
      </c>
      <c r="U33" s="17">
        <f>COUNTIFS($B$1:$B$50,"P",$E$1:$E$50,"normal",$D$1:$D$50,"lebih")</f>
        <v>0</v>
      </c>
      <c r="V33" s="17">
        <f>COUNTIFS($B$1:$B$50,"p",$E$1:$E$50,"normal",$F$1:$F$50,"lebih",$D$1:$D$50,"lebih")</f>
        <v>0</v>
      </c>
      <c r="W33" s="17">
        <f>COUNTIFS($B$1:$B$50,"p",$E$1:$E$50,"normal",$F$1:$F$50,"normal",$D$1:$D$50,"lebih")</f>
        <v>0</v>
      </c>
      <c r="X33" s="17">
        <f>COUNTIFS($B$1:$B$50,"p",$E$1:$E$50,"normal",$F$1:$F$50,"kurang",$D$1:$D$50,"lebih")</f>
        <v>0</v>
      </c>
      <c r="Y33" s="17">
        <v>0</v>
      </c>
      <c r="Z33" s="11"/>
      <c r="AC33" s="10"/>
      <c r="AD33" s="16"/>
      <c r="AE33" s="16" t="s">
        <v>10</v>
      </c>
      <c r="AF33" s="17">
        <f>COUNTIFS($B$1:$B$50,"p",$E$1:$E$50,"pendek",$C$1:$C$50,"b")</f>
        <v>5</v>
      </c>
      <c r="AG33" s="17">
        <f>COUNTIFS($B$1:$B$50,"p",$E$1:$E$50,"pendek",$F$1:$F$50,"lebih",$C$1:$C$50,"b")</f>
        <v>0</v>
      </c>
      <c r="AH33" s="17">
        <f>COUNTIFS($B$1:$B$50,"p",$E$1:$E$50,"pendek",$F$1:$F$50,"normal",$C$1:$C$50,"b")</f>
        <v>4</v>
      </c>
      <c r="AI33" s="17">
        <f>COUNTIFS($B$1:$B$50,"p",$E$1:$E$50,"pendek",$F$1:$F$50,"kurang",$C$1:$C$50,"b")</f>
        <v>1</v>
      </c>
      <c r="AJ33" s="17">
        <f>((-AH33/AF33)*IMLOG2(AH33/AF33)+(-AI33/AF33)*IMLOG2(AI33/AF33))</f>
        <v>0.721928094887362</v>
      </c>
      <c r="AK33" s="11"/>
    </row>
    <row r="34" spans="2:37">
      <c r="B34" s="1" t="s">
        <v>172</v>
      </c>
      <c r="C34" s="1" t="s">
        <v>140</v>
      </c>
      <c r="D34" s="1" t="s">
        <v>135</v>
      </c>
      <c r="E34" s="1" t="s">
        <v>135</v>
      </c>
      <c r="F34" s="1" t="s">
        <v>135</v>
      </c>
      <c r="H34" s="10"/>
      <c r="I34" s="16" t="s">
        <v>4</v>
      </c>
      <c r="J34" s="16" t="s">
        <v>140</v>
      </c>
      <c r="K34" s="17">
        <f>COUNTIFS($C$1:$C$50,"A",$E$1:$E$50,"normal",$D$1:$D$50,"NORMAL")</f>
        <v>5</v>
      </c>
      <c r="L34" s="17">
        <f>COUNTIFS($C$1:$C$50,"A",$E$1:$E$50,"normal",$F$1:$F$50,"lebih",$D$1:$D$50,"NORMAL")</f>
        <v>1</v>
      </c>
      <c r="M34" s="17">
        <f>COUNTIFS($C$1:$C$50,"A",$E$1:$E$50,"normal",$F$1:$F$50,"normal",$D$1:$D$50,"NORMAL")</f>
        <v>4</v>
      </c>
      <c r="N34" s="17">
        <f>COUNTIFS($C$1:$C$50,"A",$E$1:$E$50,"normal",$F$1:$F$50,"kurang",$D$1:$D$50,"NORMAL")</f>
        <v>0</v>
      </c>
      <c r="O34" s="17">
        <f t="shared" si="3"/>
        <v>0.721928094887362</v>
      </c>
      <c r="P34" s="11">
        <f>(O30)-((K34/K31*O34)+(K35/K31*O35)+(K36/K31*O36))</f>
        <v>0.122670389477097</v>
      </c>
      <c r="R34" s="10"/>
      <c r="S34" s="16" t="s">
        <v>4</v>
      </c>
      <c r="T34" s="16" t="s">
        <v>140</v>
      </c>
      <c r="U34" s="17">
        <v>1</v>
      </c>
      <c r="V34" s="17">
        <f>COUNTIFS($C$1:$C$50,"A",$E$1:$E$50,"normal",$F$1:$F$50,"lebih",$D$1:$D$50,"lebih")</f>
        <v>0</v>
      </c>
      <c r="W34" s="17">
        <f>COUNTIFS($C$1:$C$50,"A",$E$1:$E$50,"normal",$F$1:$F$50,"normal",$D$1:$D$50,"lebih")</f>
        <v>0</v>
      </c>
      <c r="X34" s="17">
        <f>COUNTIFS($C$1:$C$50,"A",$E$1:$E$50,"normal",$F$1:$F$50,"kurang",$D$1:$D$50,"lebih")</f>
        <v>0</v>
      </c>
      <c r="Y34" s="17">
        <v>0</v>
      </c>
      <c r="Z34" s="11">
        <f>(Y30)-((U34/U31*Y34)+(U35/U31*Y35)+(U36/U31*Y36))</f>
        <v>0.817633856899831</v>
      </c>
      <c r="AC34" s="10"/>
      <c r="AD34" s="16" t="s">
        <v>5</v>
      </c>
      <c r="AE34" s="16" t="s">
        <v>147</v>
      </c>
      <c r="AF34" s="17">
        <f>COUNTIFS($D$1:$D$50,"LEBIH",$E$1:$E$50,"pendek",$C$1:$C$50,"b")</f>
        <v>0</v>
      </c>
      <c r="AG34" s="17">
        <f>COUNTIFS($D$1:$D$50,"LEBIH",$E$1:$E$50,"pendek",$F$1:$F$50,"lebih",$C$1:$C$50,"b")</f>
        <v>0</v>
      </c>
      <c r="AH34" s="17">
        <f>COUNTIFS($D$1:$D$50,"LEBIH",$E$1:$E$50,"pendek",$F$1:$F$50,"normal",$C$1:$C$50,"b")</f>
        <v>0</v>
      </c>
      <c r="AI34" s="17">
        <f>COUNTIFS($D$1:$D$50,"LEBIH",$E$1:$E$50,"pendek",$F$1:$F$50,"kurang",$C$1:$C$50,"b")</f>
        <v>0</v>
      </c>
      <c r="AJ34" s="17">
        <v>0</v>
      </c>
      <c r="AK34" s="11">
        <f>($AJ$30)-((AF34/$AF$31*AJ34)+(AF35/$AF$31*AJ35))</f>
        <v>0.274069413700235</v>
      </c>
    </row>
    <row r="35" spans="2:37">
      <c r="B35" s="1" t="s">
        <v>172</v>
      </c>
      <c r="C35" s="1" t="s">
        <v>140</v>
      </c>
      <c r="D35" s="1" t="s">
        <v>135</v>
      </c>
      <c r="E35" s="1" t="s">
        <v>135</v>
      </c>
      <c r="F35" s="1" t="s">
        <v>135</v>
      </c>
      <c r="H35" s="10"/>
      <c r="I35" s="16"/>
      <c r="J35" s="16" t="s">
        <v>68</v>
      </c>
      <c r="K35" s="17">
        <f>COUNTIFS($C$1:$C$50,"B",$E$1:$E$50,"normal",$D$1:$D$50,"NORMAL")</f>
        <v>15</v>
      </c>
      <c r="L35" s="17">
        <f>COUNTIFS($C$1:$C$50,"B",$E$1:$E$50,"normal",$F$1:$F$50,"lebih",$D$1:$D$50,"NORMAL")</f>
        <v>3</v>
      </c>
      <c r="M35" s="17">
        <f>COUNTIFS($C$1:$C$50,"B",$E$1:$E$50,"normal",$F$1:$F$50,"normal",$D$1:$D$50,"NORMAL")</f>
        <v>12</v>
      </c>
      <c r="N35" s="17">
        <f>COUNTIFS($C$1:$C$50,"B",$E$1:$E$50,"normal",$F$1:$F$50,"kurang",$D$1:$D$50,"NORMAL")</f>
        <v>0</v>
      </c>
      <c r="O35" s="17">
        <f t="shared" si="3"/>
        <v>0.721928094887362</v>
      </c>
      <c r="P35" s="11"/>
      <c r="R35" s="10"/>
      <c r="S35" s="16"/>
      <c r="T35" s="16" t="s">
        <v>68</v>
      </c>
      <c r="U35" s="17">
        <f>COUNTIFS($C$1:$C$50,"B",$E$1:$E$50,"normal",$D$1:$D$50,"lebih")</f>
        <v>1</v>
      </c>
      <c r="V35" s="17">
        <f>COUNTIFS($C$1:$C$50,"B",$E$1:$E$50,"normal",$F$1:$F$50,"lebih",$D$1:$D$50,"lebih")</f>
        <v>0</v>
      </c>
      <c r="W35" s="17">
        <f>COUNTIFS($C$1:$C$50,"B",$E$1:$E$50,"normal",$F$1:$F$50,"normal",$D$1:$D$50,"lebih")</f>
        <v>1</v>
      </c>
      <c r="X35" s="17">
        <f>COUNTIFS($C$1:$C$50,"B",$E$1:$E$50,"normal",$F$1:$F$50,"kurang",$D$1:$D$50,"lebih")</f>
        <v>0</v>
      </c>
      <c r="Y35" s="17">
        <v>0</v>
      </c>
      <c r="Z35" s="11"/>
      <c r="AC35" s="5"/>
      <c r="AD35" s="17"/>
      <c r="AE35" s="16" t="s">
        <v>161</v>
      </c>
      <c r="AF35" s="17">
        <f>COUNTIFS($D$1:$D$50,"NORMAL",$E$1:$E$50,"pendek",$C$1:$C$50,"b")</f>
        <v>8</v>
      </c>
      <c r="AG35" s="17">
        <f>COUNTIFS($D$1:$D$50,"NORMAL",$E$1:$E$50,"pendek",$F$1:$F$50,"lebih",$C$1:$C$50,"b")</f>
        <v>0</v>
      </c>
      <c r="AH35" s="17">
        <f>COUNTIFS($D$1:$D$50,"NORMAL",$E$1:$E$50,"pendek",$F$1:$F$50,"normal",$C$1:$C$50,"b")</f>
        <v>7</v>
      </c>
      <c r="AI35" s="17">
        <f>COUNTIFS($D$1:$D$50,"NORMAL",$E$1:$E$50,"pendek",$F$1:$F$50,"kurang",$C$1:$C$50,"b")</f>
        <v>1</v>
      </c>
      <c r="AJ35" s="17">
        <f>((-AH35/AF35)*IMLOG2(AH35/AF35)+(-AI35/AF35)*IMLOG2(AI35/AF35))</f>
        <v>0.543564443199597</v>
      </c>
      <c r="AK35" s="11"/>
    </row>
    <row r="36" spans="2:37">
      <c r="B36" s="1" t="s">
        <v>172</v>
      </c>
      <c r="C36" s="1" t="s">
        <v>68</v>
      </c>
      <c r="D36" s="1" t="s">
        <v>135</v>
      </c>
      <c r="E36" s="1" t="s">
        <v>135</v>
      </c>
      <c r="F36" s="1" t="s">
        <v>135</v>
      </c>
      <c r="H36" s="10"/>
      <c r="I36" s="16"/>
      <c r="J36" s="16" t="s">
        <v>141</v>
      </c>
      <c r="K36" s="17">
        <f>COUNTIFS($C$1:$C$50,"C",$E$1:$E$50,"normal",$D$1:$D$50,"NORMAL")</f>
        <v>12</v>
      </c>
      <c r="L36" s="17">
        <f>COUNTIFS($C$1:$C$50,"C",$E$1:$E$50,"normal",$F$1:$F$50,"lebih",$D$1:$D$50,"NORMAL")</f>
        <v>2</v>
      </c>
      <c r="M36" s="17">
        <f>COUNTIFS($C$1:$C$50,"C",$E$1:$E$50,"normal",$F$1:$F$50,"normal",$D$1:$D$50,"NORMAL")</f>
        <v>10</v>
      </c>
      <c r="N36" s="17">
        <f>COUNTIFS($C$1:$C$50,"C",$E$1:$E$50,"normal",$F$1:$F$50,"kurang",$D$1:$D$50,"NORMAL")</f>
        <v>0</v>
      </c>
      <c r="O36" s="17">
        <f t="shared" si="3"/>
        <v>0.650022421648355</v>
      </c>
      <c r="P36" s="11"/>
      <c r="R36" s="10"/>
      <c r="S36" s="16"/>
      <c r="T36" s="16" t="s">
        <v>141</v>
      </c>
      <c r="U36" s="17">
        <f>COUNTIFS($C$1:$C$50,"C",$E$1:$E$50,"normal",$D$1:$D$50,"lebih")</f>
        <v>1</v>
      </c>
      <c r="V36" s="17">
        <f>COUNTIFS($C$1:$C$50,"C",$E$1:$E$50,"normal",$F$1:$F$50,"lebih",$D$1:$D$50,"lebih")</f>
        <v>1</v>
      </c>
      <c r="W36" s="17">
        <f>COUNTIFS($C$1:$C$50,"C",$E$1:$E$50,"normal",$F$1:$F$50,"normal",$D$1:$D$50,"lebih")</f>
        <v>0</v>
      </c>
      <c r="X36" s="17">
        <f>COUNTIFS($C$1:$C$50,"C",$E$1:$E$50,"normal",$F$1:$F$50,"kurang",$D$1:$D$50,"lebih")</f>
        <v>0</v>
      </c>
      <c r="Y36" s="17">
        <v>0</v>
      </c>
      <c r="Z36" s="11"/>
      <c r="AC36" s="10"/>
      <c r="AD36" s="16"/>
      <c r="AE36" s="16" t="s">
        <v>162</v>
      </c>
      <c r="AF36" s="17">
        <f>COUNTIFS($D$1:$D$50,"KURUS",$E$1:$E$50,"pendek",$C$1:$C$50,"b")</f>
        <v>0</v>
      </c>
      <c r="AG36" s="17">
        <f>COUNTIFS($D$1:$D$50,"KURUS",$E$1:$E$50,"pendek",$F$1:$F$50,"lebih",$C$1:$C$50,"b")</f>
        <v>0</v>
      </c>
      <c r="AH36" s="17">
        <f>COUNTIFS($D$1:$D$50,"KURUS",$E$1:$E$50,"pendek",$F$1:$F$50,"normal",$C$1:$C$50,"b")</f>
        <v>0</v>
      </c>
      <c r="AI36" s="17">
        <f>COUNTIFS($D$1:$D$50,"KURUS",$E$1:$E$50,"pendek",$F$1:$F$50,"kurang",$C$1:$C$50,"b")</f>
        <v>0</v>
      </c>
      <c r="AJ36" s="19">
        <v>0</v>
      </c>
      <c r="AK36" s="11"/>
    </row>
    <row r="37" spans="2:16">
      <c r="B37" s="1" t="s">
        <v>172</v>
      </c>
      <c r="C37" s="1" t="s">
        <v>68</v>
      </c>
      <c r="D37" s="1" t="s">
        <v>135</v>
      </c>
      <c r="E37" s="1" t="s">
        <v>156</v>
      </c>
      <c r="F37" s="1" t="s">
        <v>135</v>
      </c>
      <c r="H37" s="12"/>
      <c r="I37" s="18"/>
      <c r="J37" s="18"/>
      <c r="K37" s="9"/>
      <c r="L37" s="9"/>
      <c r="M37" s="9"/>
      <c r="N37" s="9"/>
      <c r="O37" s="9"/>
      <c r="P37" s="21"/>
    </row>
    <row r="38" spans="2:37">
      <c r="B38" s="1" t="s">
        <v>172</v>
      </c>
      <c r="C38" s="1" t="s">
        <v>68</v>
      </c>
      <c r="D38" s="1" t="s">
        <v>135</v>
      </c>
      <c r="E38" s="1" t="s">
        <v>156</v>
      </c>
      <c r="F38" s="1" t="s">
        <v>135</v>
      </c>
      <c r="H38" s="6" t="s">
        <v>183</v>
      </c>
      <c r="I38" s="6"/>
      <c r="J38" s="6"/>
      <c r="K38" s="6"/>
      <c r="L38" s="6"/>
      <c r="M38" s="6"/>
      <c r="N38" s="6"/>
      <c r="O38" s="6"/>
      <c r="P38" s="6"/>
      <c r="R38" s="22"/>
      <c r="S38" s="22"/>
      <c r="T38" s="22"/>
      <c r="U38" s="22"/>
      <c r="V38" s="22"/>
      <c r="W38" s="22"/>
      <c r="X38" s="22"/>
      <c r="Y38" s="22"/>
      <c r="Z38" s="22"/>
      <c r="AC38" s="6" t="s">
        <v>184</v>
      </c>
      <c r="AD38" s="6"/>
      <c r="AE38" s="6"/>
      <c r="AF38" s="6"/>
      <c r="AG38" s="6"/>
      <c r="AH38" s="6"/>
      <c r="AI38" s="6"/>
      <c r="AJ38" s="6"/>
      <c r="AK38" s="6"/>
    </row>
    <row r="39" spans="2:37">
      <c r="B39" s="1" t="s">
        <v>172</v>
      </c>
      <c r="C39" s="1" t="s">
        <v>68</v>
      </c>
      <c r="D39" s="1" t="s">
        <v>135</v>
      </c>
      <c r="E39" s="1" t="s">
        <v>135</v>
      </c>
      <c r="F39" s="1" t="s">
        <v>135</v>
      </c>
      <c r="H39" s="8" t="s">
        <v>151</v>
      </c>
      <c r="I39" s="15" t="s">
        <v>152</v>
      </c>
      <c r="J39" s="15"/>
      <c r="K39" s="15" t="s">
        <v>153</v>
      </c>
      <c r="L39" s="15" t="s">
        <v>150</v>
      </c>
      <c r="M39" s="15" t="s">
        <v>135</v>
      </c>
      <c r="N39" s="15" t="s">
        <v>149</v>
      </c>
      <c r="O39" s="15" t="s">
        <v>154</v>
      </c>
      <c r="P39" s="15" t="s">
        <v>155</v>
      </c>
      <c r="R39" s="23"/>
      <c r="S39" s="24"/>
      <c r="T39" s="24"/>
      <c r="U39" s="24"/>
      <c r="V39" s="24"/>
      <c r="W39" s="24"/>
      <c r="X39" s="24"/>
      <c r="Y39" s="24"/>
      <c r="Z39" s="24"/>
      <c r="AC39" s="8" t="s">
        <v>151</v>
      </c>
      <c r="AD39" s="15" t="s">
        <v>152</v>
      </c>
      <c r="AE39" s="15"/>
      <c r="AF39" s="15" t="s">
        <v>153</v>
      </c>
      <c r="AG39" s="15" t="s">
        <v>150</v>
      </c>
      <c r="AH39" s="15" t="s">
        <v>135</v>
      </c>
      <c r="AI39" s="15" t="s">
        <v>149</v>
      </c>
      <c r="AJ39" s="15" t="s">
        <v>154</v>
      </c>
      <c r="AK39" s="15" t="s">
        <v>155</v>
      </c>
    </row>
    <row r="40" spans="2:37">
      <c r="B40" s="1" t="s">
        <v>172</v>
      </c>
      <c r="C40" s="1" t="s">
        <v>68</v>
      </c>
      <c r="D40" s="1" t="s">
        <v>135</v>
      </c>
      <c r="E40" s="1" t="s">
        <v>135</v>
      </c>
      <c r="F40" s="1" t="s">
        <v>135</v>
      </c>
      <c r="H40" s="10" t="s">
        <v>185</v>
      </c>
      <c r="I40" s="16" t="s">
        <v>157</v>
      </c>
      <c r="J40" s="17"/>
      <c r="K40" s="17">
        <v>50</v>
      </c>
      <c r="L40" s="17">
        <v>7</v>
      </c>
      <c r="M40" s="17">
        <v>41</v>
      </c>
      <c r="N40" s="17">
        <v>2</v>
      </c>
      <c r="O40" s="17">
        <f>((-M40/K40)*IMLOG2(M40/K40)+(-N40/K40)*IMLOG2(N40/K40)+(-L40/K40)*IMLOG2(L40/K40))</f>
        <v>0.817633856899831</v>
      </c>
      <c r="P40" s="11"/>
      <c r="R40" s="25"/>
      <c r="S40" s="26"/>
      <c r="T40" s="27"/>
      <c r="U40" s="27"/>
      <c r="V40" s="27"/>
      <c r="W40" s="27"/>
      <c r="X40" s="27"/>
      <c r="Y40" s="27"/>
      <c r="Z40" s="28"/>
      <c r="AC40" s="10" t="s">
        <v>186</v>
      </c>
      <c r="AD40" s="16" t="s">
        <v>157</v>
      </c>
      <c r="AE40" s="17"/>
      <c r="AF40" s="17">
        <v>50</v>
      </c>
      <c r="AG40" s="17">
        <v>7</v>
      </c>
      <c r="AH40" s="17">
        <v>41</v>
      </c>
      <c r="AI40" s="17">
        <v>2</v>
      </c>
      <c r="AJ40" s="17">
        <f>((-AH40/AF40)*IMLOG2(AH40/AF40)+(-AI40/AF40)*IMLOG2(AI40/AF40)+(-AG40/AF40)*IMLOG2(AG40/AF40))</f>
        <v>0.817633856899831</v>
      </c>
      <c r="AK40" s="11"/>
    </row>
    <row r="41" spans="2:37">
      <c r="B41" s="1" t="s">
        <v>172</v>
      </c>
      <c r="C41" s="1" t="s">
        <v>68</v>
      </c>
      <c r="D41" s="1" t="s">
        <v>150</v>
      </c>
      <c r="E41" s="1" t="s">
        <v>135</v>
      </c>
      <c r="F41" s="1" t="s">
        <v>135</v>
      </c>
      <c r="H41" s="11"/>
      <c r="I41" s="17" t="s">
        <v>4</v>
      </c>
      <c r="J41" s="17" t="s">
        <v>140</v>
      </c>
      <c r="K41" s="17">
        <f>COUNTIFS($E$1:$E$50,"normal",$D$1:$D$50,"NORMAL",$C$1:$C$50,"a")</f>
        <v>5</v>
      </c>
      <c r="L41" s="11"/>
      <c r="M41" s="11"/>
      <c r="N41" s="11"/>
      <c r="O41" s="11"/>
      <c r="P41" s="11"/>
      <c r="R41" s="25"/>
      <c r="S41" s="26"/>
      <c r="T41" s="26"/>
      <c r="U41" s="27"/>
      <c r="V41" s="28"/>
      <c r="W41" s="28"/>
      <c r="X41" s="28"/>
      <c r="Y41" s="28"/>
      <c r="Z41" s="28"/>
      <c r="AC41" s="11"/>
      <c r="AD41" s="17" t="s">
        <v>159</v>
      </c>
      <c r="AE41" s="17" t="s">
        <v>10</v>
      </c>
      <c r="AF41" s="17">
        <f>COUNTIFS($E$1:$E$50,"pendek",$C$1:$C$50,"b",$B$1:$B$50,"P")</f>
        <v>5</v>
      </c>
      <c r="AG41" s="11"/>
      <c r="AH41" s="11"/>
      <c r="AI41" s="11"/>
      <c r="AJ41" s="11"/>
      <c r="AK41" s="11"/>
    </row>
    <row r="42" spans="2:37">
      <c r="B42" s="1" t="s">
        <v>172</v>
      </c>
      <c r="C42" s="1" t="s">
        <v>68</v>
      </c>
      <c r="D42" s="1" t="s">
        <v>135</v>
      </c>
      <c r="E42" s="1" t="s">
        <v>135</v>
      </c>
      <c r="F42" s="1" t="s">
        <v>150</v>
      </c>
      <c r="H42" s="10"/>
      <c r="I42" s="16" t="s">
        <v>159</v>
      </c>
      <c r="J42" s="16" t="s">
        <v>14</v>
      </c>
      <c r="K42" s="17">
        <f>COUNTIFS($B$1:$B$50,"L",$E$1:$E$50,"normal",$D$1:$D$50,"NORMAL",$C$1:$C$50,"A")</f>
        <v>5</v>
      </c>
      <c r="L42" s="17">
        <f>COUNTIFS($B$1:$B$50,"L",$E$1:$E$50,"normal",$F$1:$F$50,"lebih",$D$1:$D$50,"NORMAL",$C$1:$C$50,"A")</f>
        <v>1</v>
      </c>
      <c r="M42" s="17">
        <f>COUNTIFS($B$1:$B$50,"L",$E$1:$E$50,"normal",$F$1:$F$50,"normal",$D$1:$D$50,"NORMAL",$C$1:$C$50,"A")</f>
        <v>4</v>
      </c>
      <c r="N42" s="17">
        <f>COUNTIFS($B$1:$B$50,"L",$E$1:$E$50,"normal",$F$1:$F$50,"kurang",$D$1:$D$50,"NORMAL",$C$1:$C$50,"A")</f>
        <v>0</v>
      </c>
      <c r="O42" s="17">
        <f>((-M42/K42)*IMLOG2(M42/K42)+(-L42/K42)*IMLOG2(L42/K42))</f>
        <v>0.721928094887362</v>
      </c>
      <c r="P42" s="11">
        <f>(O40)-((K42/K41*O42)+(K43/K41*O43))</f>
        <v>0.0957057620124694</v>
      </c>
      <c r="R42" s="25"/>
      <c r="S42" s="26"/>
      <c r="T42" s="26"/>
      <c r="U42" s="27"/>
      <c r="V42" s="27"/>
      <c r="W42" s="27"/>
      <c r="X42" s="27"/>
      <c r="Y42" s="27"/>
      <c r="Z42" s="28"/>
      <c r="AC42" s="10"/>
      <c r="AD42" s="16" t="s">
        <v>5</v>
      </c>
      <c r="AE42" s="16" t="s">
        <v>147</v>
      </c>
      <c r="AF42" s="17">
        <f>COUNTIFS($D$1:$D$50,"LEBIH",$E$1:$E$50,"pendek",$C$1:$C$50,"b",$B$1:$B$50,"P")</f>
        <v>0</v>
      </c>
      <c r="AG42" s="17">
        <f>COUNTIFS($D$1:$D$50,"LEBIH",$E$1:$E$50,"pendek",$F$1:$F$50,"lebih",$C$1:$C$50,"b",$B$1:$B$50,"P")</f>
        <v>0</v>
      </c>
      <c r="AH42" s="17">
        <f>COUNTIFS($D$1:$D$50,"LEBIH",$E$1:$E$50,"pendek",$F$1:$F$50,"normal",$C$1:$C$50,"b",$B$1:$B$50,"P")</f>
        <v>0</v>
      </c>
      <c r="AI42" s="17">
        <f>COUNTIFS($D$1:$D$50,"LEBIH",$E$1:$E$50,"pendek",$F$1:$F$50,"kurang",$C$1:$C$50,"b",$B$1:$B$50,"P")</f>
        <v>0</v>
      </c>
      <c r="AJ42" s="17">
        <v>0</v>
      </c>
      <c r="AK42" s="11">
        <f>($AJ$40)-((AF42/$AF$41*AJ42)+(AF43/$AF$41*AJ43))</f>
        <v>0.0957057620124694</v>
      </c>
    </row>
    <row r="43" spans="2:37">
      <c r="B43" s="1" t="s">
        <v>172</v>
      </c>
      <c r="C43" s="1" t="s">
        <v>141</v>
      </c>
      <c r="D43" s="1" t="s">
        <v>150</v>
      </c>
      <c r="E43" s="1" t="s">
        <v>135</v>
      </c>
      <c r="F43" s="1" t="s">
        <v>150</v>
      </c>
      <c r="H43" s="10"/>
      <c r="I43" s="16"/>
      <c r="J43" s="16" t="s">
        <v>10</v>
      </c>
      <c r="K43" s="17">
        <f>COUNTIFS($B$1:$B$50,"P",$E$1:$E$50,"normal",$D$1:$D$50,"NORMAL",$C$1:$C$50,"A")</f>
        <v>0</v>
      </c>
      <c r="L43" s="17">
        <f>COUNTIFS($B$1:$B$50,"p",$E$1:$E$50,"normal",$F$1:$F$50,"lebih",$D$1:$D$50,"NORMAL",$C$1:$C$50,"A")</f>
        <v>0</v>
      </c>
      <c r="M43" s="17">
        <f>COUNTIFS($B$1:$B$50,"p",$E$1:$E$50,"normal",$F$1:$F$50,"normal",$D$1:$D$50,"NORMAL",$C$1:$C$50,"A")</f>
        <v>0</v>
      </c>
      <c r="N43" s="17">
        <f>COUNTIFS($B$1:$B$50,"p",$E$1:$E$50,"normal",$F$1:$F$50,"kurang",$D$1:$D$50,"NORMAL",$C$1:$C$50,"A")</f>
        <v>0</v>
      </c>
      <c r="O43" s="17">
        <v>0</v>
      </c>
      <c r="P43" s="11"/>
      <c r="R43" s="25"/>
      <c r="S43" s="26"/>
      <c r="T43" s="26"/>
      <c r="U43" s="27"/>
      <c r="V43" s="27"/>
      <c r="W43" s="27"/>
      <c r="X43" s="27"/>
      <c r="Y43" s="27"/>
      <c r="Z43" s="28"/>
      <c r="AC43" s="5"/>
      <c r="AD43" s="17"/>
      <c r="AE43" s="16" t="s">
        <v>161</v>
      </c>
      <c r="AF43" s="17">
        <f>COUNTIFS($D$1:$D$50,"NORMAL",$E$1:$E$50,"pendek",$C$1:$C$50,"b",$B$1:$B$50,"P")</f>
        <v>5</v>
      </c>
      <c r="AG43" s="17">
        <f>COUNTIFS($D$1:$D$50,"NORMAL",$E$1:$E$50,"pendek",$F$1:$F$50,"lebih",$C$1:$C$50,"b",$B$1:$B$50,"P")</f>
        <v>0</v>
      </c>
      <c r="AH43" s="17">
        <f>COUNTIFS($D$1:$D$50,"NORMAL",$E$1:$E$50,"pendek",$F$1:$F$50,"normal",$C$1:$C$50,"b",$B$1:$B$50,"P")</f>
        <v>4</v>
      </c>
      <c r="AI43" s="17">
        <f>COUNTIFS($D$1:$D$50,"NORMAL",$E$1:$E$50,"pendek",$F$1:$F$50,"kurang",$C$1:$C$50,"b",$B$1:$B$50,"P")</f>
        <v>1</v>
      </c>
      <c r="AJ43" s="17">
        <f>((-AH43/AF43)*IMLOG2(AH43/AF43)+(-AI43/AF43)*IMLOG2(AI43/AF43))</f>
        <v>0.721928094887362</v>
      </c>
      <c r="AK43" s="11"/>
    </row>
    <row r="44" spans="2:37">
      <c r="B44" s="1" t="s">
        <v>172</v>
      </c>
      <c r="C44" s="1" t="s">
        <v>141</v>
      </c>
      <c r="D44" s="1" t="s">
        <v>135</v>
      </c>
      <c r="E44" s="1" t="s">
        <v>135</v>
      </c>
      <c r="F44" s="1" t="s">
        <v>150</v>
      </c>
      <c r="H44" s="12"/>
      <c r="I44" s="18"/>
      <c r="J44" s="18"/>
      <c r="K44" s="9"/>
      <c r="L44" s="9"/>
      <c r="M44" s="9"/>
      <c r="N44" s="9"/>
      <c r="O44" s="9"/>
      <c r="P44" s="21"/>
      <c r="R44" s="25"/>
      <c r="S44" s="26"/>
      <c r="T44" s="26"/>
      <c r="U44" s="27"/>
      <c r="V44" s="27"/>
      <c r="W44" s="27"/>
      <c r="X44" s="27"/>
      <c r="Y44" s="27"/>
      <c r="Z44" s="28"/>
      <c r="AC44" s="10"/>
      <c r="AD44" s="16"/>
      <c r="AE44" s="16" t="s">
        <v>162</v>
      </c>
      <c r="AF44" s="17">
        <f>COUNTIFS($D$1:$D$50,"KURUS",$E$1:$E$50,"pendek",$C$1:$C$50,"b",$B$1:$B$50,"P")</f>
        <v>0</v>
      </c>
      <c r="AG44" s="17">
        <f>COUNTIFS($D$1:$D$50,"KURUS",$E$1:$E$50,"pendek",$F$1:$F$50,"lebih",$C$1:$C$50,"b",$B$1:$B$50,"P")</f>
        <v>0</v>
      </c>
      <c r="AH44" s="17">
        <f>COUNTIFS($D$1:$D$50,"KURUS",$E$1:$E$50,"pendek",$F$1:$F$50,"normal",$C$1:$C$50,"b",$B$1:$B$50,"P")</f>
        <v>0</v>
      </c>
      <c r="AI44" s="17">
        <f>COUNTIFS($D$1:$D$50,"KURUS",$E$1:$E$50,"pendek",$F$1:$F$50,"kurang",$C$1:$C$50,"b",$B$1:$B$50,"P")</f>
        <v>0</v>
      </c>
      <c r="AJ44" s="19">
        <v>0</v>
      </c>
      <c r="AK44" s="11"/>
    </row>
    <row r="45" spans="2:16">
      <c r="B45" s="1" t="s">
        <v>172</v>
      </c>
      <c r="C45" s="1" t="s">
        <v>141</v>
      </c>
      <c r="D45" s="1" t="s">
        <v>135</v>
      </c>
      <c r="E45" s="1" t="s">
        <v>135</v>
      </c>
      <c r="F45" s="1" t="s">
        <v>135</v>
      </c>
      <c r="H45" s="6" t="s">
        <v>187</v>
      </c>
      <c r="I45" s="6"/>
      <c r="J45" s="6"/>
      <c r="K45" s="6"/>
      <c r="L45" s="6"/>
      <c r="M45" s="6"/>
      <c r="N45" s="6"/>
      <c r="O45" s="6"/>
      <c r="P45" s="6"/>
    </row>
    <row r="46" spans="2:26">
      <c r="B46" s="1" t="s">
        <v>172</v>
      </c>
      <c r="C46" s="1" t="s">
        <v>141</v>
      </c>
      <c r="D46" s="1" t="s">
        <v>135</v>
      </c>
      <c r="E46" s="1" t="s">
        <v>135</v>
      </c>
      <c r="F46" s="1" t="s">
        <v>135</v>
      </c>
      <c r="H46" s="8" t="s">
        <v>151</v>
      </c>
      <c r="I46" s="15" t="s">
        <v>152</v>
      </c>
      <c r="J46" s="15"/>
      <c r="K46" s="15" t="s">
        <v>153</v>
      </c>
      <c r="L46" s="15" t="s">
        <v>150</v>
      </c>
      <c r="M46" s="15" t="s">
        <v>135</v>
      </c>
      <c r="N46" s="15" t="s">
        <v>149</v>
      </c>
      <c r="O46" s="15" t="s">
        <v>154</v>
      </c>
      <c r="P46" s="15" t="s">
        <v>155</v>
      </c>
      <c r="R46" s="12"/>
      <c r="S46" s="21"/>
      <c r="T46" s="21"/>
      <c r="U46" s="21"/>
      <c r="V46" s="21"/>
      <c r="W46" s="21"/>
      <c r="X46" s="21"/>
      <c r="Y46" s="21"/>
      <c r="Z46" s="21"/>
    </row>
    <row r="47" spans="2:16">
      <c r="B47" s="1" t="s">
        <v>172</v>
      </c>
      <c r="C47" s="1" t="s">
        <v>141</v>
      </c>
      <c r="D47" s="1" t="s">
        <v>135</v>
      </c>
      <c r="E47" s="1" t="s">
        <v>135</v>
      </c>
      <c r="F47" s="1" t="s">
        <v>135</v>
      </c>
      <c r="H47" s="10" t="s">
        <v>188</v>
      </c>
      <c r="I47" s="16" t="s">
        <v>157</v>
      </c>
      <c r="J47" s="17"/>
      <c r="K47" s="17">
        <v>50</v>
      </c>
      <c r="L47" s="17">
        <v>7</v>
      </c>
      <c r="M47" s="17">
        <v>41</v>
      </c>
      <c r="N47" s="17">
        <v>2</v>
      </c>
      <c r="O47" s="17">
        <f>((-M47/K47)*IMLOG2(M47/K47)+(-N47/K47)*IMLOG2(N47/K47)+(-L47/K47)*IMLOG2(L47/K47))</f>
        <v>0.817633856899831</v>
      </c>
      <c r="P47" s="11"/>
    </row>
    <row r="48" spans="2:16">
      <c r="B48" s="1" t="s">
        <v>172</v>
      </c>
      <c r="C48" s="1" t="s">
        <v>141</v>
      </c>
      <c r="D48" s="1" t="s">
        <v>135</v>
      </c>
      <c r="E48" s="1" t="s">
        <v>135</v>
      </c>
      <c r="F48" s="1" t="s">
        <v>135</v>
      </c>
      <c r="H48" s="11"/>
      <c r="I48" s="17" t="s">
        <v>4</v>
      </c>
      <c r="J48" s="17" t="s">
        <v>68</v>
      </c>
      <c r="K48" s="17">
        <f>COUNTIFS($E$1:$E$50,"normal",$D$1:$D$50,"NORMAL",$C$1:$C$50,"b")</f>
        <v>15</v>
      </c>
      <c r="L48" s="11"/>
      <c r="M48" s="11"/>
      <c r="N48" s="11"/>
      <c r="O48" s="11"/>
      <c r="P48" s="11"/>
    </row>
    <row r="49" spans="2:16">
      <c r="B49" s="1" t="s">
        <v>172</v>
      </c>
      <c r="C49" s="1" t="s">
        <v>141</v>
      </c>
      <c r="D49" s="1" t="s">
        <v>135</v>
      </c>
      <c r="E49" s="1" t="s">
        <v>156</v>
      </c>
      <c r="F49" s="1" t="s">
        <v>135</v>
      </c>
      <c r="H49" s="10"/>
      <c r="I49" s="16" t="s">
        <v>159</v>
      </c>
      <c r="J49" s="16" t="s">
        <v>14</v>
      </c>
      <c r="K49" s="17">
        <f>COUNTIFS($B$1:$B$50,"L",$E$1:$E$50,"normal",$D$1:$D$50,"NORMAL",$C$1:$C$50,"b")</f>
        <v>4</v>
      </c>
      <c r="L49" s="17">
        <f>COUNTIFS($B$1:$B$50,"L",$E$1:$E$50,"normal",$F$1:$F$50,"lebih",$D$1:$D$50,"NORMAL",$C$1:$C$50,"b")</f>
        <v>1</v>
      </c>
      <c r="M49" s="17">
        <f>COUNTIFS($B$1:$B$50,"L",$E$1:$E$50,"normal",$F$1:$F$50,"normal",$D$1:$D$50,"NORMAL",$C$1:$C$50,"b")</f>
        <v>3</v>
      </c>
      <c r="N49" s="17">
        <f>COUNTIFS($B$1:$B$50,"L",$E$1:$E$50,"normal",$F$1:$F$50,"kurang",$D$1:$D$50,"NORMAL",$C$1:$C$50,"b")</f>
        <v>0</v>
      </c>
      <c r="O49" s="17">
        <v>0</v>
      </c>
      <c r="P49" s="11">
        <f>(O47)-((K49/K48*O49)+(K50/K48*O50))</f>
        <v>0.316005670764533</v>
      </c>
    </row>
    <row r="50" spans="2:16">
      <c r="B50" s="1" t="s">
        <v>172</v>
      </c>
      <c r="C50" s="1" t="s">
        <v>141</v>
      </c>
      <c r="D50" s="1" t="s">
        <v>135</v>
      </c>
      <c r="E50" s="1" t="s">
        <v>135</v>
      </c>
      <c r="F50" s="1" t="s">
        <v>135</v>
      </c>
      <c r="H50" s="10"/>
      <c r="I50" s="16"/>
      <c r="J50" s="16" t="s">
        <v>10</v>
      </c>
      <c r="K50" s="17">
        <f>COUNTIFS($B$1:$B$50,"P",$E$1:$E$50,"normal",$D$1:$D$50,"NORMAL",$C$1:$C$50,"b")</f>
        <v>11</v>
      </c>
      <c r="L50" s="17">
        <f>COUNTIFS($B$1:$B$50,"p",$E$1:$E$50,"normal",$F$1:$F$50,"lebih",$D$1:$D$50,"NORMAL",$C$1:$C$50,"b")</f>
        <v>2</v>
      </c>
      <c r="M50" s="17">
        <f>COUNTIFS($B$1:$B$50,"p",$E$1:$E$50,"normal",$F$1:$F$50,"normal",$D$1:$D$50,"NORMAL",$C$1:$C$50,"b")</f>
        <v>9</v>
      </c>
      <c r="N50" s="17">
        <f>COUNTIFS($B$1:$B$50,"p",$E$1:$E$50,"normal",$F$1:$F$50,"kurang",$D$1:$D$50,"NORMAL",$C$1:$C$50,"b")</f>
        <v>0</v>
      </c>
      <c r="O50" s="17">
        <f>((-M50/K50)*IMLOG2(M50/K50)+(-L50/K50)*IMLOG2(L50/K50))</f>
        <v>0.684038435639042</v>
      </c>
      <c r="P50" s="11"/>
    </row>
    <row r="52" spans="8:16">
      <c r="H52" s="6" t="s">
        <v>189</v>
      </c>
      <c r="I52" s="6"/>
      <c r="J52" s="6"/>
      <c r="K52" s="6"/>
      <c r="L52" s="6"/>
      <c r="M52" s="6"/>
      <c r="N52" s="6"/>
      <c r="O52" s="6"/>
      <c r="P52" s="6"/>
    </row>
    <row r="53" spans="8:16">
      <c r="H53" s="8" t="s">
        <v>151</v>
      </c>
      <c r="I53" s="15" t="s">
        <v>152</v>
      </c>
      <c r="J53" s="15"/>
      <c r="K53" s="15" t="s">
        <v>153</v>
      </c>
      <c r="L53" s="15" t="s">
        <v>150</v>
      </c>
      <c r="M53" s="15" t="s">
        <v>135</v>
      </c>
      <c r="N53" s="15" t="s">
        <v>149</v>
      </c>
      <c r="O53" s="15" t="s">
        <v>154</v>
      </c>
      <c r="P53" s="15" t="s">
        <v>155</v>
      </c>
    </row>
    <row r="54" spans="8:16">
      <c r="H54" s="10" t="s">
        <v>190</v>
      </c>
      <c r="I54" s="16" t="s">
        <v>157</v>
      </c>
      <c r="J54" s="17"/>
      <c r="K54" s="17">
        <v>50</v>
      </c>
      <c r="L54" s="17">
        <v>7</v>
      </c>
      <c r="M54" s="17">
        <v>41</v>
      </c>
      <c r="N54" s="17">
        <v>2</v>
      </c>
      <c r="O54" s="17">
        <f>((-M54/K54)*IMLOG2(M54/K54)+(-N54/K54)*IMLOG2(N54/K54)+(-L54/K54)*IMLOG2(L54/K54))</f>
        <v>0.817633856899831</v>
      </c>
      <c r="P54" s="11"/>
    </row>
    <row r="55" spans="8:16">
      <c r="H55" s="11"/>
      <c r="I55" s="17" t="s">
        <v>4</v>
      </c>
      <c r="J55" s="17" t="s">
        <v>68</v>
      </c>
      <c r="K55" s="17">
        <f>COUNTIFS($E$1:$E$50,"normal",$D$1:$D$50,"NORMAL",$C$1:$C$50,"C")</f>
        <v>12</v>
      </c>
      <c r="L55" s="11"/>
      <c r="M55" s="11"/>
      <c r="N55" s="11"/>
      <c r="O55" s="11"/>
      <c r="P55" s="11"/>
    </row>
    <row r="56" spans="8:16">
      <c r="H56" s="10"/>
      <c r="I56" s="16" t="s">
        <v>159</v>
      </c>
      <c r="J56" s="16" t="s">
        <v>14</v>
      </c>
      <c r="K56" s="17">
        <f>COUNTIFS($B$1:$B$50,"L",$E$1:$E$50,"normal",$D$1:$D$50,"NORMAL",$C$1:$C$50,"C")</f>
        <v>6</v>
      </c>
      <c r="L56" s="17">
        <f>COUNTIFS($B$1:$B$50,"L",$E$1:$E$50,"normal",$F$1:$F$50,"lebih",$D$1:$D$50,"NORMAL",$C$1:$C$50,"C")</f>
        <v>1</v>
      </c>
      <c r="M56" s="17">
        <f>COUNTIFS($B$1:$B$50,"L",$E$1:$E$50,"normal",$F$1:$F$50,"normal",$D$1:$D$50,"NORMAL",$C$1:$C$50,"C")</f>
        <v>5</v>
      </c>
      <c r="N56" s="17">
        <f>COUNTIFS($B$1:$B$50,"L",$E$1:$E$50,"normal",$F$1:$F$50,"kurang",$D$1:$D$50,"NORMAL",$C$1:$C$50,"C")</f>
        <v>0</v>
      </c>
      <c r="O56" s="17">
        <f>((-M56/K56)*IMLOG2(M56/K56)+(-L56/K56)*IMLOG2(L56/K56))</f>
        <v>0.650022421648355</v>
      </c>
      <c r="P56" s="11">
        <f>(O54)-((K56/K55*O56)+(K57/K55*O57))</f>
        <v>0.167611435251476</v>
      </c>
    </row>
    <row r="57" spans="8:16">
      <c r="H57" s="10"/>
      <c r="I57" s="16"/>
      <c r="J57" s="16" t="s">
        <v>10</v>
      </c>
      <c r="K57" s="17">
        <f>COUNTIFS($B$1:$B$50,"P",$E$1:$E$50,"normal",$D$1:$D$50,"NORMAL",$C$1:$C$50,"C")</f>
        <v>6</v>
      </c>
      <c r="L57" s="17">
        <f>COUNTIFS($B$1:$B$50,"p",$E$1:$E$50,"normal",$F$1:$F$50,"lebih",$D$1:$D$50,"NORMAL",$C$1:$C$50,"C")</f>
        <v>1</v>
      </c>
      <c r="M57" s="17">
        <f>COUNTIFS($B$1:$B$50,"p",$E$1:$E$50,"normal",$F$1:$F$50,"normal",$D$1:$D$50,"NORMAL",$C$1:$C$50,"C")</f>
        <v>5</v>
      </c>
      <c r="N57" s="17">
        <f>COUNTIFS($B$1:$B$50,"p",$E$1:$E$50,"normal",$F$1:$F$50,"kurang",$D$1:$D$50,"NORMAL",$C$1:$C$50,"C")</f>
        <v>0</v>
      </c>
      <c r="O57" s="17">
        <f>((-M57/K57)*IMLOG2(M57/K57)+(-L57/K57)*IMLOG2(L57/K57))</f>
        <v>0.650022421648355</v>
      </c>
      <c r="P57" s="11"/>
    </row>
    <row r="1048576" spans="15:15">
      <c r="O1048576" s="17"/>
    </row>
  </sheetData>
  <sortState ref="O31:P34">
    <sortCondition ref="O31" descending="true"/>
  </sortState>
  <mergeCells count="19">
    <mergeCell ref="I1:J1"/>
    <mergeCell ref="H15:P15"/>
    <mergeCell ref="AC15:AK15"/>
    <mergeCell ref="I16:J16"/>
    <mergeCell ref="AD16:AE16"/>
    <mergeCell ref="H28:P28"/>
    <mergeCell ref="R28:Z28"/>
    <mergeCell ref="AC28:AK28"/>
    <mergeCell ref="I29:J29"/>
    <mergeCell ref="S29:T29"/>
    <mergeCell ref="AD29:AE29"/>
    <mergeCell ref="H38:P38"/>
    <mergeCell ref="AC38:AK38"/>
    <mergeCell ref="I39:J39"/>
    <mergeCell ref="AD39:AE39"/>
    <mergeCell ref="H45:P45"/>
    <mergeCell ref="I46:J46"/>
    <mergeCell ref="H52:P52"/>
    <mergeCell ref="I53:J5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By Me</vt:lpstr>
      <vt:lpstr>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</dc:creator>
  <cp:lastModifiedBy>nu99etz</cp:lastModifiedBy>
  <dcterms:created xsi:type="dcterms:W3CDTF">2021-03-06T13:54:00Z</dcterms:created>
  <dcterms:modified xsi:type="dcterms:W3CDTF">2021-04-30T13:58:48Z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